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externalLinks/externalLink8.xml" ContentType="application/vnd.openxmlformats-officedocument.spreadsheetml.externalLink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30" yWindow="480" windowWidth="19320" windowHeight="7260"/>
  </bookViews>
  <sheets>
    <sheet name="БДДРН" sheetId="8" r:id="rId1"/>
    <sheet name="Пенсионные выплаты" sheetId="10" r:id="rId2"/>
    <sheet name="расчет пенс выплат" sheetId="9" r:id="rId3"/>
    <sheet name="Sheet1" sheetId="1" r:id="rId4"/>
    <sheet name="Sheet2" sheetId="7" r:id="rId5"/>
    <sheet name="инфляция " sheetId="3" r:id="rId6"/>
    <sheet name="сбережения" sheetId="4" r:id="rId7"/>
    <sheet name="saving rate" sheetId="2" r:id="rId8"/>
    <sheet name="quarterly" sheetId="11" r:id="rId9"/>
    <sheet name="номинал" sheetId="5" r:id="rId10"/>
    <sheet name="расчет по доходн части" sheetId="6" r:id="rId11"/>
    <sheet name="из справ матер от АН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1">#REF!</definedName>
    <definedName name="_2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V68000">#REF!</definedName>
    <definedName name="_IV70000">#REF!</definedName>
    <definedName name="_IV73274">#REF!</definedName>
    <definedName name="_IV80000">#REF!</definedName>
    <definedName name="belg">#REF!</definedName>
    <definedName name="ColLastYearFB">[1]ФедД!$AH$17</definedName>
    <definedName name="ColThisYearFB">[1]ФедД!$AG$17</definedName>
    <definedName name="cwb">#REF!</definedName>
    <definedName name="denm">#REF!</definedName>
    <definedName name="edc">#REF!</definedName>
    <definedName name="exim">#REF!</definedName>
    <definedName name="finl">#REF!</definedName>
    <definedName name="fran">#REF!</definedName>
    <definedName name="germ">#REF!</definedName>
    <definedName name="infl">[0]!infl</definedName>
    <definedName name="intthr">[0]!intthr</definedName>
    <definedName name="LIBOR">#REF!</definedName>
    <definedName name="long">[0]!long</definedName>
    <definedName name="longer">[0]!longer</definedName>
    <definedName name="miti">#REF!</definedName>
    <definedName name="neth">#REF!</definedName>
    <definedName name="Norw">#REF!</definedName>
    <definedName name="PeriodLastYearName">[1]ФедД!$AH$20</definedName>
    <definedName name="PeriodThisYearName">[1]ФедД!$AG$20</definedName>
    <definedName name="port">#REF!</definedName>
    <definedName name="_xlnm.Print_Area" localSheetId="0">БДДРН!$A$1:$AI$185</definedName>
    <definedName name="_xlnm.Print_Area" localSheetId="2">'расчет пенс выплат'!$A$1:$AA$24</definedName>
    <definedName name="_xlnm.Print_Area" localSheetId="6">сбережения!$A$1:$AF$53</definedName>
    <definedName name="_xlnm.Print_Titles" localSheetId="0">БДДРН!$A:$A</definedName>
    <definedName name="sace">#REF!</definedName>
    <definedName name="same">[0]!same</definedName>
    <definedName name="short">[0]!short</definedName>
    <definedName name="solver_adj" localSheetId="0" hidden="1">БДДРН!$Q$29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БДДРН!$Q$31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pai">#REF!</definedName>
    <definedName name="swed">#REF!</definedName>
    <definedName name="swit">#REF!</definedName>
    <definedName name="Thr">[0]!Thr</definedName>
    <definedName name="trea">#REF!</definedName>
    <definedName name="uk">#REF!</definedName>
    <definedName name="usa">#REF!</definedName>
    <definedName name="wbrate">[2]multilats!#REF!</definedName>
    <definedName name="ааа">#REF!</definedName>
    <definedName name="АнМ">'[3]Гр5(о)'!#REF!</definedName>
    <definedName name="вв">[4]ПРОГНОЗ_1!#REF!</definedName>
    <definedName name="График">"Диагр. 4"</definedName>
    <definedName name="М1">[5]ПРОГНОЗ_1!#REF!</definedName>
    <definedName name="Мониторинг1">'[6]Гр5(о)'!#REF!</definedName>
    <definedName name="ПОКАЗАТЕЛИ_ДОЛГОСР.ПРОГНОЗА">'[7]2002(v2)'!#REF!</definedName>
    <definedName name="Прогноз97">[8]ПРОГНОЗ_1!#REF!</definedName>
    <definedName name="фф">'[9]Гр5(о)'!#REF!</definedName>
    <definedName name="ффф">#REF!</definedName>
  </definedNames>
  <calcPr calcId="114210" fullCalcOnLoad="1"/>
</workbook>
</file>

<file path=xl/calcChain.xml><?xml version="1.0" encoding="utf-8"?>
<calcChain xmlns="http://schemas.openxmlformats.org/spreadsheetml/2006/main">
  <c r="O27" i="8"/>
  <c r="L11" i="4"/>
  <c r="L10"/>
  <c r="R45" i="8"/>
  <c r="Q45"/>
  <c r="O103"/>
  <c r="S30" i="5"/>
  <c r="S29"/>
  <c r="S31"/>
  <c r="S35"/>
  <c r="G22" i="4"/>
  <c r="G23"/>
  <c r="K22"/>
  <c r="S25" i="5"/>
  <c r="N28" i="8"/>
  <c r="O28"/>
  <c r="S61" i="5"/>
  <c r="N66" i="8"/>
  <c r="S67" i="5"/>
  <c r="N70" i="8"/>
  <c r="S68" i="5"/>
  <c r="S28"/>
  <c r="N71" i="8"/>
  <c r="S69" i="5"/>
  <c r="N72" i="8"/>
  <c r="S71" i="5"/>
  <c r="N74" i="8"/>
  <c r="S74" i="5"/>
  <c r="N75" i="8"/>
  <c r="N62"/>
  <c r="S70" i="5"/>
  <c r="N77" i="8"/>
  <c r="N61"/>
  <c r="J12" i="4"/>
  <c r="K12"/>
  <c r="N44" i="8"/>
  <c r="O44"/>
  <c r="G38" i="10"/>
  <c r="G34"/>
  <c r="O149" i="8"/>
  <c r="O152"/>
  <c r="O153"/>
  <c r="P145"/>
  <c r="P149"/>
  <c r="P153"/>
  <c r="O154"/>
  <c r="P154"/>
  <c r="P152"/>
  <c r="P156"/>
  <c r="G43" i="10"/>
  <c r="G45"/>
  <c r="O165" i="8"/>
  <c r="P165"/>
  <c r="O166"/>
  <c r="P166"/>
  <c r="P164"/>
  <c r="P168"/>
  <c r="G73" i="10"/>
  <c r="G75"/>
  <c r="G78"/>
  <c r="H38"/>
  <c r="H34"/>
  <c r="Q145" i="8"/>
  <c r="Q149"/>
  <c r="Q153"/>
  <c r="Q154"/>
  <c r="Q152"/>
  <c r="Q156"/>
  <c r="H43" i="10"/>
  <c r="H45"/>
  <c r="Q165" i="8"/>
  <c r="Q166"/>
  <c r="Q164"/>
  <c r="Q168"/>
  <c r="H73" i="10"/>
  <c r="H75"/>
  <c r="H78"/>
  <c r="I38"/>
  <c r="I34"/>
  <c r="R145" i="8"/>
  <c r="R149"/>
  <c r="R153"/>
  <c r="R154"/>
  <c r="R152"/>
  <c r="R156"/>
  <c r="I43" i="10"/>
  <c r="I45"/>
  <c r="R165" i="8"/>
  <c r="R166"/>
  <c r="R164"/>
  <c r="R168"/>
  <c r="I73" i="10"/>
  <c r="I75"/>
  <c r="I78"/>
  <c r="F38"/>
  <c r="F34"/>
  <c r="O156" i="8"/>
  <c r="F43" i="10"/>
  <c r="F45"/>
  <c r="O164" i="8"/>
  <c r="O168"/>
  <c r="F73" i="10"/>
  <c r="F75"/>
  <c r="F78"/>
  <c r="J38"/>
  <c r="J34"/>
  <c r="J45"/>
  <c r="K38"/>
  <c r="K34"/>
  <c r="K45"/>
  <c r="L38"/>
  <c r="L34"/>
  <c r="L45"/>
  <c r="M38"/>
  <c r="M34"/>
  <c r="M45"/>
  <c r="N38"/>
  <c r="N34"/>
  <c r="N45"/>
  <c r="O38"/>
  <c r="O34"/>
  <c r="O45"/>
  <c r="P38"/>
  <c r="P34"/>
  <c r="P45"/>
  <c r="Q38"/>
  <c r="Q34"/>
  <c r="Q45"/>
  <c r="R38"/>
  <c r="R34"/>
  <c r="R45"/>
  <c r="S38"/>
  <c r="S34"/>
  <c r="S45"/>
  <c r="T38"/>
  <c r="T34"/>
  <c r="T45"/>
  <c r="U38"/>
  <c r="U34"/>
  <c r="U45"/>
  <c r="V38"/>
  <c r="V34"/>
  <c r="V45"/>
  <c r="W38"/>
  <c r="W34"/>
  <c r="W45"/>
  <c r="X38"/>
  <c r="X34"/>
  <c r="X45"/>
  <c r="Y38"/>
  <c r="Y34"/>
  <c r="Y45"/>
  <c r="Z38"/>
  <c r="Z34"/>
  <c r="Z45"/>
  <c r="AA45"/>
  <c r="AB45"/>
  <c r="E38"/>
  <c r="E34"/>
  <c r="E43"/>
  <c r="E45"/>
  <c r="E73"/>
  <c r="C38"/>
  <c r="C34"/>
  <c r="D38"/>
  <c r="D81"/>
  <c r="C81"/>
  <c r="F82"/>
  <c r="G82"/>
  <c r="H82"/>
  <c r="I82"/>
  <c r="S145" i="8"/>
  <c r="S165"/>
  <c r="S166"/>
  <c r="S164"/>
  <c r="J82" i="10"/>
  <c r="L24" i="9"/>
  <c r="T145" i="8"/>
  <c r="T165"/>
  <c r="T166"/>
  <c r="T164"/>
  <c r="K82" i="10"/>
  <c r="M24" i="9"/>
  <c r="U145" i="8"/>
  <c r="U165"/>
  <c r="U166"/>
  <c r="U164"/>
  <c r="L82" i="10"/>
  <c r="N24" i="9"/>
  <c r="V145" i="8"/>
  <c r="V165"/>
  <c r="V166"/>
  <c r="V164"/>
  <c r="M82" i="10"/>
  <c r="O24" i="9"/>
  <c r="W145" i="8"/>
  <c r="W165"/>
  <c r="W166"/>
  <c r="W164"/>
  <c r="N82" i="10"/>
  <c r="P24" i="9"/>
  <c r="X145" i="8"/>
  <c r="X165"/>
  <c r="X166"/>
  <c r="X164"/>
  <c r="O82" i="10"/>
  <c r="Q24" i="9"/>
  <c r="Y145" i="8"/>
  <c r="Y165"/>
  <c r="Y166"/>
  <c r="Y164"/>
  <c r="P82" i="10"/>
  <c r="R24" i="9"/>
  <c r="Z145" i="8"/>
  <c r="Z165"/>
  <c r="Z166"/>
  <c r="Z164"/>
  <c r="Q82" i="10"/>
  <c r="S24" i="9"/>
  <c r="AA145" i="8"/>
  <c r="AA165"/>
  <c r="AA166"/>
  <c r="AA164"/>
  <c r="R82" i="10"/>
  <c r="T24" i="9"/>
  <c r="AB145" i="8"/>
  <c r="AB165"/>
  <c r="AB166"/>
  <c r="AB164"/>
  <c r="S82" i="10"/>
  <c r="U24" i="9"/>
  <c r="AC145" i="8"/>
  <c r="AC165"/>
  <c r="AC166"/>
  <c r="AC164"/>
  <c r="T82" i="10"/>
  <c r="V24" i="9"/>
  <c r="AD145" i="8"/>
  <c r="AD165"/>
  <c r="AD166"/>
  <c r="AD164"/>
  <c r="U82" i="10"/>
  <c r="W24" i="9"/>
  <c r="AE145" i="8"/>
  <c r="AE165"/>
  <c r="AE166"/>
  <c r="AE164"/>
  <c r="V82" i="10"/>
  <c r="X24" i="9"/>
  <c r="AF145" i="8"/>
  <c r="AF165"/>
  <c r="AF166"/>
  <c r="AF164"/>
  <c r="W82" i="10"/>
  <c r="Y24" i="9"/>
  <c r="AG145" i="8"/>
  <c r="AG165"/>
  <c r="AG166"/>
  <c r="AG164"/>
  <c r="X82" i="10"/>
  <c r="Z24" i="9"/>
  <c r="AH145" i="8"/>
  <c r="AH165"/>
  <c r="AH166"/>
  <c r="AH164"/>
  <c r="Y82" i="10"/>
  <c r="AA24" i="9"/>
  <c r="AI145" i="8"/>
  <c r="AI165"/>
  <c r="AI166"/>
  <c r="AI164"/>
  <c r="Z82" i="10"/>
  <c r="E82"/>
  <c r="D49"/>
  <c r="C49"/>
  <c r="G65"/>
  <c r="H65"/>
  <c r="I65"/>
  <c r="F65"/>
  <c r="F35"/>
  <c r="C40"/>
  <c r="C70"/>
  <c r="I89"/>
  <c r="H89"/>
  <c r="G89"/>
  <c r="F89"/>
  <c r="E85"/>
  <c r="E86"/>
  <c r="Z73"/>
  <c r="Y73"/>
  <c r="X73"/>
  <c r="W73"/>
  <c r="V73"/>
  <c r="U73"/>
  <c r="T73"/>
  <c r="S73"/>
  <c r="R73"/>
  <c r="Q73"/>
  <c r="P73"/>
  <c r="O73"/>
  <c r="N73"/>
  <c r="M73"/>
  <c r="L73"/>
  <c r="K73"/>
  <c r="J73"/>
  <c r="Z68"/>
  <c r="Z72"/>
  <c r="Y68"/>
  <c r="Y72"/>
  <c r="X68"/>
  <c r="X64"/>
  <c r="W68"/>
  <c r="W72"/>
  <c r="V68"/>
  <c r="V72"/>
  <c r="U68"/>
  <c r="U72"/>
  <c r="T68"/>
  <c r="T72"/>
  <c r="S68"/>
  <c r="S64"/>
  <c r="R68"/>
  <c r="R72"/>
  <c r="Q68"/>
  <c r="Q72"/>
  <c r="P68"/>
  <c r="P64"/>
  <c r="O68"/>
  <c r="O72"/>
  <c r="N68"/>
  <c r="N64"/>
  <c r="M68"/>
  <c r="M64"/>
  <c r="L68"/>
  <c r="L72"/>
  <c r="K68"/>
  <c r="K64"/>
  <c r="J68"/>
  <c r="J72"/>
  <c r="C64"/>
  <c r="Z65"/>
  <c r="Y65"/>
  <c r="X65"/>
  <c r="W65"/>
  <c r="V65"/>
  <c r="U65"/>
  <c r="T65"/>
  <c r="S65"/>
  <c r="R65"/>
  <c r="Q65"/>
  <c r="P65"/>
  <c r="O65"/>
  <c r="N65"/>
  <c r="M65"/>
  <c r="L65"/>
  <c r="K65"/>
  <c r="J65"/>
  <c r="W64"/>
  <c r="V64"/>
  <c r="U64"/>
  <c r="T64"/>
  <c r="I64"/>
  <c r="G64"/>
  <c r="F64"/>
  <c r="E64"/>
  <c r="D64"/>
  <c r="U66"/>
  <c r="L64"/>
  <c r="L66"/>
  <c r="O64"/>
  <c r="O66"/>
  <c r="M66"/>
  <c r="M72"/>
  <c r="G66"/>
  <c r="Q64"/>
  <c r="Q66"/>
  <c r="N72"/>
  <c r="W66"/>
  <c r="Y64"/>
  <c r="Y66"/>
  <c r="F85"/>
  <c r="G85"/>
  <c r="G86"/>
  <c r="X66"/>
  <c r="N66"/>
  <c r="K72"/>
  <c r="S72"/>
  <c r="T66"/>
  <c r="H64"/>
  <c r="P72"/>
  <c r="X72"/>
  <c r="J64"/>
  <c r="K66"/>
  <c r="R64"/>
  <c r="S66"/>
  <c r="Z64"/>
  <c r="V66"/>
  <c r="P66"/>
  <c r="F86"/>
  <c r="I66"/>
  <c r="H85"/>
  <c r="I85"/>
  <c r="R66"/>
  <c r="J66"/>
  <c r="H66"/>
  <c r="Z66"/>
  <c r="H86"/>
  <c r="I86"/>
  <c r="S45" i="8"/>
  <c r="T45"/>
  <c r="AD45"/>
  <c r="R146"/>
  <c r="G57" i="10"/>
  <c r="H57"/>
  <c r="I57"/>
  <c r="F57"/>
  <c r="P167" i="8"/>
  <c r="Q167"/>
  <c r="R167"/>
  <c r="N167"/>
  <c r="O167"/>
  <c r="AI45"/>
  <c r="AH45"/>
  <c r="AG45"/>
  <c r="AF45"/>
  <c r="AE45"/>
  <c r="AC45"/>
  <c r="AB45"/>
  <c r="AA45"/>
  <c r="Z45"/>
  <c r="Y45"/>
  <c r="X45"/>
  <c r="W45"/>
  <c r="V45"/>
  <c r="U45"/>
  <c r="P45"/>
  <c r="S146"/>
  <c r="P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Q146"/>
  <c r="L41" i="4"/>
  <c r="F25"/>
  <c r="E25"/>
  <c r="F26"/>
  <c r="F32"/>
  <c r="G25"/>
  <c r="G26"/>
  <c r="G32"/>
  <c r="H25"/>
  <c r="H26"/>
  <c r="H32"/>
  <c r="Q68" i="5"/>
  <c r="I25" i="4"/>
  <c r="I26"/>
  <c r="I32"/>
  <c r="R68" i="5"/>
  <c r="J25" i="4"/>
  <c r="J26"/>
  <c r="J32"/>
  <c r="K25"/>
  <c r="K26"/>
  <c r="K32"/>
  <c r="X26"/>
  <c r="W26"/>
  <c r="L25"/>
  <c r="D25"/>
  <c r="E26"/>
  <c r="E32"/>
  <c r="M26"/>
  <c r="M25"/>
  <c r="N26"/>
  <c r="N25"/>
  <c r="O26"/>
  <c r="O25"/>
  <c r="P26"/>
  <c r="P25"/>
  <c r="Q26"/>
  <c r="Q25"/>
  <c r="R26"/>
  <c r="R25"/>
  <c r="S26"/>
  <c r="S25"/>
  <c r="T26"/>
  <c r="T25"/>
  <c r="U26"/>
  <c r="U25"/>
  <c r="V26"/>
  <c r="V25"/>
  <c r="F27"/>
  <c r="E27"/>
  <c r="F28"/>
  <c r="F33"/>
  <c r="G27"/>
  <c r="G28"/>
  <c r="G33"/>
  <c r="M28"/>
  <c r="M27"/>
  <c r="H27"/>
  <c r="H28"/>
  <c r="H33"/>
  <c r="Q28" i="5"/>
  <c r="I27" i="4"/>
  <c r="I28"/>
  <c r="I33"/>
  <c r="R28" i="5"/>
  <c r="J27" i="4"/>
  <c r="J28"/>
  <c r="J33"/>
  <c r="N28"/>
  <c r="N27"/>
  <c r="O28"/>
  <c r="O27"/>
  <c r="K28"/>
  <c r="K33"/>
  <c r="P28"/>
  <c r="P27"/>
  <c r="Q28"/>
  <c r="Q27"/>
  <c r="R28"/>
  <c r="R27"/>
  <c r="S28"/>
  <c r="S27"/>
  <c r="T28"/>
  <c r="T27"/>
  <c r="U28"/>
  <c r="U27"/>
  <c r="V28"/>
  <c r="V27"/>
  <c r="V17"/>
  <c r="E22"/>
  <c r="E23"/>
  <c r="F22"/>
  <c r="F23"/>
  <c r="R22"/>
  <c r="S22"/>
  <c r="T22"/>
  <c r="U22"/>
  <c r="V22"/>
  <c r="W22"/>
  <c r="X22"/>
  <c r="Y22"/>
  <c r="Z22"/>
  <c r="AA22"/>
  <c r="AB22"/>
  <c r="AC22"/>
  <c r="AD22"/>
  <c r="AE22"/>
  <c r="AF22"/>
  <c r="Q22"/>
  <c r="P22"/>
  <c r="O45" i="8"/>
  <c r="N136"/>
  <c r="J56" i="4"/>
  <c r="I56"/>
  <c r="O35"/>
  <c r="S11" i="8"/>
  <c r="M41" i="4"/>
  <c r="S29" i="8"/>
  <c r="S27"/>
  <c r="S25"/>
  <c r="E50" i="10"/>
  <c r="N41" i="4"/>
  <c r="E53" i="10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U11" i="8"/>
  <c r="U29"/>
  <c r="O41" i="4"/>
  <c r="O42"/>
  <c r="P42"/>
  <c r="E54" i="10"/>
  <c r="U25" i="8"/>
  <c r="U27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I11" i="4"/>
  <c r="K10"/>
  <c r="K41"/>
  <c r="J41"/>
  <c r="I41"/>
  <c r="H41"/>
  <c r="K104" i="11"/>
  <c r="G41" i="4"/>
  <c r="J15"/>
  <c r="I15"/>
  <c r="H15"/>
  <c r="G15"/>
  <c r="A15"/>
  <c r="J10"/>
  <c r="I10"/>
  <c r="H10"/>
  <c r="G10"/>
  <c r="F10"/>
  <c r="E10"/>
  <c r="D10"/>
  <c r="C10"/>
  <c r="R131" i="8"/>
  <c r="Q131"/>
  <c r="P131"/>
  <c r="O131"/>
  <c r="R130"/>
  <c r="Q130"/>
  <c r="P130"/>
  <c r="O130"/>
  <c r="S72" i="5"/>
  <c r="N52" i="8"/>
  <c r="S53" i="5"/>
  <c r="N49" i="8"/>
  <c r="S18" i="5"/>
  <c r="N26" i="8"/>
  <c r="S6" i="5"/>
  <c r="N24" i="8"/>
  <c r="S12" i="5"/>
  <c r="S13"/>
  <c r="S14"/>
  <c r="S15"/>
  <c r="N22" i="8"/>
  <c r="S11" i="5"/>
  <c r="N18" i="8"/>
  <c r="F10" i="9"/>
  <c r="S8" i="5"/>
  <c r="N13" i="8"/>
  <c r="Q96" i="11"/>
  <c r="Q80"/>
  <c r="Q58"/>
  <c r="H84"/>
  <c r="I84"/>
  <c r="J84"/>
  <c r="K84"/>
  <c r="L84"/>
  <c r="M84"/>
  <c r="N84"/>
  <c r="O84"/>
  <c r="P84"/>
  <c r="Q84"/>
  <c r="H86"/>
  <c r="I86"/>
  <c r="J86"/>
  <c r="K86"/>
  <c r="L86"/>
  <c r="M86"/>
  <c r="N86"/>
  <c r="O86"/>
  <c r="P86"/>
  <c r="Q86"/>
  <c r="H87"/>
  <c r="I87"/>
  <c r="J87"/>
  <c r="K87"/>
  <c r="L87"/>
  <c r="M87"/>
  <c r="N87"/>
  <c r="O87"/>
  <c r="P87"/>
  <c r="Q87"/>
  <c r="H88"/>
  <c r="I88"/>
  <c r="J88"/>
  <c r="K88"/>
  <c r="L88"/>
  <c r="M88"/>
  <c r="N88"/>
  <c r="O88"/>
  <c r="P88"/>
  <c r="Q88"/>
  <c r="H89"/>
  <c r="I89"/>
  <c r="J89"/>
  <c r="K89"/>
  <c r="L89"/>
  <c r="M89"/>
  <c r="N89"/>
  <c r="O89"/>
  <c r="P89"/>
  <c r="Q89"/>
  <c r="H91"/>
  <c r="I91"/>
  <c r="J91"/>
  <c r="K91"/>
  <c r="L91"/>
  <c r="M91"/>
  <c r="N91"/>
  <c r="O91"/>
  <c r="P91"/>
  <c r="Q91"/>
  <c r="H92"/>
  <c r="I92"/>
  <c r="J92"/>
  <c r="K92"/>
  <c r="L92"/>
  <c r="M92"/>
  <c r="N92"/>
  <c r="O92"/>
  <c r="P92"/>
  <c r="Q92"/>
  <c r="H93"/>
  <c r="I93"/>
  <c r="J93"/>
  <c r="K93"/>
  <c r="L93"/>
  <c r="M93"/>
  <c r="N93"/>
  <c r="O93"/>
  <c r="P93"/>
  <c r="Q93"/>
  <c r="H94"/>
  <c r="I94"/>
  <c r="J94"/>
  <c r="K94"/>
  <c r="L94"/>
  <c r="M94"/>
  <c r="N94"/>
  <c r="O94"/>
  <c r="P94"/>
  <c r="Q94"/>
  <c r="H95"/>
  <c r="I95"/>
  <c r="J95"/>
  <c r="K95"/>
  <c r="L95"/>
  <c r="M95"/>
  <c r="N95"/>
  <c r="O95"/>
  <c r="P95"/>
  <c r="Q95"/>
  <c r="H96"/>
  <c r="I96"/>
  <c r="J96"/>
  <c r="K96"/>
  <c r="L96"/>
  <c r="M96"/>
  <c r="N96"/>
  <c r="O96"/>
  <c r="P96"/>
  <c r="H97"/>
  <c r="I97"/>
  <c r="J97"/>
  <c r="K97"/>
  <c r="L97"/>
  <c r="M97"/>
  <c r="N97"/>
  <c r="O97"/>
  <c r="P97"/>
  <c r="Q97"/>
  <c r="H98"/>
  <c r="I98"/>
  <c r="J98"/>
  <c r="K98"/>
  <c r="L98"/>
  <c r="M98"/>
  <c r="N98"/>
  <c r="O98"/>
  <c r="P98"/>
  <c r="Q98"/>
  <c r="H99"/>
  <c r="I99"/>
  <c r="J99"/>
  <c r="K99"/>
  <c r="L99"/>
  <c r="M99"/>
  <c r="N99"/>
  <c r="O99"/>
  <c r="P99"/>
  <c r="Q99"/>
  <c r="H100"/>
  <c r="I100"/>
  <c r="J100"/>
  <c r="K100"/>
  <c r="L100"/>
  <c r="M100"/>
  <c r="N100"/>
  <c r="O100"/>
  <c r="P100"/>
  <c r="Q100"/>
  <c r="H101"/>
  <c r="I101"/>
  <c r="J101"/>
  <c r="K101"/>
  <c r="L101"/>
  <c r="M101"/>
  <c r="N101"/>
  <c r="O101"/>
  <c r="P101"/>
  <c r="Q101"/>
  <c r="H102"/>
  <c r="I102"/>
  <c r="J102"/>
  <c r="K102"/>
  <c r="L102"/>
  <c r="M102"/>
  <c r="N102"/>
  <c r="O102"/>
  <c r="P102"/>
  <c r="Q102"/>
  <c r="H103"/>
  <c r="I103"/>
  <c r="J103"/>
  <c r="K103"/>
  <c r="L103"/>
  <c r="M103"/>
  <c r="N103"/>
  <c r="O103"/>
  <c r="P103"/>
  <c r="Q103"/>
  <c r="H104"/>
  <c r="J104"/>
  <c r="M104"/>
  <c r="O104"/>
  <c r="P104"/>
  <c r="H105"/>
  <c r="I105"/>
  <c r="J105"/>
  <c r="K105"/>
  <c r="L105"/>
  <c r="M105"/>
  <c r="N105"/>
  <c r="O105"/>
  <c r="P105"/>
  <c r="Q105"/>
  <c r="G86"/>
  <c r="G87"/>
  <c r="G88"/>
  <c r="G89"/>
  <c r="G91"/>
  <c r="G92"/>
  <c r="G93"/>
  <c r="G94"/>
  <c r="G95"/>
  <c r="G96"/>
  <c r="G97"/>
  <c r="G98"/>
  <c r="G99"/>
  <c r="G100"/>
  <c r="G101"/>
  <c r="G102"/>
  <c r="G103"/>
  <c r="G105"/>
  <c r="G84"/>
  <c r="G59"/>
  <c r="H59"/>
  <c r="I59"/>
  <c r="J59"/>
  <c r="K59"/>
  <c r="L59"/>
  <c r="M59"/>
  <c r="N59"/>
  <c r="O59"/>
  <c r="P59"/>
  <c r="Q59"/>
  <c r="G60"/>
  <c r="H60"/>
  <c r="I60"/>
  <c r="J60"/>
  <c r="K60"/>
  <c r="L60"/>
  <c r="M60"/>
  <c r="N60"/>
  <c r="O60"/>
  <c r="P60"/>
  <c r="Q60"/>
  <c r="G61"/>
  <c r="H61"/>
  <c r="I61"/>
  <c r="J61"/>
  <c r="K61"/>
  <c r="L61"/>
  <c r="M61"/>
  <c r="N61"/>
  <c r="O61"/>
  <c r="P61"/>
  <c r="Q61"/>
  <c r="G63"/>
  <c r="H63"/>
  <c r="I63"/>
  <c r="J63"/>
  <c r="K63"/>
  <c r="L63"/>
  <c r="M63"/>
  <c r="N63"/>
  <c r="O63"/>
  <c r="P63"/>
  <c r="Q63"/>
  <c r="G64"/>
  <c r="H64"/>
  <c r="I64"/>
  <c r="J64"/>
  <c r="K64"/>
  <c r="L64"/>
  <c r="M64"/>
  <c r="N64"/>
  <c r="O64"/>
  <c r="P64"/>
  <c r="Q64"/>
  <c r="G65"/>
  <c r="H65"/>
  <c r="I65"/>
  <c r="J65"/>
  <c r="K65"/>
  <c r="L65"/>
  <c r="M65"/>
  <c r="N65"/>
  <c r="O65"/>
  <c r="P65"/>
  <c r="Q65"/>
  <c r="G66"/>
  <c r="H66"/>
  <c r="I66"/>
  <c r="J66"/>
  <c r="K66"/>
  <c r="L66"/>
  <c r="M66"/>
  <c r="N66"/>
  <c r="O66"/>
  <c r="P66"/>
  <c r="Q66"/>
  <c r="G67"/>
  <c r="H67"/>
  <c r="I67"/>
  <c r="J67"/>
  <c r="K67"/>
  <c r="L67"/>
  <c r="M67"/>
  <c r="N67"/>
  <c r="O67"/>
  <c r="P67"/>
  <c r="Q67"/>
  <c r="G68"/>
  <c r="H68"/>
  <c r="I68"/>
  <c r="J68"/>
  <c r="K68"/>
  <c r="L68"/>
  <c r="M68"/>
  <c r="N68"/>
  <c r="O68"/>
  <c r="P68"/>
  <c r="Q68"/>
  <c r="G70"/>
  <c r="H70"/>
  <c r="I70"/>
  <c r="J70"/>
  <c r="K70"/>
  <c r="L70"/>
  <c r="M70"/>
  <c r="N70"/>
  <c r="O70"/>
  <c r="P70"/>
  <c r="Q70"/>
  <c r="G71"/>
  <c r="H71"/>
  <c r="I71"/>
  <c r="J71"/>
  <c r="K71"/>
  <c r="L71"/>
  <c r="M71"/>
  <c r="N71"/>
  <c r="O71"/>
  <c r="P71"/>
  <c r="Q71"/>
  <c r="G72"/>
  <c r="H72"/>
  <c r="I72"/>
  <c r="J72"/>
  <c r="K72"/>
  <c r="L72"/>
  <c r="M72"/>
  <c r="N72"/>
  <c r="O72"/>
  <c r="P72"/>
  <c r="Q72"/>
  <c r="G73"/>
  <c r="H73"/>
  <c r="I73"/>
  <c r="J73"/>
  <c r="K73"/>
  <c r="L73"/>
  <c r="M73"/>
  <c r="N73"/>
  <c r="O73"/>
  <c r="P73"/>
  <c r="Q73"/>
  <c r="G76"/>
  <c r="H76"/>
  <c r="I76"/>
  <c r="J76"/>
  <c r="K76"/>
  <c r="L76"/>
  <c r="M76"/>
  <c r="N76"/>
  <c r="O76"/>
  <c r="P76"/>
  <c r="Q76"/>
  <c r="G77"/>
  <c r="H77"/>
  <c r="I77"/>
  <c r="J77"/>
  <c r="K77"/>
  <c r="L77"/>
  <c r="M77"/>
  <c r="N77"/>
  <c r="O77"/>
  <c r="P77"/>
  <c r="Q77"/>
  <c r="G79"/>
  <c r="H79"/>
  <c r="I79"/>
  <c r="J79"/>
  <c r="K79"/>
  <c r="L79"/>
  <c r="M79"/>
  <c r="N79"/>
  <c r="O79"/>
  <c r="P79"/>
  <c r="Q79"/>
  <c r="G80"/>
  <c r="H80"/>
  <c r="I80"/>
  <c r="J80"/>
  <c r="K80"/>
  <c r="L80"/>
  <c r="M80"/>
  <c r="N80"/>
  <c r="O80"/>
  <c r="P80"/>
  <c r="G81"/>
  <c r="I81"/>
  <c r="L81"/>
  <c r="N81"/>
  <c r="Q81"/>
  <c r="G82"/>
  <c r="H82"/>
  <c r="I82"/>
  <c r="J82"/>
  <c r="K82"/>
  <c r="L82"/>
  <c r="M82"/>
  <c r="N82"/>
  <c r="O82"/>
  <c r="P82"/>
  <c r="Q82"/>
  <c r="H58"/>
  <c r="I58"/>
  <c r="J58"/>
  <c r="K58"/>
  <c r="L58"/>
  <c r="M58"/>
  <c r="N58"/>
  <c r="O58"/>
  <c r="P58"/>
  <c r="G58"/>
  <c r="Q83"/>
  <c r="Q31"/>
  <c r="Q75" i="5"/>
  <c r="R75"/>
  <c r="S75"/>
  <c r="Q74"/>
  <c r="R74"/>
  <c r="Q73"/>
  <c r="R73"/>
  <c r="S73"/>
  <c r="Q72"/>
  <c r="R72"/>
  <c r="Q71"/>
  <c r="R71"/>
  <c r="Q70"/>
  <c r="R70"/>
  <c r="Q69"/>
  <c r="R69"/>
  <c r="R67"/>
  <c r="Q67"/>
  <c r="R61"/>
  <c r="Q61"/>
  <c r="Q58"/>
  <c r="R58"/>
  <c r="S58"/>
  <c r="Q57"/>
  <c r="R57"/>
  <c r="S57"/>
  <c r="Q56"/>
  <c r="R56"/>
  <c r="S56"/>
  <c r="Q55"/>
  <c r="R55"/>
  <c r="S55"/>
  <c r="S54"/>
  <c r="R54"/>
  <c r="Q54"/>
  <c r="Q53"/>
  <c r="R53"/>
  <c r="S52"/>
  <c r="R52"/>
  <c r="Q52"/>
  <c r="Q41"/>
  <c r="R41"/>
  <c r="S41"/>
  <c r="Q40"/>
  <c r="R40"/>
  <c r="S40"/>
  <c r="S38"/>
  <c r="R38"/>
  <c r="Q38"/>
  <c r="Q34"/>
  <c r="R34"/>
  <c r="S34"/>
  <c r="Q33"/>
  <c r="R33"/>
  <c r="S33"/>
  <c r="Q32"/>
  <c r="R32"/>
  <c r="S32"/>
  <c r="Q31"/>
  <c r="R31"/>
  <c r="Q30"/>
  <c r="R30"/>
  <c r="R29"/>
  <c r="R35"/>
  <c r="Q29"/>
  <c r="Q35"/>
  <c r="R27"/>
  <c r="S27"/>
  <c r="Q27"/>
  <c r="S26"/>
  <c r="R26"/>
  <c r="Q26"/>
  <c r="S23"/>
  <c r="R23"/>
  <c r="Q23"/>
  <c r="S19"/>
  <c r="S20"/>
  <c r="S21"/>
  <c r="S22"/>
  <c r="R19"/>
  <c r="R20"/>
  <c r="R21"/>
  <c r="R22"/>
  <c r="Q22"/>
  <c r="Q21"/>
  <c r="Q19"/>
  <c r="Q20"/>
  <c r="R18"/>
  <c r="Q18"/>
  <c r="R9"/>
  <c r="R11"/>
  <c r="R12"/>
  <c r="R13"/>
  <c r="R14"/>
  <c r="R15"/>
  <c r="S9"/>
  <c r="Q15"/>
  <c r="Q14"/>
  <c r="Q13"/>
  <c r="Q12"/>
  <c r="Q11"/>
  <c r="Q9"/>
  <c r="R8"/>
  <c r="Q8"/>
  <c r="S7"/>
  <c r="R7"/>
  <c r="Q7"/>
  <c r="R6"/>
  <c r="Q6"/>
  <c r="N153" i="8"/>
  <c r="N154"/>
  <c r="N166"/>
  <c r="N165"/>
  <c r="N164"/>
  <c r="N168"/>
  <c r="J11" i="4"/>
  <c r="K11"/>
  <c r="O114" i="8"/>
  <c r="L35" i="4"/>
  <c r="O72" i="8"/>
  <c r="N35" i="4"/>
  <c r="K27"/>
  <c r="L27"/>
  <c r="L17"/>
  <c r="N9" i="2"/>
  <c r="N10"/>
  <c r="N11"/>
  <c r="N12"/>
  <c r="N13"/>
  <c r="N14"/>
  <c r="N15"/>
  <c r="N16"/>
  <c r="N17"/>
  <c r="N18"/>
  <c r="N19"/>
  <c r="N20"/>
  <c r="N21"/>
  <c r="N22"/>
  <c r="N8"/>
  <c r="N6"/>
  <c r="N4"/>
  <c r="R11" i="8"/>
  <c r="R29"/>
  <c r="T11"/>
  <c r="T29"/>
  <c r="P31" i="4"/>
  <c r="AE82" i="8"/>
  <c r="AF82"/>
  <c r="AG82"/>
  <c r="AH82"/>
  <c r="AH83"/>
  <c r="AI82"/>
  <c r="Q31" i="4"/>
  <c r="R31"/>
  <c r="S31"/>
  <c r="T31"/>
  <c r="U31"/>
  <c r="V31"/>
  <c r="W31"/>
  <c r="X31"/>
  <c r="Y31"/>
  <c r="Z31"/>
  <c r="Z26"/>
  <c r="AA31"/>
  <c r="AA26"/>
  <c r="AB31"/>
  <c r="AB26"/>
  <c r="AC31"/>
  <c r="AC26"/>
  <c r="AD31"/>
  <c r="AE31"/>
  <c r="AF31"/>
  <c r="AE11" i="8"/>
  <c r="AE29"/>
  <c r="AF11"/>
  <c r="AF29"/>
  <c r="AG11"/>
  <c r="AG29"/>
  <c r="AH11"/>
  <c r="AH29"/>
  <c r="AI11"/>
  <c r="AI29"/>
  <c r="AG83"/>
  <c r="AG27"/>
  <c r="AG25"/>
  <c r="AF25"/>
  <c r="AF27"/>
  <c r="AE25"/>
  <c r="AE27"/>
  <c r="AF57"/>
  <c r="T25"/>
  <c r="T27"/>
  <c r="R25"/>
  <c r="AI27"/>
  <c r="AI25"/>
  <c r="AH27"/>
  <c r="AH25"/>
  <c r="AH57"/>
  <c r="AI57"/>
  <c r="AF83"/>
  <c r="AI83"/>
  <c r="AG57"/>
  <c r="G35" i="10"/>
  <c r="H35"/>
  <c r="I35"/>
  <c r="S155" i="8"/>
  <c r="J35" i="10"/>
  <c r="S167" i="8"/>
  <c r="T155"/>
  <c r="J43" i="10"/>
  <c r="K43"/>
  <c r="L43"/>
  <c r="M43"/>
  <c r="N43"/>
  <c r="O43"/>
  <c r="P43"/>
  <c r="Q43"/>
  <c r="R43"/>
  <c r="S43"/>
  <c r="T43"/>
  <c r="U43"/>
  <c r="V43"/>
  <c r="W43"/>
  <c r="X43"/>
  <c r="Y43"/>
  <c r="Z43"/>
  <c r="D34"/>
  <c r="I41"/>
  <c r="I71"/>
  <c r="I72"/>
  <c r="H41"/>
  <c r="G41"/>
  <c r="G71"/>
  <c r="G72"/>
  <c r="F41"/>
  <c r="F71"/>
  <c r="F72"/>
  <c r="E41"/>
  <c r="E71"/>
  <c r="E72"/>
  <c r="D41"/>
  <c r="D71"/>
  <c r="C41"/>
  <c r="C71"/>
  <c r="I40"/>
  <c r="I70"/>
  <c r="H40"/>
  <c r="H70"/>
  <c r="G40"/>
  <c r="F40"/>
  <c r="F70"/>
  <c r="E40"/>
  <c r="E70"/>
  <c r="D40"/>
  <c r="D70"/>
  <c r="D67"/>
  <c r="F28"/>
  <c r="E21"/>
  <c r="E23"/>
  <c r="I20"/>
  <c r="E17"/>
  <c r="F17"/>
  <c r="K11"/>
  <c r="E9"/>
  <c r="H4"/>
  <c r="I4"/>
  <c r="G4"/>
  <c r="E4"/>
  <c r="F4"/>
  <c r="E67"/>
  <c r="F67"/>
  <c r="G70"/>
  <c r="H42"/>
  <c r="H71"/>
  <c r="H72"/>
  <c r="U155" i="8"/>
  <c r="T167"/>
  <c r="F37" i="10"/>
  <c r="E37"/>
  <c r="J40"/>
  <c r="K40"/>
  <c r="L40"/>
  <c r="M40"/>
  <c r="N40"/>
  <c r="O40"/>
  <c r="P40"/>
  <c r="Q40"/>
  <c r="R40"/>
  <c r="S40"/>
  <c r="T40"/>
  <c r="U40"/>
  <c r="V40"/>
  <c r="W40"/>
  <c r="X40"/>
  <c r="Y40"/>
  <c r="Z40"/>
  <c r="D37"/>
  <c r="L35"/>
  <c r="K35"/>
  <c r="G17"/>
  <c r="H17"/>
  <c r="I17"/>
  <c r="F19"/>
  <c r="F21"/>
  <c r="F23"/>
  <c r="F5"/>
  <c r="G5"/>
  <c r="H5"/>
  <c r="I5"/>
  <c r="F7"/>
  <c r="F25"/>
  <c r="J70"/>
  <c r="K70"/>
  <c r="L70"/>
  <c r="M70"/>
  <c r="N70"/>
  <c r="O70"/>
  <c r="P70"/>
  <c r="Q70"/>
  <c r="R70"/>
  <c r="S70"/>
  <c r="T70"/>
  <c r="U70"/>
  <c r="V70"/>
  <c r="W70"/>
  <c r="X70"/>
  <c r="Y70"/>
  <c r="Z70"/>
  <c r="V155" i="8"/>
  <c r="U167"/>
  <c r="G19" i="10"/>
  <c r="H19"/>
  <c r="G28"/>
  <c r="F31"/>
  <c r="G23"/>
  <c r="H23"/>
  <c r="I23"/>
  <c r="F11"/>
  <c r="G11"/>
  <c r="H11"/>
  <c r="I11"/>
  <c r="F9"/>
  <c r="G7"/>
  <c r="V167" i="8"/>
  <c r="M35" i="10"/>
  <c r="W155" i="8"/>
  <c r="G21" i="10"/>
  <c r="G25"/>
  <c r="H28"/>
  <c r="F13"/>
  <c r="F27"/>
  <c r="H21"/>
  <c r="H25"/>
  <c r="I19"/>
  <c r="I21"/>
  <c r="I25"/>
  <c r="H7"/>
  <c r="G9"/>
  <c r="G13"/>
  <c r="W167" i="8"/>
  <c r="X155"/>
  <c r="N35" i="10"/>
  <c r="I28"/>
  <c r="G27"/>
  <c r="I7"/>
  <c r="I9"/>
  <c r="I13"/>
  <c r="I27"/>
  <c r="H9"/>
  <c r="H13"/>
  <c r="H27"/>
  <c r="X167" i="8"/>
  <c r="Y155"/>
  <c r="O35" i="10"/>
  <c r="Q11" i="8"/>
  <c r="R27"/>
  <c r="R82"/>
  <c r="R83"/>
  <c r="R96"/>
  <c r="Y167"/>
  <c r="Z155"/>
  <c r="P35" i="10"/>
  <c r="Q27" i="8"/>
  <c r="Q25"/>
  <c r="P11"/>
  <c r="O11"/>
  <c r="AP19"/>
  <c r="AO19"/>
  <c r="AN19"/>
  <c r="AM19"/>
  <c r="AO17"/>
  <c r="AP17"/>
  <c r="AN17"/>
  <c r="AM17"/>
  <c r="Z167"/>
  <c r="AA155"/>
  <c r="Q35" i="10"/>
  <c r="AO20" i="8"/>
  <c r="AN20"/>
  <c r="AP20"/>
  <c r="Q57"/>
  <c r="P25"/>
  <c r="P27"/>
  <c r="R57"/>
  <c r="AM20"/>
  <c r="AA167"/>
  <c r="R35" i="10"/>
  <c r="AB155" i="8"/>
  <c r="AB167"/>
  <c r="AC155"/>
  <c r="S35" i="10"/>
  <c r="AK38" i="8"/>
  <c r="AC167"/>
  <c r="T35" i="10"/>
  <c r="AD155" i="8"/>
  <c r="AK41"/>
  <c r="AD167"/>
  <c r="AE155"/>
  <c r="U35" i="10"/>
  <c r="AE167" i="8"/>
  <c r="AF155"/>
  <c r="V35" i="10"/>
  <c r="AK39" i="8"/>
  <c r="O37"/>
  <c r="AF167"/>
  <c r="AG155"/>
  <c r="W35" i="10"/>
  <c r="Q42" i="4"/>
  <c r="AG167" i="8"/>
  <c r="AH155"/>
  <c r="X35" i="10"/>
  <c r="R42" i="4"/>
  <c r="K7"/>
  <c r="K6"/>
  <c r="K13"/>
  <c r="D7"/>
  <c r="E7"/>
  <c r="F7"/>
  <c r="G7"/>
  <c r="H7"/>
  <c r="I7"/>
  <c r="J7"/>
  <c r="AH167" i="8"/>
  <c r="Y35" i="10"/>
  <c r="AI155" i="8"/>
  <c r="S42" i="4"/>
  <c r="K8"/>
  <c r="C6"/>
  <c r="C7"/>
  <c r="B7"/>
  <c r="D6"/>
  <c r="D8"/>
  <c r="E6"/>
  <c r="E8"/>
  <c r="F6"/>
  <c r="F13"/>
  <c r="G6"/>
  <c r="G8"/>
  <c r="H6"/>
  <c r="H8"/>
  <c r="I6"/>
  <c r="I8"/>
  <c r="J6"/>
  <c r="B6"/>
  <c r="Z35" i="10"/>
  <c r="AI167" i="8"/>
  <c r="T42" i="4"/>
  <c r="J13"/>
  <c r="J8"/>
  <c r="C8"/>
  <c r="G13"/>
  <c r="F8"/>
  <c r="H13"/>
  <c r="B8"/>
  <c r="I13"/>
  <c r="E13"/>
  <c r="U42"/>
  <c r="N113" i="8"/>
  <c r="N114"/>
  <c r="M108"/>
  <c r="V53" i="5"/>
  <c r="M8" i="8"/>
  <c r="L8"/>
  <c r="K8"/>
  <c r="J8"/>
  <c r="I8"/>
  <c r="H8"/>
  <c r="L111"/>
  <c r="L110"/>
  <c r="L109"/>
  <c r="L108"/>
  <c r="L107"/>
  <c r="M110"/>
  <c r="M111"/>
  <c r="M109"/>
  <c r="M107"/>
  <c r="K189"/>
  <c r="E7" i="9"/>
  <c r="D7"/>
  <c r="D14"/>
  <c r="C7"/>
  <c r="C14"/>
  <c r="B7"/>
  <c r="B14"/>
  <c r="V42" i="4"/>
  <c r="M106" i="8"/>
  <c r="K4" i="4"/>
  <c r="R72" i="8"/>
  <c r="AM10"/>
  <c r="T158"/>
  <c r="O180"/>
  <c r="K181"/>
  <c r="K183"/>
  <c r="K177"/>
  <c r="L177"/>
  <c r="M177"/>
  <c r="N177"/>
  <c r="O177"/>
  <c r="W42" i="4"/>
  <c r="L179" i="8"/>
  <c r="L181"/>
  <c r="X42" i="4"/>
  <c r="Y42"/>
  <c r="M179" i="8"/>
  <c r="N179"/>
  <c r="L183"/>
  <c r="L185"/>
  <c r="O179"/>
  <c r="O181"/>
  <c r="N181"/>
  <c r="M181"/>
  <c r="M183"/>
  <c r="N183"/>
  <c r="O183"/>
  <c r="BB133" i="1"/>
  <c r="BB145"/>
  <c r="BB157"/>
  <c r="BC157"/>
  <c r="BB169"/>
  <c r="BB121"/>
  <c r="BA133"/>
  <c r="BA169"/>
  <c r="BA157"/>
  <c r="BA145"/>
  <c r="BC145"/>
  <c r="BA121"/>
  <c r="BA97"/>
  <c r="BA109"/>
  <c r="AZ133"/>
  <c r="P15" i="4"/>
  <c r="AZ122" i="1"/>
  <c r="AZ123"/>
  <c r="AZ124"/>
  <c r="AZ125"/>
  <c r="AZ126"/>
  <c r="AZ127"/>
  <c r="AZ128"/>
  <c r="AZ129"/>
  <c r="AZ130"/>
  <c r="AZ131"/>
  <c r="AZ132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D17" i="4"/>
  <c r="K20"/>
  <c r="N5" i="2"/>
  <c r="M49" i="8"/>
  <c r="M51"/>
  <c r="L49"/>
  <c r="L51"/>
  <c r="J71"/>
  <c r="J77"/>
  <c r="K77"/>
  <c r="L77"/>
  <c r="M77"/>
  <c r="I77"/>
  <c r="H77"/>
  <c r="G77"/>
  <c r="H75"/>
  <c r="I75"/>
  <c r="J75"/>
  <c r="K75"/>
  <c r="L75"/>
  <c r="M75"/>
  <c r="G75"/>
  <c r="H74"/>
  <c r="I74"/>
  <c r="J74"/>
  <c r="K74"/>
  <c r="L74"/>
  <c r="M74"/>
  <c r="G74"/>
  <c r="H72"/>
  <c r="I72"/>
  <c r="J72"/>
  <c r="K72"/>
  <c r="L72"/>
  <c r="M72"/>
  <c r="G72"/>
  <c r="H71"/>
  <c r="I71"/>
  <c r="K71"/>
  <c r="L71"/>
  <c r="M71"/>
  <c r="G71"/>
  <c r="G70"/>
  <c r="H66"/>
  <c r="I66"/>
  <c r="J66"/>
  <c r="K66"/>
  <c r="L66"/>
  <c r="M66"/>
  <c r="G66"/>
  <c r="E58"/>
  <c r="D58"/>
  <c r="C58"/>
  <c r="B58"/>
  <c r="H57"/>
  <c r="E57"/>
  <c r="D57"/>
  <c r="C57"/>
  <c r="H52"/>
  <c r="I52"/>
  <c r="J52"/>
  <c r="N42" i="5"/>
  <c r="K52" i="8"/>
  <c r="L52"/>
  <c r="M52"/>
  <c r="G52"/>
  <c r="H49"/>
  <c r="H51"/>
  <c r="I49"/>
  <c r="J49"/>
  <c r="J51"/>
  <c r="K49"/>
  <c r="G49"/>
  <c r="H44"/>
  <c r="I44"/>
  <c r="J44"/>
  <c r="K44"/>
  <c r="L44"/>
  <c r="M44"/>
  <c r="G44"/>
  <c r="H41"/>
  <c r="I41"/>
  <c r="J41"/>
  <c r="K41"/>
  <c r="L41"/>
  <c r="L103"/>
  <c r="M103"/>
  <c r="G41"/>
  <c r="M35" i="5"/>
  <c r="N35"/>
  <c r="O35"/>
  <c r="P35"/>
  <c r="L35"/>
  <c r="G28" i="8"/>
  <c r="G4"/>
  <c r="K26"/>
  <c r="L26"/>
  <c r="M26"/>
  <c r="H26"/>
  <c r="I26"/>
  <c r="J26"/>
  <c r="G26"/>
  <c r="H24"/>
  <c r="I24"/>
  <c r="J24"/>
  <c r="K24"/>
  <c r="L24"/>
  <c r="M24"/>
  <c r="G24"/>
  <c r="H22"/>
  <c r="I22"/>
  <c r="J22"/>
  <c r="K22"/>
  <c r="L22"/>
  <c r="M22"/>
  <c r="G22"/>
  <c r="H18"/>
  <c r="I18"/>
  <c r="J18"/>
  <c r="J21"/>
  <c r="K18"/>
  <c r="K21"/>
  <c r="L18"/>
  <c r="M18"/>
  <c r="G18"/>
  <c r="M13"/>
  <c r="M7"/>
  <c r="L13"/>
  <c r="L7"/>
  <c r="K13"/>
  <c r="K7"/>
  <c r="J13"/>
  <c r="I13"/>
  <c r="I7"/>
  <c r="H13"/>
  <c r="H7"/>
  <c r="G13"/>
  <c r="G8"/>
  <c r="H9"/>
  <c r="C112"/>
  <c r="D112"/>
  <c r="E112"/>
  <c r="F128"/>
  <c r="AO3"/>
  <c r="N7"/>
  <c r="B7"/>
  <c r="C12"/>
  <c r="D12"/>
  <c r="E12"/>
  <c r="F12"/>
  <c r="I9"/>
  <c r="J9"/>
  <c r="K9"/>
  <c r="L9"/>
  <c r="M9"/>
  <c r="N9"/>
  <c r="J11"/>
  <c r="K11"/>
  <c r="L11"/>
  <c r="M11"/>
  <c r="N11"/>
  <c r="N29"/>
  <c r="V11"/>
  <c r="W11"/>
  <c r="X11"/>
  <c r="X29"/>
  <c r="Y11"/>
  <c r="Y29"/>
  <c r="Z11"/>
  <c r="Z29"/>
  <c r="AA11"/>
  <c r="AA29"/>
  <c r="AB11"/>
  <c r="AB29"/>
  <c r="AC11"/>
  <c r="AC29"/>
  <c r="AD11"/>
  <c r="AD29"/>
  <c r="J12"/>
  <c r="K12"/>
  <c r="L12"/>
  <c r="M12"/>
  <c r="N12"/>
  <c r="AO12"/>
  <c r="C21"/>
  <c r="E21"/>
  <c r="G17"/>
  <c r="H17"/>
  <c r="I17"/>
  <c r="J17"/>
  <c r="K17"/>
  <c r="L17"/>
  <c r="AN21"/>
  <c r="D21"/>
  <c r="I23"/>
  <c r="A32"/>
  <c r="B33"/>
  <c r="B40"/>
  <c r="C40"/>
  <c r="G39"/>
  <c r="H39"/>
  <c r="I39"/>
  <c r="J39"/>
  <c r="K39"/>
  <c r="D40"/>
  <c r="E43"/>
  <c r="AM45"/>
  <c r="C43"/>
  <c r="C33"/>
  <c r="D33"/>
  <c r="E33"/>
  <c r="F33"/>
  <c r="AM65"/>
  <c r="AN65"/>
  <c r="AO65"/>
  <c r="AP65"/>
  <c r="B66"/>
  <c r="C66"/>
  <c r="D66"/>
  <c r="E66"/>
  <c r="F66"/>
  <c r="AN69"/>
  <c r="AO69"/>
  <c r="AP69"/>
  <c r="B70"/>
  <c r="C70"/>
  <c r="D70"/>
  <c r="E70"/>
  <c r="F70"/>
  <c r="AM73"/>
  <c r="AN73"/>
  <c r="AO73"/>
  <c r="AP73"/>
  <c r="B71"/>
  <c r="C71"/>
  <c r="D71"/>
  <c r="E71"/>
  <c r="F71"/>
  <c r="AM74"/>
  <c r="AN74"/>
  <c r="AO74"/>
  <c r="AP74"/>
  <c r="B72"/>
  <c r="C72"/>
  <c r="D72"/>
  <c r="E72"/>
  <c r="F72"/>
  <c r="AM75"/>
  <c r="AN75"/>
  <c r="AO75"/>
  <c r="AP75"/>
  <c r="B74"/>
  <c r="C74"/>
  <c r="D74"/>
  <c r="E74"/>
  <c r="F74"/>
  <c r="AM77"/>
  <c r="AN77"/>
  <c r="AO77"/>
  <c r="AP77"/>
  <c r="B75"/>
  <c r="C75"/>
  <c r="D75"/>
  <c r="E75"/>
  <c r="F75"/>
  <c r="AM78"/>
  <c r="AN78"/>
  <c r="AO78"/>
  <c r="AP78"/>
  <c r="Z76"/>
  <c r="AA76"/>
  <c r="AB76"/>
  <c r="AC76"/>
  <c r="AD76"/>
  <c r="AE76"/>
  <c r="AF76"/>
  <c r="AG76"/>
  <c r="AH76"/>
  <c r="AI76"/>
  <c r="B77"/>
  <c r="C77"/>
  <c r="D77"/>
  <c r="E77"/>
  <c r="F77"/>
  <c r="AM80"/>
  <c r="AN80"/>
  <c r="AO80"/>
  <c r="AP80"/>
  <c r="I82"/>
  <c r="I81"/>
  <c r="J82"/>
  <c r="J81"/>
  <c r="K82"/>
  <c r="K81"/>
  <c r="L82"/>
  <c r="L81"/>
  <c r="M82"/>
  <c r="M81"/>
  <c r="S82"/>
  <c r="T82"/>
  <c r="U82"/>
  <c r="V82"/>
  <c r="W82"/>
  <c r="X82"/>
  <c r="Y82"/>
  <c r="Z82"/>
  <c r="AA82"/>
  <c r="AB82"/>
  <c r="AC82"/>
  <c r="AD82"/>
  <c r="T94"/>
  <c r="U94"/>
  <c r="V94"/>
  <c r="W94"/>
  <c r="X94"/>
  <c r="Y94"/>
  <c r="Z94"/>
  <c r="AA94"/>
  <c r="AB94"/>
  <c r="AC94"/>
  <c r="AD94"/>
  <c r="I96"/>
  <c r="J96"/>
  <c r="K96"/>
  <c r="L96"/>
  <c r="M96"/>
  <c r="S96"/>
  <c r="T96"/>
  <c r="U96"/>
  <c r="V96"/>
  <c r="W96"/>
  <c r="X96"/>
  <c r="Y96"/>
  <c r="Z96"/>
  <c r="AA96"/>
  <c r="AB96"/>
  <c r="AC96"/>
  <c r="AD96"/>
  <c r="AO108"/>
  <c r="AP108"/>
  <c r="AQ105"/>
  <c r="B106"/>
  <c r="B117"/>
  <c r="C106"/>
  <c r="C117"/>
  <c r="D106"/>
  <c r="D117"/>
  <c r="E106"/>
  <c r="E117"/>
  <c r="F106"/>
  <c r="F117"/>
  <c r="G106"/>
  <c r="G117"/>
  <c r="H106"/>
  <c r="H118"/>
  <c r="I106"/>
  <c r="I117"/>
  <c r="J106"/>
  <c r="J117"/>
  <c r="K106"/>
  <c r="K117"/>
  <c r="N107"/>
  <c r="N121"/>
  <c r="F112"/>
  <c r="L113"/>
  <c r="M113"/>
  <c r="L114"/>
  <c r="M114"/>
  <c r="L116"/>
  <c r="L117"/>
  <c r="L118"/>
  <c r="L119"/>
  <c r="L120"/>
  <c r="L121"/>
  <c r="B122"/>
  <c r="C122"/>
  <c r="D122"/>
  <c r="E122"/>
  <c r="F122"/>
  <c r="G122"/>
  <c r="H122"/>
  <c r="I122"/>
  <c r="J122"/>
  <c r="K122"/>
  <c r="L122"/>
  <c r="B123"/>
  <c r="C123"/>
  <c r="D123"/>
  <c r="E123"/>
  <c r="F123"/>
  <c r="G123"/>
  <c r="H123"/>
  <c r="I123"/>
  <c r="J123"/>
  <c r="K123"/>
  <c r="L123"/>
  <c r="B124"/>
  <c r="C124"/>
  <c r="D124"/>
  <c r="E124"/>
  <c r="F124"/>
  <c r="G124"/>
  <c r="H124"/>
  <c r="I124"/>
  <c r="J124"/>
  <c r="K124"/>
  <c r="L124"/>
  <c r="B125"/>
  <c r="C125"/>
  <c r="D125"/>
  <c r="E125"/>
  <c r="F125"/>
  <c r="G125"/>
  <c r="H125"/>
  <c r="I125"/>
  <c r="J125"/>
  <c r="K125"/>
  <c r="L125"/>
  <c r="C126"/>
  <c r="D126"/>
  <c r="E126"/>
  <c r="F126"/>
  <c r="G126"/>
  <c r="H126"/>
  <c r="I126"/>
  <c r="J126"/>
  <c r="K126"/>
  <c r="L126"/>
  <c r="O126"/>
  <c r="O107"/>
  <c r="C127"/>
  <c r="D127"/>
  <c r="E127"/>
  <c r="F127"/>
  <c r="G127"/>
  <c r="H127"/>
  <c r="I127"/>
  <c r="J127"/>
  <c r="K127"/>
  <c r="L127"/>
  <c r="C128"/>
  <c r="E128"/>
  <c r="J129"/>
  <c r="K129"/>
  <c r="L129"/>
  <c r="M129"/>
  <c r="H133"/>
  <c r="I133"/>
  <c r="K134"/>
  <c r="L134"/>
  <c r="M134"/>
  <c r="I137"/>
  <c r="J137"/>
  <c r="K137"/>
  <c r="L137"/>
  <c r="M137"/>
  <c r="N137"/>
  <c r="I139"/>
  <c r="J139"/>
  <c r="K139"/>
  <c r="L139"/>
  <c r="M139"/>
  <c r="L141"/>
  <c r="M141"/>
  <c r="N149"/>
  <c r="N156"/>
  <c r="F6" i="9"/>
  <c r="F7"/>
  <c r="F14"/>
  <c r="Q148" i="8"/>
  <c r="R148"/>
  <c r="W29"/>
  <c r="W25"/>
  <c r="W27"/>
  <c r="V29"/>
  <c r="V57"/>
  <c r="V25"/>
  <c r="V27"/>
  <c r="G6" i="9"/>
  <c r="B116" i="8"/>
  <c r="J120"/>
  <c r="AC27"/>
  <c r="AC25"/>
  <c r="AD27"/>
  <c r="AD25"/>
  <c r="AB25"/>
  <c r="AB27"/>
  <c r="Z27"/>
  <c r="Z25"/>
  <c r="Y25"/>
  <c r="Y27"/>
  <c r="AA27"/>
  <c r="AA25"/>
  <c r="X25"/>
  <c r="X27"/>
  <c r="O185"/>
  <c r="E10" i="9"/>
  <c r="E14"/>
  <c r="M15" i="8"/>
  <c r="M17"/>
  <c r="Z42" i="4"/>
  <c r="N27" i="8"/>
  <c r="N25"/>
  <c r="N3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E83"/>
  <c r="S57"/>
  <c r="BC169" i="1"/>
  <c r="BC133"/>
  <c r="BC121"/>
  <c r="F120" i="8"/>
  <c r="F119"/>
  <c r="F116"/>
  <c r="H120"/>
  <c r="B120"/>
  <c r="J119"/>
  <c r="B119"/>
  <c r="J116"/>
  <c r="D116"/>
  <c r="G118"/>
  <c r="AD83"/>
  <c r="F15" i="9"/>
  <c r="D120" i="8"/>
  <c r="H116"/>
  <c r="N65"/>
  <c r="H117"/>
  <c r="AK42"/>
  <c r="AK43"/>
  <c r="N103"/>
  <c r="O25"/>
  <c r="I129"/>
  <c r="K118"/>
  <c r="C118"/>
  <c r="K116"/>
  <c r="I116"/>
  <c r="G116"/>
  <c r="E116"/>
  <c r="C116"/>
  <c r="V83"/>
  <c r="N20"/>
  <c r="J189"/>
  <c r="M185"/>
  <c r="N185"/>
  <c r="D128"/>
  <c r="D44"/>
  <c r="F21"/>
  <c r="H36"/>
  <c r="I101"/>
  <c r="M78"/>
  <c r="F76"/>
  <c r="D76"/>
  <c r="M126"/>
  <c r="K120"/>
  <c r="I120"/>
  <c r="G120"/>
  <c r="E120"/>
  <c r="C120"/>
  <c r="I118"/>
  <c r="E118"/>
  <c r="J83"/>
  <c r="AC83"/>
  <c r="AA83"/>
  <c r="W83"/>
  <c r="U83"/>
  <c r="S83"/>
  <c r="G34"/>
  <c r="L37"/>
  <c r="J36"/>
  <c r="K101"/>
  <c r="N45"/>
  <c r="C96"/>
  <c r="E78"/>
  <c r="F44"/>
  <c r="B44"/>
  <c r="F40"/>
  <c r="F29"/>
  <c r="G96"/>
  <c r="E76"/>
  <c r="C76"/>
  <c r="B43"/>
  <c r="C42"/>
  <c r="M45"/>
  <c r="N78"/>
  <c r="F39"/>
  <c r="E40"/>
  <c r="L34"/>
  <c r="L36"/>
  <c r="M101"/>
  <c r="J34"/>
  <c r="J37"/>
  <c r="J79"/>
  <c r="H34"/>
  <c r="H42"/>
  <c r="J134"/>
  <c r="P126"/>
  <c r="H119"/>
  <c r="D119"/>
  <c r="J118"/>
  <c r="F118"/>
  <c r="D118"/>
  <c r="B118"/>
  <c r="Y83"/>
  <c r="Z83"/>
  <c r="K42"/>
  <c r="J7"/>
  <c r="J14"/>
  <c r="J78"/>
  <c r="E96"/>
  <c r="F65"/>
  <c r="D65"/>
  <c r="G42"/>
  <c r="E42"/>
  <c r="J20"/>
  <c r="J25"/>
  <c r="J27"/>
  <c r="M27"/>
  <c r="G64"/>
  <c r="I78"/>
  <c r="L78"/>
  <c r="G82"/>
  <c r="G81"/>
  <c r="E82"/>
  <c r="C82"/>
  <c r="C81"/>
  <c r="B5"/>
  <c r="B14"/>
  <c r="K37"/>
  <c r="J42"/>
  <c r="I37"/>
  <c r="I42"/>
  <c r="L45"/>
  <c r="K45"/>
  <c r="M36"/>
  <c r="N101"/>
  <c r="K36"/>
  <c r="L101"/>
  <c r="I36"/>
  <c r="J101"/>
  <c r="K34"/>
  <c r="K119"/>
  <c r="I119"/>
  <c r="G119"/>
  <c r="E119"/>
  <c r="C119"/>
  <c r="L115"/>
  <c r="N111"/>
  <c r="N125"/>
  <c r="H96"/>
  <c r="F96"/>
  <c r="D96"/>
  <c r="H82"/>
  <c r="H81"/>
  <c r="F82"/>
  <c r="F81"/>
  <c r="D82"/>
  <c r="D81"/>
  <c r="B82"/>
  <c r="AB83"/>
  <c r="X83"/>
  <c r="T83"/>
  <c r="L83"/>
  <c r="K78"/>
  <c r="C78"/>
  <c r="H65"/>
  <c r="L65"/>
  <c r="M65"/>
  <c r="E39"/>
  <c r="E44"/>
  <c r="C39"/>
  <c r="D39"/>
  <c r="C44"/>
  <c r="O57"/>
  <c r="F9"/>
  <c r="F7"/>
  <c r="F5"/>
  <c r="D7"/>
  <c r="I34"/>
  <c r="M34"/>
  <c r="G78"/>
  <c r="J65"/>
  <c r="I51"/>
  <c r="J45"/>
  <c r="G7"/>
  <c r="G5"/>
  <c r="G54"/>
  <c r="D49" i="4"/>
  <c r="L20" i="8"/>
  <c r="L23"/>
  <c r="L25"/>
  <c r="H25"/>
  <c r="H27"/>
  <c r="I27"/>
  <c r="K27"/>
  <c r="L21"/>
  <c r="M21"/>
  <c r="N21"/>
  <c r="G9"/>
  <c r="M20"/>
  <c r="K20"/>
  <c r="I20"/>
  <c r="K25"/>
  <c r="I25"/>
  <c r="L27"/>
  <c r="N109"/>
  <c r="L14"/>
  <c r="M14"/>
  <c r="N14"/>
  <c r="O14"/>
  <c r="K14"/>
  <c r="M121"/>
  <c r="M123"/>
  <c r="O121"/>
  <c r="M125"/>
  <c r="K51"/>
  <c r="M83"/>
  <c r="K83"/>
  <c r="H78"/>
  <c r="F78"/>
  <c r="D78"/>
  <c r="G62"/>
  <c r="G61"/>
  <c r="E62"/>
  <c r="C62"/>
  <c r="F62"/>
  <c r="D62"/>
  <c r="B62"/>
  <c r="I65"/>
  <c r="G65"/>
  <c r="E65"/>
  <c r="C65"/>
  <c r="F42"/>
  <c r="F43"/>
  <c r="D42"/>
  <c r="D43"/>
  <c r="E7"/>
  <c r="C7"/>
  <c r="C5"/>
  <c r="S149"/>
  <c r="T149"/>
  <c r="I15" i="9"/>
  <c r="F58" i="8"/>
  <c r="J47"/>
  <c r="K47"/>
  <c r="H15" i="9"/>
  <c r="G15"/>
  <c r="G5"/>
  <c r="O158" i="8"/>
  <c r="P158"/>
  <c r="AA42" i="4"/>
  <c r="P14" i="8"/>
  <c r="AA57"/>
  <c r="W57"/>
  <c r="T57"/>
  <c r="AB57"/>
  <c r="X57"/>
  <c r="Y57"/>
  <c r="Z57"/>
  <c r="U57"/>
  <c r="AC57"/>
  <c r="AD57"/>
  <c r="AE57"/>
  <c r="J115"/>
  <c r="B115"/>
  <c r="P107"/>
  <c r="P121"/>
  <c r="Q126"/>
  <c r="AL41"/>
  <c r="AL42"/>
  <c r="AM44"/>
  <c r="AN108"/>
  <c r="I115"/>
  <c r="G47"/>
  <c r="F115"/>
  <c r="G115"/>
  <c r="H115"/>
  <c r="C115"/>
  <c r="K115"/>
  <c r="M48"/>
  <c r="N47"/>
  <c r="G40"/>
  <c r="H47"/>
  <c r="K48"/>
  <c r="L47"/>
  <c r="J40"/>
  <c r="H40"/>
  <c r="I47"/>
  <c r="L33"/>
  <c r="L40"/>
  <c r="M47"/>
  <c r="G56"/>
  <c r="D51" i="4"/>
  <c r="D52"/>
  <c r="M127" i="8"/>
  <c r="D115"/>
  <c r="J43"/>
  <c r="I83"/>
  <c r="K33"/>
  <c r="K40"/>
  <c r="H43"/>
  <c r="G43"/>
  <c r="H33"/>
  <c r="J33"/>
  <c r="E83"/>
  <c r="C83"/>
  <c r="G57"/>
  <c r="H83"/>
  <c r="F57"/>
  <c r="D83"/>
  <c r="E81"/>
  <c r="L48"/>
  <c r="J48"/>
  <c r="E115"/>
  <c r="G33"/>
  <c r="M33"/>
  <c r="F83"/>
  <c r="O26"/>
  <c r="P26"/>
  <c r="P57"/>
  <c r="N127"/>
  <c r="B50"/>
  <c r="B54"/>
  <c r="B56"/>
  <c r="F14"/>
  <c r="G83"/>
  <c r="G2"/>
  <c r="G112"/>
  <c r="I33"/>
  <c r="I40"/>
  <c r="I43"/>
  <c r="D5"/>
  <c r="D14"/>
  <c r="O24"/>
  <c r="O109"/>
  <c r="N123"/>
  <c r="M23"/>
  <c r="G50"/>
  <c r="G6"/>
  <c r="G94"/>
  <c r="C6"/>
  <c r="C3"/>
  <c r="C54"/>
  <c r="C94"/>
  <c r="C14"/>
  <c r="C50"/>
  <c r="D63"/>
  <c r="C63"/>
  <c r="G63"/>
  <c r="E5"/>
  <c r="E14"/>
  <c r="F3"/>
  <c r="F50"/>
  <c r="F54"/>
  <c r="F94"/>
  <c r="F63"/>
  <c r="E63"/>
  <c r="AL11" i="1"/>
  <c r="AM2"/>
  <c r="G7" i="9"/>
  <c r="G10"/>
  <c r="S148" i="8"/>
  <c r="Q158"/>
  <c r="R158"/>
  <c r="H5" i="9"/>
  <c r="I5"/>
  <c r="F50" i="10"/>
  <c r="F54"/>
  <c r="AB42" i="4"/>
  <c r="Q14" i="8"/>
  <c r="K43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Q107"/>
  <c r="R126"/>
  <c r="L43"/>
  <c r="G59"/>
  <c r="C51" i="4"/>
  <c r="C52"/>
  <c r="G128" i="8"/>
  <c r="M40"/>
  <c r="M43"/>
  <c r="G3"/>
  <c r="G99"/>
  <c r="F6"/>
  <c r="D3"/>
  <c r="D50"/>
  <c r="D54"/>
  <c r="D55"/>
  <c r="D94"/>
  <c r="D6"/>
  <c r="P24"/>
  <c r="O123"/>
  <c r="N23"/>
  <c r="N15"/>
  <c r="O22"/>
  <c r="O23"/>
  <c r="G37"/>
  <c r="G84"/>
  <c r="C56"/>
  <c r="C59"/>
  <c r="C55"/>
  <c r="C84"/>
  <c r="C85"/>
  <c r="F56"/>
  <c r="G85"/>
  <c r="F84"/>
  <c r="G55"/>
  <c r="E6"/>
  <c r="E3"/>
  <c r="E54"/>
  <c r="F55"/>
  <c r="E94"/>
  <c r="E50"/>
  <c r="AZ121" i="1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J17" i="4"/>
  <c r="AO169" i="1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4"/>
  <c r="AL6"/>
  <c r="W2"/>
  <c r="W3"/>
  <c r="S153" i="8"/>
  <c r="T148"/>
  <c r="U148"/>
  <c r="V148"/>
  <c r="W148"/>
  <c r="X148"/>
  <c r="Y148"/>
  <c r="Z148"/>
  <c r="AA148"/>
  <c r="AB148"/>
  <c r="AC148"/>
  <c r="AD148"/>
  <c r="AE148"/>
  <c r="AF148"/>
  <c r="AG148"/>
  <c r="AH148"/>
  <c r="AI148"/>
  <c r="T153"/>
  <c r="U153"/>
  <c r="V153"/>
  <c r="W153"/>
  <c r="X153"/>
  <c r="Y153"/>
  <c r="Z153"/>
  <c r="AA153"/>
  <c r="AB153"/>
  <c r="AC153"/>
  <c r="AD153"/>
  <c r="AE153"/>
  <c r="AF153"/>
  <c r="AG153"/>
  <c r="AH153"/>
  <c r="AI153"/>
  <c r="R107"/>
  <c r="R121"/>
  <c r="S126"/>
  <c r="T126"/>
  <c r="J15" i="9"/>
  <c r="O18" i="8"/>
  <c r="AC42" i="4"/>
  <c r="P22" i="8"/>
  <c r="P23"/>
  <c r="R14"/>
  <c r="Q121"/>
  <c r="P109"/>
  <c r="P123"/>
  <c r="Q24"/>
  <c r="L173"/>
  <c r="D85"/>
  <c r="D56"/>
  <c r="D84"/>
  <c r="N17"/>
  <c r="E56"/>
  <c r="E55"/>
  <c r="E84"/>
  <c r="E85"/>
  <c r="F85"/>
  <c r="W4" i="1"/>
  <c r="W5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22"/>
  <c r="S154" i="8"/>
  <c r="G8" i="9"/>
  <c r="G11"/>
  <c r="G12"/>
  <c r="T154" i="8"/>
  <c r="U154"/>
  <c r="V154"/>
  <c r="W154"/>
  <c r="X154"/>
  <c r="Y154"/>
  <c r="Z154"/>
  <c r="AA154"/>
  <c r="AB154"/>
  <c r="AC154"/>
  <c r="AD154"/>
  <c r="AE154"/>
  <c r="AF154"/>
  <c r="AG154"/>
  <c r="AH154"/>
  <c r="AI154"/>
  <c r="S107"/>
  <c r="S121"/>
  <c r="T107"/>
  <c r="T121"/>
  <c r="U126"/>
  <c r="P151"/>
  <c r="K15" i="9"/>
  <c r="O21" i="8"/>
  <c r="O20"/>
  <c r="AD42" i="4"/>
  <c r="Q22" i="8"/>
  <c r="Q23"/>
  <c r="S14"/>
  <c r="R24"/>
  <c r="Q109"/>
  <c r="J5" i="9"/>
  <c r="L187" i="8"/>
  <c r="M174"/>
  <c r="D59"/>
  <c r="E59"/>
  <c r="F59"/>
  <c r="AL110" i="1"/>
  <c r="AL62"/>
  <c r="AR2"/>
  <c r="AR3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0"/>
  <c r="AL4"/>
  <c r="AL5"/>
  <c r="AL7"/>
  <c r="AL8"/>
  <c r="AL9"/>
  <c r="AL3"/>
  <c r="AM3"/>
  <c r="H8" i="9"/>
  <c r="H11"/>
  <c r="G50" i="10"/>
  <c r="G54"/>
  <c r="U107" i="8"/>
  <c r="U121"/>
  <c r="V126"/>
  <c r="U149"/>
  <c r="H6" i="9"/>
  <c r="M173" i="8"/>
  <c r="M187"/>
  <c r="R109"/>
  <c r="R123"/>
  <c r="S24"/>
  <c r="AE42" i="4"/>
  <c r="L189" i="8"/>
  <c r="T14"/>
  <c r="S13"/>
  <c r="Q123"/>
  <c r="K5" i="9"/>
  <c r="W6" i="1"/>
  <c r="AM4"/>
  <c r="AM5"/>
  <c r="I8" i="9"/>
  <c r="I11"/>
  <c r="H7"/>
  <c r="H10"/>
  <c r="V107" i="8"/>
  <c r="V121"/>
  <c r="W126"/>
  <c r="V149"/>
  <c r="AF42" i="4"/>
  <c r="U14" i="8"/>
  <c r="T13"/>
  <c r="L5" i="9"/>
  <c r="W7" i="1"/>
  <c r="AM6"/>
  <c r="AR4"/>
  <c r="J8" i="9"/>
  <c r="J11"/>
  <c r="P18" i="8"/>
  <c r="P20"/>
  <c r="H12" i="9"/>
  <c r="W107" i="8"/>
  <c r="W121"/>
  <c r="X126"/>
  <c r="W149"/>
  <c r="N188"/>
  <c r="H50" i="10"/>
  <c r="H54"/>
  <c r="V14" i="8"/>
  <c r="U13"/>
  <c r="M5" i="9"/>
  <c r="N51" i="8"/>
  <c r="W8" i="1"/>
  <c r="AM7"/>
  <c r="AR5"/>
  <c r="S168" i="8"/>
  <c r="K8" i="9"/>
  <c r="K11"/>
  <c r="Y126" i="8"/>
  <c r="X107"/>
  <c r="X121"/>
  <c r="X149"/>
  <c r="I50" i="10"/>
  <c r="I54"/>
  <c r="O188" i="8"/>
  <c r="T152"/>
  <c r="S152"/>
  <c r="I6" i="9"/>
  <c r="I7"/>
  <c r="I10"/>
  <c r="Q151" i="8"/>
  <c r="N173"/>
  <c r="N187"/>
  <c r="V13"/>
  <c r="W14"/>
  <c r="N5" i="9"/>
  <c r="W9" i="1"/>
  <c r="AM8"/>
  <c r="AR6"/>
  <c r="D31" i="4"/>
  <c r="E31"/>
  <c r="F31"/>
  <c r="G31"/>
  <c r="H31"/>
  <c r="I31"/>
  <c r="J31"/>
  <c r="K31"/>
  <c r="L31"/>
  <c r="M31"/>
  <c r="N31"/>
  <c r="O31"/>
  <c r="C31"/>
  <c r="BW45" i="6"/>
  <c r="BV45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E43"/>
  <c r="CA42"/>
  <c r="CA43"/>
  <c r="BX42"/>
  <c r="CF43"/>
  <c r="BU42"/>
  <c r="BT43"/>
  <c r="BR42"/>
  <c r="BR43"/>
  <c r="BO42"/>
  <c r="BN43"/>
  <c r="BN36"/>
  <c r="BL42"/>
  <c r="BL43"/>
  <c r="BI42"/>
  <c r="BH43"/>
  <c r="BH36"/>
  <c r="BF42"/>
  <c r="BF43"/>
  <c r="BF36"/>
  <c r="BC42"/>
  <c r="BB43"/>
  <c r="BB36"/>
  <c r="AZ42"/>
  <c r="AZ43"/>
  <c r="AZ36"/>
  <c r="AW42"/>
  <c r="AV43"/>
  <c r="AT42"/>
  <c r="AT43"/>
  <c r="AQ42"/>
  <c r="AP43"/>
  <c r="AP36"/>
  <c r="AN42"/>
  <c r="AN43"/>
  <c r="AK42"/>
  <c r="AJ43"/>
  <c r="AJ36"/>
  <c r="AH42"/>
  <c r="AH43"/>
  <c r="AH36"/>
  <c r="AE42"/>
  <c r="AD43"/>
  <c r="AD36"/>
  <c r="AB42"/>
  <c r="AB43"/>
  <c r="AB36"/>
  <c r="Y42"/>
  <c r="X43"/>
  <c r="V42"/>
  <c r="V43"/>
  <c r="S42"/>
  <c r="R43"/>
  <c r="R36"/>
  <c r="P42"/>
  <c r="P43"/>
  <c r="P36"/>
  <c r="M42"/>
  <c r="L43"/>
  <c r="L36"/>
  <c r="J42"/>
  <c r="J43"/>
  <c r="J36"/>
  <c r="G42"/>
  <c r="F43"/>
  <c r="F36"/>
  <c r="D42"/>
  <c r="D43"/>
  <c r="D36"/>
  <c r="BX37"/>
  <c r="BT36"/>
  <c r="BR36"/>
  <c r="BL36"/>
  <c r="AV36"/>
  <c r="AT36"/>
  <c r="AN36"/>
  <c r="X36"/>
  <c r="V36"/>
  <c r="CW32"/>
  <c r="CN32"/>
  <c r="CG32"/>
  <c r="CD32"/>
  <c r="CA32"/>
  <c r="BX32"/>
  <c r="BU32"/>
  <c r="BR32"/>
  <c r="BO32"/>
  <c r="BL32"/>
  <c r="BI32"/>
  <c r="BF32"/>
  <c r="BC32"/>
  <c r="AZ32"/>
  <c r="AW32"/>
  <c r="AT32"/>
  <c r="AQ32"/>
  <c r="AN32"/>
  <c r="AK32"/>
  <c r="AH32"/>
  <c r="AE32"/>
  <c r="AB32"/>
  <c r="Y32"/>
  <c r="V32"/>
  <c r="S32"/>
  <c r="P32"/>
  <c r="M32"/>
  <c r="J32"/>
  <c r="G32"/>
  <c r="D32"/>
  <c r="H20"/>
  <c r="G20"/>
  <c r="F20"/>
  <c r="E20"/>
  <c r="D20"/>
  <c r="C20"/>
  <c r="CQ12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G10"/>
  <c r="CF10"/>
  <c r="CE10"/>
  <c r="CD10"/>
  <c r="CC10"/>
  <c r="CB10"/>
  <c r="CA10"/>
  <c r="BZ10"/>
  <c r="BY10"/>
  <c r="BX10"/>
  <c r="BW10"/>
  <c r="BV10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G9"/>
  <c r="CF9"/>
  <c r="CE9"/>
  <c r="CD9"/>
  <c r="CC9"/>
  <c r="CB9"/>
  <c r="CA9"/>
  <c r="BZ9"/>
  <c r="BY9"/>
  <c r="BX9"/>
  <c r="BW9"/>
  <c r="BU8"/>
  <c r="BT8"/>
  <c r="BT10"/>
  <c r="BS8"/>
  <c r="BR8"/>
  <c r="BR10"/>
  <c r="BQ8"/>
  <c r="BP8"/>
  <c r="BP10"/>
  <c r="BO8"/>
  <c r="BN8"/>
  <c r="BN10"/>
  <c r="BM8"/>
  <c r="BL8"/>
  <c r="BL10"/>
  <c r="BK8"/>
  <c r="BJ8"/>
  <c r="BJ10"/>
  <c r="BI8"/>
  <c r="BH8"/>
  <c r="BH10"/>
  <c r="BG8"/>
  <c r="BF8"/>
  <c r="BF10"/>
  <c r="BE8"/>
  <c r="BD8"/>
  <c r="BD10"/>
  <c r="BC8"/>
  <c r="BB8"/>
  <c r="BB10"/>
  <c r="BA8"/>
  <c r="AZ8"/>
  <c r="AZ10"/>
  <c r="AY8"/>
  <c r="AX8"/>
  <c r="AX10"/>
  <c r="AW8"/>
  <c r="AV8"/>
  <c r="AV10"/>
  <c r="AU8"/>
  <c r="AT8"/>
  <c r="AT10"/>
  <c r="AS8"/>
  <c r="AR8"/>
  <c r="AR10"/>
  <c r="AQ8"/>
  <c r="AP8"/>
  <c r="AP10"/>
  <c r="AO8"/>
  <c r="AN8"/>
  <c r="AN10"/>
  <c r="AM8"/>
  <c r="AL8"/>
  <c r="AL10"/>
  <c r="AK8"/>
  <c r="AJ8"/>
  <c r="AJ10"/>
  <c r="AI8"/>
  <c r="AH8"/>
  <c r="AH10"/>
  <c r="AG8"/>
  <c r="AF8"/>
  <c r="AF10"/>
  <c r="AE8"/>
  <c r="AD8"/>
  <c r="AD10"/>
  <c r="AC8"/>
  <c r="AB8"/>
  <c r="AB10"/>
  <c r="AA8"/>
  <c r="Z8"/>
  <c r="Z10"/>
  <c r="Y8"/>
  <c r="X8"/>
  <c r="X10"/>
  <c r="W8"/>
  <c r="V8"/>
  <c r="V10"/>
  <c r="U8"/>
  <c r="T8"/>
  <c r="T10"/>
  <c r="S8"/>
  <c r="R8"/>
  <c r="R10"/>
  <c r="Q8"/>
  <c r="P8"/>
  <c r="P10"/>
  <c r="O8"/>
  <c r="N8"/>
  <c r="N10"/>
  <c r="M8"/>
  <c r="L8"/>
  <c r="L10"/>
  <c r="K8"/>
  <c r="J8"/>
  <c r="J10"/>
  <c r="I8"/>
  <c r="H8"/>
  <c r="H10"/>
  <c r="G8"/>
  <c r="F8"/>
  <c r="F10"/>
  <c r="E8"/>
  <c r="D8"/>
  <c r="D10"/>
  <c r="C8"/>
  <c r="B8"/>
  <c r="B10"/>
  <c r="CY6"/>
  <c r="DK6"/>
  <c r="CX6"/>
  <c r="DJ6"/>
  <c r="CW6"/>
  <c r="DI6"/>
  <c r="CV6"/>
  <c r="DH6"/>
  <c r="CU6"/>
  <c r="DG6"/>
  <c r="CT6"/>
  <c r="DF6"/>
  <c r="CS6"/>
  <c r="DE6"/>
  <c r="CR6"/>
  <c r="DD6"/>
  <c r="CQ6"/>
  <c r="DC6"/>
  <c r="CP6"/>
  <c r="DB6"/>
  <c r="CO6"/>
  <c r="DA6"/>
  <c r="CN6"/>
  <c r="CZ6"/>
  <c r="CZ7"/>
  <c r="CM6"/>
  <c r="CL6"/>
  <c r="CK6"/>
  <c r="CJ6"/>
  <c r="CI6"/>
  <c r="CG6"/>
  <c r="CF6"/>
  <c r="CE6"/>
  <c r="CD6"/>
  <c r="CC6"/>
  <c r="CB6"/>
  <c r="CA6"/>
  <c r="BZ6"/>
  <c r="BY6"/>
  <c r="BX6"/>
  <c r="BW6"/>
  <c r="BV6"/>
  <c r="AK6"/>
  <c r="AJ6"/>
  <c r="AI6"/>
  <c r="AH6"/>
  <c r="AG6"/>
  <c r="AF6"/>
  <c r="AE6"/>
  <c r="AD6"/>
  <c r="AC6"/>
  <c r="AB6"/>
  <c r="AA6"/>
  <c r="Z6"/>
  <c r="C27" i="4"/>
  <c r="D27"/>
  <c r="B27"/>
  <c r="C22"/>
  <c r="C23"/>
  <c r="D22"/>
  <c r="D23"/>
  <c r="B22"/>
  <c r="B23"/>
  <c r="C25"/>
  <c r="B25"/>
  <c r="C20"/>
  <c r="D20"/>
  <c r="E20"/>
  <c r="F20"/>
  <c r="G20"/>
  <c r="H20"/>
  <c r="I20"/>
  <c r="J20"/>
  <c r="B20"/>
  <c r="K43"/>
  <c r="C43"/>
  <c r="D43"/>
  <c r="E43"/>
  <c r="F43"/>
  <c r="G43"/>
  <c r="H43"/>
  <c r="I43"/>
  <c r="J43"/>
  <c r="B43"/>
  <c r="A43"/>
  <c r="C16"/>
  <c r="D16"/>
  <c r="C17"/>
  <c r="E17"/>
  <c r="F17"/>
  <c r="G17"/>
  <c r="H17"/>
  <c r="I17"/>
  <c r="B17"/>
  <c r="B16"/>
  <c r="K38"/>
  <c r="C38"/>
  <c r="D38"/>
  <c r="E38"/>
  <c r="F38"/>
  <c r="G38"/>
  <c r="H38"/>
  <c r="I38"/>
  <c r="J38"/>
  <c r="B38"/>
  <c r="K36"/>
  <c r="J36"/>
  <c r="C36"/>
  <c r="D36"/>
  <c r="E36"/>
  <c r="F36"/>
  <c r="G36"/>
  <c r="H36"/>
  <c r="I36"/>
  <c r="B36"/>
  <c r="K40"/>
  <c r="L40"/>
  <c r="M40"/>
  <c r="C40"/>
  <c r="D40"/>
  <c r="E40"/>
  <c r="F40"/>
  <c r="G40"/>
  <c r="H40"/>
  <c r="I40"/>
  <c r="J40"/>
  <c r="B40"/>
  <c r="K35"/>
  <c r="C35"/>
  <c r="D35"/>
  <c r="E35"/>
  <c r="F35"/>
  <c r="G35"/>
  <c r="H35"/>
  <c r="I35"/>
  <c r="J35"/>
  <c r="B35"/>
  <c r="Q72" i="8"/>
  <c r="M35" i="4"/>
  <c r="P72" i="8"/>
  <c r="C4" i="4"/>
  <c r="D4"/>
  <c r="E4"/>
  <c r="F4"/>
  <c r="G4"/>
  <c r="H4"/>
  <c r="I4"/>
  <c r="J4"/>
  <c r="B4"/>
  <c r="T168" i="8"/>
  <c r="L8" i="9"/>
  <c r="L11"/>
  <c r="Q18" i="8"/>
  <c r="Q20"/>
  <c r="I12" i="9"/>
  <c r="Z126" i="8"/>
  <c r="Y107"/>
  <c r="Y121"/>
  <c r="Y149"/>
  <c r="J6" i="9"/>
  <c r="J7"/>
  <c r="J10"/>
  <c r="O173" i="8"/>
  <c r="O187"/>
  <c r="R151"/>
  <c r="W13"/>
  <c r="X14"/>
  <c r="O77"/>
  <c r="G43" i="6"/>
  <c r="G36"/>
  <c r="K43"/>
  <c r="K36"/>
  <c r="K38"/>
  <c r="K39"/>
  <c r="S43"/>
  <c r="S36"/>
  <c r="S38"/>
  <c r="S39"/>
  <c r="W43"/>
  <c r="W36"/>
  <c r="W38"/>
  <c r="W39"/>
  <c r="AE43"/>
  <c r="AE36"/>
  <c r="AI43"/>
  <c r="AI36"/>
  <c r="AI38"/>
  <c r="AI39"/>
  <c r="CE39"/>
  <c r="AQ43"/>
  <c r="AQ36"/>
  <c r="AQ38"/>
  <c r="AQ39"/>
  <c r="AU43"/>
  <c r="AU36"/>
  <c r="AU38"/>
  <c r="AU39"/>
  <c r="BC43"/>
  <c r="BC36"/>
  <c r="BG43"/>
  <c r="BG36"/>
  <c r="BG38"/>
  <c r="BG39"/>
  <c r="BO43"/>
  <c r="BO36"/>
  <c r="BO38"/>
  <c r="BO39"/>
  <c r="BS43"/>
  <c r="BS36"/>
  <c r="BS38"/>
  <c r="BS39"/>
  <c r="BX31"/>
  <c r="BX33"/>
  <c r="BX11"/>
  <c r="CK31"/>
  <c r="CK33"/>
  <c r="CK11"/>
  <c r="CW31"/>
  <c r="CW33"/>
  <c r="CW11"/>
  <c r="C43"/>
  <c r="C36"/>
  <c r="D38"/>
  <c r="D39"/>
  <c r="I43"/>
  <c r="I36"/>
  <c r="J38"/>
  <c r="J39"/>
  <c r="O43"/>
  <c r="O36"/>
  <c r="P38"/>
  <c r="P39"/>
  <c r="U43"/>
  <c r="U36"/>
  <c r="V38"/>
  <c r="V39"/>
  <c r="AA43"/>
  <c r="AA36"/>
  <c r="AB38"/>
  <c r="AB39"/>
  <c r="AG43"/>
  <c r="AG36"/>
  <c r="AH38"/>
  <c r="AH39"/>
  <c r="AM43"/>
  <c r="AM36"/>
  <c r="AN38"/>
  <c r="AN39"/>
  <c r="AS43"/>
  <c r="AS36"/>
  <c r="AT38"/>
  <c r="AT39"/>
  <c r="AY43"/>
  <c r="AY36"/>
  <c r="AZ38"/>
  <c r="AZ39"/>
  <c r="BE43"/>
  <c r="BE36"/>
  <c r="BF38"/>
  <c r="BF39"/>
  <c r="BK43"/>
  <c r="BK36"/>
  <c r="BL38"/>
  <c r="BL39"/>
  <c r="BQ43"/>
  <c r="BQ36"/>
  <c r="BR38"/>
  <c r="BR39"/>
  <c r="BW43"/>
  <c r="CC43"/>
  <c r="CG43"/>
  <c r="O5" i="9"/>
  <c r="I19" i="4"/>
  <c r="G19"/>
  <c r="I37"/>
  <c r="G37"/>
  <c r="E37"/>
  <c r="C37"/>
  <c r="K19"/>
  <c r="J19"/>
  <c r="H19"/>
  <c r="E28"/>
  <c r="W10" i="1"/>
  <c r="AM9"/>
  <c r="AR7"/>
  <c r="C9" i="6"/>
  <c r="E9"/>
  <c r="G9"/>
  <c r="I9"/>
  <c r="K9"/>
  <c r="M9"/>
  <c r="O9"/>
  <c r="Q9"/>
  <c r="S9"/>
  <c r="U9"/>
  <c r="W9"/>
  <c r="Y9"/>
  <c r="AA9"/>
  <c r="AC9"/>
  <c r="AE9"/>
  <c r="AG9"/>
  <c r="AI9"/>
  <c r="AK9"/>
  <c r="AM9"/>
  <c r="AO9"/>
  <c r="AQ9"/>
  <c r="AS9"/>
  <c r="AU9"/>
  <c r="AW9"/>
  <c r="AY9"/>
  <c r="BA9"/>
  <c r="BC9"/>
  <c r="BE9"/>
  <c r="BG9"/>
  <c r="BI9"/>
  <c r="BK9"/>
  <c r="BM9"/>
  <c r="BO9"/>
  <c r="BQ9"/>
  <c r="BS9"/>
  <c r="BU9"/>
  <c r="C26" i="4"/>
  <c r="C28"/>
  <c r="D26"/>
  <c r="D28"/>
  <c r="H37"/>
  <c r="F37"/>
  <c r="D37"/>
  <c r="J37"/>
  <c r="J21"/>
  <c r="H21"/>
  <c r="F21"/>
  <c r="D21"/>
  <c r="K21"/>
  <c r="B21"/>
  <c r="I21"/>
  <c r="G21"/>
  <c r="E21"/>
  <c r="C21"/>
  <c r="K37"/>
  <c r="J39"/>
  <c r="H39"/>
  <c r="F39"/>
  <c r="D39"/>
  <c r="K39"/>
  <c r="B37"/>
  <c r="B39"/>
  <c r="I39"/>
  <c r="G39"/>
  <c r="E39"/>
  <c r="C39"/>
  <c r="C2"/>
  <c r="CZ10" i="6"/>
  <c r="CZ31"/>
  <c r="CZ33"/>
  <c r="CX11"/>
  <c r="CX13"/>
  <c r="DA7"/>
  <c r="D9"/>
  <c r="F9"/>
  <c r="H9"/>
  <c r="J9"/>
  <c r="L9"/>
  <c r="N9"/>
  <c r="P9"/>
  <c r="R9"/>
  <c r="T9"/>
  <c r="V9"/>
  <c r="X9"/>
  <c r="Z9"/>
  <c r="AB9"/>
  <c r="AD9"/>
  <c r="AF9"/>
  <c r="AH9"/>
  <c r="AJ9"/>
  <c r="AL9"/>
  <c r="AN9"/>
  <c r="AP9"/>
  <c r="AR9"/>
  <c r="AT9"/>
  <c r="AV9"/>
  <c r="AX9"/>
  <c r="AZ9"/>
  <c r="BB9"/>
  <c r="BD9"/>
  <c r="BF9"/>
  <c r="BH9"/>
  <c r="BJ9"/>
  <c r="BL9"/>
  <c r="BN9"/>
  <c r="BP9"/>
  <c r="BR9"/>
  <c r="BT9"/>
  <c r="BV9"/>
  <c r="C10"/>
  <c r="E10"/>
  <c r="G10"/>
  <c r="I10"/>
  <c r="K10"/>
  <c r="M10"/>
  <c r="O10"/>
  <c r="Q10"/>
  <c r="S10"/>
  <c r="U10"/>
  <c r="W10"/>
  <c r="Y10"/>
  <c r="AA10"/>
  <c r="AC10"/>
  <c r="AE10"/>
  <c r="AG10"/>
  <c r="AI10"/>
  <c r="AK10"/>
  <c r="AM10"/>
  <c r="AO10"/>
  <c r="AQ10"/>
  <c r="AS10"/>
  <c r="AU10"/>
  <c r="AW10"/>
  <c r="AY10"/>
  <c r="BA10"/>
  <c r="BC10"/>
  <c r="BE10"/>
  <c r="BG10"/>
  <c r="BI10"/>
  <c r="BK10"/>
  <c r="BM10"/>
  <c r="BO10"/>
  <c r="BQ10"/>
  <c r="BS10"/>
  <c r="BU10"/>
  <c r="CA31"/>
  <c r="CA33"/>
  <c r="BY11"/>
  <c r="CA11"/>
  <c r="CG31"/>
  <c r="CG33"/>
  <c r="CF11"/>
  <c r="CN31"/>
  <c r="CN33"/>
  <c r="CM11"/>
  <c r="CT31"/>
  <c r="CT33"/>
  <c r="CS11"/>
  <c r="CV11"/>
  <c r="CD31"/>
  <c r="CD33"/>
  <c r="CB11"/>
  <c r="CQ31"/>
  <c r="CQ33"/>
  <c r="CO11"/>
  <c r="G38"/>
  <c r="G39"/>
  <c r="AE38"/>
  <c r="AE39"/>
  <c r="CA39"/>
  <c r="BC38"/>
  <c r="BC39"/>
  <c r="CU11"/>
  <c r="CB43"/>
  <c r="BZ43"/>
  <c r="E43"/>
  <c r="E36"/>
  <c r="M43"/>
  <c r="M36"/>
  <c r="M38"/>
  <c r="M39"/>
  <c r="Q43"/>
  <c r="Q36"/>
  <c r="Y43"/>
  <c r="Y36"/>
  <c r="Y38"/>
  <c r="Y39"/>
  <c r="AC43"/>
  <c r="AC36"/>
  <c r="AK43"/>
  <c r="AK36"/>
  <c r="AK38"/>
  <c r="AK39"/>
  <c r="AO43"/>
  <c r="AO36"/>
  <c r="AW43"/>
  <c r="AW36"/>
  <c r="AW38"/>
  <c r="AW39"/>
  <c r="BA43"/>
  <c r="BA36"/>
  <c r="BI43"/>
  <c r="BI36"/>
  <c r="BI38"/>
  <c r="BI39"/>
  <c r="BM43"/>
  <c r="BM36"/>
  <c r="BU43"/>
  <c r="BU36"/>
  <c r="BY43"/>
  <c r="B43"/>
  <c r="B36"/>
  <c r="H43"/>
  <c r="H36"/>
  <c r="N43"/>
  <c r="N36"/>
  <c r="T43"/>
  <c r="T36"/>
  <c r="Z43"/>
  <c r="Z36"/>
  <c r="AF43"/>
  <c r="AF36"/>
  <c r="AL43"/>
  <c r="AL36"/>
  <c r="AR43"/>
  <c r="AR36"/>
  <c r="AX43"/>
  <c r="AX36"/>
  <c r="BD43"/>
  <c r="BD36"/>
  <c r="BJ43"/>
  <c r="BJ36"/>
  <c r="BP43"/>
  <c r="BP36"/>
  <c r="BV43"/>
  <c r="BX43"/>
  <c r="CD43"/>
  <c r="D2" i="4"/>
  <c r="D45"/>
  <c r="B2"/>
  <c r="Q21" i="8"/>
  <c r="Q15"/>
  <c r="U168"/>
  <c r="M8" i="9"/>
  <c r="M11"/>
  <c r="R18" i="8"/>
  <c r="R21"/>
  <c r="S21"/>
  <c r="T21"/>
  <c r="U21"/>
  <c r="V21"/>
  <c r="W21"/>
  <c r="X21"/>
  <c r="Y21"/>
  <c r="Z21"/>
  <c r="AA21"/>
  <c r="AB21"/>
  <c r="AC21"/>
  <c r="AD21"/>
  <c r="AE21"/>
  <c r="AF21"/>
  <c r="AG21"/>
  <c r="AH21"/>
  <c r="J12" i="9"/>
  <c r="AA126" i="8"/>
  <c r="Z107"/>
  <c r="Z121"/>
  <c r="Z149"/>
  <c r="Y14"/>
  <c r="X13"/>
  <c r="N40" i="4"/>
  <c r="Q77" i="8"/>
  <c r="P77"/>
  <c r="AK35" i="6"/>
  <c r="CI11"/>
  <c r="BV11"/>
  <c r="BW11"/>
  <c r="BX13"/>
  <c r="BX16"/>
  <c r="CG11"/>
  <c r="CG13"/>
  <c r="CG16"/>
  <c r="BX39"/>
  <c r="BX38"/>
  <c r="CD39"/>
  <c r="CQ39"/>
  <c r="BT38"/>
  <c r="BT39"/>
  <c r="AV38"/>
  <c r="AV39"/>
  <c r="X38"/>
  <c r="X39"/>
  <c r="AJ38"/>
  <c r="AJ39"/>
  <c r="BI35"/>
  <c r="M35"/>
  <c r="CT11"/>
  <c r="CT13"/>
  <c r="CT16"/>
  <c r="DF16"/>
  <c r="CN11"/>
  <c r="CO13"/>
  <c r="CO16"/>
  <c r="DA16"/>
  <c r="CJ11"/>
  <c r="CK13"/>
  <c r="CK16"/>
  <c r="O78" i="8"/>
  <c r="BH38" i="6"/>
  <c r="BH39"/>
  <c r="L38"/>
  <c r="L39"/>
  <c r="P5" i="9"/>
  <c r="L26" i="4"/>
  <c r="L32"/>
  <c r="E33"/>
  <c r="D32"/>
  <c r="D33"/>
  <c r="W11" i="1"/>
  <c r="AM10"/>
  <c r="AR8"/>
  <c r="BY13" i="6"/>
  <c r="BY16"/>
  <c r="BP38"/>
  <c r="BP39"/>
  <c r="BQ38"/>
  <c r="BQ39"/>
  <c r="BR35"/>
  <c r="BD38"/>
  <c r="BD39"/>
  <c r="BE38"/>
  <c r="BE39"/>
  <c r="BF35"/>
  <c r="AR38"/>
  <c r="AR39"/>
  <c r="AS38"/>
  <c r="AS39"/>
  <c r="AT35"/>
  <c r="AF38"/>
  <c r="AF39"/>
  <c r="AG38"/>
  <c r="AG39"/>
  <c r="AH35"/>
  <c r="T38"/>
  <c r="T39"/>
  <c r="U38"/>
  <c r="U39"/>
  <c r="V35"/>
  <c r="H38"/>
  <c r="H39"/>
  <c r="I38"/>
  <c r="I39"/>
  <c r="J35"/>
  <c r="BO35"/>
  <c r="BM38"/>
  <c r="BM39"/>
  <c r="BC35"/>
  <c r="BA38"/>
  <c r="BA39"/>
  <c r="AQ35"/>
  <c r="AO38"/>
  <c r="AO39"/>
  <c r="AE35"/>
  <c r="AC38"/>
  <c r="AC39"/>
  <c r="S35"/>
  <c r="Q38"/>
  <c r="Q39"/>
  <c r="G35"/>
  <c r="E38"/>
  <c r="E39"/>
  <c r="AP38"/>
  <c r="AP39"/>
  <c r="AD38"/>
  <c r="AD39"/>
  <c r="CN13"/>
  <c r="CN16"/>
  <c r="CZ16"/>
  <c r="BO31"/>
  <c r="BO33"/>
  <c r="BN11"/>
  <c r="BC31"/>
  <c r="BC33"/>
  <c r="BB11"/>
  <c r="AQ31"/>
  <c r="AQ33"/>
  <c r="AP11"/>
  <c r="AE31"/>
  <c r="AE33"/>
  <c r="AD11"/>
  <c r="S31"/>
  <c r="S33"/>
  <c r="R11"/>
  <c r="G31"/>
  <c r="G33"/>
  <c r="F11"/>
  <c r="CY11"/>
  <c r="CY13"/>
  <c r="CQ11"/>
  <c r="BZ11"/>
  <c r="CA13"/>
  <c r="CA16"/>
  <c r="DA10"/>
  <c r="DA11"/>
  <c r="DB7"/>
  <c r="BJ45"/>
  <c r="BJ38"/>
  <c r="BJ39"/>
  <c r="BU34"/>
  <c r="BK38"/>
  <c r="BK39"/>
  <c r="BL35"/>
  <c r="AX45"/>
  <c r="AX38"/>
  <c r="AX39"/>
  <c r="BI34"/>
  <c r="AY38"/>
  <c r="AY39"/>
  <c r="AZ35"/>
  <c r="AL45"/>
  <c r="AL38"/>
  <c r="AL39"/>
  <c r="AW34"/>
  <c r="AM38"/>
  <c r="AM39"/>
  <c r="AN35"/>
  <c r="Z38"/>
  <c r="Z39"/>
  <c r="Z45"/>
  <c r="AA38"/>
  <c r="AA39"/>
  <c r="AB35"/>
  <c r="N45"/>
  <c r="N38"/>
  <c r="N39"/>
  <c r="O38"/>
  <c r="O39"/>
  <c r="P35"/>
  <c r="C38"/>
  <c r="C39"/>
  <c r="D35"/>
  <c r="BU38"/>
  <c r="BU39"/>
  <c r="CG39"/>
  <c r="BU35"/>
  <c r="AW35"/>
  <c r="Y35"/>
  <c r="BN38"/>
  <c r="BN39"/>
  <c r="R38"/>
  <c r="R39"/>
  <c r="CR39"/>
  <c r="CE38"/>
  <c r="CN39"/>
  <c r="CA38"/>
  <c r="BB38"/>
  <c r="BB39"/>
  <c r="F38"/>
  <c r="F39"/>
  <c r="CB13"/>
  <c r="CB16"/>
  <c r="CV13"/>
  <c r="CV16"/>
  <c r="DH16"/>
  <c r="CR11"/>
  <c r="CS13"/>
  <c r="CS16"/>
  <c r="DE16"/>
  <c r="CP11"/>
  <c r="CP13"/>
  <c r="CP16"/>
  <c r="DB16"/>
  <c r="CL11"/>
  <c r="CL13"/>
  <c r="CL16"/>
  <c r="CX16"/>
  <c r="DJ16"/>
  <c r="CE11"/>
  <c r="CF13"/>
  <c r="CF16"/>
  <c r="CC11"/>
  <c r="BW13"/>
  <c r="BW16"/>
  <c r="BU31"/>
  <c r="BU33"/>
  <c r="BT11"/>
  <c r="BI31"/>
  <c r="BI33"/>
  <c r="BH11"/>
  <c r="AW31"/>
  <c r="AW33"/>
  <c r="AV11"/>
  <c r="AK31"/>
  <c r="AK33"/>
  <c r="AJ11"/>
  <c r="Y31"/>
  <c r="Y33"/>
  <c r="X11"/>
  <c r="M31"/>
  <c r="M33"/>
  <c r="L11"/>
  <c r="CW13"/>
  <c r="CW16"/>
  <c r="DI16"/>
  <c r="CD11"/>
  <c r="BR31"/>
  <c r="BR33"/>
  <c r="BQ11"/>
  <c r="BL31"/>
  <c r="BL33"/>
  <c r="BF31"/>
  <c r="BF33"/>
  <c r="BE11"/>
  <c r="AZ31"/>
  <c r="AZ33"/>
  <c r="AT31"/>
  <c r="AT33"/>
  <c r="AS11"/>
  <c r="AN31"/>
  <c r="AN33"/>
  <c r="AH31"/>
  <c r="AH33"/>
  <c r="AG11"/>
  <c r="AB31"/>
  <c r="AB33"/>
  <c r="V31"/>
  <c r="V33"/>
  <c r="U11"/>
  <c r="P31"/>
  <c r="P33"/>
  <c r="J31"/>
  <c r="J33"/>
  <c r="I11"/>
  <c r="D31"/>
  <c r="D33"/>
  <c r="CZ11"/>
  <c r="R20" i="8"/>
  <c r="V168"/>
  <c r="N8" i="9"/>
  <c r="N11"/>
  <c r="AB126" i="8"/>
  <c r="AA107"/>
  <c r="AA121"/>
  <c r="AA149"/>
  <c r="P32" i="4"/>
  <c r="Z32"/>
  <c r="AC32"/>
  <c r="AB32"/>
  <c r="W32"/>
  <c r="Q32"/>
  <c r="AF26"/>
  <c r="AF32"/>
  <c r="AE26"/>
  <c r="AE32"/>
  <c r="AD26"/>
  <c r="AD32"/>
  <c r="AA32"/>
  <c r="V32"/>
  <c r="S32"/>
  <c r="X32"/>
  <c r="Y26"/>
  <c r="Y32"/>
  <c r="T33"/>
  <c r="R33"/>
  <c r="AA28"/>
  <c r="AA33"/>
  <c r="AD28"/>
  <c r="X28"/>
  <c r="X33"/>
  <c r="Z14" i="8"/>
  <c r="Y13"/>
  <c r="S11" i="6"/>
  <c r="S13"/>
  <c r="S16"/>
  <c r="Q78" i="8"/>
  <c r="O40" i="4"/>
  <c r="AD33"/>
  <c r="AI21" i="8"/>
  <c r="CC39" i="6"/>
  <c r="CD38"/>
  <c r="BY39"/>
  <c r="BY38"/>
  <c r="CI13"/>
  <c r="CI16"/>
  <c r="CZ13"/>
  <c r="P78" i="8"/>
  <c r="M25" i="5"/>
  <c r="E16" i="4"/>
  <c r="E2"/>
  <c r="G16"/>
  <c r="G2"/>
  <c r="O25" i="5"/>
  <c r="CJ13" i="6"/>
  <c r="CJ16"/>
  <c r="CU13"/>
  <c r="CU16"/>
  <c r="DG16"/>
  <c r="BT34"/>
  <c r="DA13"/>
  <c r="F16" i="4"/>
  <c r="F2"/>
  <c r="N25" i="5"/>
  <c r="CF39" i="6"/>
  <c r="CK39"/>
  <c r="Q5" i="9"/>
  <c r="AQ11" i="6"/>
  <c r="AQ13"/>
  <c r="AQ16"/>
  <c r="BC11"/>
  <c r="BA11"/>
  <c r="BB13"/>
  <c r="BB16"/>
  <c r="L28" i="4"/>
  <c r="L33"/>
  <c r="K17"/>
  <c r="AI11" i="6"/>
  <c r="AJ13"/>
  <c r="AJ16"/>
  <c r="BO11"/>
  <c r="BO13"/>
  <c r="BO16"/>
  <c r="W12" i="1"/>
  <c r="AM11"/>
  <c r="G11" i="6"/>
  <c r="AE11"/>
  <c r="AE13"/>
  <c r="AE16"/>
  <c r="E11"/>
  <c r="F13"/>
  <c r="F16"/>
  <c r="K11"/>
  <c r="BG11"/>
  <c r="AC11"/>
  <c r="AR9" i="1"/>
  <c r="W11" i="6"/>
  <c r="X13"/>
  <c r="X16"/>
  <c r="AU11"/>
  <c r="AV13"/>
  <c r="AV16"/>
  <c r="BS11"/>
  <c r="BT13"/>
  <c r="BT16"/>
  <c r="Q11"/>
  <c r="S12"/>
  <c r="AO11"/>
  <c r="BM11"/>
  <c r="BN13"/>
  <c r="BN16"/>
  <c r="D11"/>
  <c r="B11"/>
  <c r="P11"/>
  <c r="N11"/>
  <c r="AB11"/>
  <c r="Z11"/>
  <c r="AN11"/>
  <c r="AL11"/>
  <c r="AZ11"/>
  <c r="AX11"/>
  <c r="BL11"/>
  <c r="BJ11"/>
  <c r="CD13"/>
  <c r="CD16"/>
  <c r="C11"/>
  <c r="O11"/>
  <c r="AA11"/>
  <c r="AM11"/>
  <c r="AY11"/>
  <c r="BK11"/>
  <c r="CC13"/>
  <c r="CZ39"/>
  <c r="CZ38"/>
  <c r="CN38"/>
  <c r="CQ13"/>
  <c r="CQ16"/>
  <c r="DC16"/>
  <c r="AO13"/>
  <c r="AO16"/>
  <c r="CP39"/>
  <c r="CC38"/>
  <c r="J11"/>
  <c r="H11"/>
  <c r="V11"/>
  <c r="T11"/>
  <c r="AH11"/>
  <c r="AF11"/>
  <c r="AT11"/>
  <c r="AR11"/>
  <c r="BF11"/>
  <c r="BD11"/>
  <c r="BR11"/>
  <c r="BP11"/>
  <c r="CE13"/>
  <c r="CE16"/>
  <c r="CR13"/>
  <c r="CR16"/>
  <c r="DD16"/>
  <c r="DD39"/>
  <c r="DD38"/>
  <c r="CR38"/>
  <c r="CT39"/>
  <c r="CG38"/>
  <c r="BW39"/>
  <c r="BW38"/>
  <c r="BV39"/>
  <c r="BV38"/>
  <c r="BV36"/>
  <c r="CI39"/>
  <c r="DB10"/>
  <c r="DB11"/>
  <c r="DB13"/>
  <c r="DC7"/>
  <c r="BZ13"/>
  <c r="BZ16"/>
  <c r="M11"/>
  <c r="Y11"/>
  <c r="AK11"/>
  <c r="AW11"/>
  <c r="BI11"/>
  <c r="BU11"/>
  <c r="BZ39"/>
  <c r="BZ38"/>
  <c r="DC39"/>
  <c r="DC38"/>
  <c r="CQ38"/>
  <c r="CL39"/>
  <c r="CB39"/>
  <c r="CM13"/>
  <c r="CM16"/>
  <c r="CY16"/>
  <c r="DK16"/>
  <c r="W168" i="8"/>
  <c r="O8" i="9"/>
  <c r="O11"/>
  <c r="AB107" i="8"/>
  <c r="AB121"/>
  <c r="AC126"/>
  <c r="AB149"/>
  <c r="AE28" i="4"/>
  <c r="AE33"/>
  <c r="S33"/>
  <c r="G12" i="6"/>
  <c r="Z28" i="4"/>
  <c r="Z33"/>
  <c r="AB28"/>
  <c r="AB33"/>
  <c r="V33"/>
  <c r="Q33"/>
  <c r="Y28"/>
  <c r="Y33"/>
  <c r="W28"/>
  <c r="W33"/>
  <c r="O33"/>
  <c r="AC28"/>
  <c r="AC33"/>
  <c r="AF28"/>
  <c r="AF33"/>
  <c r="O32"/>
  <c r="R32"/>
  <c r="T32"/>
  <c r="AA14" i="8"/>
  <c r="Z13"/>
  <c r="O22" i="4"/>
  <c r="L22"/>
  <c r="O4" i="8"/>
  <c r="AE12" i="6"/>
  <c r="G13"/>
  <c r="G16"/>
  <c r="BA13"/>
  <c r="BA16"/>
  <c r="AQ12"/>
  <c r="R77" i="8"/>
  <c r="R78"/>
  <c r="N33" i="4"/>
  <c r="N32"/>
  <c r="M32"/>
  <c r="CJ39" i="6"/>
  <c r="AK12"/>
  <c r="R13"/>
  <c r="R16"/>
  <c r="BC12"/>
  <c r="CK38"/>
  <c r="CW39"/>
  <c r="I4" i="8"/>
  <c r="I28"/>
  <c r="I70"/>
  <c r="N22" i="4"/>
  <c r="H28" i="8"/>
  <c r="H5"/>
  <c r="H70"/>
  <c r="H4"/>
  <c r="CM39" i="6"/>
  <c r="CM38"/>
  <c r="CC16"/>
  <c r="CC20"/>
  <c r="CS39"/>
  <c r="CF38"/>
  <c r="J28" i="8"/>
  <c r="J70"/>
  <c r="J4"/>
  <c r="M22" i="4"/>
  <c r="J22"/>
  <c r="R25" i="5"/>
  <c r="R5" i="9"/>
  <c r="BC13" i="6"/>
  <c r="BC16"/>
  <c r="L14"/>
  <c r="BM13"/>
  <c r="BM16"/>
  <c r="E13"/>
  <c r="E16"/>
  <c r="BH14"/>
  <c r="M12"/>
  <c r="AC13"/>
  <c r="AC16"/>
  <c r="W13" i="1"/>
  <c r="X12"/>
  <c r="AM12"/>
  <c r="AP13" i="6"/>
  <c r="AP16"/>
  <c r="AD13"/>
  <c r="AD16"/>
  <c r="L13"/>
  <c r="L16"/>
  <c r="BI12"/>
  <c r="AJ14"/>
  <c r="BH13"/>
  <c r="BH16"/>
  <c r="Q13"/>
  <c r="Q16"/>
  <c r="AR10" i="1"/>
  <c r="H22" i="4"/>
  <c r="I22"/>
  <c r="CX39" i="6"/>
  <c r="CL38"/>
  <c r="BU14"/>
  <c r="BU13"/>
  <c r="BU16"/>
  <c r="BV13"/>
  <c r="BV16"/>
  <c r="BN14"/>
  <c r="AW14"/>
  <c r="AW13"/>
  <c r="AW16"/>
  <c r="AP14"/>
  <c r="Y14"/>
  <c r="Y13"/>
  <c r="Y16"/>
  <c r="R14"/>
  <c r="DC10"/>
  <c r="DC11"/>
  <c r="DC13"/>
  <c r="DD7"/>
  <c r="CU39"/>
  <c r="CI38"/>
  <c r="BW36"/>
  <c r="BX36"/>
  <c r="BY36"/>
  <c r="BZ36"/>
  <c r="CA36"/>
  <c r="BT14"/>
  <c r="AV14"/>
  <c r="X14"/>
  <c r="BP13"/>
  <c r="BP16"/>
  <c r="BP14"/>
  <c r="BF12"/>
  <c r="BD13"/>
  <c r="BD16"/>
  <c r="BD14"/>
  <c r="AT12"/>
  <c r="AR13"/>
  <c r="AR16"/>
  <c r="AR14"/>
  <c r="AH12"/>
  <c r="AF13"/>
  <c r="AF16"/>
  <c r="AF14"/>
  <c r="V12"/>
  <c r="T13"/>
  <c r="T16"/>
  <c r="T14"/>
  <c r="J12"/>
  <c r="H13"/>
  <c r="H16"/>
  <c r="H14"/>
  <c r="BQ14"/>
  <c r="BM14"/>
  <c r="BE14"/>
  <c r="AS13"/>
  <c r="AS16"/>
  <c r="AO14"/>
  <c r="AG14"/>
  <c r="U13"/>
  <c r="U16"/>
  <c r="Q14"/>
  <c r="I14"/>
  <c r="BS14"/>
  <c r="BG14"/>
  <c r="AW12"/>
  <c r="AU14"/>
  <c r="AI14"/>
  <c r="Y12"/>
  <c r="W14"/>
  <c r="K14"/>
  <c r="BL12"/>
  <c r="BJ14"/>
  <c r="G21"/>
  <c r="BJ13"/>
  <c r="BJ16"/>
  <c r="F21"/>
  <c r="AZ12"/>
  <c r="AX14"/>
  <c r="AX13"/>
  <c r="AX16"/>
  <c r="AN12"/>
  <c r="E21"/>
  <c r="AL14"/>
  <c r="AL13"/>
  <c r="AL16"/>
  <c r="D21"/>
  <c r="AB12"/>
  <c r="Z14"/>
  <c r="Z13"/>
  <c r="Z16"/>
  <c r="P12"/>
  <c r="N14"/>
  <c r="C21"/>
  <c r="N13"/>
  <c r="N16"/>
  <c r="B21"/>
  <c r="D12"/>
  <c r="B14"/>
  <c r="CB38"/>
  <c r="CO39"/>
  <c r="BI14"/>
  <c r="BI13"/>
  <c r="BI16"/>
  <c r="BB14"/>
  <c r="AK14"/>
  <c r="AK13"/>
  <c r="AK16"/>
  <c r="AD14"/>
  <c r="M14"/>
  <c r="M13"/>
  <c r="M16"/>
  <c r="F14"/>
  <c r="CV39"/>
  <c r="CJ38"/>
  <c r="DF39"/>
  <c r="DF38"/>
  <c r="CT38"/>
  <c r="BO14"/>
  <c r="BC14"/>
  <c r="AQ14"/>
  <c r="AE14"/>
  <c r="S14"/>
  <c r="G14"/>
  <c r="BR14"/>
  <c r="BR13"/>
  <c r="BR16"/>
  <c r="BF14"/>
  <c r="BF13"/>
  <c r="BF16"/>
  <c r="AT14"/>
  <c r="AT13"/>
  <c r="AT16"/>
  <c r="AH14"/>
  <c r="AH13"/>
  <c r="AH16"/>
  <c r="V14"/>
  <c r="V13"/>
  <c r="V16"/>
  <c r="J14"/>
  <c r="J13"/>
  <c r="J16"/>
  <c r="DB39"/>
  <c r="DB38"/>
  <c r="CP38"/>
  <c r="BQ13"/>
  <c r="BQ16"/>
  <c r="BE13"/>
  <c r="BE16"/>
  <c r="BA14"/>
  <c r="AS14"/>
  <c r="AG13"/>
  <c r="AG16"/>
  <c r="AC14"/>
  <c r="U14"/>
  <c r="I13"/>
  <c r="I16"/>
  <c r="E14"/>
  <c r="BS13"/>
  <c r="BS16"/>
  <c r="BK14"/>
  <c r="BK13"/>
  <c r="BK16"/>
  <c r="BG13"/>
  <c r="BG16"/>
  <c r="AY14"/>
  <c r="AY13"/>
  <c r="AY16"/>
  <c r="AU13"/>
  <c r="AU16"/>
  <c r="AM14"/>
  <c r="AM13"/>
  <c r="AM16"/>
  <c r="AI13"/>
  <c r="AI16"/>
  <c r="AA14"/>
  <c r="AA13"/>
  <c r="AA16"/>
  <c r="W13"/>
  <c r="W16"/>
  <c r="O14"/>
  <c r="O13"/>
  <c r="O16"/>
  <c r="K13"/>
  <c r="K16"/>
  <c r="C14"/>
  <c r="C13"/>
  <c r="C16"/>
  <c r="BL13"/>
  <c r="BL16"/>
  <c r="BL14"/>
  <c r="AZ13"/>
  <c r="AZ16"/>
  <c r="AZ14"/>
  <c r="AN13"/>
  <c r="AN16"/>
  <c r="AN14"/>
  <c r="AB13"/>
  <c r="AB16"/>
  <c r="AB14"/>
  <c r="P13"/>
  <c r="P16"/>
  <c r="P14"/>
  <c r="D13"/>
  <c r="D16"/>
  <c r="D14"/>
  <c r="X168" i="8"/>
  <c r="P8" i="9"/>
  <c r="P11"/>
  <c r="AD126" i="8"/>
  <c r="AC107"/>
  <c r="AC121"/>
  <c r="AC149"/>
  <c r="P33" i="4"/>
  <c r="N4" i="8"/>
  <c r="P4"/>
  <c r="U32" i="4"/>
  <c r="U33"/>
  <c r="AB14" i="8"/>
  <c r="AA13"/>
  <c r="J16" i="4"/>
  <c r="J2"/>
  <c r="M17"/>
  <c r="M33"/>
  <c r="CY39" i="6"/>
  <c r="H2" i="8"/>
  <c r="H128"/>
  <c r="M28"/>
  <c r="M70"/>
  <c r="M4"/>
  <c r="J5"/>
  <c r="J29"/>
  <c r="DE39" i="6"/>
  <c r="DE38"/>
  <c r="CS38"/>
  <c r="H64" i="8"/>
  <c r="H62"/>
  <c r="I29"/>
  <c r="I57"/>
  <c r="I5"/>
  <c r="CW38" i="6"/>
  <c r="DI39"/>
  <c r="DI38"/>
  <c r="X5" i="1"/>
  <c r="K16" i="4"/>
  <c r="J64" i="8"/>
  <c r="J62"/>
  <c r="X9" i="1"/>
  <c r="H6" i="8"/>
  <c r="H94"/>
  <c r="H50"/>
  <c r="H54"/>
  <c r="I64"/>
  <c r="I62"/>
  <c r="AO4"/>
  <c r="S5" i="9"/>
  <c r="I16" i="4"/>
  <c r="I2"/>
  <c r="Q25" i="5"/>
  <c r="H16" i="4"/>
  <c r="H2"/>
  <c r="P25" i="5"/>
  <c r="X11" i="1"/>
  <c r="X8"/>
  <c r="X7"/>
  <c r="X6"/>
  <c r="W14"/>
  <c r="X13"/>
  <c r="X2"/>
  <c r="X3"/>
  <c r="X4"/>
  <c r="X10"/>
  <c r="AM13"/>
  <c r="AR11"/>
  <c r="F22" i="6"/>
  <c r="F24"/>
  <c r="DH39"/>
  <c r="DH38"/>
  <c r="CV38"/>
  <c r="CO38"/>
  <c r="DA39"/>
  <c r="DA38"/>
  <c r="C22"/>
  <c r="C24"/>
  <c r="D22"/>
  <c r="D24"/>
  <c r="G22"/>
  <c r="G24"/>
  <c r="H24"/>
  <c r="H22"/>
  <c r="H21"/>
  <c r="CH13"/>
  <c r="CE14"/>
  <c r="DD10"/>
  <c r="DD11"/>
  <c r="DD13"/>
  <c r="DE7"/>
  <c r="E22"/>
  <c r="E24"/>
  <c r="DK39"/>
  <c r="DK38"/>
  <c r="CY38"/>
  <c r="CF14"/>
  <c r="CB36"/>
  <c r="DG39"/>
  <c r="DG38"/>
  <c r="CU38"/>
  <c r="DJ39"/>
  <c r="DJ38"/>
  <c r="CX38"/>
  <c r="Y168" i="8"/>
  <c r="Q8" i="9"/>
  <c r="Q11"/>
  <c r="AD107" i="8"/>
  <c r="AD121"/>
  <c r="AE126"/>
  <c r="AD149"/>
  <c r="AB13"/>
  <c r="AC14"/>
  <c r="H112"/>
  <c r="H99"/>
  <c r="H3"/>
  <c r="AO5"/>
  <c r="AO13"/>
  <c r="AO14"/>
  <c r="AO15"/>
  <c r="AO8"/>
  <c r="AO2"/>
  <c r="E49" i="4"/>
  <c r="E52"/>
  <c r="H56" i="8"/>
  <c r="H84"/>
  <c r="H85"/>
  <c r="E51" i="4"/>
  <c r="H55" i="8"/>
  <c r="J63"/>
  <c r="J61"/>
  <c r="K2" i="4"/>
  <c r="J57" i="8"/>
  <c r="M5"/>
  <c r="AN12" i="1"/>
  <c r="AN2"/>
  <c r="I63" i="8"/>
  <c r="I61"/>
  <c r="I50"/>
  <c r="I100"/>
  <c r="I94"/>
  <c r="I54"/>
  <c r="I6"/>
  <c r="I2"/>
  <c r="H59"/>
  <c r="H61"/>
  <c r="H63"/>
  <c r="J2"/>
  <c r="J3"/>
  <c r="J54"/>
  <c r="J50"/>
  <c r="J100"/>
  <c r="J6"/>
  <c r="J94"/>
  <c r="M64"/>
  <c r="M62"/>
  <c r="M61"/>
  <c r="K18" i="4"/>
  <c r="T5" i="9"/>
  <c r="P71" i="8"/>
  <c r="M124"/>
  <c r="M122"/>
  <c r="K28"/>
  <c r="K4"/>
  <c r="K70"/>
  <c r="L28"/>
  <c r="L4"/>
  <c r="L70"/>
  <c r="AN8" i="1"/>
  <c r="AN10"/>
  <c r="W15"/>
  <c r="X14"/>
  <c r="AM14"/>
  <c r="AN13"/>
  <c r="AN4"/>
  <c r="AN5"/>
  <c r="AN3"/>
  <c r="AN11"/>
  <c r="AN6"/>
  <c r="AN9"/>
  <c r="AN7"/>
  <c r="AR12"/>
  <c r="BX14" i="6"/>
  <c r="BY14"/>
  <c r="CA14"/>
  <c r="CB14"/>
  <c r="BW14"/>
  <c r="BV14"/>
  <c r="CD14"/>
  <c r="BZ14"/>
  <c r="CC14"/>
  <c r="CC36"/>
  <c r="CD36"/>
  <c r="CE36"/>
  <c r="CF36"/>
  <c r="CG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E10"/>
  <c r="DE11"/>
  <c r="DE13"/>
  <c r="DF7"/>
  <c r="Z168" i="8"/>
  <c r="R8" i="9"/>
  <c r="R11"/>
  <c r="AE107" i="8"/>
  <c r="AE121"/>
  <c r="AF126"/>
  <c r="AE149"/>
  <c r="W15" i="9"/>
  <c r="Q4" i="8"/>
  <c r="AC13"/>
  <c r="AD14"/>
  <c r="H37"/>
  <c r="J128"/>
  <c r="J112"/>
  <c r="F49" i="4"/>
  <c r="F51"/>
  <c r="I55" i="8"/>
  <c r="I56"/>
  <c r="I59"/>
  <c r="F52" i="4"/>
  <c r="I85" i="8"/>
  <c r="I84"/>
  <c r="J59"/>
  <c r="N5"/>
  <c r="N2"/>
  <c r="G49" i="4"/>
  <c r="G52"/>
  <c r="J56" i="8"/>
  <c r="J85"/>
  <c r="G51" i="4"/>
  <c r="J84" i="8"/>
  <c r="J99"/>
  <c r="I128"/>
  <c r="I112"/>
  <c r="I99"/>
  <c r="AP5"/>
  <c r="AP6"/>
  <c r="I3"/>
  <c r="M2"/>
  <c r="M3"/>
  <c r="M54"/>
  <c r="M94"/>
  <c r="M50"/>
  <c r="N64"/>
  <c r="E45" i="4"/>
  <c r="E53"/>
  <c r="U5" i="9"/>
  <c r="N17" i="4"/>
  <c r="Q71" i="8"/>
  <c r="CG14" i="6"/>
  <c r="L62" i="8"/>
  <c r="L64"/>
  <c r="L29"/>
  <c r="L5"/>
  <c r="L2"/>
  <c r="M29"/>
  <c r="K64"/>
  <c r="K62"/>
  <c r="K29"/>
  <c r="K57"/>
  <c r="K5"/>
  <c r="K2"/>
  <c r="M117"/>
  <c r="M116"/>
  <c r="M118"/>
  <c r="M120"/>
  <c r="M119"/>
  <c r="W16" i="1"/>
  <c r="X15"/>
  <c r="AM15"/>
  <c r="AN14"/>
  <c r="AR13"/>
  <c r="AS8"/>
  <c r="DF10" i="6"/>
  <c r="DF11"/>
  <c r="DF13"/>
  <c r="DG7"/>
  <c r="CH36"/>
  <c r="CH37"/>
  <c r="AA168" i="8"/>
  <c r="S8" i="9"/>
  <c r="S11"/>
  <c r="AG126" i="8"/>
  <c r="AF107"/>
  <c r="AF121"/>
  <c r="AF149"/>
  <c r="X15" i="9"/>
  <c r="O17" i="4"/>
  <c r="R71" i="8"/>
  <c r="P17" i="4"/>
  <c r="S71" i="8"/>
  <c r="R4"/>
  <c r="AE14"/>
  <c r="AD13"/>
  <c r="S4"/>
  <c r="P28"/>
  <c r="Q28"/>
  <c r="M60"/>
  <c r="J51" i="4"/>
  <c r="M56" i="8"/>
  <c r="J49" i="4"/>
  <c r="J52"/>
  <c r="M84" i="8"/>
  <c r="N110"/>
  <c r="N124"/>
  <c r="N54"/>
  <c r="N108"/>
  <c r="N50"/>
  <c r="N6"/>
  <c r="N100"/>
  <c r="M128"/>
  <c r="M112"/>
  <c r="G45" i="4"/>
  <c r="G53"/>
  <c r="F45"/>
  <c r="F53"/>
  <c r="V5" i="9"/>
  <c r="L99" i="8"/>
  <c r="M99"/>
  <c r="K112"/>
  <c r="K99"/>
  <c r="K128"/>
  <c r="L54"/>
  <c r="I52" i="4"/>
  <c r="L94" i="8"/>
  <c r="L6"/>
  <c r="L50"/>
  <c r="L100"/>
  <c r="L3"/>
  <c r="M6"/>
  <c r="M100"/>
  <c r="M115"/>
  <c r="K50"/>
  <c r="K54"/>
  <c r="H49" i="4"/>
  <c r="K100" i="8"/>
  <c r="K94"/>
  <c r="K6"/>
  <c r="K3"/>
  <c r="K61"/>
  <c r="K63"/>
  <c r="L112"/>
  <c r="L128"/>
  <c r="N57"/>
  <c r="M57"/>
  <c r="L57"/>
  <c r="L61"/>
  <c r="M63"/>
  <c r="L63"/>
  <c r="N63"/>
  <c r="AS10" i="1"/>
  <c r="AS13"/>
  <c r="AS3"/>
  <c r="AS2"/>
  <c r="AS4"/>
  <c r="AS5"/>
  <c r="AS6"/>
  <c r="AS7"/>
  <c r="AS11"/>
  <c r="AS9"/>
  <c r="AS12"/>
  <c r="W17"/>
  <c r="X16"/>
  <c r="AM16"/>
  <c r="AN15"/>
  <c r="AR14"/>
  <c r="AS14"/>
  <c r="DG10" i="6"/>
  <c r="DG11"/>
  <c r="DG13"/>
  <c r="DH7"/>
  <c r="AB168" i="8"/>
  <c r="T8" i="9"/>
  <c r="T11"/>
  <c r="W5"/>
  <c r="AH126" i="8"/>
  <c r="AG107"/>
  <c r="AG121"/>
  <c r="AG149"/>
  <c r="Y15" i="9"/>
  <c r="Q17" i="4"/>
  <c r="AF14" i="8"/>
  <c r="AE13"/>
  <c r="R28"/>
  <c r="S28"/>
  <c r="N99"/>
  <c r="N3"/>
  <c r="N128"/>
  <c r="K49" i="4"/>
  <c r="N112" i="8"/>
  <c r="N55"/>
  <c r="N59"/>
  <c r="K51" i="4"/>
  <c r="J53"/>
  <c r="J45"/>
  <c r="N122" i="8"/>
  <c r="N106"/>
  <c r="I49" i="4"/>
  <c r="I53"/>
  <c r="L60" i="8"/>
  <c r="H45" i="4"/>
  <c r="H53"/>
  <c r="L59" i="8"/>
  <c r="K59"/>
  <c r="H52" i="4"/>
  <c r="H51"/>
  <c r="M59" i="8"/>
  <c r="I51" i="4"/>
  <c r="K84" i="8"/>
  <c r="K56"/>
  <c r="L84"/>
  <c r="L56"/>
  <c r="L85"/>
  <c r="M85"/>
  <c r="W18" i="1"/>
  <c r="X17"/>
  <c r="AM17"/>
  <c r="AN16"/>
  <c r="AR15"/>
  <c r="AS15"/>
  <c r="DH10" i="6"/>
  <c r="DH11"/>
  <c r="DH13"/>
  <c r="DI7"/>
  <c r="AC168" i="8"/>
  <c r="U8" i="9"/>
  <c r="U11"/>
  <c r="AI126" i="8"/>
  <c r="AI107"/>
  <c r="AI121"/>
  <c r="AH107"/>
  <c r="AH121"/>
  <c r="AH149"/>
  <c r="Z15" i="9"/>
  <c r="T4" i="8"/>
  <c r="R17" i="4"/>
  <c r="AG14" i="8"/>
  <c r="AF13"/>
  <c r="I45" i="4"/>
  <c r="U4" i="8"/>
  <c r="U71"/>
  <c r="S17" i="4"/>
  <c r="T71" i="8"/>
  <c r="X5" i="9"/>
  <c r="T28" i="8"/>
  <c r="N119"/>
  <c r="N116"/>
  <c r="N120"/>
  <c r="N117"/>
  <c r="N118"/>
  <c r="K53" i="4"/>
  <c r="K45"/>
  <c r="W19" i="1"/>
  <c r="X18"/>
  <c r="AM18"/>
  <c r="AN17"/>
  <c r="AR16"/>
  <c r="AS16"/>
  <c r="DI10" i="6"/>
  <c r="DI11"/>
  <c r="DI13"/>
  <c r="DJ7"/>
  <c r="AD168" i="8"/>
  <c r="V8" i="9"/>
  <c r="V11"/>
  <c r="AI149" i="8"/>
  <c r="AA15" i="9"/>
  <c r="AH14" i="8"/>
  <c r="AG13"/>
  <c r="V4"/>
  <c r="U28"/>
  <c r="V28"/>
  <c r="W28"/>
  <c r="X28"/>
  <c r="Y28"/>
  <c r="Z28"/>
  <c r="AA28"/>
  <c r="AB28"/>
  <c r="AC28"/>
  <c r="AD28"/>
  <c r="AE28"/>
  <c r="AF28"/>
  <c r="W25" i="4"/>
  <c r="V71" i="8"/>
  <c r="Y5" i="9"/>
  <c r="N115" i="8"/>
  <c r="W20" i="1"/>
  <c r="X19"/>
  <c r="AM19"/>
  <c r="AN18"/>
  <c r="AR17"/>
  <c r="AS17"/>
  <c r="DJ10" i="6"/>
  <c r="DJ11"/>
  <c r="DJ13"/>
  <c r="DK7"/>
  <c r="DK10"/>
  <c r="DK11"/>
  <c r="AE168" i="8"/>
  <c r="W8" i="9"/>
  <c r="W11"/>
  <c r="W4" i="8"/>
  <c r="T17" i="4"/>
  <c r="AI14" i="8"/>
  <c r="AI13"/>
  <c r="AI7"/>
  <c r="AH13"/>
  <c r="W71"/>
  <c r="X25" i="4"/>
  <c r="Z5" i="9"/>
  <c r="AG28" i="8"/>
  <c r="DK13" i="6"/>
  <c r="W21" i="1"/>
  <c r="X20"/>
  <c r="AM20"/>
  <c r="AN19"/>
  <c r="AR18"/>
  <c r="AS18"/>
  <c r="K110"/>
  <c r="O110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2"/>
  <c r="AF168" i="8"/>
  <c r="X8" i="9"/>
  <c r="X11"/>
  <c r="X4" i="8"/>
  <c r="U17" i="4"/>
  <c r="X71" i="8"/>
  <c r="Y25" i="4"/>
  <c r="Z25"/>
  <c r="AA5" i="9"/>
  <c r="AH28" i="8"/>
  <c r="W22" i="1"/>
  <c r="X21"/>
  <c r="AM21"/>
  <c r="AN20"/>
  <c r="AR19"/>
  <c r="AS19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1"/>
  <c r="O112"/>
  <c r="O113"/>
  <c r="O114"/>
  <c r="O115"/>
  <c r="O116"/>
  <c r="O117"/>
  <c r="O118"/>
  <c r="O119"/>
  <c r="O120"/>
  <c r="O121"/>
  <c r="O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AG168" i="8"/>
  <c r="Y8" i="9"/>
  <c r="Y11"/>
  <c r="Y71" i="8"/>
  <c r="Y4"/>
  <c r="W27" i="4"/>
  <c r="AI28" i="8"/>
  <c r="W23" i="1"/>
  <c r="X22"/>
  <c r="AM22"/>
  <c r="AN21"/>
  <c r="AR20"/>
  <c r="AS20"/>
  <c r="D115"/>
  <c r="D116"/>
  <c r="D117"/>
  <c r="D118"/>
  <c r="D119"/>
  <c r="D120"/>
  <c r="D1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1"/>
  <c r="K112"/>
  <c r="K113"/>
  <c r="K114"/>
  <c r="K3"/>
  <c r="L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3"/>
  <c r="E3"/>
  <c r="D111"/>
  <c r="D113"/>
  <c r="C5" i="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AI168" i="8"/>
  <c r="AA8" i="9"/>
  <c r="AA11"/>
  <c r="AH168" i="8"/>
  <c r="Z8" i="9"/>
  <c r="Z11"/>
  <c r="W17" i="4"/>
  <c r="Z71" i="8"/>
  <c r="Z4"/>
  <c r="AA25" i="4"/>
  <c r="X27"/>
  <c r="W24" i="1"/>
  <c r="X23"/>
  <c r="AM23"/>
  <c r="AN22"/>
  <c r="L4"/>
  <c r="AR21"/>
  <c r="AS21"/>
  <c r="E4"/>
  <c r="D114"/>
  <c r="D112"/>
  <c r="D137" i="3"/>
  <c r="D138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AA4" i="8"/>
  <c r="X17" i="4"/>
  <c r="Y27"/>
  <c r="AB4" i="8"/>
  <c r="AA71"/>
  <c r="AB25" i="4"/>
  <c r="AC25"/>
  <c r="W25" i="1"/>
  <c r="X24"/>
  <c r="AM24"/>
  <c r="AN23"/>
  <c r="AR22"/>
  <c r="AS22"/>
  <c r="L5"/>
  <c r="E5"/>
  <c r="D72" i="3"/>
  <c r="D139"/>
  <c r="Z27" i="4"/>
  <c r="Z17"/>
  <c r="Y17"/>
  <c r="AB71" i="8"/>
  <c r="W26" i="1"/>
  <c r="X25"/>
  <c r="AM25"/>
  <c r="AN24"/>
  <c r="L6"/>
  <c r="AR23"/>
  <c r="AS23"/>
  <c r="E6"/>
  <c r="D140" i="3"/>
  <c r="D71"/>
  <c r="AC4" i="8"/>
  <c r="AA27" i="4"/>
  <c r="AD4" i="8"/>
  <c r="AC71"/>
  <c r="AD25" i="4"/>
  <c r="W27" i="1"/>
  <c r="X26"/>
  <c r="AM26"/>
  <c r="AN25"/>
  <c r="AR24"/>
  <c r="AS24"/>
  <c r="L7"/>
  <c r="E7"/>
  <c r="D70" i="3"/>
  <c r="D141"/>
  <c r="AE25" i="4"/>
  <c r="AB27"/>
  <c r="AE4" i="8"/>
  <c r="AA17" i="4"/>
  <c r="AD71" i="8"/>
  <c r="W28" i="1"/>
  <c r="X27"/>
  <c r="AM27"/>
  <c r="AN26"/>
  <c r="L8"/>
  <c r="AR25"/>
  <c r="AS25"/>
  <c r="E8"/>
  <c r="D69" i="3"/>
  <c r="D142"/>
  <c r="AC27" i="4"/>
  <c r="AC17"/>
  <c r="AB17"/>
  <c r="AE71" i="8"/>
  <c r="AF25" i="4"/>
  <c r="W29" i="1"/>
  <c r="X28"/>
  <c r="AM28"/>
  <c r="AN27"/>
  <c r="AR26"/>
  <c r="AS26"/>
  <c r="L9"/>
  <c r="E9"/>
  <c r="D68" i="3"/>
  <c r="D143"/>
  <c r="AF4" i="8"/>
  <c r="AD27" i="4"/>
  <c r="AG4" i="8"/>
  <c r="AF71"/>
  <c r="W30" i="1"/>
  <c r="X29"/>
  <c r="AM29"/>
  <c r="AN28"/>
  <c r="L10"/>
  <c r="AR27"/>
  <c r="AS27"/>
  <c r="E10"/>
  <c r="D67" i="3"/>
  <c r="D144"/>
  <c r="AE27" i="4"/>
  <c r="AH4" i="8"/>
  <c r="AD17" i="4"/>
  <c r="AG71" i="8"/>
  <c r="W31" i="1"/>
  <c r="X30"/>
  <c r="AM30"/>
  <c r="AN29"/>
  <c r="AR28"/>
  <c r="AS28"/>
  <c r="L11"/>
  <c r="E11"/>
  <c r="D66" i="3"/>
  <c r="D145"/>
  <c r="AF27" i="4"/>
  <c r="AE17"/>
  <c r="AH71" i="8"/>
  <c r="W32" i="1"/>
  <c r="X31"/>
  <c r="AM31"/>
  <c r="AN30"/>
  <c r="L12"/>
  <c r="AR29"/>
  <c r="AS29"/>
  <c r="E12"/>
  <c r="D65" i="3"/>
  <c r="D146"/>
  <c r="AF17" i="4"/>
  <c r="AI71" i="8"/>
  <c r="AI4"/>
  <c r="W33" i="1"/>
  <c r="X32"/>
  <c r="AM32"/>
  <c r="AN31"/>
  <c r="AR30"/>
  <c r="AS30"/>
  <c r="L13"/>
  <c r="M12"/>
  <c r="E13"/>
  <c r="F11"/>
  <c r="F10"/>
  <c r="D147" i="3"/>
  <c r="E146"/>
  <c r="E136"/>
  <c r="E70"/>
  <c r="E137"/>
  <c r="E68"/>
  <c r="E140"/>
  <c r="E142"/>
  <c r="E138"/>
  <c r="E66"/>
  <c r="E145"/>
  <c r="E65"/>
  <c r="D64"/>
  <c r="E144"/>
  <c r="F4" i="1"/>
  <c r="M8"/>
  <c r="W34"/>
  <c r="X33"/>
  <c r="AM33"/>
  <c r="AN32"/>
  <c r="M6"/>
  <c r="F8"/>
  <c r="F6"/>
  <c r="F12"/>
  <c r="M10"/>
  <c r="L14"/>
  <c r="M13"/>
  <c r="M2"/>
  <c r="M4"/>
  <c r="M7"/>
  <c r="M9"/>
  <c r="M11"/>
  <c r="M3"/>
  <c r="M5"/>
  <c r="AR31"/>
  <c r="E14"/>
  <c r="F13"/>
  <c r="F2"/>
  <c r="F5"/>
  <c r="F7"/>
  <c r="F3"/>
  <c r="F9"/>
  <c r="E64" i="3"/>
  <c r="D63"/>
  <c r="D148"/>
  <c r="E147"/>
  <c r="E132"/>
  <c r="E100"/>
  <c r="E129"/>
  <c r="E97"/>
  <c r="E104"/>
  <c r="E109"/>
  <c r="E77"/>
  <c r="E124"/>
  <c r="E92"/>
  <c r="E121"/>
  <c r="E89"/>
  <c r="E128"/>
  <c r="E96"/>
  <c r="E133"/>
  <c r="E101"/>
  <c r="E116"/>
  <c r="E84"/>
  <c r="E113"/>
  <c r="E81"/>
  <c r="E120"/>
  <c r="E88"/>
  <c r="E125"/>
  <c r="E93"/>
  <c r="E108"/>
  <c r="E76"/>
  <c r="E105"/>
  <c r="E73"/>
  <c r="E112"/>
  <c r="E80"/>
  <c r="E117"/>
  <c r="E85"/>
  <c r="E103"/>
  <c r="E135"/>
  <c r="E102"/>
  <c r="E134"/>
  <c r="E83"/>
  <c r="E115"/>
  <c r="E82"/>
  <c r="E114"/>
  <c r="E79"/>
  <c r="E111"/>
  <c r="E78"/>
  <c r="E110"/>
  <c r="E91"/>
  <c r="E123"/>
  <c r="E90"/>
  <c r="E122"/>
  <c r="E87"/>
  <c r="E119"/>
  <c r="E86"/>
  <c r="E118"/>
  <c r="E99"/>
  <c r="E131"/>
  <c r="E98"/>
  <c r="E130"/>
  <c r="E95"/>
  <c r="E127"/>
  <c r="E94"/>
  <c r="E126"/>
  <c r="E75"/>
  <c r="E107"/>
  <c r="E74"/>
  <c r="E106"/>
  <c r="E72"/>
  <c r="E143"/>
  <c r="E69"/>
  <c r="E67"/>
  <c r="E139"/>
  <c r="E71"/>
  <c r="E141"/>
  <c r="AR32" i="1"/>
  <c r="AS32"/>
  <c r="AS31"/>
  <c r="W35"/>
  <c r="X34"/>
  <c r="AM34"/>
  <c r="AN33"/>
  <c r="L15"/>
  <c r="M14"/>
  <c r="E15"/>
  <c r="F14"/>
  <c r="E63" i="3"/>
  <c r="D62"/>
  <c r="D149"/>
  <c r="E148"/>
  <c r="W36" i="1"/>
  <c r="X35"/>
  <c r="AM35"/>
  <c r="AN34"/>
  <c r="L16"/>
  <c r="M15"/>
  <c r="AR33"/>
  <c r="AS33"/>
  <c r="E16"/>
  <c r="F15"/>
  <c r="E62" i="3"/>
  <c r="D61"/>
  <c r="D150"/>
  <c r="E149"/>
  <c r="W37" i="1"/>
  <c r="X36"/>
  <c r="AM36"/>
  <c r="AN35"/>
  <c r="AR34"/>
  <c r="AS34"/>
  <c r="L17"/>
  <c r="M16"/>
  <c r="E17"/>
  <c r="F16"/>
  <c r="E61" i="3"/>
  <c r="D60"/>
  <c r="D151"/>
  <c r="E150"/>
  <c r="W38" i="1"/>
  <c r="X37"/>
  <c r="AM37"/>
  <c r="AN36"/>
  <c r="L18"/>
  <c r="M17"/>
  <c r="AR35"/>
  <c r="AS35"/>
  <c r="E18"/>
  <c r="F17"/>
  <c r="E60" i="3"/>
  <c r="D59"/>
  <c r="D152"/>
  <c r="E151"/>
  <c r="W39" i="1"/>
  <c r="X38"/>
  <c r="AM38"/>
  <c r="AN37"/>
  <c r="AR36"/>
  <c r="AS36"/>
  <c r="L19"/>
  <c r="M18"/>
  <c r="E19"/>
  <c r="F18"/>
  <c r="E59" i="3"/>
  <c r="D58"/>
  <c r="D153"/>
  <c r="E152"/>
  <c r="W40" i="1"/>
  <c r="X39"/>
  <c r="AM39"/>
  <c r="AN38"/>
  <c r="L20"/>
  <c r="M19"/>
  <c r="AR37"/>
  <c r="AS37"/>
  <c r="E20"/>
  <c r="F19"/>
  <c r="E58" i="3"/>
  <c r="D57"/>
  <c r="D154"/>
  <c r="E153"/>
  <c r="W41" i="1"/>
  <c r="X40"/>
  <c r="AM40"/>
  <c r="AN39"/>
  <c r="AR38"/>
  <c r="AS38"/>
  <c r="L21"/>
  <c r="M20"/>
  <c r="E21"/>
  <c r="F20"/>
  <c r="E57" i="3"/>
  <c r="D56"/>
  <c r="D155"/>
  <c r="E154"/>
  <c r="W42" i="1"/>
  <c r="X41"/>
  <c r="AM41"/>
  <c r="AN40"/>
  <c r="L22"/>
  <c r="M21"/>
  <c r="AR39"/>
  <c r="AS39"/>
  <c r="E22"/>
  <c r="F21"/>
  <c r="E56" i="3"/>
  <c r="D55"/>
  <c r="D156"/>
  <c r="E155"/>
  <c r="W43" i="1"/>
  <c r="X42"/>
  <c r="AM42"/>
  <c r="AN41"/>
  <c r="AR40"/>
  <c r="AS40"/>
  <c r="L23"/>
  <c r="M22"/>
  <c r="E23"/>
  <c r="F22"/>
  <c r="E55" i="3"/>
  <c r="D54"/>
  <c r="D157"/>
  <c r="E156"/>
  <c r="W44" i="1"/>
  <c r="X43"/>
  <c r="AM43"/>
  <c r="AN42"/>
  <c r="L24"/>
  <c r="M23"/>
  <c r="AR41"/>
  <c r="AS41"/>
  <c r="E24"/>
  <c r="F23"/>
  <c r="E54" i="3"/>
  <c r="D53"/>
  <c r="D158"/>
  <c r="E157"/>
  <c r="W45" i="1"/>
  <c r="X44"/>
  <c r="AM44"/>
  <c r="AN43"/>
  <c r="AR42"/>
  <c r="AS42"/>
  <c r="L25"/>
  <c r="M24"/>
  <c r="E25"/>
  <c r="F24"/>
  <c r="E53" i="3"/>
  <c r="D52"/>
  <c r="D159"/>
  <c r="E158"/>
  <c r="W46" i="1"/>
  <c r="X45"/>
  <c r="AM45"/>
  <c r="AN44"/>
  <c r="L26"/>
  <c r="M25"/>
  <c r="AR43"/>
  <c r="AS43"/>
  <c r="E26"/>
  <c r="F25"/>
  <c r="E52" i="3"/>
  <c r="D51"/>
  <c r="D160"/>
  <c r="E159"/>
  <c r="W47" i="1"/>
  <c r="X46"/>
  <c r="AM46"/>
  <c r="AN45"/>
  <c r="AR44"/>
  <c r="AS44"/>
  <c r="L27"/>
  <c r="M26"/>
  <c r="E27"/>
  <c r="F26"/>
  <c r="E51" i="3"/>
  <c r="D50"/>
  <c r="D161"/>
  <c r="E160"/>
  <c r="W48" i="1"/>
  <c r="X47"/>
  <c r="AM47"/>
  <c r="AN46"/>
  <c r="L28"/>
  <c r="M27"/>
  <c r="AR45"/>
  <c r="AS45"/>
  <c r="E28"/>
  <c r="F27"/>
  <c r="E50" i="3"/>
  <c r="D49"/>
  <c r="D162"/>
  <c r="E161"/>
  <c r="W49" i="1"/>
  <c r="X48"/>
  <c r="AM48"/>
  <c r="AN47"/>
  <c r="AR46"/>
  <c r="AS46"/>
  <c r="L29"/>
  <c r="M28"/>
  <c r="E29"/>
  <c r="F28"/>
  <c r="E49" i="3"/>
  <c r="D48"/>
  <c r="D163"/>
  <c r="E162"/>
  <c r="W50" i="1"/>
  <c r="X49"/>
  <c r="AM49"/>
  <c r="AN48"/>
  <c r="L30"/>
  <c r="M29"/>
  <c r="AR47"/>
  <c r="AS47"/>
  <c r="E30"/>
  <c r="F29"/>
  <c r="E48" i="3"/>
  <c r="D47"/>
  <c r="D164"/>
  <c r="E163"/>
  <c r="W51" i="1"/>
  <c r="X50"/>
  <c r="AM50"/>
  <c r="AN49"/>
  <c r="AR48"/>
  <c r="AS48"/>
  <c r="L31"/>
  <c r="M30"/>
  <c r="E31"/>
  <c r="F30"/>
  <c r="E47" i="3"/>
  <c r="D46"/>
  <c r="E164"/>
  <c r="D165"/>
  <c r="W52" i="1"/>
  <c r="X51"/>
  <c r="AM51"/>
  <c r="AN50"/>
  <c r="L32"/>
  <c r="M31"/>
  <c r="AR49"/>
  <c r="AS49"/>
  <c r="E32"/>
  <c r="F31"/>
  <c r="E165" i="3"/>
  <c r="D166"/>
  <c r="E46"/>
  <c r="D45"/>
  <c r="W53" i="1"/>
  <c r="X52"/>
  <c r="AM52"/>
  <c r="AN51"/>
  <c r="AR50"/>
  <c r="AS50"/>
  <c r="L33"/>
  <c r="M32"/>
  <c r="E33"/>
  <c r="F32"/>
  <c r="E45" i="3"/>
  <c r="D44"/>
  <c r="E166"/>
  <c r="D167"/>
  <c r="W54" i="1"/>
  <c r="X53"/>
  <c r="AM53"/>
  <c r="AN52"/>
  <c r="L34"/>
  <c r="M33"/>
  <c r="AR51"/>
  <c r="AS51"/>
  <c r="E34"/>
  <c r="F33"/>
  <c r="E167" i="3"/>
  <c r="D168"/>
  <c r="E44"/>
  <c r="D43"/>
  <c r="W55" i="1"/>
  <c r="X54"/>
  <c r="AM54"/>
  <c r="AN53"/>
  <c r="AR52"/>
  <c r="AS52"/>
  <c r="L35"/>
  <c r="M34"/>
  <c r="E35"/>
  <c r="F34"/>
  <c r="E43" i="3"/>
  <c r="D42"/>
  <c r="E168"/>
  <c r="D169"/>
  <c r="W56" i="1"/>
  <c r="X55"/>
  <c r="AM55"/>
  <c r="AN54"/>
  <c r="L36"/>
  <c r="M35"/>
  <c r="AR53"/>
  <c r="AS53"/>
  <c r="E36"/>
  <c r="F35"/>
  <c r="E169" i="3"/>
  <c r="D170"/>
  <c r="E42"/>
  <c r="D41"/>
  <c r="W57" i="1"/>
  <c r="X56"/>
  <c r="AM56"/>
  <c r="AN55"/>
  <c r="AR54"/>
  <c r="AS54"/>
  <c r="L37"/>
  <c r="M36"/>
  <c r="E37"/>
  <c r="F36"/>
  <c r="E41" i="3"/>
  <c r="D40"/>
  <c r="E170"/>
  <c r="D171"/>
  <c r="W58" i="1"/>
  <c r="X57"/>
  <c r="AM57"/>
  <c r="AN56"/>
  <c r="L38"/>
  <c r="M37"/>
  <c r="AR55"/>
  <c r="AS55"/>
  <c r="E38"/>
  <c r="F37"/>
  <c r="E171" i="3"/>
  <c r="D172"/>
  <c r="E40"/>
  <c r="D39"/>
  <c r="W59" i="1"/>
  <c r="X58"/>
  <c r="AM58"/>
  <c r="AN57"/>
  <c r="AR56"/>
  <c r="AS56"/>
  <c r="L39"/>
  <c r="M38"/>
  <c r="E39"/>
  <c r="F38"/>
  <c r="E39" i="3"/>
  <c r="D38"/>
  <c r="E172"/>
  <c r="D173"/>
  <c r="W60" i="1"/>
  <c r="X59"/>
  <c r="AM59"/>
  <c r="AN58"/>
  <c r="L40"/>
  <c r="M39"/>
  <c r="AR57"/>
  <c r="AS57"/>
  <c r="E40"/>
  <c r="F39"/>
  <c r="E173" i="3"/>
  <c r="D174"/>
  <c r="E38"/>
  <c r="D37"/>
  <c r="W61" i="1"/>
  <c r="X60"/>
  <c r="AM60"/>
  <c r="AN59"/>
  <c r="AR58"/>
  <c r="AS58"/>
  <c r="L41"/>
  <c r="M40"/>
  <c r="E41"/>
  <c r="F40"/>
  <c r="E37" i="3"/>
  <c r="D36"/>
  <c r="E174"/>
  <c r="D175"/>
  <c r="W62" i="1"/>
  <c r="X61"/>
  <c r="AM61"/>
  <c r="AN60"/>
  <c r="L42"/>
  <c r="M41"/>
  <c r="AR59"/>
  <c r="AS59"/>
  <c r="E42"/>
  <c r="F41"/>
  <c r="E175" i="3"/>
  <c r="D176"/>
  <c r="E36"/>
  <c r="D35"/>
  <c r="W63" i="1"/>
  <c r="X62"/>
  <c r="AM62"/>
  <c r="AN61"/>
  <c r="AR60"/>
  <c r="AS60"/>
  <c r="L43"/>
  <c r="M42"/>
  <c r="E43"/>
  <c r="F42"/>
  <c r="E35" i="3"/>
  <c r="D34"/>
  <c r="E176"/>
  <c r="D177"/>
  <c r="W64" i="1"/>
  <c r="X63"/>
  <c r="AM63"/>
  <c r="AN62"/>
  <c r="L44"/>
  <c r="M43"/>
  <c r="AR61"/>
  <c r="E44"/>
  <c r="F43"/>
  <c r="E177" i="3"/>
  <c r="D178"/>
  <c r="E34"/>
  <c r="D33"/>
  <c r="AR62" i="1"/>
  <c r="AS62"/>
  <c r="AS61"/>
  <c r="W65"/>
  <c r="X64"/>
  <c r="AM64"/>
  <c r="AN63"/>
  <c r="L45"/>
  <c r="M44"/>
  <c r="E45"/>
  <c r="F44"/>
  <c r="E33" i="3"/>
  <c r="D32"/>
  <c r="E178"/>
  <c r="D179"/>
  <c r="W66" i="1"/>
  <c r="X65"/>
  <c r="AM65"/>
  <c r="AN64"/>
  <c r="L46"/>
  <c r="M45"/>
  <c r="AR63"/>
  <c r="AS63"/>
  <c r="E46"/>
  <c r="F45"/>
  <c r="E179" i="3"/>
  <c r="D180"/>
  <c r="E32"/>
  <c r="D31"/>
  <c r="W67" i="1"/>
  <c r="X66"/>
  <c r="AM66"/>
  <c r="AN65"/>
  <c r="AR64"/>
  <c r="AS64"/>
  <c r="L47"/>
  <c r="M46"/>
  <c r="E47"/>
  <c r="F46"/>
  <c r="E31" i="3"/>
  <c r="D30"/>
  <c r="E180"/>
  <c r="D181"/>
  <c r="W68" i="1"/>
  <c r="X67"/>
  <c r="AM67"/>
  <c r="AN66"/>
  <c r="L48"/>
  <c r="M47"/>
  <c r="AR65"/>
  <c r="AS65"/>
  <c r="E48"/>
  <c r="F47"/>
  <c r="E181" i="3"/>
  <c r="D182"/>
  <c r="E30"/>
  <c r="D29"/>
  <c r="W69" i="1"/>
  <c r="X68"/>
  <c r="AM68"/>
  <c r="AN67"/>
  <c r="AR66"/>
  <c r="AS66"/>
  <c r="L49"/>
  <c r="M48"/>
  <c r="E49"/>
  <c r="F48"/>
  <c r="E29" i="3"/>
  <c r="D28"/>
  <c r="E182"/>
  <c r="D183"/>
  <c r="W70" i="1"/>
  <c r="X69"/>
  <c r="AM69"/>
  <c r="AN68"/>
  <c r="L50"/>
  <c r="M49"/>
  <c r="AR67"/>
  <c r="AS67"/>
  <c r="E50"/>
  <c r="F49"/>
  <c r="E183" i="3"/>
  <c r="D184"/>
  <c r="E28"/>
  <c r="D27"/>
  <c r="W71" i="1"/>
  <c r="X70"/>
  <c r="AM70"/>
  <c r="AN69"/>
  <c r="AR68"/>
  <c r="AS68"/>
  <c r="L51"/>
  <c r="M50"/>
  <c r="E51"/>
  <c r="F50"/>
  <c r="E27" i="3"/>
  <c r="D26"/>
  <c r="E184"/>
  <c r="D185"/>
  <c r="W72" i="1"/>
  <c r="X71"/>
  <c r="AM71"/>
  <c r="AN70"/>
  <c r="L52"/>
  <c r="M51"/>
  <c r="AR69"/>
  <c r="AS69"/>
  <c r="E52"/>
  <c r="F51"/>
  <c r="E185" i="3"/>
  <c r="D186"/>
  <c r="E26"/>
  <c r="D25"/>
  <c r="W73" i="1"/>
  <c r="X72"/>
  <c r="AM72"/>
  <c r="AN71"/>
  <c r="AR70"/>
  <c r="AS70"/>
  <c r="L53"/>
  <c r="M52"/>
  <c r="E53"/>
  <c r="F52"/>
  <c r="E25" i="3"/>
  <c r="D24"/>
  <c r="E186"/>
  <c r="D187"/>
  <c r="W74" i="1"/>
  <c r="X73"/>
  <c r="AM73"/>
  <c r="AN72"/>
  <c r="L54"/>
  <c r="M53"/>
  <c r="AR71"/>
  <c r="AS71"/>
  <c r="E54"/>
  <c r="F53"/>
  <c r="E187" i="3"/>
  <c r="D188"/>
  <c r="E24"/>
  <c r="D23"/>
  <c r="W75" i="1"/>
  <c r="X74"/>
  <c r="AM74"/>
  <c r="AN73"/>
  <c r="AR72"/>
  <c r="AS72"/>
  <c r="L55"/>
  <c r="M54"/>
  <c r="E55"/>
  <c r="F54"/>
  <c r="E23" i="3"/>
  <c r="D22"/>
  <c r="E188"/>
  <c r="D189"/>
  <c r="W76" i="1"/>
  <c r="X75"/>
  <c r="AM75"/>
  <c r="AN74"/>
  <c r="L56"/>
  <c r="M55"/>
  <c r="AR73"/>
  <c r="AS73"/>
  <c r="E56"/>
  <c r="F55"/>
  <c r="E189" i="3"/>
  <c r="D190"/>
  <c r="E22"/>
  <c r="D21"/>
  <c r="W77" i="1"/>
  <c r="X76"/>
  <c r="AM76"/>
  <c r="AN75"/>
  <c r="AR74"/>
  <c r="AS74"/>
  <c r="L57"/>
  <c r="M56"/>
  <c r="E57"/>
  <c r="F56"/>
  <c r="E21" i="3"/>
  <c r="D20"/>
  <c r="E190"/>
  <c r="D191"/>
  <c r="W78" i="1"/>
  <c r="X77"/>
  <c r="AM77"/>
  <c r="AN76"/>
  <c r="L58"/>
  <c r="M57"/>
  <c r="AR75"/>
  <c r="AS75"/>
  <c r="E58"/>
  <c r="F57"/>
  <c r="E191" i="3"/>
  <c r="D192"/>
  <c r="E20"/>
  <c r="D19"/>
  <c r="W79" i="1"/>
  <c r="X78"/>
  <c r="AM78"/>
  <c r="AN77"/>
  <c r="AR76"/>
  <c r="AS76"/>
  <c r="L59"/>
  <c r="M58"/>
  <c r="E59"/>
  <c r="F58"/>
  <c r="E19" i="3"/>
  <c r="D18"/>
  <c r="E192"/>
  <c r="D193"/>
  <c r="W80" i="1"/>
  <c r="X79"/>
  <c r="AM79"/>
  <c r="AN78"/>
  <c r="L60"/>
  <c r="M59"/>
  <c r="AR77"/>
  <c r="AS77"/>
  <c r="E60"/>
  <c r="F59"/>
  <c r="E193" i="3"/>
  <c r="D194"/>
  <c r="E18"/>
  <c r="D17"/>
  <c r="W81" i="1"/>
  <c r="X80"/>
  <c r="AM80"/>
  <c r="AN79"/>
  <c r="AR78"/>
  <c r="AS78"/>
  <c r="L61"/>
  <c r="M60"/>
  <c r="E61"/>
  <c r="F60"/>
  <c r="E17" i="3"/>
  <c r="D16"/>
  <c r="D195"/>
  <c r="E194"/>
  <c r="W82" i="1"/>
  <c r="X81"/>
  <c r="AM81"/>
  <c r="AN80"/>
  <c r="L62"/>
  <c r="M61"/>
  <c r="AR79"/>
  <c r="AS79"/>
  <c r="E62"/>
  <c r="F61"/>
  <c r="E16" i="3"/>
  <c r="D15"/>
  <c r="D196"/>
  <c r="E195"/>
  <c r="W83" i="1"/>
  <c r="X82"/>
  <c r="AM82"/>
  <c r="AN81"/>
  <c r="AR80"/>
  <c r="AS80"/>
  <c r="L63"/>
  <c r="M62"/>
  <c r="E63"/>
  <c r="F62"/>
  <c r="E15" i="3"/>
  <c r="D14"/>
  <c r="D197"/>
  <c r="E196"/>
  <c r="W84" i="1"/>
  <c r="X83"/>
  <c r="AM83"/>
  <c r="AN82"/>
  <c r="L64"/>
  <c r="M63"/>
  <c r="AR81"/>
  <c r="AS81"/>
  <c r="E64"/>
  <c r="F63"/>
  <c r="E14" i="3"/>
  <c r="D13"/>
  <c r="D198"/>
  <c r="E197"/>
  <c r="W85" i="1"/>
  <c r="X84"/>
  <c r="AM84"/>
  <c r="AN83"/>
  <c r="AR82"/>
  <c r="AS82"/>
  <c r="L65"/>
  <c r="M64"/>
  <c r="E65"/>
  <c r="F64"/>
  <c r="D199" i="3"/>
  <c r="E198"/>
  <c r="E13"/>
  <c r="D12"/>
  <c r="W86" i="1"/>
  <c r="X85"/>
  <c r="AM85"/>
  <c r="AN84"/>
  <c r="L66"/>
  <c r="M65"/>
  <c r="AR83"/>
  <c r="AS83"/>
  <c r="E66"/>
  <c r="F65"/>
  <c r="E12" i="3"/>
  <c r="D11"/>
  <c r="D200"/>
  <c r="E199"/>
  <c r="W87" i="1"/>
  <c r="X86"/>
  <c r="AM86"/>
  <c r="AN85"/>
  <c r="AR84"/>
  <c r="AS84"/>
  <c r="L67"/>
  <c r="M66"/>
  <c r="E67"/>
  <c r="F66"/>
  <c r="E11" i="3"/>
  <c r="D10"/>
  <c r="D201"/>
  <c r="E200"/>
  <c r="W88" i="1"/>
  <c r="X87"/>
  <c r="AM87"/>
  <c r="AN86"/>
  <c r="L68"/>
  <c r="M67"/>
  <c r="AR85"/>
  <c r="AS85"/>
  <c r="E68"/>
  <c r="F67"/>
  <c r="E10" i="3"/>
  <c r="D9"/>
  <c r="D202"/>
  <c r="E201"/>
  <c r="W89" i="1"/>
  <c r="X88"/>
  <c r="AM88"/>
  <c r="AN87"/>
  <c r="AR86"/>
  <c r="AS86"/>
  <c r="L69"/>
  <c r="M68"/>
  <c r="E69"/>
  <c r="F68"/>
  <c r="E9" i="3"/>
  <c r="D8"/>
  <c r="D203"/>
  <c r="E202"/>
  <c r="W90" i="1"/>
  <c r="X89"/>
  <c r="AM89"/>
  <c r="AN88"/>
  <c r="L70"/>
  <c r="M69"/>
  <c r="AR87"/>
  <c r="AS87"/>
  <c r="E70"/>
  <c r="F69"/>
  <c r="E8" i="3"/>
  <c r="D7"/>
  <c r="D204"/>
  <c r="E203"/>
  <c r="W91" i="1"/>
  <c r="X90"/>
  <c r="AM90"/>
  <c r="AN89"/>
  <c r="AR88"/>
  <c r="AS88"/>
  <c r="L71"/>
  <c r="M70"/>
  <c r="E71"/>
  <c r="F70"/>
  <c r="D6" i="3"/>
  <c r="D5"/>
  <c r="D4"/>
  <c r="E4"/>
  <c r="E7"/>
  <c r="D205"/>
  <c r="E204"/>
  <c r="W92" i="1"/>
  <c r="X91"/>
  <c r="AM91"/>
  <c r="AN90"/>
  <c r="L72"/>
  <c r="M71"/>
  <c r="AR89"/>
  <c r="AS89"/>
  <c r="E72"/>
  <c r="F71"/>
  <c r="D206" i="3"/>
  <c r="E205"/>
  <c r="E6"/>
  <c r="W93" i="1"/>
  <c r="X92"/>
  <c r="AM92"/>
  <c r="AN91"/>
  <c r="AR90"/>
  <c r="AS90"/>
  <c r="L73"/>
  <c r="M72"/>
  <c r="E73"/>
  <c r="F72"/>
  <c r="E5" i="3"/>
  <c r="D207"/>
  <c r="E206"/>
  <c r="W94" i="1"/>
  <c r="X93"/>
  <c r="AM93"/>
  <c r="AN92"/>
  <c r="L74"/>
  <c r="M73"/>
  <c r="AR91"/>
  <c r="AS91"/>
  <c r="E74"/>
  <c r="F73"/>
  <c r="E207" i="3"/>
  <c r="D208"/>
  <c r="W95" i="1"/>
  <c r="X94"/>
  <c r="AM94"/>
  <c r="AN93"/>
  <c r="AR92"/>
  <c r="AS92"/>
  <c r="L75"/>
  <c r="M74"/>
  <c r="E75"/>
  <c r="F74"/>
  <c r="E208" i="3"/>
  <c r="D209"/>
  <c r="W96" i="1"/>
  <c r="X95"/>
  <c r="AM95"/>
  <c r="AN94"/>
  <c r="L76"/>
  <c r="M75"/>
  <c r="AR93"/>
  <c r="AS93"/>
  <c r="E76"/>
  <c r="F75"/>
  <c r="E209" i="3"/>
  <c r="D210"/>
  <c r="W97" i="1"/>
  <c r="X96"/>
  <c r="AM96"/>
  <c r="AN95"/>
  <c r="AR94"/>
  <c r="AS94"/>
  <c r="L77"/>
  <c r="M76"/>
  <c r="E77"/>
  <c r="F76"/>
  <c r="E210" i="3"/>
  <c r="D211"/>
  <c r="W98" i="1"/>
  <c r="X97"/>
  <c r="AM97"/>
  <c r="AN96"/>
  <c r="L78"/>
  <c r="M77"/>
  <c r="AR95"/>
  <c r="AS95"/>
  <c r="E78"/>
  <c r="F77"/>
  <c r="E211" i="3"/>
  <c r="D212"/>
  <c r="W99" i="1"/>
  <c r="X98"/>
  <c r="AM98"/>
  <c r="AN97"/>
  <c r="AR96"/>
  <c r="AS96"/>
  <c r="L79"/>
  <c r="M78"/>
  <c r="E79"/>
  <c r="F78"/>
  <c r="E212" i="3"/>
  <c r="D213"/>
  <c r="W100" i="1"/>
  <c r="X99"/>
  <c r="AM99"/>
  <c r="AN98"/>
  <c r="L80"/>
  <c r="M79"/>
  <c r="AR97"/>
  <c r="AS97"/>
  <c r="E80"/>
  <c r="F79"/>
  <c r="E213" i="3"/>
  <c r="D214"/>
  <c r="W101" i="1"/>
  <c r="X100"/>
  <c r="AM100"/>
  <c r="AN99"/>
  <c r="AR98"/>
  <c r="AS98"/>
  <c r="L81"/>
  <c r="M80"/>
  <c r="E81"/>
  <c r="F80"/>
  <c r="E214" i="3"/>
  <c r="D215"/>
  <c r="W102" i="1"/>
  <c r="X101"/>
  <c r="AM101"/>
  <c r="AN100"/>
  <c r="L82"/>
  <c r="M81"/>
  <c r="AR99"/>
  <c r="AS99"/>
  <c r="E82"/>
  <c r="F81"/>
  <c r="E215" i="3"/>
  <c r="D216"/>
  <c r="W103" i="1"/>
  <c r="X102"/>
  <c r="AM102"/>
  <c r="AN101"/>
  <c r="AR100"/>
  <c r="AS100"/>
  <c r="L83"/>
  <c r="M82"/>
  <c r="E83"/>
  <c r="F82"/>
  <c r="E216" i="3"/>
  <c r="D217"/>
  <c r="W104" i="1"/>
  <c r="X103"/>
  <c r="AM103"/>
  <c r="AN102"/>
  <c r="L84"/>
  <c r="M83"/>
  <c r="AR101"/>
  <c r="AS101"/>
  <c r="E84"/>
  <c r="F83"/>
  <c r="E217" i="3"/>
  <c r="D218"/>
  <c r="W105" i="1"/>
  <c r="X104"/>
  <c r="AM104"/>
  <c r="AN103"/>
  <c r="AR102"/>
  <c r="AS102"/>
  <c r="L85"/>
  <c r="M84"/>
  <c r="E85"/>
  <c r="F84"/>
  <c r="E218" i="3"/>
  <c r="D219"/>
  <c r="W106" i="1"/>
  <c r="X105"/>
  <c r="AM105"/>
  <c r="AN104"/>
  <c r="L86"/>
  <c r="M85"/>
  <c r="AR103"/>
  <c r="AS103"/>
  <c r="E86"/>
  <c r="F85"/>
  <c r="E219" i="3"/>
  <c r="D220"/>
  <c r="W107" i="1"/>
  <c r="X106"/>
  <c r="AM106"/>
  <c r="AN105"/>
  <c r="AR104"/>
  <c r="AS104"/>
  <c r="L87"/>
  <c r="M86"/>
  <c r="E87"/>
  <c r="F86"/>
  <c r="E220" i="3"/>
  <c r="D221"/>
  <c r="W108" i="1"/>
  <c r="X107"/>
  <c r="AM107"/>
  <c r="AN106"/>
  <c r="L88"/>
  <c r="M87"/>
  <c r="AR105"/>
  <c r="AS105"/>
  <c r="E88"/>
  <c r="F87"/>
  <c r="E221" i="3"/>
  <c r="D222"/>
  <c r="W109" i="1"/>
  <c r="X108"/>
  <c r="AM108"/>
  <c r="AN107"/>
  <c r="AR106"/>
  <c r="AS106"/>
  <c r="L89"/>
  <c r="M88"/>
  <c r="E89"/>
  <c r="F88"/>
  <c r="E222" i="3"/>
  <c r="D223"/>
  <c r="W110" i="1"/>
  <c r="X109"/>
  <c r="AM109"/>
  <c r="AN108"/>
  <c r="L90"/>
  <c r="M89"/>
  <c r="AR107"/>
  <c r="AS107"/>
  <c r="E90"/>
  <c r="F89"/>
  <c r="E223" i="3"/>
  <c r="D224"/>
  <c r="W111" i="1"/>
  <c r="X110"/>
  <c r="AM110"/>
  <c r="AN109"/>
  <c r="AR108"/>
  <c r="AS108"/>
  <c r="L91"/>
  <c r="M90"/>
  <c r="E91"/>
  <c r="F90"/>
  <c r="E224" i="3"/>
  <c r="D225"/>
  <c r="W112" i="1"/>
  <c r="X111"/>
  <c r="AM111"/>
  <c r="AN110"/>
  <c r="L92"/>
  <c r="M91"/>
  <c r="AR109"/>
  <c r="AS109"/>
  <c r="E92"/>
  <c r="F91"/>
  <c r="E225" i="3"/>
  <c r="D226"/>
  <c r="W113" i="1"/>
  <c r="X112"/>
  <c r="AM112"/>
  <c r="AN111"/>
  <c r="AR110"/>
  <c r="AS110"/>
  <c r="L93"/>
  <c r="M92"/>
  <c r="E93"/>
  <c r="F92"/>
  <c r="E226" i="3"/>
  <c r="D227"/>
  <c r="W114" i="1"/>
  <c r="X113"/>
  <c r="AM113"/>
  <c r="AN112"/>
  <c r="L94"/>
  <c r="M93"/>
  <c r="AR111"/>
  <c r="AS111"/>
  <c r="E94"/>
  <c r="F93"/>
  <c r="E227" i="3"/>
  <c r="D228"/>
  <c r="W115" i="1"/>
  <c r="X114"/>
  <c r="AM114"/>
  <c r="AN113"/>
  <c r="AR112"/>
  <c r="AS112"/>
  <c r="L95"/>
  <c r="M94"/>
  <c r="E95"/>
  <c r="F94"/>
  <c r="E228" i="3"/>
  <c r="D229"/>
  <c r="W116" i="1"/>
  <c r="X115"/>
  <c r="AM115"/>
  <c r="AN114"/>
  <c r="L96"/>
  <c r="M95"/>
  <c r="AR113"/>
  <c r="AS113"/>
  <c r="E96"/>
  <c r="F95"/>
  <c r="E229" i="3"/>
  <c r="D230"/>
  <c r="W117" i="1"/>
  <c r="X116"/>
  <c r="AM116"/>
  <c r="AN115"/>
  <c r="AR114"/>
  <c r="AS114"/>
  <c r="L97"/>
  <c r="M96"/>
  <c r="E97"/>
  <c r="F96"/>
  <c r="E230" i="3"/>
  <c r="D231"/>
  <c r="W118" i="1"/>
  <c r="X117"/>
  <c r="AM117"/>
  <c r="AN116"/>
  <c r="L98"/>
  <c r="M97"/>
  <c r="AR115"/>
  <c r="AS115"/>
  <c r="E98"/>
  <c r="F97"/>
  <c r="E231" i="3"/>
  <c r="D232"/>
  <c r="W119" i="1"/>
  <c r="X118"/>
  <c r="AM118"/>
  <c r="AN117"/>
  <c r="AR116"/>
  <c r="AS116"/>
  <c r="L99"/>
  <c r="M98"/>
  <c r="E99"/>
  <c r="F98"/>
  <c r="E232" i="3"/>
  <c r="D233"/>
  <c r="W120" i="1"/>
  <c r="X119"/>
  <c r="AM119"/>
  <c r="AN118"/>
  <c r="L100"/>
  <c r="M99"/>
  <c r="AR117"/>
  <c r="AS117"/>
  <c r="E100"/>
  <c r="F99"/>
  <c r="E233" i="3"/>
  <c r="D234"/>
  <c r="W121" i="1"/>
  <c r="X120"/>
  <c r="AM120"/>
  <c r="AN119"/>
  <c r="AR118"/>
  <c r="AS118"/>
  <c r="L101"/>
  <c r="M100"/>
  <c r="E101"/>
  <c r="F100"/>
  <c r="E234" i="3"/>
  <c r="D235"/>
  <c r="W122" i="1"/>
  <c r="X121"/>
  <c r="AM121"/>
  <c r="AN120"/>
  <c r="L102"/>
  <c r="M101"/>
  <c r="AR119"/>
  <c r="AS119"/>
  <c r="E102"/>
  <c r="F101"/>
  <c r="E235" i="3"/>
  <c r="D236"/>
  <c r="W123" i="1"/>
  <c r="X122"/>
  <c r="AM122"/>
  <c r="AN121"/>
  <c r="AR120"/>
  <c r="AS120"/>
  <c r="L103"/>
  <c r="M102"/>
  <c r="E103"/>
  <c r="F102"/>
  <c r="E236" i="3"/>
  <c r="D237"/>
  <c r="W124" i="1"/>
  <c r="X123"/>
  <c r="AM123"/>
  <c r="AN122"/>
  <c r="L104"/>
  <c r="M103"/>
  <c r="AR121"/>
  <c r="AS121"/>
  <c r="E104"/>
  <c r="F103"/>
  <c r="E237" i="3"/>
  <c r="D238"/>
  <c r="W125" i="1"/>
  <c r="X124"/>
  <c r="AM124"/>
  <c r="AN123"/>
  <c r="AR122"/>
  <c r="AS122"/>
  <c r="L105"/>
  <c r="M104"/>
  <c r="E105"/>
  <c r="F104"/>
  <c r="E238" i="3"/>
  <c r="D239"/>
  <c r="W126" i="1"/>
  <c r="X125"/>
  <c r="AM125"/>
  <c r="AN124"/>
  <c r="L106"/>
  <c r="M105"/>
  <c r="AR123"/>
  <c r="AS123"/>
  <c r="E106"/>
  <c r="F105"/>
  <c r="E239" i="3"/>
  <c r="D240"/>
  <c r="W127" i="1"/>
  <c r="X126"/>
  <c r="AM126"/>
  <c r="AN125"/>
  <c r="AR124"/>
  <c r="AS124"/>
  <c r="L107"/>
  <c r="M106"/>
  <c r="E107"/>
  <c r="F106"/>
  <c r="E240" i="3"/>
  <c r="D241"/>
  <c r="W128" i="1"/>
  <c r="X127"/>
  <c r="AM127"/>
  <c r="AN126"/>
  <c r="L108"/>
  <c r="M107"/>
  <c r="AR125"/>
  <c r="AS125"/>
  <c r="E108"/>
  <c r="F107"/>
  <c r="E241" i="3"/>
  <c r="D242"/>
  <c r="W129" i="1"/>
  <c r="X128"/>
  <c r="AM128"/>
  <c r="AN127"/>
  <c r="AR126"/>
  <c r="AS126"/>
  <c r="L109"/>
  <c r="M108"/>
  <c r="E109"/>
  <c r="F108"/>
  <c r="E242" i="3"/>
  <c r="D243"/>
  <c r="W130" i="1"/>
  <c r="X129"/>
  <c r="AM129"/>
  <c r="AN128"/>
  <c r="L110"/>
  <c r="M110"/>
  <c r="M109"/>
  <c r="AR127"/>
  <c r="AS127"/>
  <c r="F109"/>
  <c r="E110"/>
  <c r="E243" i="3"/>
  <c r="D244"/>
  <c r="W131" i="1"/>
  <c r="X130"/>
  <c r="AM130"/>
  <c r="AN129"/>
  <c r="AR128"/>
  <c r="AS128"/>
  <c r="L111"/>
  <c r="F110"/>
  <c r="E111"/>
  <c r="E244" i="3"/>
  <c r="D245"/>
  <c r="W132" i="1"/>
  <c r="X131"/>
  <c r="AM131"/>
  <c r="AN130"/>
  <c r="L112"/>
  <c r="M111"/>
  <c r="AR129"/>
  <c r="AS129"/>
  <c r="F111"/>
  <c r="E112"/>
  <c r="E245" i="3"/>
  <c r="D246"/>
  <c r="W133" i="1"/>
  <c r="X132"/>
  <c r="AM132"/>
  <c r="AN131"/>
  <c r="AR130"/>
  <c r="AS130"/>
  <c r="L113"/>
  <c r="M112"/>
  <c r="F112"/>
  <c r="E113"/>
  <c r="E246" i="3"/>
  <c r="D247"/>
  <c r="W134" i="1"/>
  <c r="X133"/>
  <c r="AM133"/>
  <c r="AN132"/>
  <c r="L114"/>
  <c r="M114"/>
  <c r="M113"/>
  <c r="AR131"/>
  <c r="AS131"/>
  <c r="E114"/>
  <c r="F113"/>
  <c r="E247" i="3"/>
  <c r="D248"/>
  <c r="W135" i="1"/>
  <c r="X134"/>
  <c r="AM134"/>
  <c r="AN133"/>
  <c r="AR132"/>
  <c r="AS132"/>
  <c r="F114"/>
  <c r="E115"/>
  <c r="E248" i="3"/>
  <c r="D249"/>
  <c r="W136" i="1"/>
  <c r="X135"/>
  <c r="AM135"/>
  <c r="AN134"/>
  <c r="AR133"/>
  <c r="AS133"/>
  <c r="E116"/>
  <c r="F115"/>
  <c r="E249" i="3"/>
  <c r="D250"/>
  <c r="W137" i="1"/>
  <c r="X136"/>
  <c r="AM136"/>
  <c r="AN135"/>
  <c r="AR134"/>
  <c r="AS134"/>
  <c r="E117"/>
  <c r="F116"/>
  <c r="E250" i="3"/>
  <c r="D251"/>
  <c r="W138" i="1"/>
  <c r="X137"/>
  <c r="AM137"/>
  <c r="AN136"/>
  <c r="AR135"/>
  <c r="AS135"/>
  <c r="E118"/>
  <c r="F117"/>
  <c r="E251" i="3"/>
  <c r="D252"/>
  <c r="W139" i="1"/>
  <c r="X138"/>
  <c r="AM138"/>
  <c r="AN137"/>
  <c r="AR136"/>
  <c r="AS136"/>
  <c r="E119"/>
  <c r="F118"/>
  <c r="E252" i="3"/>
  <c r="D253"/>
  <c r="W140" i="1"/>
  <c r="X139"/>
  <c r="AM139"/>
  <c r="AN138"/>
  <c r="AR137"/>
  <c r="AS137"/>
  <c r="E120"/>
  <c r="F119"/>
  <c r="E253" i="3"/>
  <c r="D254"/>
  <c r="W141" i="1"/>
  <c r="X140"/>
  <c r="AM140"/>
  <c r="AN139"/>
  <c r="AR138"/>
  <c r="AS138"/>
  <c r="F120"/>
  <c r="E121"/>
  <c r="F121"/>
  <c r="E254" i="3"/>
  <c r="D255"/>
  <c r="W142" i="1"/>
  <c r="X141"/>
  <c r="AM141"/>
  <c r="AN140"/>
  <c r="AR139"/>
  <c r="AS139"/>
  <c r="E255" i="3"/>
  <c r="D256"/>
  <c r="W143" i="1"/>
  <c r="X142"/>
  <c r="AM142"/>
  <c r="AN141"/>
  <c r="AR140"/>
  <c r="AS140"/>
  <c r="E256" i="3"/>
  <c r="D257"/>
  <c r="W144" i="1"/>
  <c r="X143"/>
  <c r="AM143"/>
  <c r="AN142"/>
  <c r="AR141"/>
  <c r="AS141"/>
  <c r="E257" i="3"/>
  <c r="D258"/>
  <c r="W145" i="1"/>
  <c r="X144"/>
  <c r="AM144"/>
  <c r="AN143"/>
  <c r="AR142"/>
  <c r="AS142"/>
  <c r="E258" i="3"/>
  <c r="D259"/>
  <c r="W146" i="1"/>
  <c r="X145"/>
  <c r="AM145"/>
  <c r="AN144"/>
  <c r="AR143"/>
  <c r="AS143"/>
  <c r="E259" i="3"/>
  <c r="D260"/>
  <c r="W147" i="1"/>
  <c r="X146"/>
  <c r="AM146"/>
  <c r="AN145"/>
  <c r="AR144"/>
  <c r="AS144"/>
  <c r="E260" i="3"/>
  <c r="D261"/>
  <c r="W148" i="1"/>
  <c r="X147"/>
  <c r="AM147"/>
  <c r="AN146"/>
  <c r="AR145"/>
  <c r="AS145"/>
  <c r="E261" i="3"/>
  <c r="D262"/>
  <c r="W149" i="1"/>
  <c r="X148"/>
  <c r="AM148"/>
  <c r="AN147"/>
  <c r="AR146"/>
  <c r="AS146"/>
  <c r="E262" i="3"/>
  <c r="D263"/>
  <c r="W150" i="1"/>
  <c r="X149"/>
  <c r="AM149"/>
  <c r="AN148"/>
  <c r="AR147"/>
  <c r="AS147"/>
  <c r="E263" i="3"/>
  <c r="D264"/>
  <c r="W151" i="1"/>
  <c r="X150"/>
  <c r="AM150"/>
  <c r="AN149"/>
  <c r="AR148"/>
  <c r="AS148"/>
  <c r="E264" i="3"/>
  <c r="D265"/>
  <c r="W152" i="1"/>
  <c r="X151"/>
  <c r="AM151"/>
  <c r="AN150"/>
  <c r="AR149"/>
  <c r="AS149"/>
  <c r="E265" i="3"/>
  <c r="D266"/>
  <c r="W153" i="1"/>
  <c r="X152"/>
  <c r="AM152"/>
  <c r="AN151"/>
  <c r="AR150"/>
  <c r="AS150"/>
  <c r="E266" i="3"/>
  <c r="D267"/>
  <c r="W154" i="1"/>
  <c r="X153"/>
  <c r="AM153"/>
  <c r="AN152"/>
  <c r="AR151"/>
  <c r="AS151"/>
  <c r="E267" i="3"/>
  <c r="D268"/>
  <c r="W155" i="1"/>
  <c r="X154"/>
  <c r="AM154"/>
  <c r="AN153"/>
  <c r="AR152"/>
  <c r="AS152"/>
  <c r="E268" i="3"/>
  <c r="D269"/>
  <c r="W156" i="1"/>
  <c r="X155"/>
  <c r="AM155"/>
  <c r="AN154"/>
  <c r="AR153"/>
  <c r="AS153"/>
  <c r="E269" i="3"/>
  <c r="D270"/>
  <c r="W157" i="1"/>
  <c r="X156"/>
  <c r="AM156"/>
  <c r="AN155"/>
  <c r="AR154"/>
  <c r="AS154"/>
  <c r="E270" i="3"/>
  <c r="D271"/>
  <c r="W158" i="1"/>
  <c r="X157"/>
  <c r="AM157"/>
  <c r="AN156"/>
  <c r="AR155"/>
  <c r="AS155"/>
  <c r="E271" i="3"/>
  <c r="D272"/>
  <c r="W159" i="1"/>
  <c r="X158"/>
  <c r="AM158"/>
  <c r="AN157"/>
  <c r="AR156"/>
  <c r="AS156"/>
  <c r="E272" i="3"/>
  <c r="D273"/>
  <c r="W160" i="1"/>
  <c r="X159"/>
  <c r="AM159"/>
  <c r="AN158"/>
  <c r="AR157"/>
  <c r="AS157"/>
  <c r="E273" i="3"/>
  <c r="D274"/>
  <c r="W161" i="1"/>
  <c r="X160"/>
  <c r="AM160"/>
  <c r="AN159"/>
  <c r="AR158"/>
  <c r="AS158"/>
  <c r="E274" i="3"/>
  <c r="D275"/>
  <c r="W162" i="1"/>
  <c r="X161"/>
  <c r="AM161"/>
  <c r="AN160"/>
  <c r="AR159"/>
  <c r="AS159"/>
  <c r="E275" i="3"/>
  <c r="D276"/>
  <c r="W163" i="1"/>
  <c r="X162"/>
  <c r="AM162"/>
  <c r="AN161"/>
  <c r="AR160"/>
  <c r="AS160"/>
  <c r="E276" i="3"/>
  <c r="D277"/>
  <c r="W164" i="1"/>
  <c r="X163"/>
  <c r="AM163"/>
  <c r="AN162"/>
  <c r="AR161"/>
  <c r="AS161"/>
  <c r="E277" i="3"/>
  <c r="D278"/>
  <c r="W165" i="1"/>
  <c r="X164"/>
  <c r="AM164"/>
  <c r="AN164"/>
  <c r="AN163"/>
  <c r="AR162"/>
  <c r="AS162"/>
  <c r="E278" i="3"/>
  <c r="D279"/>
  <c r="W166" i="1"/>
  <c r="X165"/>
  <c r="AM165"/>
  <c r="AR163"/>
  <c r="AS163"/>
  <c r="E279" i="3"/>
  <c r="D280"/>
  <c r="W167" i="1"/>
  <c r="X166"/>
  <c r="AM166"/>
  <c r="AN165"/>
  <c r="AR164"/>
  <c r="AS164"/>
  <c r="E280" i="3"/>
  <c r="D281"/>
  <c r="W168" i="1"/>
  <c r="X167"/>
  <c r="AM167"/>
  <c r="AN166"/>
  <c r="AR165"/>
  <c r="AS165"/>
  <c r="E281" i="3"/>
  <c r="D282"/>
  <c r="W169" i="1"/>
  <c r="X169"/>
  <c r="X168"/>
  <c r="AM168"/>
  <c r="AN167"/>
  <c r="AR166"/>
  <c r="AS166"/>
  <c r="E282" i="3"/>
  <c r="D283"/>
  <c r="AM169" i="1"/>
  <c r="AN169"/>
  <c r="AN168"/>
  <c r="AR167"/>
  <c r="AS167"/>
  <c r="E283" i="3"/>
  <c r="D284"/>
  <c r="AR168" i="1"/>
  <c r="AS168"/>
  <c r="E284" i="3"/>
  <c r="D285"/>
  <c r="AR169" i="1"/>
  <c r="AS169"/>
  <c r="E285" i="3"/>
  <c r="D286"/>
  <c r="E286"/>
  <c r="D287"/>
  <c r="E287"/>
  <c r="D288"/>
  <c r="E288"/>
  <c r="D289"/>
  <c r="E289"/>
  <c r="D290"/>
  <c r="E290"/>
  <c r="D291"/>
  <c r="E291"/>
  <c r="P15" i="8"/>
  <c r="P21"/>
  <c r="Q17"/>
  <c r="O15"/>
  <c r="P17"/>
  <c r="O17"/>
  <c r="AQ4"/>
  <c r="AR4"/>
  <c r="AS4"/>
  <c r="AP4"/>
  <c r="AP2"/>
  <c r="M30"/>
  <c r="M37"/>
  <c r="N36"/>
  <c r="O101"/>
  <c r="O47"/>
  <c r="N60"/>
  <c r="N58"/>
  <c r="N56"/>
  <c r="N48"/>
  <c r="N33"/>
  <c r="N40"/>
  <c r="O71"/>
  <c r="N30"/>
  <c r="N43"/>
  <c r="N36" i="10"/>
  <c r="V36"/>
  <c r="W36"/>
  <c r="X36"/>
  <c r="F42"/>
  <c r="G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P36"/>
  <c r="H36"/>
  <c r="O36"/>
  <c r="G36"/>
  <c r="U36"/>
  <c r="M36"/>
  <c r="S36"/>
  <c r="K36"/>
  <c r="Y36"/>
  <c r="Q36"/>
  <c r="I36"/>
  <c r="Z36"/>
  <c r="R36"/>
  <c r="J36"/>
  <c r="T36"/>
  <c r="L36"/>
  <c r="J50"/>
  <c r="J54"/>
  <c r="P188" i="8"/>
  <c r="S156"/>
  <c r="L15" i="9"/>
  <c r="K50" i="10"/>
  <c r="K54"/>
  <c r="Q188" i="8"/>
  <c r="U152"/>
  <c r="K6" i="9"/>
  <c r="K7"/>
  <c r="M15"/>
  <c r="T156" i="8"/>
  <c r="L50" i="10"/>
  <c r="L54"/>
  <c r="R188" i="8"/>
  <c r="V152"/>
  <c r="K10" i="9"/>
  <c r="L6"/>
  <c r="L7"/>
  <c r="U156" i="8"/>
  <c r="N15" i="9"/>
  <c r="S18" i="8"/>
  <c r="S20"/>
  <c r="K12" i="9"/>
  <c r="W152" i="8"/>
  <c r="M50" i="10"/>
  <c r="M54"/>
  <c r="S188" i="8"/>
  <c r="L10" i="9"/>
  <c r="M6"/>
  <c r="M7"/>
  <c r="O15"/>
  <c r="V156" i="8"/>
  <c r="T18"/>
  <c r="T20"/>
  <c r="L12" i="9"/>
  <c r="X152" i="8"/>
  <c r="N50" i="10"/>
  <c r="N54"/>
  <c r="T188" i="8"/>
  <c r="M10" i="9"/>
  <c r="N6"/>
  <c r="N7"/>
  <c r="P15"/>
  <c r="W156" i="8"/>
  <c r="U18"/>
  <c r="U20"/>
  <c r="M12" i="9"/>
  <c r="Y152" i="8"/>
  <c r="O50" i="10"/>
  <c r="O54"/>
  <c r="U188" i="8"/>
  <c r="N10" i="9"/>
  <c r="O6"/>
  <c r="O7"/>
  <c r="Q15"/>
  <c r="X156" i="8"/>
  <c r="V18"/>
  <c r="V20"/>
  <c r="N12" i="9"/>
  <c r="Z152" i="8"/>
  <c r="P50" i="10"/>
  <c r="P54"/>
  <c r="V188" i="8"/>
  <c r="O10" i="9"/>
  <c r="P6"/>
  <c r="P7"/>
  <c r="Y156" i="8"/>
  <c r="R15" i="9"/>
  <c r="W18" i="8"/>
  <c r="W20"/>
  <c r="O12" i="9"/>
  <c r="AA152" i="8"/>
  <c r="Q50" i="10"/>
  <c r="Q54"/>
  <c r="W188" i="8"/>
  <c r="P10" i="9"/>
  <c r="Q6"/>
  <c r="Q7"/>
  <c r="Z156" i="8"/>
  <c r="S15" i="9"/>
  <c r="X18" i="8"/>
  <c r="X20"/>
  <c r="P12" i="9"/>
  <c r="AB152" i="8"/>
  <c r="R50" i="10"/>
  <c r="R54"/>
  <c r="X188" i="8"/>
  <c r="Q10" i="9"/>
  <c r="R6"/>
  <c r="R7"/>
  <c r="AA156" i="8"/>
  <c r="T15" i="9"/>
  <c r="Y18" i="8"/>
  <c r="Y20"/>
  <c r="Q12" i="9"/>
  <c r="AC152" i="8"/>
  <c r="S50" i="10"/>
  <c r="S54"/>
  <c r="Y188" i="8"/>
  <c r="R10" i="9"/>
  <c r="S6"/>
  <c r="S7"/>
  <c r="AB156" i="8"/>
  <c r="U15" i="9"/>
  <c r="Z18" i="8"/>
  <c r="Z20"/>
  <c r="R12" i="9"/>
  <c r="AD152" i="8"/>
  <c r="T50" i="10"/>
  <c r="T54"/>
  <c r="Z188" i="8"/>
  <c r="S10" i="9"/>
  <c r="T6"/>
  <c r="T7"/>
  <c r="AC156" i="8"/>
  <c r="V15" i="9"/>
  <c r="AA18" i="8"/>
  <c r="AA20"/>
  <c r="S12" i="9"/>
  <c r="AE152" i="8"/>
  <c r="U50" i="10"/>
  <c r="U54"/>
  <c r="AA188" i="8"/>
  <c r="T10" i="9"/>
  <c r="U6"/>
  <c r="U7"/>
  <c r="AD156" i="8"/>
  <c r="AB18"/>
  <c r="AB20"/>
  <c r="T12" i="9"/>
  <c r="AF152" i="8"/>
  <c r="V50" i="10"/>
  <c r="V54"/>
  <c r="AB188" i="8"/>
  <c r="U10" i="9"/>
  <c r="V6"/>
  <c r="V7"/>
  <c r="AE156" i="8"/>
  <c r="AC18"/>
  <c r="AC20"/>
  <c r="U12" i="9"/>
  <c r="AG152" i="8"/>
  <c r="W50" i="10"/>
  <c r="W54"/>
  <c r="AC188" i="8"/>
  <c r="V10" i="9"/>
  <c r="W6"/>
  <c r="W7"/>
  <c r="AF156" i="8"/>
  <c r="AD18"/>
  <c r="AD20"/>
  <c r="V12" i="9"/>
  <c r="X50" i="10"/>
  <c r="X54"/>
  <c r="AD188" i="8"/>
  <c r="W10" i="9"/>
  <c r="X6"/>
  <c r="X7"/>
  <c r="AG156" i="8"/>
  <c r="AE18"/>
  <c r="AE20"/>
  <c r="W12" i="9"/>
  <c r="AH152" i="8"/>
  <c r="AH156"/>
  <c r="AI152"/>
  <c r="X10" i="9"/>
  <c r="Y6"/>
  <c r="Y7"/>
  <c r="AF18" i="8"/>
  <c r="AF20"/>
  <c r="X12" i="9"/>
  <c r="AE188" i="8"/>
  <c r="Y50" i="10"/>
  <c r="Y54"/>
  <c r="AF188" i="8"/>
  <c r="Y10" i="9"/>
  <c r="AI156" i="8"/>
  <c r="Z50" i="10"/>
  <c r="Z54"/>
  <c r="Z6" i="9"/>
  <c r="Z7"/>
  <c r="S109" i="8"/>
  <c r="S123"/>
  <c r="AG18"/>
  <c r="AG20"/>
  <c r="Y12" i="9"/>
  <c r="Z10"/>
  <c r="AA6"/>
  <c r="AA7"/>
  <c r="T24" i="8"/>
  <c r="AH18"/>
  <c r="AH20"/>
  <c r="Z12" i="9"/>
  <c r="AA10"/>
  <c r="U24" i="8"/>
  <c r="T109"/>
  <c r="AI18"/>
  <c r="AI20"/>
  <c r="AA12" i="9"/>
  <c r="U109" i="8"/>
  <c r="V24"/>
  <c r="T123"/>
  <c r="V109"/>
  <c r="W24"/>
  <c r="U123"/>
  <c r="V123"/>
  <c r="W109"/>
  <c r="X24"/>
  <c r="X109"/>
  <c r="Y24"/>
  <c r="W123"/>
  <c r="X123"/>
  <c r="Y109"/>
  <c r="Z24"/>
  <c r="Z109"/>
  <c r="AA24"/>
  <c r="Y123"/>
  <c r="AA109"/>
  <c r="AB24"/>
  <c r="Z123"/>
  <c r="AB109"/>
  <c r="AC24"/>
  <c r="AA123"/>
  <c r="AC109"/>
  <c r="AD24"/>
  <c r="AB123"/>
  <c r="AC123"/>
  <c r="AD109"/>
  <c r="AE24"/>
  <c r="AD123"/>
  <c r="AE109"/>
  <c r="AF24"/>
  <c r="AF109"/>
  <c r="AG24"/>
  <c r="AE123"/>
  <c r="AF123"/>
  <c r="AG109"/>
  <c r="AH24"/>
  <c r="AH109"/>
  <c r="AI24"/>
  <c r="AG123"/>
  <c r="AI109"/>
  <c r="AH123"/>
  <c r="AI123"/>
  <c r="E42" i="10"/>
  <c r="AE34" i="8"/>
  <c r="AF34"/>
  <c r="AG34"/>
  <c r="AH34"/>
  <c r="AH48"/>
  <c r="AI34"/>
  <c r="AE36"/>
  <c r="AF101"/>
  <c r="AF36"/>
  <c r="AG101"/>
  <c r="AG36"/>
  <c r="AH101"/>
  <c r="AH36"/>
  <c r="AI101"/>
  <c r="AI36"/>
  <c r="AM41"/>
  <c r="AN41"/>
  <c r="AN42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I53"/>
  <c r="AI47"/>
  <c r="AH53"/>
  <c r="AH47"/>
  <c r="AF53"/>
  <c r="AF47"/>
  <c r="AI35"/>
  <c r="AI37"/>
  <c r="AI48"/>
  <c r="AH35"/>
  <c r="AG53"/>
  <c r="AG47"/>
  <c r="AE48"/>
  <c r="AF37"/>
  <c r="AF35"/>
  <c r="AG35"/>
  <c r="AG37"/>
  <c r="AH37"/>
  <c r="AG48"/>
  <c r="AF48"/>
  <c r="P37"/>
  <c r="AL38"/>
  <c r="AL39"/>
  <c r="AM42"/>
  <c r="P103"/>
  <c r="S3"/>
  <c r="T3"/>
  <c r="U3"/>
  <c r="V3"/>
  <c r="W3"/>
  <c r="X3"/>
  <c r="Y3"/>
  <c r="Z3"/>
  <c r="AA3"/>
  <c r="AB3"/>
  <c r="AC3"/>
  <c r="AD3"/>
  <c r="AE3"/>
  <c r="AF3"/>
  <c r="AG3"/>
  <c r="AH3"/>
  <c r="AI3"/>
  <c r="S7"/>
  <c r="T7"/>
  <c r="U7"/>
  <c r="V7"/>
  <c r="W7"/>
  <c r="X7"/>
  <c r="Y7"/>
  <c r="Z7"/>
  <c r="AA7"/>
  <c r="AB7"/>
  <c r="AC7"/>
  <c r="AD7"/>
  <c r="AE7"/>
  <c r="AF7"/>
  <c r="AG7"/>
  <c r="AH7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O13"/>
  <c r="O7"/>
  <c r="O5"/>
  <c r="P13"/>
  <c r="P7"/>
  <c r="P5"/>
  <c r="Q13"/>
  <c r="Q7"/>
  <c r="Q5"/>
  <c r="R13"/>
  <c r="R7"/>
  <c r="P2"/>
  <c r="P110"/>
  <c r="P124"/>
  <c r="P108"/>
  <c r="P122"/>
  <c r="O108"/>
  <c r="O110"/>
  <c r="Q6"/>
  <c r="Q110"/>
  <c r="Q2"/>
  <c r="Q108"/>
  <c r="O2"/>
  <c r="O6"/>
  <c r="P6"/>
  <c r="O3"/>
  <c r="P3"/>
  <c r="M43" i="4"/>
  <c r="O124" i="8"/>
  <c r="O122"/>
  <c r="Q122"/>
  <c r="Q124"/>
  <c r="L43" i="4"/>
  <c r="N43"/>
  <c r="Q3" i="8"/>
  <c r="M20" i="4"/>
  <c r="M16"/>
  <c r="M38"/>
  <c r="P75" i="8"/>
  <c r="M36" i="4"/>
  <c r="P74" i="8"/>
  <c r="L20" i="4"/>
  <c r="L16"/>
  <c r="L36"/>
  <c r="O74" i="8"/>
  <c r="L38" i="4"/>
  <c r="O75" i="8"/>
  <c r="N36" i="4"/>
  <c r="Q74" i="8"/>
  <c r="N20" i="4"/>
  <c r="N16"/>
  <c r="N38"/>
  <c r="Q75" i="8"/>
  <c r="P70"/>
  <c r="Q70"/>
  <c r="O70"/>
  <c r="L18" i="4"/>
  <c r="E49" i="10"/>
  <c r="F49"/>
  <c r="F51"/>
  <c r="G49"/>
  <c r="G51"/>
  <c r="H49"/>
  <c r="I49"/>
  <c r="I51"/>
  <c r="J49"/>
  <c r="J51"/>
  <c r="K49"/>
  <c r="K51"/>
  <c r="L49"/>
  <c r="L51"/>
  <c r="M49"/>
  <c r="N49"/>
  <c r="N51"/>
  <c r="O49"/>
  <c r="P49"/>
  <c r="P51"/>
  <c r="Q49"/>
  <c r="Q51"/>
  <c r="R49"/>
  <c r="R51"/>
  <c r="S49"/>
  <c r="S51"/>
  <c r="T49"/>
  <c r="T51"/>
  <c r="U49"/>
  <c r="U51"/>
  <c r="V49"/>
  <c r="V51"/>
  <c r="W49"/>
  <c r="X49"/>
  <c r="Y49"/>
  <c r="Y51"/>
  <c r="Z49"/>
  <c r="Z51"/>
  <c r="E51"/>
  <c r="H51"/>
  <c r="M51"/>
  <c r="O51"/>
  <c r="W51"/>
  <c r="X51"/>
  <c r="E81"/>
  <c r="E83"/>
  <c r="F81"/>
  <c r="F83"/>
  <c r="G81"/>
  <c r="G83"/>
  <c r="H81"/>
  <c r="H83"/>
  <c r="I81"/>
  <c r="I83"/>
  <c r="J81"/>
  <c r="J83"/>
  <c r="K81"/>
  <c r="K83"/>
  <c r="L81"/>
  <c r="L83"/>
  <c r="M81"/>
  <c r="M83"/>
  <c r="N81"/>
  <c r="N83"/>
  <c r="O81"/>
  <c r="O83"/>
  <c r="P81"/>
  <c r="P83"/>
  <c r="Q81"/>
  <c r="Q83"/>
  <c r="R81"/>
  <c r="R83"/>
  <c r="S81"/>
  <c r="S83"/>
  <c r="T81"/>
  <c r="T83"/>
  <c r="U81"/>
  <c r="U83"/>
  <c r="V81"/>
  <c r="V83"/>
  <c r="W81"/>
  <c r="W83"/>
  <c r="X81"/>
  <c r="X83"/>
  <c r="Y81"/>
  <c r="Y83"/>
  <c r="Z81"/>
  <c r="Z83"/>
  <c r="N138" i="8"/>
  <c r="AD136"/>
  <c r="AE114"/>
  <c r="Q10" i="4"/>
  <c r="M12"/>
  <c r="AI138" i="8"/>
  <c r="N133"/>
  <c r="O113"/>
  <c r="O111"/>
  <c r="N129"/>
  <c r="N139"/>
  <c r="AD138"/>
  <c r="AD133"/>
  <c r="AI136"/>
  <c r="AA56" i="4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L12"/>
  <c r="M11"/>
  <c r="AI133" i="8"/>
  <c r="Q6" i="4"/>
  <c r="Q7"/>
  <c r="Q4"/>
  <c r="T66" i="8"/>
  <c r="AE113"/>
  <c r="AE111"/>
  <c r="AD129"/>
  <c r="N12" i="4"/>
  <c r="P10"/>
  <c r="Q9"/>
  <c r="K56"/>
  <c r="N140" i="8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N134"/>
  <c r="K52" i="4"/>
  <c r="O127" i="8"/>
  <c r="O125"/>
  <c r="O112"/>
  <c r="O106"/>
  <c r="O128"/>
  <c r="T138"/>
  <c r="T136"/>
  <c r="T133"/>
  <c r="Q56" i="4"/>
  <c r="U114" i="8"/>
  <c r="AE136"/>
  <c r="N11" i="4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P6"/>
  <c r="P7"/>
  <c r="P4"/>
  <c r="S66" i="8"/>
  <c r="AE138"/>
  <c r="AF56" i="4"/>
  <c r="T129" i="8"/>
  <c r="U113"/>
  <c r="AF138"/>
  <c r="AE125"/>
  <c r="AE127"/>
  <c r="AI129"/>
  <c r="O118"/>
  <c r="O116"/>
  <c r="O49"/>
  <c r="O99"/>
  <c r="O117"/>
  <c r="O119"/>
  <c r="P41" i="4"/>
  <c r="P40"/>
  <c r="O120" i="8"/>
  <c r="AH138"/>
  <c r="U111"/>
  <c r="AF113"/>
  <c r="AE139"/>
  <c r="U138"/>
  <c r="AI113"/>
  <c r="AI139"/>
  <c r="AF139"/>
  <c r="AG113"/>
  <c r="U125"/>
  <c r="U127"/>
  <c r="U136"/>
  <c r="AG138"/>
  <c r="AH139"/>
  <c r="AB41" i="4"/>
  <c r="AF136" i="8"/>
  <c r="O136"/>
  <c r="Q41" i="4"/>
  <c r="Q40"/>
  <c r="L6"/>
  <c r="L4"/>
  <c r="AE133" i="8"/>
  <c r="AF114"/>
  <c r="AE137"/>
  <c r="O138"/>
  <c r="O170"/>
  <c r="O50"/>
  <c r="O51"/>
  <c r="AN102"/>
  <c r="O54"/>
  <c r="O100"/>
  <c r="O115"/>
  <c r="S77"/>
  <c r="AH136"/>
  <c r="AF111"/>
  <c r="P114"/>
  <c r="O137"/>
  <c r="O66"/>
  <c r="O62"/>
  <c r="O61"/>
  <c r="L2" i="4"/>
  <c r="AH113" i="8"/>
  <c r="AG139"/>
  <c r="AC41" i="4"/>
  <c r="AF133" i="8"/>
  <c r="AG114"/>
  <c r="AG111"/>
  <c r="AF137"/>
  <c r="U133"/>
  <c r="U129"/>
  <c r="U137"/>
  <c r="V114"/>
  <c r="U139"/>
  <c r="V113"/>
  <c r="AH133"/>
  <c r="AI114"/>
  <c r="AI111"/>
  <c r="AI137"/>
  <c r="AB56" i="4"/>
  <c r="AE134" i="8"/>
  <c r="AE141"/>
  <c r="P136"/>
  <c r="P137"/>
  <c r="AF125"/>
  <c r="AF127"/>
  <c r="V138"/>
  <c r="M10" i="4"/>
  <c r="M6"/>
  <c r="M7"/>
  <c r="M4"/>
  <c r="R41"/>
  <c r="R40"/>
  <c r="V136" i="8"/>
  <c r="AG136"/>
  <c r="AH137"/>
  <c r="AE129"/>
  <c r="T77"/>
  <c r="O133"/>
  <c r="P113"/>
  <c r="P111"/>
  <c r="O129"/>
  <c r="O139"/>
  <c r="S78"/>
  <c r="P138"/>
  <c r="L49" i="4"/>
  <c r="O55" i="8"/>
  <c r="L51" i="4"/>
  <c r="AI127" i="8"/>
  <c r="AI125"/>
  <c r="AG127"/>
  <c r="AG125"/>
  <c r="P66"/>
  <c r="M2" i="4"/>
  <c r="AE56"/>
  <c r="AI134" i="8"/>
  <c r="AI141"/>
  <c r="AH129"/>
  <c r="AK66"/>
  <c r="O65"/>
  <c r="AE41" i="4"/>
  <c r="AF41"/>
  <c r="AG133" i="8"/>
  <c r="AH114"/>
  <c r="AH111"/>
  <c r="AG137"/>
  <c r="Q136"/>
  <c r="AD41" i="4"/>
  <c r="W113" i="8"/>
  <c r="V139"/>
  <c r="N10" i="4"/>
  <c r="N6"/>
  <c r="V111" i="8"/>
  <c r="R56" i="4"/>
  <c r="U134" i="8"/>
  <c r="U141"/>
  <c r="W138"/>
  <c r="AC56" i="4"/>
  <c r="AF134" i="8"/>
  <c r="AF141"/>
  <c r="AF129"/>
  <c r="W136"/>
  <c r="S41" i="4"/>
  <c r="S40"/>
  <c r="V133" i="8"/>
  <c r="V137"/>
  <c r="W114"/>
  <c r="Q138"/>
  <c r="P125"/>
  <c r="P127"/>
  <c r="P112"/>
  <c r="P128"/>
  <c r="P106"/>
  <c r="P120"/>
  <c r="AB10" i="4"/>
  <c r="L56"/>
  <c r="O141" i="8"/>
  <c r="O134"/>
  <c r="L52" i="4"/>
  <c r="R10"/>
  <c r="L53"/>
  <c r="L45"/>
  <c r="P133" i="8"/>
  <c r="Q113"/>
  <c r="P139"/>
  <c r="T78"/>
  <c r="U77"/>
  <c r="S138"/>
  <c r="S136"/>
  <c r="W111"/>
  <c r="AH127"/>
  <c r="AH125"/>
  <c r="W127"/>
  <c r="W125"/>
  <c r="O10" i="4"/>
  <c r="P65" i="8"/>
  <c r="AL66"/>
  <c r="P62"/>
  <c r="P61"/>
  <c r="AD56" i="4"/>
  <c r="AG134" i="8"/>
  <c r="AG141"/>
  <c r="AG129"/>
  <c r="AH141"/>
  <c r="X113"/>
  <c r="W139"/>
  <c r="T114"/>
  <c r="T137"/>
  <c r="T41" i="4"/>
  <c r="T40"/>
  <c r="AH134" i="8"/>
  <c r="X138"/>
  <c r="V125"/>
  <c r="V127"/>
  <c r="X136"/>
  <c r="N7" i="4"/>
  <c r="N4"/>
  <c r="S56"/>
  <c r="V134" i="8"/>
  <c r="V141"/>
  <c r="V129"/>
  <c r="O63"/>
  <c r="O59"/>
  <c r="W133"/>
  <c r="X114"/>
  <c r="W137"/>
  <c r="R136"/>
  <c r="S137"/>
  <c r="Q114"/>
  <c r="R114"/>
  <c r="Q137"/>
  <c r="U78"/>
  <c r="V77"/>
  <c r="R138"/>
  <c r="J85" i="10"/>
  <c r="S133" i="8"/>
  <c r="T113"/>
  <c r="T111"/>
  <c r="T139"/>
  <c r="S10" i="4"/>
  <c r="AC10"/>
  <c r="P117" i="8"/>
  <c r="P49"/>
  <c r="P119"/>
  <c r="P116"/>
  <c r="P118"/>
  <c r="M56" i="4"/>
  <c r="P134" i="8"/>
  <c r="P141"/>
  <c r="AB6" i="4"/>
  <c r="AB7"/>
  <c r="AB4"/>
  <c r="Q133" i="8"/>
  <c r="R113"/>
  <c r="Q139"/>
  <c r="P129"/>
  <c r="R6" i="4"/>
  <c r="R9"/>
  <c r="R111" i="8"/>
  <c r="X111"/>
  <c r="Q66"/>
  <c r="N2" i="4"/>
  <c r="Y138" i="8"/>
  <c r="T56" i="4"/>
  <c r="W134" i="8"/>
  <c r="W141"/>
  <c r="X133"/>
  <c r="X137"/>
  <c r="Y114"/>
  <c r="W129"/>
  <c r="U41" i="4"/>
  <c r="U40"/>
  <c r="S114" i="8"/>
  <c r="R137"/>
  <c r="X129"/>
  <c r="Y113"/>
  <c r="X139"/>
  <c r="Q111"/>
  <c r="O6" i="4"/>
  <c r="O7"/>
  <c r="O4"/>
  <c r="R66" i="8"/>
  <c r="O9" i="4"/>
  <c r="P9"/>
  <c r="Y136" i="8"/>
  <c r="P63"/>
  <c r="N56" i="4"/>
  <c r="Q141" i="8"/>
  <c r="Q134"/>
  <c r="AE66"/>
  <c r="S6" i="4"/>
  <c r="S7"/>
  <c r="S4"/>
  <c r="S9"/>
  <c r="R133" i="8"/>
  <c r="S141"/>
  <c r="S113"/>
  <c r="R139"/>
  <c r="R7" i="4"/>
  <c r="R4"/>
  <c r="P56"/>
  <c r="T134" i="8"/>
  <c r="T141"/>
  <c r="K85" i="10"/>
  <c r="J86"/>
  <c r="P115" i="8"/>
  <c r="S139"/>
  <c r="W77"/>
  <c r="Q129"/>
  <c r="S129"/>
  <c r="AC9" i="4"/>
  <c r="AC6"/>
  <c r="AC7"/>
  <c r="AC4"/>
  <c r="AE10"/>
  <c r="AF10"/>
  <c r="V78" i="8"/>
  <c r="AD10" i="4"/>
  <c r="R125" i="8"/>
  <c r="R127"/>
  <c r="T10" i="4"/>
  <c r="P54" i="8"/>
  <c r="P50"/>
  <c r="P170"/>
  <c r="P99"/>
  <c r="P100"/>
  <c r="P51"/>
  <c r="T125"/>
  <c r="T127"/>
  <c r="S134"/>
  <c r="Q128"/>
  <c r="Q106"/>
  <c r="Q120"/>
  <c r="Q127"/>
  <c r="Q112"/>
  <c r="Q125"/>
  <c r="Y133"/>
  <c r="Y129"/>
  <c r="Y137"/>
  <c r="Z114"/>
  <c r="Y111"/>
  <c r="V41" i="4"/>
  <c r="V40"/>
  <c r="U56"/>
  <c r="X134" i="8"/>
  <c r="X141"/>
  <c r="Z136"/>
  <c r="R129"/>
  <c r="Q65"/>
  <c r="AM69"/>
  <c r="Q62"/>
  <c r="S65"/>
  <c r="Z138"/>
  <c r="S111"/>
  <c r="S127"/>
  <c r="R65"/>
  <c r="T65"/>
  <c r="Y139"/>
  <c r="Z113"/>
  <c r="Z111"/>
  <c r="X125"/>
  <c r="X127"/>
  <c r="AD9" i="4"/>
  <c r="AD6"/>
  <c r="AD7"/>
  <c r="AD4"/>
  <c r="U66" i="8"/>
  <c r="V66"/>
  <c r="AF66"/>
  <c r="K86" i="10"/>
  <c r="L85"/>
  <c r="AE9" i="4"/>
  <c r="AE6"/>
  <c r="AE7"/>
  <c r="AE4"/>
  <c r="X77" i="8"/>
  <c r="U10" i="4"/>
  <c r="O56"/>
  <c r="R141" i="8"/>
  <c r="R134"/>
  <c r="P59"/>
  <c r="P55"/>
  <c r="M49" i="4"/>
  <c r="M51"/>
  <c r="M52"/>
  <c r="W78" i="8"/>
  <c r="T9" i="4"/>
  <c r="T6"/>
  <c r="T7"/>
  <c r="T4"/>
  <c r="AF9"/>
  <c r="AF6"/>
  <c r="AF7"/>
  <c r="AF4"/>
  <c r="S125" i="8"/>
  <c r="Y125"/>
  <c r="Y127"/>
  <c r="Q63"/>
  <c r="Q61"/>
  <c r="AA136"/>
  <c r="AA138"/>
  <c r="Z133"/>
  <c r="Z129"/>
  <c r="Z137"/>
  <c r="AA114"/>
  <c r="V56" i="4"/>
  <c r="Y134" i="8"/>
  <c r="Y141"/>
  <c r="AA113"/>
  <c r="AA111"/>
  <c r="Z139"/>
  <c r="W41" i="4"/>
  <c r="W40"/>
  <c r="Q49" i="8"/>
  <c r="Q116"/>
  <c r="Q119"/>
  <c r="Q117"/>
  <c r="Q118"/>
  <c r="Z125"/>
  <c r="Z127"/>
  <c r="M53" i="4"/>
  <c r="M45"/>
  <c r="AH66" i="8"/>
  <c r="V65"/>
  <c r="AI66"/>
  <c r="W66"/>
  <c r="U65"/>
  <c r="L86" i="10"/>
  <c r="M85"/>
  <c r="V10" i="4"/>
  <c r="X78" i="8"/>
  <c r="AG66"/>
  <c r="U9" i="4"/>
  <c r="U6"/>
  <c r="U7"/>
  <c r="U4"/>
  <c r="Y77" i="8"/>
  <c r="AC136"/>
  <c r="AC138"/>
  <c r="AB138"/>
  <c r="AC139"/>
  <c r="AB113"/>
  <c r="AA139"/>
  <c r="AA129"/>
  <c r="AA133"/>
  <c r="AB114"/>
  <c r="AA137"/>
  <c r="AC133"/>
  <c r="AC129"/>
  <c r="AD114"/>
  <c r="AD137"/>
  <c r="X41" i="4"/>
  <c r="X40"/>
  <c r="Q115" i="8"/>
  <c r="AD113"/>
  <c r="AD139"/>
  <c r="AA127"/>
  <c r="AA125"/>
  <c r="AB136"/>
  <c r="AC137"/>
  <c r="Q99"/>
  <c r="Q51"/>
  <c r="R51"/>
  <c r="Q54"/>
  <c r="Q100"/>
  <c r="Q50"/>
  <c r="Q170"/>
  <c r="W56" i="4"/>
  <c r="Z134" i="8"/>
  <c r="Z141"/>
  <c r="W10" i="4"/>
  <c r="Z77" i="8"/>
  <c r="V6" i="4"/>
  <c r="V7"/>
  <c r="V4"/>
  <c r="V9"/>
  <c r="AG65" i="8"/>
  <c r="AI65"/>
  <c r="Y78"/>
  <c r="X66"/>
  <c r="M86" i="10"/>
  <c r="N85"/>
  <c r="AH65" i="8"/>
  <c r="W65"/>
  <c r="AB111"/>
  <c r="AB127"/>
  <c r="AB125"/>
  <c r="AB133"/>
  <c r="AB137"/>
  <c r="AC114"/>
  <c r="AB139"/>
  <c r="AC113"/>
  <c r="AC111"/>
  <c r="Z41" i="4"/>
  <c r="AA41"/>
  <c r="Y41"/>
  <c r="Z56"/>
  <c r="AD134" i="8"/>
  <c r="AD141"/>
  <c r="AL58"/>
  <c r="N49" i="4"/>
  <c r="Q59" i="8"/>
  <c r="Q55"/>
  <c r="N51" i="4"/>
  <c r="N52"/>
  <c r="AD111" i="8"/>
  <c r="X56" i="4"/>
  <c r="AA134" i="8"/>
  <c r="AA141"/>
  <c r="X10" i="4"/>
  <c r="Y66" i="8"/>
  <c r="X65"/>
  <c r="Z78"/>
  <c r="Y40" i="4"/>
  <c r="AA77" i="8"/>
  <c r="W6" i="4"/>
  <c r="W7"/>
  <c r="W4"/>
  <c r="W9"/>
  <c r="O85" i="10"/>
  <c r="N86"/>
  <c r="Y56" i="4"/>
  <c r="AB134" i="8"/>
  <c r="AB141"/>
  <c r="AC141"/>
  <c r="AC134"/>
  <c r="N45" i="4"/>
  <c r="N53"/>
  <c r="AB129" i="8"/>
  <c r="AD127"/>
  <c r="AD125"/>
  <c r="AC125"/>
  <c r="AC127"/>
  <c r="Z66"/>
  <c r="Y10" i="4"/>
  <c r="Z10"/>
  <c r="AA10"/>
  <c r="AA78" i="8"/>
  <c r="Y65"/>
  <c r="X9" i="4"/>
  <c r="X6"/>
  <c r="X7"/>
  <c r="X4"/>
  <c r="Z40"/>
  <c r="AB77" i="8"/>
  <c r="O86" i="10"/>
  <c r="P85"/>
  <c r="AA66" i="8"/>
  <c r="Z9" i="4"/>
  <c r="Z6"/>
  <c r="Z7"/>
  <c r="Z4"/>
  <c r="Y6"/>
  <c r="Y7"/>
  <c r="Y4"/>
  <c r="Y9"/>
  <c r="AA9"/>
  <c r="AA6"/>
  <c r="AA7"/>
  <c r="AA4"/>
  <c r="AB9"/>
  <c r="P86" i="10"/>
  <c r="Q85"/>
  <c r="AB78" i="8"/>
  <c r="AA40" i="4"/>
  <c r="AC77" i="8"/>
  <c r="Z65"/>
  <c r="AB66"/>
  <c r="R85" i="10"/>
  <c r="Q86"/>
  <c r="AC66" i="8"/>
  <c r="AC78"/>
  <c r="AD66"/>
  <c r="AB40" i="4"/>
  <c r="AD77" i="8"/>
  <c r="AA65"/>
  <c r="AC65"/>
  <c r="AE65"/>
  <c r="AD78"/>
  <c r="R86" i="10"/>
  <c r="S85"/>
  <c r="AC40" i="4"/>
  <c r="AE77" i="8"/>
  <c r="AD65"/>
  <c r="AF65"/>
  <c r="AB65"/>
  <c r="AD40" i="4"/>
  <c r="AF77" i="8"/>
  <c r="S86" i="10"/>
  <c r="T85"/>
  <c r="AE78" i="8"/>
  <c r="T86" i="10"/>
  <c r="U85"/>
  <c r="AF78" i="8"/>
  <c r="AE40" i="4"/>
  <c r="AG77" i="8"/>
  <c r="AF40" i="4"/>
  <c r="AH77" i="8"/>
  <c r="AG78"/>
  <c r="U86" i="10"/>
  <c r="V85"/>
  <c r="W85"/>
  <c r="V86"/>
  <c r="AH78" i="8"/>
  <c r="AI77"/>
  <c r="AI78"/>
  <c r="X85" i="10"/>
  <c r="W86"/>
  <c r="X86"/>
  <c r="Y85"/>
  <c r="Y86"/>
  <c r="Z85"/>
  <c r="Z86"/>
  <c r="R6" i="8"/>
  <c r="S6"/>
  <c r="T6"/>
  <c r="U6"/>
  <c r="V6"/>
  <c r="W6"/>
  <c r="X6"/>
  <c r="Y6"/>
  <c r="Z6"/>
  <c r="AA6"/>
  <c r="AB6"/>
  <c r="AC6"/>
  <c r="AD6"/>
  <c r="AE6"/>
  <c r="AF6"/>
  <c r="AG6"/>
  <c r="AH6"/>
  <c r="AI6"/>
  <c r="S17"/>
  <c r="T17"/>
  <c r="U17"/>
  <c r="V17"/>
  <c r="W17"/>
  <c r="X17"/>
  <c r="Y17"/>
  <c r="Z17"/>
  <c r="AA17"/>
  <c r="AB17"/>
  <c r="AC17"/>
  <c r="AD17"/>
  <c r="AE17"/>
  <c r="AF17"/>
  <c r="AG17"/>
  <c r="AH17"/>
  <c r="AI17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O31"/>
  <c r="O80"/>
  <c r="P31"/>
  <c r="P80"/>
  <c r="Q31"/>
  <c r="Q80"/>
  <c r="R31"/>
  <c r="R80"/>
  <c r="S31"/>
  <c r="S80"/>
  <c r="T31"/>
  <c r="T80"/>
  <c r="U31"/>
  <c r="U80"/>
  <c r="V31"/>
  <c r="V80"/>
  <c r="W31"/>
  <c r="W80"/>
  <c r="X31"/>
  <c r="X80"/>
  <c r="Y31"/>
  <c r="Y80"/>
  <c r="Z31"/>
  <c r="Z80"/>
  <c r="AA31"/>
  <c r="AA80"/>
  <c r="AB31"/>
  <c r="AB80"/>
  <c r="AC31"/>
  <c r="AC80"/>
  <c r="AD31"/>
  <c r="AD80"/>
  <c r="AE31"/>
  <c r="AE80"/>
  <c r="AF31"/>
  <c r="AF80"/>
  <c r="AG31"/>
  <c r="AG80"/>
  <c r="AH31"/>
  <c r="AH80"/>
  <c r="AI31"/>
  <c r="AI80"/>
  <c r="S35"/>
  <c r="T35"/>
  <c r="U35"/>
  <c r="V35"/>
  <c r="W35"/>
  <c r="X35"/>
  <c r="Y35"/>
  <c r="Z35"/>
  <c r="AA35"/>
  <c r="AB35"/>
  <c r="AC35"/>
  <c r="AD35"/>
  <c r="AE35"/>
  <c r="O36"/>
  <c r="P36"/>
  <c r="Q36"/>
  <c r="R36"/>
  <c r="S36"/>
  <c r="T36"/>
  <c r="U36"/>
  <c r="V36"/>
  <c r="W36"/>
  <c r="X36"/>
  <c r="Y36"/>
  <c r="Z36"/>
  <c r="AA36"/>
  <c r="AB36"/>
  <c r="AC36"/>
  <c r="AD36"/>
  <c r="R37"/>
  <c r="S37"/>
  <c r="T37"/>
  <c r="U37"/>
  <c r="V37"/>
  <c r="W37"/>
  <c r="X37"/>
  <c r="Y37"/>
  <c r="Z37"/>
  <c r="AA37"/>
  <c r="AB37"/>
  <c r="AC37"/>
  <c r="AD37"/>
  <c r="AE37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O33"/>
  <c r="O43"/>
  <c r="P33"/>
  <c r="P43"/>
  <c r="Q33"/>
  <c r="Q43"/>
  <c r="R33"/>
  <c r="R43"/>
  <c r="S33"/>
  <c r="S43"/>
  <c r="T33"/>
  <c r="T43"/>
  <c r="U33"/>
  <c r="U43"/>
  <c r="V33"/>
  <c r="V43"/>
  <c r="W33"/>
  <c r="W43"/>
  <c r="X33"/>
  <c r="X43"/>
  <c r="Y33"/>
  <c r="Y43"/>
  <c r="Z33"/>
  <c r="Z43"/>
  <c r="AA33"/>
  <c r="AA43"/>
  <c r="AB33"/>
  <c r="AB43"/>
  <c r="AC33"/>
  <c r="AC43"/>
  <c r="AD33"/>
  <c r="AD43"/>
  <c r="AE33"/>
  <c r="AE43"/>
  <c r="AF33"/>
  <c r="AF43"/>
  <c r="AG33"/>
  <c r="AG43"/>
  <c r="AH33"/>
  <c r="AH43"/>
  <c r="AI33"/>
  <c r="AI43"/>
  <c r="P47"/>
  <c r="Q47"/>
  <c r="R47"/>
  <c r="S47"/>
  <c r="T47"/>
  <c r="U47"/>
  <c r="V47"/>
  <c r="W47"/>
  <c r="X47"/>
  <c r="Y47"/>
  <c r="Z47"/>
  <c r="AA47"/>
  <c r="AB47"/>
  <c r="AC47"/>
  <c r="AD47"/>
  <c r="AE47"/>
  <c r="S34"/>
  <c r="S48"/>
  <c r="T34"/>
  <c r="T48"/>
  <c r="U34"/>
  <c r="U48"/>
  <c r="V34"/>
  <c r="V48"/>
  <c r="W34"/>
  <c r="W48"/>
  <c r="X34"/>
  <c r="X48"/>
  <c r="Y34"/>
  <c r="Y48"/>
  <c r="Z34"/>
  <c r="Z48"/>
  <c r="AA34"/>
  <c r="AA48"/>
  <c r="AB34"/>
  <c r="AB48"/>
  <c r="AC34"/>
  <c r="AC48"/>
  <c r="AD34"/>
  <c r="AD48"/>
  <c r="O48"/>
  <c r="AM48"/>
  <c r="P48"/>
  <c r="AN48"/>
  <c r="Q48"/>
  <c r="AO48"/>
  <c r="R34"/>
  <c r="R48"/>
  <c r="AP48"/>
  <c r="R49"/>
  <c r="R50"/>
  <c r="S49"/>
  <c r="S50"/>
  <c r="T49"/>
  <c r="T50"/>
  <c r="U49"/>
  <c r="U50"/>
  <c r="V49"/>
  <c r="V50"/>
  <c r="W49"/>
  <c r="W50"/>
  <c r="X49"/>
  <c r="X50"/>
  <c r="Y49"/>
  <c r="Y50"/>
  <c r="Z49"/>
  <c r="Z50"/>
  <c r="AA49"/>
  <c r="AA50"/>
  <c r="AB49"/>
  <c r="AB50"/>
  <c r="AC49"/>
  <c r="AC50"/>
  <c r="AD49"/>
  <c r="AD50"/>
  <c r="AE49"/>
  <c r="AE50"/>
  <c r="AF49"/>
  <c r="AF50"/>
  <c r="AG49"/>
  <c r="AG50"/>
  <c r="AH49"/>
  <c r="AH50"/>
  <c r="AI49"/>
  <c r="AI50"/>
  <c r="Q53"/>
  <c r="R53"/>
  <c r="S53"/>
  <c r="T53"/>
  <c r="U53"/>
  <c r="V53"/>
  <c r="W53"/>
  <c r="X53"/>
  <c r="Y53"/>
  <c r="Z53"/>
  <c r="AA53"/>
  <c r="AB53"/>
  <c r="AC53"/>
  <c r="AD53"/>
  <c r="AE53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S56"/>
  <c r="T56"/>
  <c r="U56"/>
  <c r="V56"/>
  <c r="W56"/>
  <c r="X56"/>
  <c r="Y56"/>
  <c r="Z56"/>
  <c r="AA56"/>
  <c r="AB56"/>
  <c r="AC56"/>
  <c r="AD56"/>
  <c r="AE56"/>
  <c r="AF56"/>
  <c r="AG56"/>
  <c r="AH56"/>
  <c r="AI56"/>
  <c r="R60"/>
  <c r="R58"/>
  <c r="S60"/>
  <c r="S58"/>
  <c r="T60"/>
  <c r="T58"/>
  <c r="U60"/>
  <c r="U58"/>
  <c r="V60"/>
  <c r="V58"/>
  <c r="W60"/>
  <c r="W58"/>
  <c r="X60"/>
  <c r="X58"/>
  <c r="Y60"/>
  <c r="Y58"/>
  <c r="Z60"/>
  <c r="Z58"/>
  <c r="AA60"/>
  <c r="AA58"/>
  <c r="AB60"/>
  <c r="AB58"/>
  <c r="AC60"/>
  <c r="AC58"/>
  <c r="AD60"/>
  <c r="AD58"/>
  <c r="AE60"/>
  <c r="AE58"/>
  <c r="AF60"/>
  <c r="AF58"/>
  <c r="AG60"/>
  <c r="AG58"/>
  <c r="AH60"/>
  <c r="AH58"/>
  <c r="AI60"/>
  <c r="AI58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S61"/>
  <c r="T61"/>
  <c r="U61"/>
  <c r="V61"/>
  <c r="W61"/>
  <c r="X61"/>
  <c r="Y61"/>
  <c r="Z61"/>
  <c r="AA61"/>
  <c r="AB61"/>
  <c r="AC61"/>
  <c r="AD61"/>
  <c r="AE61"/>
  <c r="AF61"/>
  <c r="AG61"/>
  <c r="AH61"/>
  <c r="AI61"/>
  <c r="R61"/>
  <c r="AM61"/>
  <c r="R70"/>
  <c r="R62"/>
  <c r="R63"/>
  <c r="S62"/>
  <c r="S63"/>
  <c r="T62"/>
  <c r="T63"/>
  <c r="U62"/>
  <c r="U63"/>
  <c r="V62"/>
  <c r="V63"/>
  <c r="W62"/>
  <c r="W63"/>
  <c r="X62"/>
  <c r="X63"/>
  <c r="Y62"/>
  <c r="Y63"/>
  <c r="Z62"/>
  <c r="Z63"/>
  <c r="AA62"/>
  <c r="AA63"/>
  <c r="AB62"/>
  <c r="AB63"/>
  <c r="AC62"/>
  <c r="AC63"/>
  <c r="AD62"/>
  <c r="AD63"/>
  <c r="AE62"/>
  <c r="AE63"/>
  <c r="AF62"/>
  <c r="AF63"/>
  <c r="AG62"/>
  <c r="AG63"/>
  <c r="AH62"/>
  <c r="AH63"/>
  <c r="AI62"/>
  <c r="AI63"/>
  <c r="O64"/>
  <c r="O67"/>
  <c r="O56"/>
  <c r="O60"/>
  <c r="O58"/>
  <c r="P64"/>
  <c r="P67"/>
  <c r="P56"/>
  <c r="P34"/>
  <c r="P60"/>
  <c r="P58"/>
  <c r="Q64"/>
  <c r="Q67"/>
  <c r="Q56"/>
  <c r="Q34"/>
  <c r="Q60"/>
  <c r="Q58"/>
  <c r="R64"/>
  <c r="R67"/>
  <c r="R56"/>
  <c r="S70"/>
  <c r="S64"/>
  <c r="T70"/>
  <c r="T64"/>
  <c r="U70"/>
  <c r="U64"/>
  <c r="V70"/>
  <c r="V64"/>
  <c r="W70"/>
  <c r="W64"/>
  <c r="X70"/>
  <c r="X64"/>
  <c r="Y70"/>
  <c r="Y64"/>
  <c r="Z70"/>
  <c r="Z64"/>
  <c r="AA70"/>
  <c r="AA64"/>
  <c r="AB70"/>
  <c r="AB64"/>
  <c r="AC70"/>
  <c r="AC64"/>
  <c r="AD70"/>
  <c r="AD64"/>
  <c r="AE70"/>
  <c r="AE64"/>
  <c r="AF70"/>
  <c r="AF64"/>
  <c r="AG70"/>
  <c r="AG64"/>
  <c r="AH70"/>
  <c r="AH64"/>
  <c r="AI70"/>
  <c r="AI64"/>
  <c r="S72"/>
  <c r="S73"/>
  <c r="T72"/>
  <c r="T73"/>
  <c r="U72"/>
  <c r="U73"/>
  <c r="V72"/>
  <c r="V73"/>
  <c r="W72"/>
  <c r="W73"/>
  <c r="X72"/>
  <c r="X73"/>
  <c r="Y72"/>
  <c r="Y73"/>
  <c r="Z72"/>
  <c r="Z73"/>
  <c r="AA72"/>
  <c r="AA73"/>
  <c r="AB72"/>
  <c r="AB73"/>
  <c r="AC72"/>
  <c r="AC73"/>
  <c r="AD72"/>
  <c r="AD73"/>
  <c r="AE72"/>
  <c r="AE73"/>
  <c r="AF72"/>
  <c r="AF73"/>
  <c r="AG72"/>
  <c r="AG73"/>
  <c r="AH72"/>
  <c r="AH73"/>
  <c r="P35" i="4"/>
  <c r="Q35"/>
  <c r="R35"/>
  <c r="S35"/>
  <c r="T35"/>
  <c r="U35"/>
  <c r="V35"/>
  <c r="W35"/>
  <c r="X35"/>
  <c r="Y35"/>
  <c r="Z35"/>
  <c r="AA35"/>
  <c r="AB35"/>
  <c r="AC35"/>
  <c r="AD35"/>
  <c r="AE35"/>
  <c r="AF35"/>
  <c r="AI72" i="8"/>
  <c r="AI73"/>
  <c r="R74"/>
  <c r="O36" i="4"/>
  <c r="S74" i="8"/>
  <c r="P36" i="4"/>
  <c r="T74" i="8"/>
  <c r="Q36" i="4"/>
  <c r="U74" i="8"/>
  <c r="R36" i="4"/>
  <c r="V74" i="8"/>
  <c r="S36" i="4"/>
  <c r="W74" i="8"/>
  <c r="T36" i="4"/>
  <c r="X74" i="8"/>
  <c r="U36" i="4"/>
  <c r="Y74" i="8"/>
  <c r="V36" i="4"/>
  <c r="Z74" i="8"/>
  <c r="W36" i="4"/>
  <c r="AA74" i="8"/>
  <c r="X36" i="4"/>
  <c r="AB74" i="8"/>
  <c r="Y36" i="4"/>
  <c r="AC74" i="8"/>
  <c r="Z36" i="4"/>
  <c r="AD74" i="8"/>
  <c r="AA36" i="4"/>
  <c r="AE74" i="8"/>
  <c r="AB36" i="4"/>
  <c r="AF74" i="8"/>
  <c r="AC36" i="4"/>
  <c r="AG74" i="8"/>
  <c r="AD36" i="4"/>
  <c r="AH74" i="8"/>
  <c r="AE36" i="4"/>
  <c r="AI74" i="8"/>
  <c r="AF36" i="4"/>
  <c r="R75" i="8"/>
  <c r="O38" i="4"/>
  <c r="S75" i="8"/>
  <c r="P38" i="4"/>
  <c r="T75" i="8"/>
  <c r="Q38" i="4"/>
  <c r="U75" i="8"/>
  <c r="R38" i="4"/>
  <c r="V75" i="8"/>
  <c r="S38" i="4"/>
  <c r="W75" i="8"/>
  <c r="T38" i="4"/>
  <c r="X75" i="8"/>
  <c r="U38" i="4"/>
  <c r="Y75" i="8"/>
  <c r="V38" i="4"/>
  <c r="Z75" i="8"/>
  <c r="W38" i="4"/>
  <c r="AA75" i="8"/>
  <c r="X38" i="4"/>
  <c r="AB75" i="8"/>
  <c r="Y38" i="4"/>
  <c r="AC75" i="8"/>
  <c r="Z38" i="4"/>
  <c r="AD75" i="8"/>
  <c r="AA38" i="4"/>
  <c r="AE75" i="8"/>
  <c r="AB38" i="4"/>
  <c r="AF75" i="8"/>
  <c r="AC38" i="4"/>
  <c r="AG75" i="8"/>
  <c r="AD38" i="4"/>
  <c r="AH75" i="8"/>
  <c r="AE38" i="4"/>
  <c r="AI75" i="8"/>
  <c r="AF38" i="4"/>
  <c r="R84" i="8"/>
  <c r="S84"/>
  <c r="T84"/>
  <c r="U84"/>
  <c r="V84"/>
  <c r="W84"/>
  <c r="X84"/>
  <c r="Y84"/>
  <c r="Z84"/>
  <c r="AA84"/>
  <c r="AB84"/>
  <c r="AC84"/>
  <c r="AD84"/>
  <c r="AE84"/>
  <c r="AF84"/>
  <c r="AG84"/>
  <c r="AH84"/>
  <c r="AI84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P101"/>
  <c r="Q101"/>
  <c r="R101"/>
  <c r="S101"/>
  <c r="T101"/>
  <c r="U101"/>
  <c r="V101"/>
  <c r="W101"/>
  <c r="X101"/>
  <c r="Y101"/>
  <c r="Z101"/>
  <c r="AA101"/>
  <c r="AB101"/>
  <c r="AC101"/>
  <c r="AD101"/>
  <c r="O34"/>
  <c r="O52"/>
  <c r="P52"/>
  <c r="Q52"/>
  <c r="R52"/>
  <c r="S52"/>
  <c r="T52"/>
  <c r="U52"/>
  <c r="V52"/>
  <c r="W52"/>
  <c r="X52"/>
  <c r="Y52"/>
  <c r="Z52"/>
  <c r="AA52"/>
  <c r="AB52"/>
  <c r="AC52"/>
  <c r="AD52"/>
  <c r="AE101"/>
  <c r="R112"/>
  <c r="S112"/>
  <c r="T112"/>
  <c r="V112"/>
  <c r="W112"/>
  <c r="X112"/>
  <c r="Y112"/>
  <c r="Z112"/>
  <c r="AA112"/>
  <c r="AB112"/>
  <c r="AC112"/>
  <c r="AD112"/>
  <c r="AE112"/>
  <c r="AF112"/>
  <c r="AG112"/>
  <c r="AH112"/>
  <c r="AI112"/>
  <c r="R115"/>
  <c r="R116"/>
  <c r="S115"/>
  <c r="S116"/>
  <c r="T115"/>
  <c r="T116"/>
  <c r="U115"/>
  <c r="U116"/>
  <c r="V115"/>
  <c r="V116"/>
  <c r="W115"/>
  <c r="W116"/>
  <c r="X115"/>
  <c r="X116"/>
  <c r="Y115"/>
  <c r="Y116"/>
  <c r="Z115"/>
  <c r="Z116"/>
  <c r="AA115"/>
  <c r="AA116"/>
  <c r="AB115"/>
  <c r="AB116"/>
  <c r="AC115"/>
  <c r="AC116"/>
  <c r="AD115"/>
  <c r="AD116"/>
  <c r="AE115"/>
  <c r="AE116"/>
  <c r="AF115"/>
  <c r="AF116"/>
  <c r="AG115"/>
  <c r="AG116"/>
  <c r="AH115"/>
  <c r="AH116"/>
  <c r="AI115"/>
  <c r="AI116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R106"/>
  <c r="R120"/>
  <c r="S106"/>
  <c r="S120"/>
  <c r="T106"/>
  <c r="T120"/>
  <c r="U106"/>
  <c r="U120"/>
  <c r="V106"/>
  <c r="V120"/>
  <c r="W106"/>
  <c r="W120"/>
  <c r="X106"/>
  <c r="X120"/>
  <c r="Y106"/>
  <c r="Y120"/>
  <c r="Z106"/>
  <c r="Z120"/>
  <c r="AA106"/>
  <c r="AA120"/>
  <c r="AB106"/>
  <c r="AB120"/>
  <c r="AC106"/>
  <c r="AC120"/>
  <c r="AD106"/>
  <c r="AD120"/>
  <c r="AE106"/>
  <c r="AE120"/>
  <c r="AF106"/>
  <c r="AF120"/>
  <c r="AG106"/>
  <c r="AG120"/>
  <c r="AH106"/>
  <c r="AH120"/>
  <c r="AI106"/>
  <c r="AI120"/>
  <c r="R108"/>
  <c r="R122"/>
  <c r="S108"/>
  <c r="S122"/>
  <c r="T108"/>
  <c r="T122"/>
  <c r="U108"/>
  <c r="U122"/>
  <c r="V108"/>
  <c r="V122"/>
  <c r="W108"/>
  <c r="W122"/>
  <c r="X108"/>
  <c r="X122"/>
  <c r="Y108"/>
  <c r="Y122"/>
  <c r="Z108"/>
  <c r="Z122"/>
  <c r="AA108"/>
  <c r="AA122"/>
  <c r="AB108"/>
  <c r="AB122"/>
  <c r="AC108"/>
  <c r="AC122"/>
  <c r="AD108"/>
  <c r="AD122"/>
  <c r="AE108"/>
  <c r="AE122"/>
  <c r="AF108"/>
  <c r="AF122"/>
  <c r="AG108"/>
  <c r="AG122"/>
  <c r="AH108"/>
  <c r="AH122"/>
  <c r="AI108"/>
  <c r="AI122"/>
  <c r="R110"/>
  <c r="R124"/>
  <c r="S110"/>
  <c r="S124"/>
  <c r="T110"/>
  <c r="T124"/>
  <c r="U110"/>
  <c r="U124"/>
  <c r="V110"/>
  <c r="V124"/>
  <c r="W110"/>
  <c r="W124"/>
  <c r="X110"/>
  <c r="X124"/>
  <c r="Y110"/>
  <c r="Y124"/>
  <c r="Z110"/>
  <c r="Z124"/>
  <c r="AA110"/>
  <c r="AA124"/>
  <c r="AB110"/>
  <c r="AB124"/>
  <c r="AC110"/>
  <c r="AC124"/>
  <c r="AD110"/>
  <c r="AD124"/>
  <c r="AE110"/>
  <c r="AE124"/>
  <c r="AF110"/>
  <c r="AF124"/>
  <c r="AG110"/>
  <c r="AG124"/>
  <c r="AH110"/>
  <c r="AH124"/>
  <c r="AI110"/>
  <c r="AI124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R2"/>
  <c r="O43" i="4"/>
  <c r="O20"/>
  <c r="O16"/>
  <c r="O2"/>
  <c r="O45"/>
  <c r="S2" i="8"/>
  <c r="P43" i="4"/>
  <c r="P20"/>
  <c r="P16"/>
  <c r="P2"/>
  <c r="P45"/>
  <c r="T2" i="8"/>
  <c r="Q43" i="4"/>
  <c r="Q20"/>
  <c r="Q16"/>
  <c r="Q2"/>
  <c r="Q45"/>
  <c r="U2" i="8"/>
  <c r="R43" i="4"/>
  <c r="R20"/>
  <c r="R16"/>
  <c r="R2"/>
  <c r="R45"/>
  <c r="V2" i="8"/>
  <c r="S43" i="4"/>
  <c r="S20"/>
  <c r="S16"/>
  <c r="S2"/>
  <c r="S45"/>
  <c r="W2" i="8"/>
  <c r="T43" i="4"/>
  <c r="T20"/>
  <c r="T16"/>
  <c r="T2"/>
  <c r="T45"/>
  <c r="X2" i="8"/>
  <c r="U43" i="4"/>
  <c r="U20"/>
  <c r="U16"/>
  <c r="U2"/>
  <c r="U45"/>
  <c r="Y2" i="8"/>
  <c r="V43" i="4"/>
  <c r="V20"/>
  <c r="V16"/>
  <c r="V2"/>
  <c r="V45"/>
  <c r="Z2" i="8"/>
  <c r="W43" i="4"/>
  <c r="W20"/>
  <c r="W16"/>
  <c r="W2"/>
  <c r="W45"/>
  <c r="AA2" i="8"/>
  <c r="X43" i="4"/>
  <c r="X20"/>
  <c r="X16"/>
  <c r="X2"/>
  <c r="X45"/>
  <c r="AB2" i="8"/>
  <c r="Y43" i="4"/>
  <c r="Y20"/>
  <c r="Y16"/>
  <c r="Y2"/>
  <c r="Y45"/>
  <c r="AC2" i="8"/>
  <c r="Z43" i="4"/>
  <c r="Z20"/>
  <c r="Z16"/>
  <c r="Z2"/>
  <c r="Z45"/>
  <c r="AD2" i="8"/>
  <c r="AA43" i="4"/>
  <c r="AA20"/>
  <c r="AA16"/>
  <c r="AA2"/>
  <c r="AA45"/>
  <c r="AE2" i="8"/>
  <c r="AB43" i="4"/>
  <c r="AB20"/>
  <c r="AB16"/>
  <c r="AB2"/>
  <c r="AB45"/>
  <c r="AF2" i="8"/>
  <c r="AC43" i="4"/>
  <c r="AC20"/>
  <c r="AC16"/>
  <c r="AC2"/>
  <c r="AC45"/>
  <c r="AG2" i="8"/>
  <c r="AD43" i="4"/>
  <c r="AD20"/>
  <c r="AD16"/>
  <c r="AD2"/>
  <c r="AD45"/>
  <c r="AH2" i="8"/>
  <c r="AE43" i="4"/>
  <c r="AE20"/>
  <c r="AE16"/>
  <c r="AE2"/>
  <c r="AE45"/>
  <c r="AI2" i="8"/>
  <c r="AF43" i="4"/>
  <c r="AF20"/>
  <c r="AF16"/>
  <c r="AF2"/>
  <c r="AF45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R5" i="8"/>
  <c r="R54"/>
  <c r="O49" i="4"/>
  <c r="O53"/>
  <c r="S15" i="8"/>
  <c r="S5"/>
  <c r="S54"/>
  <c r="P49" i="4"/>
  <c r="P53"/>
  <c r="T15" i="8"/>
  <c r="T5"/>
  <c r="T54"/>
  <c r="Q49" i="4"/>
  <c r="Q53"/>
  <c r="U15" i="8"/>
  <c r="U5"/>
  <c r="U54"/>
  <c r="R49" i="4"/>
  <c r="R53"/>
  <c r="V15" i="8"/>
  <c r="V5"/>
  <c r="V54"/>
  <c r="S49" i="4"/>
  <c r="S53"/>
  <c r="W15" i="8"/>
  <c r="W5"/>
  <c r="W54"/>
  <c r="T49" i="4"/>
  <c r="T53"/>
  <c r="X15" i="8"/>
  <c r="X5"/>
  <c r="X54"/>
  <c r="U49" i="4"/>
  <c r="U53"/>
  <c r="Y15" i="8"/>
  <c r="Y5"/>
  <c r="Y54"/>
  <c r="V49" i="4"/>
  <c r="V53"/>
  <c r="Z15" i="8"/>
  <c r="Z5"/>
  <c r="Z54"/>
  <c r="W49" i="4"/>
  <c r="W53"/>
  <c r="AA15" i="8"/>
  <c r="AA5"/>
  <c r="AA54"/>
  <c r="X49" i="4"/>
  <c r="X53"/>
  <c r="AB15" i="8"/>
  <c r="AB5"/>
  <c r="AB54"/>
  <c r="Y49" i="4"/>
  <c r="Y53"/>
  <c r="AC15" i="8"/>
  <c r="AC5"/>
  <c r="AC54"/>
  <c r="Z49" i="4"/>
  <c r="Z53"/>
  <c r="AD15" i="8"/>
  <c r="AD5"/>
  <c r="AD54"/>
  <c r="AA49" i="4"/>
  <c r="AA53"/>
  <c r="AE15" i="8"/>
  <c r="AE5"/>
  <c r="AE54"/>
  <c r="AB49" i="4"/>
  <c r="AB53"/>
  <c r="AF15" i="8"/>
  <c r="AF5"/>
  <c r="AF54"/>
  <c r="AC49" i="4"/>
  <c r="AC53"/>
  <c r="AG15" i="8"/>
  <c r="AG5"/>
  <c r="AG54"/>
  <c r="AD49" i="4"/>
  <c r="AD53"/>
  <c r="AH15" i="8"/>
  <c r="AH5"/>
  <c r="AH54"/>
  <c r="AE49" i="4"/>
  <c r="AE53"/>
  <c r="R15" i="8"/>
  <c r="R17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I15"/>
  <c r="AI5"/>
  <c r="AI54"/>
  <c r="AF49" i="4"/>
  <c r="AF53"/>
</calcChain>
</file>

<file path=xl/comments1.xml><?xml version="1.0" encoding="utf-8"?>
<comments xmlns="http://schemas.openxmlformats.org/spreadsheetml/2006/main">
  <authors>
    <author>Автор</author>
  </authors>
  <commentList>
    <comment ref="R66" authorId="0">
      <text>
        <r>
          <rPr>
            <b/>
            <sz val="9"/>
            <color indexed="81"/>
            <rFont val="Tahoma"/>
            <family val="2"/>
            <charset val="204"/>
          </rPr>
          <t>не легло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потребуется снижение потребления на 335 млрд</t>
        </r>
      </text>
    </comment>
    <comment ref="M7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снижен за 7мес</t>
        </r>
      </text>
    </comment>
    <comment ref="L99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in GKS 4.6
</t>
        </r>
      </text>
    </comment>
    <comment ref="N13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взято из расчетов ВЭБ (до 2013 г. - цифры Виталия Викторовича)
</t>
        </r>
      </text>
    </comment>
    <comment ref="L170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in GKS 4.6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1276</t>
        </r>
      </text>
    </comment>
    <comment ref="M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1156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1584</t>
        </r>
      </text>
    </comment>
    <comment ref="O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2547</t>
        </r>
      </text>
    </comment>
    <comment ref="L4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-676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1125</t>
        </r>
      </text>
    </comment>
    <comment ref="N4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1488</t>
        </r>
      </text>
    </comment>
    <comment ref="O4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1737</t>
        </r>
      </text>
    </comment>
  </commentList>
</comments>
</file>

<file path=xl/sharedStrings.xml><?xml version="1.0" encoding="utf-8"?>
<sst xmlns="http://schemas.openxmlformats.org/spreadsheetml/2006/main" count="1076" uniqueCount="717">
  <si>
    <t>Deposits</t>
  </si>
  <si>
    <t>Exch rate</t>
  </si>
  <si>
    <t>Unempl</t>
  </si>
  <si>
    <t>Income</t>
  </si>
  <si>
    <t>CPI</t>
  </si>
  <si>
    <t>Wage</t>
  </si>
  <si>
    <t>Deposit rate</t>
  </si>
  <si>
    <t>Disp_inc</t>
  </si>
  <si>
    <t>Информация по денежным доходам и расходам на основе месячной оценке*</t>
  </si>
  <si>
    <t>2014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</si>
  <si>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</si>
  <si>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</si>
  <si>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</si>
  <si>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</si>
  <si>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</si>
  <si>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</si>
  <si>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</si>
  <si>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</si>
  <si>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</si>
  <si>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</si>
  <si>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</si>
  <si>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</si>
  <si>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</si>
  <si>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Всего денежных доходов населения, млрд. рублей</t>
  </si>
  <si>
    <t>в том числе</t>
  </si>
  <si>
    <t>1. Всего денежных расходов и сбережений</t>
  </si>
  <si>
    <t>в том числе:</t>
  </si>
  <si>
    <t xml:space="preserve">1.1. Расходы на покупку товаров и оплату услуг </t>
  </si>
  <si>
    <t xml:space="preserve"> покупка товаров</t>
  </si>
  <si>
    <t>оплата товаров за рубежом с использ. банк.карт</t>
  </si>
  <si>
    <t>оплата услуг</t>
  </si>
  <si>
    <t>1.2. Прирост сбережений на депозитных счетах у населения</t>
  </si>
  <si>
    <t xml:space="preserve">1.3. Приобретение государственных и других ценных бумаг </t>
  </si>
  <si>
    <t xml:space="preserve">1.4. Расходы на покупку недвижимости[1] </t>
  </si>
  <si>
    <t xml:space="preserve">1.5. Расходы населения на приобретение иностранной валюты </t>
  </si>
  <si>
    <t>1.6. Изменение задолженности по кредитам физических лиц[2]</t>
  </si>
  <si>
    <t>1.7. Прирост сбережений на счетах индивидуальных предпринимателей</t>
  </si>
  <si>
    <t xml:space="preserve">1.8. Обязательные платежи и разнообразные взносы, уплаченные физическими лицами </t>
  </si>
  <si>
    <t>1.9. Деньги, отосланные населением по переводам</t>
  </si>
  <si>
    <t>1.10. Покупка скота и птицы</t>
  </si>
  <si>
    <t xml:space="preserve">2. Превышение объемов выданных банками средств населению (организациям на выплаты населению) над объемами поступлений в банки денежных средств от населения (от организаций, осуществляющих расчеты с населением)[3] </t>
  </si>
  <si>
    <t>Располагаемые доходы, тыс.рублей</t>
  </si>
  <si>
    <t>ИПЦ</t>
  </si>
  <si>
    <t>Реальные располагаемые доходы, %**</t>
  </si>
  <si>
    <t>Среднедушевые денежные доходы, рублей в месяц</t>
  </si>
  <si>
    <t>*Предварительные данные</t>
  </si>
  <si>
    <t>**Данные пересчитаны с учетом утвержденных годовых расчетов денежных доходов и расходов населения за 2013 год</t>
  </si>
  <si>
    <t>Turke</t>
  </si>
  <si>
    <t>CPI, mon</t>
  </si>
  <si>
    <t>CPI, mon, dec93=100</t>
  </si>
  <si>
    <t>янв 2005=100</t>
  </si>
  <si>
    <t>2005=100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</si>
  <si>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</si>
  <si>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</si>
  <si>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</si>
  <si>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</si>
  <si>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</si>
  <si>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</si>
  <si>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</si>
  <si>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</si>
  <si>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</si>
  <si>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</si>
  <si>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</si>
  <si>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</si>
  <si>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</si>
  <si>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</si>
  <si>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</si>
  <si>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</si>
  <si>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</si>
  <si>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</si>
  <si>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</si>
  <si>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</si>
  <si>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</si>
  <si>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</si>
  <si>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</si>
  <si>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</si>
  <si>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</si>
  <si>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</si>
  <si>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</si>
  <si>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</si>
  <si>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</si>
  <si>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</si>
  <si>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</si>
  <si>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</si>
  <si>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</si>
  <si>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</si>
  <si>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</si>
  <si>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</si>
  <si>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</si>
  <si>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</si>
  <si>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</si>
  <si>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</si>
  <si>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</si>
  <si>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</si>
  <si>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</si>
  <si>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</si>
  <si>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</si>
  <si>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</si>
  <si>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</si>
  <si>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</si>
  <si>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</si>
  <si>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</si>
  <si>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</si>
  <si>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</si>
  <si>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</si>
  <si>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</si>
  <si>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</si>
  <si>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</si>
  <si>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</si>
  <si>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</si>
  <si>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</si>
  <si>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</si>
  <si>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</si>
  <si>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</si>
  <si>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</si>
  <si>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</si>
  <si>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</si>
  <si>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</si>
  <si>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</si>
  <si>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</si>
  <si>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</si>
  <si>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</si>
  <si>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</si>
  <si>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</si>
  <si>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</si>
  <si>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</si>
  <si>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</si>
  <si>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</si>
  <si>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</si>
  <si>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</si>
  <si>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</si>
  <si>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</si>
  <si>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</si>
  <si>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</si>
  <si>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</si>
  <si>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</si>
  <si>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</si>
  <si>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</si>
  <si>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</si>
  <si>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</si>
  <si>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</si>
  <si>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</si>
  <si>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</si>
  <si>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</si>
  <si>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</si>
  <si>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</si>
  <si>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</si>
  <si>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</si>
  <si>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</si>
  <si>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</si>
  <si>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</si>
  <si>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</si>
  <si>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</si>
  <si>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</si>
  <si>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</si>
  <si>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</si>
  <si>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</si>
  <si>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</si>
  <si>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</si>
  <si>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</si>
  <si>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</si>
  <si>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</si>
  <si>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</si>
  <si>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</si>
  <si>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</si>
  <si>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</si>
  <si>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</si>
  <si>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</si>
  <si>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</si>
  <si>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</si>
  <si>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</si>
  <si>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</si>
  <si>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</si>
  <si>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</si>
  <si>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</si>
  <si>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</si>
  <si>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</si>
  <si>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</si>
  <si>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</si>
  <si>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</si>
  <si>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</si>
  <si>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</si>
  <si>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</si>
  <si>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</si>
  <si>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</si>
  <si>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</si>
  <si>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</si>
  <si>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</si>
  <si>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</si>
  <si>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</si>
  <si>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</si>
  <si>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</si>
  <si>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</si>
  <si>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</si>
  <si>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</si>
  <si>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</si>
  <si>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</si>
  <si>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</si>
  <si>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</si>
  <si>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</si>
  <si>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</si>
  <si>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</si>
  <si>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</si>
  <si>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</si>
  <si>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</si>
  <si>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</si>
  <si>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</si>
  <si>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</si>
  <si>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</si>
  <si>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</si>
  <si>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</si>
  <si>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</si>
  <si>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</si>
  <si>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</si>
  <si>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</si>
  <si>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</si>
  <si>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</si>
  <si>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</si>
  <si>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</si>
  <si>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</si>
  <si>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</si>
  <si>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</si>
  <si>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</si>
  <si>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</si>
  <si>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</si>
  <si>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</si>
  <si>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</si>
  <si>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</si>
  <si>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</si>
  <si>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</si>
  <si>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</si>
  <si>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</si>
  <si>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</si>
  <si>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</si>
  <si>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</si>
  <si>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</si>
  <si>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</si>
  <si>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</si>
  <si>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</si>
  <si>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</si>
  <si>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</si>
  <si>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</si>
  <si>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</si>
  <si>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</si>
  <si>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</si>
  <si>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</si>
  <si>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</si>
  <si>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</si>
  <si>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</si>
  <si>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</si>
  <si>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</si>
  <si>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</si>
  <si>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</si>
  <si>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</si>
  <si>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</si>
  <si>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</si>
  <si>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</si>
  <si>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</si>
  <si>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</si>
  <si>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</si>
  <si>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</si>
  <si>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</si>
  <si>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</si>
  <si>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</si>
  <si>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</si>
  <si>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</si>
  <si>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</si>
  <si>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</si>
  <si>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</si>
  <si>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</si>
  <si>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</si>
  <si>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</si>
  <si>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</si>
  <si>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</si>
  <si>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</si>
  <si>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</si>
  <si>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</si>
  <si>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</si>
  <si>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</si>
  <si>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</si>
  <si>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</si>
  <si>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</si>
  <si>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</si>
  <si>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</si>
  <si>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</si>
  <si>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</si>
  <si>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</si>
  <si>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</si>
  <si>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</si>
  <si>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</si>
  <si>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</si>
  <si>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</si>
  <si>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</si>
  <si>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</si>
  <si>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</si>
  <si>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</si>
  <si>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</si>
  <si>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</si>
  <si>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</si>
  <si>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</si>
  <si>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</si>
  <si>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</si>
  <si>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</si>
  <si>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</si>
  <si>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</si>
  <si>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</si>
  <si>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2015М1</t>
  </si>
  <si>
    <t>2015М2</t>
  </si>
  <si>
    <t>2015М3</t>
  </si>
  <si>
    <t>2015М4</t>
  </si>
  <si>
    <t>2015М5</t>
  </si>
  <si>
    <t>2015М6</t>
  </si>
  <si>
    <t>2015М7</t>
  </si>
  <si>
    <t>2015М8</t>
  </si>
  <si>
    <t>2015М9</t>
  </si>
  <si>
    <t>2015М10</t>
  </si>
  <si>
    <t>2015М11</t>
  </si>
  <si>
    <t>2015М12</t>
  </si>
  <si>
    <t>2016М1</t>
  </si>
  <si>
    <t>2016М2</t>
  </si>
  <si>
    <t>2016М3</t>
  </si>
  <si>
    <t>2016М4</t>
  </si>
  <si>
    <t>2016М5</t>
  </si>
  <si>
    <t>2016М6</t>
  </si>
  <si>
    <t>2016М7</t>
  </si>
  <si>
    <t>2016М8</t>
  </si>
  <si>
    <t>2016М9</t>
  </si>
  <si>
    <t>2016М10</t>
  </si>
  <si>
    <t>2016М11</t>
  </si>
  <si>
    <t>2016М12</t>
  </si>
  <si>
    <t>2017М1</t>
  </si>
  <si>
    <t>2017М2</t>
  </si>
  <si>
    <t>2017М3</t>
  </si>
  <si>
    <t>2017М4</t>
  </si>
  <si>
    <t>2017М5</t>
  </si>
  <si>
    <t>2017М6</t>
  </si>
  <si>
    <t>2017М7</t>
  </si>
  <si>
    <t>2017М8</t>
  </si>
  <si>
    <t>2017М9</t>
  </si>
  <si>
    <t>2017М10</t>
  </si>
  <si>
    <t>2017М11</t>
  </si>
  <si>
    <t>2017М12</t>
  </si>
  <si>
    <t>Deposits, %</t>
  </si>
  <si>
    <t>Unempl, %</t>
  </si>
  <si>
    <t>Deposits_05</t>
  </si>
  <si>
    <t>Unempl_05</t>
  </si>
  <si>
    <t>Exch rate, %</t>
  </si>
  <si>
    <t>Exch rate_05</t>
  </si>
  <si>
    <t>Deposits_real</t>
  </si>
  <si>
    <t>Income, %</t>
  </si>
  <si>
    <t>Income_05</t>
  </si>
  <si>
    <t>Disp_inc,%</t>
  </si>
  <si>
    <t>Disp_inc_05</t>
  </si>
  <si>
    <t>CPI_Y</t>
  </si>
  <si>
    <t>Wage_real</t>
  </si>
  <si>
    <t>Disp_inc_real</t>
  </si>
  <si>
    <t>Income_real</t>
  </si>
  <si>
    <t>CPI_Y_cl</t>
  </si>
  <si>
    <t>Enterpreners</t>
  </si>
  <si>
    <t>ЧИСТЫЕ СБЕРЕЖЕНИЯ (РАСЧЕТ)</t>
  </si>
  <si>
    <t>Сальдо покупки-продажи недвижимости</t>
  </si>
  <si>
    <t>Сальдо покупки-продажи валюты</t>
  </si>
  <si>
    <t>Изменение средств на счетах физических лиц - предпринимателей</t>
  </si>
  <si>
    <t>Деньги, отосланные по переводам-сальдо</t>
  </si>
  <si>
    <t>Статистич расхождение</t>
  </si>
  <si>
    <t>XII.   БАЛАНС</t>
  </si>
  <si>
    <t>XI.  ПРЕВЫШЕНИЕ ДОХОДОВ НАД РАСХОДАМИ</t>
  </si>
  <si>
    <t>X. ВСЕГО ДЕНЕЖНЫХ РАСХОДОВ И СБЕРЕЖЕНИЙ</t>
  </si>
  <si>
    <t>IX. Покупка населением скота и птицы</t>
  </si>
  <si>
    <t>VIII.Деньги,отосланные по переводам</t>
  </si>
  <si>
    <t>VII.Изменение задолженности по кредитам</t>
  </si>
  <si>
    <t>VI.Изменение средств на счетах инд.предпринимателей</t>
  </si>
  <si>
    <t>V.Пpиобpетение иностранной валюты</t>
  </si>
  <si>
    <t>IV.Расходы на покупку недвижимости</t>
  </si>
  <si>
    <t xml:space="preserve"> 3.Приобретение государств.и др. ценных бумаг</t>
  </si>
  <si>
    <t>3. Прирост средств физлиц. с использ. банковских карт</t>
  </si>
  <si>
    <t xml:space="preserve"> 2.Прирост (уменьшение) вкладов в КБ</t>
  </si>
  <si>
    <t xml:space="preserve"> 1.Прирост (уменьшение) вкладов в учрежд.СБ РФ</t>
  </si>
  <si>
    <t xml:space="preserve">            в том числе:</t>
  </si>
  <si>
    <t>III.Сбережения во вкладах и ценных бумагах</t>
  </si>
  <si>
    <t xml:space="preserve">  7. Страховые взносы в пенсионные фонды</t>
  </si>
  <si>
    <t xml:space="preserve">  6. Проценты за товарный кредит</t>
  </si>
  <si>
    <t xml:space="preserve">  5. Приобретение лотерейных билетов</t>
  </si>
  <si>
    <t xml:space="preserve">  4. Проценты, уплач.за предоставленные кредиты</t>
  </si>
  <si>
    <t xml:space="preserve">  3. Взносы в общественные и коопер. организации</t>
  </si>
  <si>
    <t xml:space="preserve">  2. Платежи по страхованию</t>
  </si>
  <si>
    <t xml:space="preserve">  1. Налоги и сборы</t>
  </si>
  <si>
    <t xml:space="preserve">II.Обязательные платежи и разнообр. взносы </t>
  </si>
  <si>
    <t xml:space="preserve">    3. платежи за товары (работы, услуги) с использованием банковских карт</t>
  </si>
  <si>
    <t xml:space="preserve">    2.8 прочие услуги</t>
  </si>
  <si>
    <t xml:space="preserve">    2.8 социальные услуги пожилым и инвалидам</t>
  </si>
  <si>
    <t xml:space="preserve">    2.7 оплата услуг связи</t>
  </si>
  <si>
    <t xml:space="preserve">    2.6 расходы на все виды транспорта</t>
  </si>
  <si>
    <t xml:space="preserve">    2.5 расходы на кино,театры и другие зрелища</t>
  </si>
  <si>
    <t xml:space="preserve">    2.4 расходы на путевки в санатории и  отдыха, туризм и медицинские услуги</t>
  </si>
  <si>
    <t xml:space="preserve">    2.3 оплата услуг системы образования</t>
  </si>
  <si>
    <t xml:space="preserve">    2.2 оплата бытовых услуг</t>
  </si>
  <si>
    <t xml:space="preserve">    2.1 оплата жилья и коммунальных услуг</t>
  </si>
  <si>
    <t xml:space="preserve">      в том числе:</t>
  </si>
  <si>
    <t xml:space="preserve">   2. Оплата услуг </t>
  </si>
  <si>
    <t xml:space="preserve">   1. Покупка товаров </t>
  </si>
  <si>
    <t>I.Покупка товаров и оплата услуг</t>
  </si>
  <si>
    <t>Расходы и сбережения</t>
  </si>
  <si>
    <t>БАЛАНС</t>
  </si>
  <si>
    <t>ПРЕВЫШЕНИЕ РАСХОДОВ НАД ДОХОДАМИ</t>
  </si>
  <si>
    <t>ВСЕГО ДЕНЕЖНЫХ ДОХОДОВ</t>
  </si>
  <si>
    <t xml:space="preserve"> IX.Другие доходы</t>
  </si>
  <si>
    <t xml:space="preserve">VIII.Деньги, полученные по переводам </t>
  </si>
  <si>
    <t>VII.Прочие доходы (от сдачи черных и цветных металлов)</t>
  </si>
  <si>
    <t>VI. Доходы от продажи иностранной валюты</t>
  </si>
  <si>
    <t>7. Единовременная выплата отдельным атегориям граждан</t>
  </si>
  <si>
    <t xml:space="preserve">     6. Выплата правоприемникам умерших застрахованных лиц</t>
  </si>
  <si>
    <t xml:space="preserve">     5.Доходы от продажи недвижимости</t>
  </si>
  <si>
    <t xml:space="preserve">     4.Предварит. компенсация по вкладам граждан </t>
  </si>
  <si>
    <t xml:space="preserve">     3.Выплата доходов по госуд. и др.цен.бумагам</t>
  </si>
  <si>
    <t xml:space="preserve">     2.Проценты по депозитам</t>
  </si>
  <si>
    <t xml:space="preserve">     1.Дивиденды</t>
  </si>
  <si>
    <t xml:space="preserve">        в том числе:</t>
  </si>
  <si>
    <t>V. Доходы от собственности</t>
  </si>
  <si>
    <t xml:space="preserve">     7.Возмещение ущерба реабилитир.лицам</t>
  </si>
  <si>
    <t xml:space="preserve">     6.Возмещения расходов инвалидам </t>
  </si>
  <si>
    <t xml:space="preserve">     5.Выигрыши по лотереям</t>
  </si>
  <si>
    <t xml:space="preserve">     4.Стpаховые возмещения</t>
  </si>
  <si>
    <t xml:space="preserve">     3.Стипендии</t>
  </si>
  <si>
    <t xml:space="preserve">     2.Пособия и социальная помощь</t>
  </si>
  <si>
    <t xml:space="preserve">     1.Пенсии</t>
  </si>
  <si>
    <t>IV.Социальные трансферты</t>
  </si>
  <si>
    <t xml:space="preserve">III.Доходы наемных работников от предприятий и организаций, кроме оплаты труда </t>
  </si>
  <si>
    <t>II. Оплата труда наемных работников</t>
  </si>
  <si>
    <t>I.  Доходы от предпринимательской деятельности</t>
  </si>
  <si>
    <t>Доходы</t>
  </si>
  <si>
    <t>млн.рублей</t>
  </si>
  <si>
    <t xml:space="preserve">                                                                                                              (утвержденные данные)</t>
  </si>
  <si>
    <t xml:space="preserve">                                                    Баланс денежных доходов и расходов населения Российской Федерации </t>
  </si>
  <si>
    <t>Обновлено 15.12.2014</t>
  </si>
  <si>
    <t>Вклады и ценные бумаги (from Balance)</t>
  </si>
  <si>
    <t>Изменение задолженности по кредитам физических лиц (from Balance)</t>
  </si>
  <si>
    <t>Изменение задолженности по кредитам физических лиц (from Monetary _file)</t>
  </si>
  <si>
    <t>покупка недвижимости</t>
  </si>
  <si>
    <t>продажа недвижимости</t>
  </si>
  <si>
    <t>покупка валюты</t>
  </si>
  <si>
    <t>Всего куплено у физических лиц и принято для конверсии</t>
  </si>
  <si>
    <t>1 кв</t>
  </si>
  <si>
    <t>2 кв</t>
  </si>
  <si>
    <t>3 кв</t>
  </si>
  <si>
    <t>4 кв</t>
  </si>
  <si>
    <t>ГОД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</si>
  <si>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</si>
  <si>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</si>
  <si>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</si>
  <si>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</si>
  <si>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</si>
  <si>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</si>
  <si>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</si>
  <si>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</si>
  <si>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</si>
  <si>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</si>
  <si>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</si>
  <si>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долл</t>
  </si>
  <si>
    <t>курс</t>
  </si>
  <si>
    <t>темп</t>
  </si>
  <si>
    <t xml:space="preserve">рубли </t>
  </si>
  <si>
    <t>VI.Продажа иностранной валюты</t>
  </si>
  <si>
    <t>долька</t>
  </si>
  <si>
    <t>ЭЛАСТИЧНОСТЬ</t>
  </si>
  <si>
    <t>КУРС ПО ГОДАМ</t>
  </si>
  <si>
    <t xml:space="preserve">темп </t>
  </si>
  <si>
    <t>поквартально</t>
  </si>
  <si>
    <t>расчет</t>
  </si>
  <si>
    <t xml:space="preserve">отчет по форме доходов </t>
  </si>
  <si>
    <t>коэффициент</t>
  </si>
  <si>
    <t>5.Доходы от продажи недвижимости</t>
  </si>
  <si>
    <t>Ввод в действие жилых домов</t>
  </si>
  <si>
    <t>GDP</t>
  </si>
  <si>
    <t>продажа валюты</t>
  </si>
  <si>
    <t>Обменный курс</t>
  </si>
  <si>
    <t>Располагаемый доход</t>
  </si>
  <si>
    <t>SAVING RATE</t>
  </si>
  <si>
    <t>Сальдо покупки-продажи валюты (from balance)</t>
  </si>
  <si>
    <t>Elast</t>
  </si>
  <si>
    <t>Ex_rate</t>
  </si>
  <si>
    <t>REER</t>
  </si>
  <si>
    <t>Ex_rate,%</t>
  </si>
  <si>
    <t>REER_level</t>
  </si>
  <si>
    <t>Ex_rate_level</t>
  </si>
  <si>
    <t>Cur_buy</t>
  </si>
  <si>
    <t>Cur_sell</t>
  </si>
  <si>
    <t>cur_buy</t>
  </si>
  <si>
    <t>cur_buy_lev</t>
  </si>
  <si>
    <t>Пенсионные выплаты</t>
  </si>
  <si>
    <t>Численность пенсионеров</t>
  </si>
  <si>
    <t>Средний размер пенсии</t>
  </si>
  <si>
    <t>эффект в данном году</t>
  </si>
  <si>
    <t>в текущем году с 1 апреля</t>
  </si>
  <si>
    <t>в текущем году с 1 февраля</t>
  </si>
  <si>
    <t>Расчет индексации</t>
  </si>
  <si>
    <t xml:space="preserve">      темпы, % (к пред. году)</t>
  </si>
  <si>
    <t xml:space="preserve">    в том числе потребительские кредиты</t>
  </si>
  <si>
    <t xml:space="preserve">    в том числе жилищные кредиты</t>
  </si>
  <si>
    <t xml:space="preserve">    в том числе кредиты населению</t>
  </si>
  <si>
    <t>на конец года, млрд. рублей</t>
  </si>
  <si>
    <t xml:space="preserve"> по ипотечным жилищным кредитам,  на конец периода</t>
  </si>
  <si>
    <t>по кредитам физическим лицам, выданным на срок до  1 года, на конец периода</t>
  </si>
  <si>
    <t xml:space="preserve">Средневзвешенные рублевые процентные  ставки </t>
  </si>
  <si>
    <t>проценты, уплаченные за предоставленные кредиты, к доходам</t>
  </si>
  <si>
    <t>проценты, уплаченные за предоставленные кредиты, к ФЗП</t>
  </si>
  <si>
    <t>налоги и сборы к ФЗП</t>
  </si>
  <si>
    <t>проценты, уплаченные за предоставленные кредиты</t>
  </si>
  <si>
    <t>приобретение лотырейных билетов</t>
  </si>
  <si>
    <t>взносы в общ. и коопер.организации</t>
  </si>
  <si>
    <t>платежи по страхованию</t>
  </si>
  <si>
    <t>налоги и сборы, структура</t>
  </si>
  <si>
    <t>налоги и сборы</t>
  </si>
  <si>
    <t>Обязательные платежи и взносы, структура</t>
  </si>
  <si>
    <t>по жилищным ( лагом в 3 года)</t>
  </si>
  <si>
    <t>по потребительским кредитам (с лагом)</t>
  </si>
  <si>
    <t>в % к доходам</t>
  </si>
  <si>
    <t xml:space="preserve"> </t>
  </si>
  <si>
    <t>Обязательные платежи и взносы</t>
  </si>
  <si>
    <t>Дефлятор услуг</t>
  </si>
  <si>
    <t>Дефлятор товарооборота</t>
  </si>
  <si>
    <t>Реальный располагаемый доход (ВЭБ)</t>
  </si>
  <si>
    <t>Реальный располагаемый доход (Росстат)</t>
  </si>
  <si>
    <t>ВВП</t>
  </si>
  <si>
    <t>реальная зарплата</t>
  </si>
  <si>
    <t>темп роста %</t>
  </si>
  <si>
    <t>Изменение задолженности по кредитам</t>
  </si>
  <si>
    <t xml:space="preserve">Вклады и ценные бумаги </t>
  </si>
  <si>
    <t xml:space="preserve">        предельная склонность к сбережениям, %</t>
  </si>
  <si>
    <t xml:space="preserve">        средняя склонность к сбережениям,%</t>
  </si>
  <si>
    <t>Сбережения</t>
  </si>
  <si>
    <t>Чистые сбережения</t>
  </si>
  <si>
    <t>Покупка населением скота и птицы</t>
  </si>
  <si>
    <t>доля в ФЗП</t>
  </si>
  <si>
    <t>Доля в доходах</t>
  </si>
  <si>
    <t xml:space="preserve">   Обязательные платежи и добровольные взносы</t>
  </si>
  <si>
    <t>прочие потребительские расходы</t>
  </si>
  <si>
    <t>доля, %</t>
  </si>
  <si>
    <t>в реальном выражении,%</t>
  </si>
  <si>
    <t xml:space="preserve">     услуги</t>
  </si>
  <si>
    <t xml:space="preserve">     Розничный товарооборот</t>
  </si>
  <si>
    <t xml:space="preserve">     в том числе:</t>
  </si>
  <si>
    <t>Расходы</t>
  </si>
  <si>
    <t>Прочие доходы населения, включая скрытую оплату труда</t>
  </si>
  <si>
    <t>Доходы от собственности</t>
  </si>
  <si>
    <t>Доходы от предпринимательской деят-ти</t>
  </si>
  <si>
    <t>Пособия, стипендии, страхов., выигр.</t>
  </si>
  <si>
    <t>доля в соц.трансфертах</t>
  </si>
  <si>
    <t>Пенсии (выплаты)</t>
  </si>
  <si>
    <t>Социальные трансферты</t>
  </si>
  <si>
    <t>доля в ФОТ</t>
  </si>
  <si>
    <t xml:space="preserve">   прочие доходы (доходы наемных работников, кроме оплаты труда)</t>
  </si>
  <si>
    <t>ФЗП</t>
  </si>
  <si>
    <t>Оплата труда</t>
  </si>
  <si>
    <t>Доходы занятых</t>
  </si>
  <si>
    <t>Доходы от продажи валюты и недвижимости</t>
  </si>
  <si>
    <t>Доходы от продажи валюты и недвижимости, доля</t>
  </si>
  <si>
    <t>Доходы (Росстат)</t>
  </si>
  <si>
    <t xml:space="preserve">вариант 1 </t>
  </si>
  <si>
    <t>ПРОЧИЕ ДОХОДЫ</t>
  </si>
  <si>
    <t>Доходы от продажи недвижимости (МОИ РАСЧЕТЫ)</t>
  </si>
  <si>
    <t xml:space="preserve">   Потребительские расходы (вкл скот)</t>
  </si>
  <si>
    <t xml:space="preserve">           </t>
  </si>
  <si>
    <t>процентн платежи к расп доходу</t>
  </si>
  <si>
    <t>долг к располаг доходу</t>
  </si>
  <si>
    <t>Пенсии</t>
  </si>
  <si>
    <t>2010 г.  исполн.</t>
  </si>
  <si>
    <t>2011 г.  исполн.</t>
  </si>
  <si>
    <t>2012 г. исполн.</t>
  </si>
  <si>
    <t>2013 г. исполн.</t>
  </si>
  <si>
    <t>2014 г.</t>
  </si>
  <si>
    <t>2015 г.</t>
  </si>
  <si>
    <t>2016 г.</t>
  </si>
  <si>
    <t>2017 г.</t>
  </si>
  <si>
    <t>2018 г.</t>
  </si>
  <si>
    <t>2012 г.</t>
  </si>
  <si>
    <t>2013 г.</t>
  </si>
  <si>
    <t>2019 г.</t>
  </si>
  <si>
    <t>2020 г.</t>
  </si>
  <si>
    <t>2021 г.</t>
  </si>
  <si>
    <t>2022 г.</t>
  </si>
  <si>
    <t>2023 г.</t>
  </si>
  <si>
    <t>2024 г.</t>
  </si>
  <si>
    <t>2025 г.</t>
  </si>
  <si>
    <t>2026 г.</t>
  </si>
  <si>
    <t>2027 г.</t>
  </si>
  <si>
    <t>2028 г.</t>
  </si>
  <si>
    <t>2029 г.</t>
  </si>
  <si>
    <t>2030 г.</t>
  </si>
  <si>
    <t>Пенсионное обеспечение военнослуж-их</t>
  </si>
  <si>
    <t>Пенсиионные выплаты</t>
  </si>
  <si>
    <t>Пенсионные выплаты для БДДРН</t>
  </si>
  <si>
    <t>Индексация</t>
  </si>
  <si>
    <t>Закон Российской Федерации от 12 февраля 1993 года № 4468-1 "О пенсионном обеспечении лиц, проходивших военную службу, службу в органах внутренних дел, Государственной противопожарной службе, органах по контролю за оборотом наркотических средств и психотропных веществ, учреждениях и органах уголовно-исполнительной системы, и их семей"</t>
  </si>
  <si>
    <t>Социальные выплаты</t>
  </si>
  <si>
    <t>Закон Российской Федерации от 26 июня 1992 года № 3132-I "О статусе судей в Российской Федерации" и Федеральный закон от 10 января 1996 года № 6-ФЗ "О дополнительных гарантиях социальной защиты судей и работников аппаратов судов Российской Федерации"</t>
  </si>
  <si>
    <t xml:space="preserve"> Указ   Президента   Российской Федерации от 18  февраля  2005года N  176  "Об  установлении  ежемесячной доплаты к  пенсиям отдельным           категориям пенсионеров" </t>
  </si>
  <si>
    <t>Вклады  (from Monetary _file)</t>
  </si>
  <si>
    <t xml:space="preserve">Вклады </t>
  </si>
  <si>
    <t>Ценные бумаги</t>
  </si>
  <si>
    <t>депозиты+кредиты к располагаемым доходам</t>
  </si>
  <si>
    <t>Дефлятор потребления д/х</t>
  </si>
  <si>
    <t>Потребление домашних хозяйств</t>
  </si>
  <si>
    <t>Дополнительные бюджетные ассигнования</t>
  </si>
  <si>
    <t>ВЭБ</t>
  </si>
  <si>
    <t>Доходы  ПФР</t>
  </si>
  <si>
    <t>Тарифы страх взносов</t>
  </si>
  <si>
    <t>ФЗП до порога, доля</t>
  </si>
  <si>
    <t>Средневзвешенный тариф страховых взносов на накопительную пенсию</t>
  </si>
  <si>
    <t>Объем страховых взносов на накопительную пенсию</t>
  </si>
  <si>
    <t xml:space="preserve">дельта </t>
  </si>
  <si>
    <t>числ-ть пенсионеров</t>
  </si>
  <si>
    <t>2031 г.</t>
  </si>
  <si>
    <t>2032 г.</t>
  </si>
  <si>
    <t>2033 г.</t>
  </si>
  <si>
    <t>2034 г.</t>
  </si>
  <si>
    <t>2035 г.</t>
  </si>
  <si>
    <t>страховая</t>
  </si>
  <si>
    <t>ДОХОДЫ</t>
  </si>
  <si>
    <t>1 квартал 2012 года</t>
  </si>
  <si>
    <t>2 квартал 2012 года</t>
  </si>
  <si>
    <t>3 квартал 2012 года</t>
  </si>
  <si>
    <t>4 квартал 2012 года</t>
  </si>
  <si>
    <t>2012 утв</t>
  </si>
  <si>
    <t>1 квартал 2013 года</t>
  </si>
  <si>
    <t>2 квартал 2013 года</t>
  </si>
  <si>
    <t>3 квартал 2013 года</t>
  </si>
  <si>
    <t>4 квартал 2013 года</t>
  </si>
  <si>
    <t>2013утв.</t>
  </si>
  <si>
    <t>1 квартал 2014 года</t>
  </si>
  <si>
    <t>2 квартал 2014 года</t>
  </si>
  <si>
    <t>3 квартал 2014 года</t>
  </si>
  <si>
    <t>4 квартал 2014 года</t>
  </si>
  <si>
    <t>2014 предв.</t>
  </si>
  <si>
    <t>I.   Доходы от предпринимательской  деятельности</t>
  </si>
  <si>
    <r>
      <t>II.  Оплата труда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наемных работников</t>
    </r>
  </si>
  <si>
    <t xml:space="preserve">III. Доходы наемных работников от предприятий и организаций, кроме оплаты труда </t>
  </si>
  <si>
    <t xml:space="preserve">IV. Социальные трансферты </t>
  </si>
  <si>
    <t xml:space="preserve">           в том числе:</t>
  </si>
  <si>
    <t xml:space="preserve">    1.Пенсии </t>
  </si>
  <si>
    <t xml:space="preserve">    2.Пособия и социальная помощь</t>
  </si>
  <si>
    <t xml:space="preserve">    3.Стипендии</t>
  </si>
  <si>
    <t xml:space="preserve">    4.Страховые возмещения</t>
  </si>
  <si>
    <t xml:space="preserve">    5.Выигрыши по лотереям</t>
  </si>
  <si>
    <t xml:space="preserve">    1.Дивиденды  </t>
  </si>
  <si>
    <t xml:space="preserve">    2.Проценты по депозитам      </t>
  </si>
  <si>
    <t xml:space="preserve">    3.Выплата доходов по государственным и другим ценным бумагам</t>
  </si>
  <si>
    <t xml:space="preserve">    4.Предварительная компенсация по вкладам граждан  </t>
  </si>
  <si>
    <t>5. Выплаты правоприемникам умерших застрахованных лиц</t>
  </si>
  <si>
    <t>х</t>
  </si>
  <si>
    <t>6. Единовременная выплата отдельным категориям граждан</t>
  </si>
  <si>
    <t>VI.    Доходы от продажи иностранной валюты</t>
  </si>
  <si>
    <t>VII.   Прочие доходы (от сдачи черных и цветных металлов)</t>
  </si>
  <si>
    <t xml:space="preserve">VIII. Деньги, полученные по переводам </t>
  </si>
  <si>
    <t>IX.    Другие доходы   (Х-I-II-III-IV-V-VI-VII-VIII)</t>
  </si>
  <si>
    <t>X.      Всего денежных доходов (XII-XI)</t>
  </si>
  <si>
    <t xml:space="preserve">XI.    Превышение расходов над доходами  </t>
  </si>
  <si>
    <t>XII.   Б А Л А Н С</t>
  </si>
  <si>
    <r>
      <t xml:space="preserve">                 </t>
    </r>
    <r>
      <rPr>
        <b/>
        <sz val="10"/>
        <rFont val="Times New Roman"/>
        <family val="1"/>
        <charset val="204"/>
      </rPr>
      <t>РАСХОДЫ И СБЕРЕЖЕНИЯ</t>
    </r>
  </si>
  <si>
    <t>I.       Покупка товаров и оплата услуг</t>
  </si>
  <si>
    <t xml:space="preserve">  1.Покупка товаров</t>
  </si>
  <si>
    <t xml:space="preserve">  2.Оплата услуг </t>
  </si>
  <si>
    <t xml:space="preserve">  3. Платежи за  товары зарубежом с использ. банк.карт</t>
  </si>
  <si>
    <t xml:space="preserve">II.     Обязательные платежи и разнообразные  взносы </t>
  </si>
  <si>
    <t xml:space="preserve">             в том числе:</t>
  </si>
  <si>
    <t xml:space="preserve">   1.Налоги и сборы</t>
  </si>
  <si>
    <t xml:space="preserve">   2.Платежи по страхованию</t>
  </si>
  <si>
    <t xml:space="preserve">   3.Взносы в общественные и кооперативные организации</t>
  </si>
  <si>
    <t xml:space="preserve">   4.Проценты, уплаченные за предоставленные кредиты             </t>
  </si>
  <si>
    <t xml:space="preserve">   5.Приобретение лотерейных билетов</t>
  </si>
  <si>
    <t>III.    Сбережения во вкладах и ценных бумагах</t>
  </si>
  <si>
    <t xml:space="preserve">IV.     Расходы на покупку недвижимости     </t>
  </si>
  <si>
    <t xml:space="preserve">V.      Расходы на приобретение иностранной валюты </t>
  </si>
  <si>
    <t>VI.    Изменение средств на счетах физических лиц-предпринимателей</t>
  </si>
  <si>
    <t>VII.   Изменение задолженности по кредитам</t>
  </si>
  <si>
    <t xml:space="preserve">VIII. Деньги, отосланные по переводам    </t>
  </si>
  <si>
    <t>IX.      Покупка скота и птицы</t>
  </si>
  <si>
    <t>X.    Всего денежных расходов и сбережений  (I+II+III+IV+V+VI+VII+VIII)</t>
  </si>
  <si>
    <t>XI.     Превышение доходов над расходами</t>
  </si>
  <si>
    <t>XII.    Б А Л А Н С (IX+X)</t>
  </si>
  <si>
    <t>располагаемые денежные доходы</t>
  </si>
  <si>
    <t>1 квартал 2015 года</t>
  </si>
  <si>
    <t>темпы роста</t>
  </si>
  <si>
    <t>Коэффициент замещения</t>
  </si>
  <si>
    <t>Средний размер з/пл</t>
  </si>
  <si>
    <t>темпы из файла Сурикова</t>
  </si>
  <si>
    <t>фиксированная</t>
  </si>
  <si>
    <t>совокупная индексация на ИПЦ</t>
  </si>
  <si>
    <t>совокупная индексация на ИПЦ и  з/пл</t>
  </si>
  <si>
    <t>темпи роста з/пл</t>
  </si>
  <si>
    <t>Расчет индексации по Минфину</t>
  </si>
  <si>
    <t>Расчет индексации по закону</t>
  </si>
  <si>
    <t>индексация Минфина</t>
  </si>
  <si>
    <t xml:space="preserve">Пенсиионные выплаты по Минфину </t>
  </si>
  <si>
    <t>Пенсионные выплаты для БДДРН по Минфину</t>
  </si>
  <si>
    <t>Реальный располагаемый доход (закон)</t>
  </si>
  <si>
    <t>Реальный располагаемый доход (Минфин)</t>
  </si>
  <si>
    <t xml:space="preserve">Прожиточный мин пенсионеров </t>
  </si>
  <si>
    <t>,</t>
  </si>
  <si>
    <t>Основные показатели для разработки бюджета Пенсионного фонда Российской Федерации  на 2016-2018 годы, подготовленные на основании прогноза Министерства экономического развития Российской Федерации от 30.04.2015 по 1 варианту (письмо Минэкономразвития России от 30.04.2015 № 11148-АВ/Д03и)</t>
  </si>
  <si>
    <t>Показатели</t>
  </si>
  <si>
    <t>2015 год</t>
  </si>
  <si>
    <t>прогноз</t>
  </si>
  <si>
    <t>оценка</t>
  </si>
  <si>
    <t>2016 год</t>
  </si>
  <si>
    <t>2017 год</t>
  </si>
  <si>
    <t>2018 год</t>
  </si>
  <si>
    <t>Размеры индексации по индексу потребительских цен на конец года, %</t>
  </si>
  <si>
    <t>Среднегодовой размер страховой пенсии, руб.</t>
  </si>
  <si>
    <t>*) бюджетные ассигнования на ЕДВ на 2013-2014 годы без учета НСУ</t>
  </si>
  <si>
    <t>Соотношен пенсии и прожит мин</t>
  </si>
  <si>
    <t>Прожиточный мин-ум пенс МЭР</t>
  </si>
  <si>
    <t>Пенсионный фонд по закону</t>
  </si>
  <si>
    <t>Пенсионный фонд по Минфину</t>
  </si>
  <si>
    <t>САЛЬДО</t>
  </si>
  <si>
    <t>ДЕЛЬТА (вар по з-ну - вар по Минфину)</t>
  </si>
  <si>
    <t>Расходы  ПФР</t>
  </si>
</sst>
</file>

<file path=xl/styles.xml><?xml version="1.0" encoding="utf-8"?>
<styleSheet xmlns="http://schemas.openxmlformats.org/spreadsheetml/2006/main">
  <numFmts count="13">
    <numFmt numFmtId="164" formatCode="0.0"/>
    <numFmt numFmtId="165" formatCode="#,##0.0"/>
    <numFmt numFmtId="166" formatCode="0.0000"/>
    <numFmt numFmtId="167" formatCode="0_)"/>
    <numFmt numFmtId="168" formatCode="0.000"/>
    <numFmt numFmtId="169" formatCode="#,##0.000"/>
    <numFmt numFmtId="170" formatCode="0.00000"/>
    <numFmt numFmtId="171" formatCode="&quot;$&quot;#,##0\ ;\(&quot;$&quot;#,##0\)"/>
    <numFmt numFmtId="172" formatCode="_-* #,##0.00[$€-1]_-;\-* #,##0.00[$€-1]_-;_-* &quot;-&quot;??[$€-1]_-"/>
    <numFmt numFmtId="173" formatCode="_(* #,##0.00000000000_);_(* \(#,##0.00000000000\);_(* &quot;-&quot;??_);_(@_)"/>
    <numFmt numFmtId="174" formatCode="#,##0.00000_);[Red]\(#,##0.00000\)"/>
    <numFmt numFmtId="175" formatCode="_(* #,##0.000000000000_);_(* \(#,##0.000000000000\);_(* &quot;-&quot;??_);_(@_)"/>
    <numFmt numFmtId="176" formatCode="[$$-409]#,##0.00_ ;\-[$$-409]#,##0.00\ "/>
  </numFmts>
  <fonts count="166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7"/>
      <name val="Arial Cyr"/>
    </font>
    <font>
      <sz val="11"/>
      <name val="Calibri"/>
      <family val="2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6.25"/>
      <color indexed="12"/>
      <name val="Arial Cyr"/>
    </font>
    <font>
      <sz val="11"/>
      <color indexed="8"/>
      <name val="Arial"/>
      <family val="2"/>
      <charset val="204"/>
    </font>
    <font>
      <sz val="11"/>
      <color indexed="10"/>
      <name val="Calibri"/>
      <family val="2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b/>
      <sz val="9"/>
      <color indexed="10"/>
      <name val="Arial Cyr"/>
      <family val="2"/>
      <charset val="204"/>
    </font>
    <font>
      <sz val="10"/>
      <name val="Courier"/>
      <family val="1"/>
      <charset val="204"/>
    </font>
    <font>
      <b/>
      <sz val="9"/>
      <color indexed="8"/>
      <name val="Arial Cyr"/>
      <family val="2"/>
      <charset val="204"/>
    </font>
    <font>
      <sz val="9"/>
      <color indexed="10"/>
      <name val="Arial Cyr"/>
      <family val="2"/>
      <charset val="204"/>
    </font>
    <font>
      <sz val="9"/>
      <color indexed="8"/>
      <name val="Arial Cyr"/>
      <family val="2"/>
      <charset val="204"/>
    </font>
    <font>
      <b/>
      <sz val="9"/>
      <name val="Arial Cyr"/>
      <charset val="204"/>
    </font>
    <font>
      <sz val="9"/>
      <name val="Arial Cyr"/>
      <charset val="204"/>
    </font>
    <font>
      <b/>
      <i/>
      <sz val="9"/>
      <name val="Arial Cyr"/>
      <family val="2"/>
      <charset val="204"/>
    </font>
    <font>
      <b/>
      <i/>
      <sz val="9"/>
      <color indexed="8"/>
      <name val="Arial Cyr"/>
      <family val="2"/>
      <charset val="204"/>
    </font>
    <font>
      <b/>
      <i/>
      <sz val="9"/>
      <name val="Arial Cyr"/>
      <charset val="204"/>
    </font>
    <font>
      <i/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indexed="13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i/>
      <sz val="10"/>
      <color indexed="10"/>
      <name val="Calibri"/>
      <family val="2"/>
      <charset val="204"/>
    </font>
    <font>
      <i/>
      <sz val="9"/>
      <color indexed="43"/>
      <name val="Calibri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8"/>
      <color indexed="8"/>
      <name val="Calibri"/>
      <family val="2"/>
    </font>
    <font>
      <i/>
      <sz val="9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Arial"/>
      <family val="2"/>
    </font>
    <font>
      <b/>
      <i/>
      <sz val="10"/>
      <name val="Times New Roman"/>
      <family val="1"/>
    </font>
    <font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</font>
    <font>
      <sz val="12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0"/>
      <name val="Arial Cyr"/>
      <charset val="204"/>
    </font>
    <font>
      <sz val="10"/>
      <color indexed="8"/>
      <name val="Arial Cyr"/>
      <charset val="204"/>
    </font>
    <font>
      <sz val="9"/>
      <name val="Arial"/>
      <family val="2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i/>
      <sz val="8"/>
      <color indexed="8"/>
      <name val="Arial Cyr"/>
      <charset val="204"/>
    </font>
    <font>
      <i/>
      <sz val="8"/>
      <name val="Arial Cyr"/>
      <charset val="204"/>
    </font>
    <font>
      <i/>
      <sz val="8"/>
      <color indexed="10"/>
      <name val="Arial Cyr"/>
      <charset val="204"/>
    </font>
    <font>
      <sz val="8"/>
      <name val="Arial Cyr"/>
      <charset val="204"/>
    </font>
    <font>
      <i/>
      <sz val="8"/>
      <name val="Arial"/>
      <family val="2"/>
      <charset val="204"/>
    </font>
    <font>
      <i/>
      <sz val="9"/>
      <name val="Arial Cyr"/>
      <charset val="204"/>
    </font>
    <font>
      <b/>
      <i/>
      <sz val="10"/>
      <name val="Arial Cyr"/>
      <charset val="204"/>
    </font>
    <font>
      <i/>
      <sz val="8"/>
      <color indexed="8"/>
      <name val="Arial"/>
      <family val="2"/>
      <charset val="204"/>
    </font>
    <font>
      <i/>
      <sz val="8"/>
      <color indexed="10"/>
      <name val="Arial"/>
      <family val="2"/>
      <charset val="204"/>
    </font>
    <font>
      <i/>
      <sz val="9"/>
      <name val="Arial"/>
      <family val="2"/>
      <charset val="204"/>
    </font>
    <font>
      <sz val="8"/>
      <color indexed="55"/>
      <name val="Arial Cyr"/>
      <charset val="204"/>
    </font>
    <font>
      <sz val="8"/>
      <color indexed="9"/>
      <name val="Arial Cyr"/>
      <charset val="204"/>
    </font>
    <font>
      <sz val="12"/>
      <name val="Arial Cyr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sz val="11"/>
      <color indexed="10"/>
      <name val="Arial Cyr"/>
    </font>
    <font>
      <b/>
      <i/>
      <sz val="9"/>
      <color indexed="10"/>
      <name val="Arial Cyr"/>
    </font>
    <font>
      <b/>
      <i/>
      <sz val="10"/>
      <color indexed="10"/>
      <name val="Arial Cyr"/>
    </font>
    <font>
      <b/>
      <i/>
      <sz val="10"/>
      <name val="Arial Cyr"/>
    </font>
    <font>
      <b/>
      <sz val="10"/>
      <color indexed="62"/>
      <name val="Arial Cyr"/>
      <charset val="204"/>
    </font>
    <font>
      <sz val="10"/>
      <color indexed="62"/>
      <name val="Arial Cyr"/>
      <charset val="204"/>
    </font>
    <font>
      <sz val="11"/>
      <name val="Times New Roman"/>
      <family val="1"/>
    </font>
    <font>
      <sz val="11"/>
      <name val="Times New Roman"/>
      <family val="1"/>
      <charset val="204"/>
    </font>
    <font>
      <sz val="8"/>
      <color indexed="10"/>
      <name val="Arial Cyr"/>
      <charset val="204"/>
    </font>
    <font>
      <sz val="8"/>
      <name val="Arial Cyr"/>
    </font>
    <font>
      <sz val="11"/>
      <name val="Arial Cyr"/>
      <charset val="204"/>
    </font>
    <font>
      <i/>
      <sz val="12"/>
      <name val="Arial Cyr"/>
      <charset val="204"/>
    </font>
    <font>
      <sz val="12"/>
      <name val="Times New Roman"/>
      <family val="1"/>
    </font>
    <font>
      <sz val="11"/>
      <color indexed="10"/>
      <name val="Calibri"/>
      <family val="2"/>
      <charset val="204"/>
    </font>
    <font>
      <sz val="10"/>
      <color indexed="10"/>
      <name val="Arial Cyr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</font>
    <font>
      <sz val="12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4"/>
      <name val="System"/>
      <family val="2"/>
      <charset val="204"/>
    </font>
    <font>
      <b/>
      <sz val="9"/>
      <name val="Arial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Times New Roman CYR"/>
      <charset val="204"/>
    </font>
    <font>
      <sz val="8"/>
      <color indexed="24"/>
      <name val="Pragmatica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0"/>
      <name val="Arial Cyr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2"/>
      <color indexed="8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i/>
      <sz val="10"/>
      <name val="Times New Roman"/>
      <family val="1"/>
      <charset val="204"/>
    </font>
    <font>
      <b/>
      <sz val="10"/>
      <color indexed="62"/>
      <name val="Arial Cyr"/>
      <charset val="204"/>
    </font>
    <font>
      <b/>
      <sz val="10"/>
      <color indexed="12"/>
      <name val="Times New Roman"/>
      <family val="1"/>
      <charset val="204"/>
    </font>
    <font>
      <b/>
      <sz val="10"/>
      <color indexed="56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color indexed="56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2"/>
      <color indexed="10"/>
      <name val="Times New Roman"/>
      <family val="1"/>
      <charset val="204"/>
    </font>
    <font>
      <b/>
      <i/>
      <sz val="11"/>
      <color indexed="8"/>
      <name val="Calibri"/>
      <family val="2"/>
      <charset val="204"/>
    </font>
    <font>
      <b/>
      <i/>
      <sz val="10"/>
      <color indexed="10"/>
      <name val="Arial Cyr"/>
      <charset val="204"/>
    </font>
    <font>
      <b/>
      <sz val="9"/>
      <color indexed="81"/>
      <name val="Tahoma"/>
      <family val="2"/>
      <charset val="204"/>
    </font>
    <font>
      <b/>
      <sz val="12"/>
      <name val="Arial Cyr"/>
      <charset val="204"/>
    </font>
    <font>
      <b/>
      <sz val="16"/>
      <name val="Times New Roman Cyr"/>
      <family val="1"/>
      <charset val="204"/>
    </font>
    <font>
      <sz val="16"/>
      <name val="Times New Roman Cyr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2"/>
      <name val="Times New Roman Cyr"/>
      <family val="1"/>
      <charset val="204"/>
    </font>
    <font>
      <i/>
      <sz val="11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b/>
      <i/>
      <sz val="11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darkTrellis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7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41">
    <xf numFmtId="0" fontId="0" fillId="0" borderId="0"/>
    <xf numFmtId="0" fontId="91" fillId="0" borderId="0"/>
    <xf numFmtId="0" fontId="92" fillId="0" borderId="0">
      <alignment vertical="top"/>
    </xf>
    <xf numFmtId="0" fontId="92" fillId="0" borderId="0">
      <alignment vertical="top"/>
    </xf>
    <xf numFmtId="0" fontId="91" fillId="0" borderId="0"/>
    <xf numFmtId="0" fontId="91" fillId="0" borderId="0"/>
    <xf numFmtId="0" fontId="93" fillId="2" borderId="1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5" fillId="0" borderId="0"/>
    <xf numFmtId="0" fontId="37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37" fillId="0" borderId="0"/>
    <xf numFmtId="0" fontId="91" fillId="0" borderId="0"/>
    <xf numFmtId="0" fontId="37" fillId="0" borderId="0"/>
    <xf numFmtId="0" fontId="94" fillId="0" borderId="0"/>
    <xf numFmtId="0" fontId="91" fillId="0" borderId="0"/>
    <xf numFmtId="0" fontId="37" fillId="0" borderId="0"/>
    <xf numFmtId="0" fontId="95" fillId="3" borderId="0" applyNumberFormat="0" applyBorder="0" applyAlignment="0" applyProtection="0"/>
    <xf numFmtId="0" fontId="95" fillId="4" borderId="0" applyNumberFormat="0" applyBorder="0" applyAlignment="0" applyProtection="0"/>
    <xf numFmtId="0" fontId="95" fillId="5" borderId="0" applyNumberFormat="0" applyBorder="0" applyAlignment="0" applyProtection="0"/>
    <xf numFmtId="0" fontId="95" fillId="6" borderId="0" applyNumberFormat="0" applyBorder="0" applyAlignment="0" applyProtection="0"/>
    <xf numFmtId="0" fontId="95" fillId="7" borderId="0" applyNumberFormat="0" applyBorder="0" applyAlignment="0" applyProtection="0"/>
    <xf numFmtId="0" fontId="95" fillId="8" borderId="0" applyNumberFormat="0" applyBorder="0" applyAlignment="0" applyProtection="0"/>
    <xf numFmtId="0" fontId="96" fillId="9" borderId="0" applyNumberFormat="0" applyBorder="0" applyAlignment="0" applyProtection="0"/>
    <xf numFmtId="0" fontId="96" fillId="3" borderId="0" applyNumberFormat="0" applyBorder="0" applyAlignment="0" applyProtection="0"/>
    <xf numFmtId="0" fontId="95" fillId="3" borderId="0" applyNumberFormat="0" applyBorder="0" applyAlignment="0" applyProtection="0"/>
    <xf numFmtId="0" fontId="53" fillId="9" borderId="0" applyNumberFormat="0" applyBorder="0" applyAlignment="0" applyProtection="0"/>
    <xf numFmtId="0" fontId="96" fillId="8" borderId="0" applyNumberFormat="0" applyBorder="0" applyAlignment="0" applyProtection="0"/>
    <xf numFmtId="0" fontId="96" fillId="4" borderId="0" applyNumberFormat="0" applyBorder="0" applyAlignment="0" applyProtection="0"/>
    <xf numFmtId="0" fontId="95" fillId="4" borderId="0" applyNumberFormat="0" applyBorder="0" applyAlignment="0" applyProtection="0"/>
    <xf numFmtId="0" fontId="53" fillId="8" borderId="0" applyNumberFormat="0" applyBorder="0" applyAlignment="0" applyProtection="0"/>
    <xf numFmtId="0" fontId="96" fillId="3" borderId="0" applyNumberFormat="0" applyBorder="0" applyAlignment="0" applyProtection="0"/>
    <xf numFmtId="0" fontId="96" fillId="5" borderId="0" applyNumberFormat="0" applyBorder="0" applyAlignment="0" applyProtection="0"/>
    <xf numFmtId="0" fontId="95" fillId="5" borderId="0" applyNumberFormat="0" applyBorder="0" applyAlignment="0" applyProtection="0"/>
    <xf numFmtId="0" fontId="53" fillId="3" borderId="0" applyNumberFormat="0" applyBorder="0" applyAlignment="0" applyProtection="0"/>
    <xf numFmtId="0" fontId="96" fillId="9" borderId="0" applyNumberFormat="0" applyBorder="0" applyAlignment="0" applyProtection="0"/>
    <xf numFmtId="0" fontId="96" fillId="6" borderId="0" applyNumberFormat="0" applyBorder="0" applyAlignment="0" applyProtection="0"/>
    <xf numFmtId="0" fontId="95" fillId="6" borderId="0" applyNumberFormat="0" applyBorder="0" applyAlignment="0" applyProtection="0"/>
    <xf numFmtId="0" fontId="53" fillId="9" borderId="0" applyNumberFormat="0" applyBorder="0" applyAlignment="0" applyProtection="0"/>
    <xf numFmtId="0" fontId="96" fillId="7" borderId="0" applyNumberFormat="0" applyBorder="0" applyAlignment="0" applyProtection="0"/>
    <xf numFmtId="0" fontId="96" fillId="7" borderId="0" applyNumberFormat="0" applyBorder="0" applyAlignment="0" applyProtection="0"/>
    <xf numFmtId="0" fontId="95" fillId="7" borderId="0" applyNumberFormat="0" applyBorder="0" applyAlignment="0" applyProtection="0"/>
    <xf numFmtId="0" fontId="53" fillId="10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95" fillId="8" borderId="0" applyNumberFormat="0" applyBorder="0" applyAlignment="0" applyProtection="0"/>
    <xf numFmtId="0" fontId="53" fillId="8" borderId="0" applyNumberFormat="0" applyBorder="0" applyAlignment="0" applyProtection="0"/>
    <xf numFmtId="0" fontId="95" fillId="11" borderId="0" applyNumberFormat="0" applyBorder="0" applyAlignment="0" applyProtection="0"/>
    <xf numFmtId="0" fontId="95" fillId="12" borderId="0" applyNumberFormat="0" applyBorder="0" applyAlignment="0" applyProtection="0"/>
    <xf numFmtId="0" fontId="95" fillId="13" borderId="0" applyNumberFormat="0" applyBorder="0" applyAlignment="0" applyProtection="0"/>
    <xf numFmtId="0" fontId="95" fillId="6" borderId="0" applyNumberFormat="0" applyBorder="0" applyAlignment="0" applyProtection="0"/>
    <xf numFmtId="0" fontId="95" fillId="11" borderId="0" applyNumberFormat="0" applyBorder="0" applyAlignment="0" applyProtection="0"/>
    <xf numFmtId="0" fontId="95" fillId="14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5" fillId="11" borderId="0" applyNumberFormat="0" applyBorder="0" applyAlignment="0" applyProtection="0"/>
    <xf numFmtId="0" fontId="53" fillId="11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95" fillId="12" borderId="0" applyNumberFormat="0" applyBorder="0" applyAlignment="0" applyProtection="0"/>
    <xf numFmtId="0" fontId="53" fillId="8" borderId="0" applyNumberFormat="0" applyBorder="0" applyAlignment="0" applyProtection="0"/>
    <xf numFmtId="0" fontId="96" fillId="3" borderId="0" applyNumberFormat="0" applyBorder="0" applyAlignment="0" applyProtection="0"/>
    <xf numFmtId="0" fontId="96" fillId="13" borderId="0" applyNumberFormat="0" applyBorder="0" applyAlignment="0" applyProtection="0"/>
    <xf numFmtId="0" fontId="95" fillId="13" borderId="0" applyNumberFormat="0" applyBorder="0" applyAlignment="0" applyProtection="0"/>
    <xf numFmtId="0" fontId="53" fillId="3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95" fillId="6" borderId="0" applyNumberFormat="0" applyBorder="0" applyAlignment="0" applyProtection="0"/>
    <xf numFmtId="0" fontId="53" fillId="6" borderId="0" applyNumberFormat="0" applyBorder="0" applyAlignment="0" applyProtection="0"/>
    <xf numFmtId="0" fontId="96" fillId="11" borderId="0" applyNumberFormat="0" applyBorder="0" applyAlignment="0" applyProtection="0"/>
    <xf numFmtId="0" fontId="96" fillId="11" borderId="0" applyNumberFormat="0" applyBorder="0" applyAlignment="0" applyProtection="0"/>
    <xf numFmtId="0" fontId="95" fillId="11" borderId="0" applyNumberFormat="0" applyBorder="0" applyAlignment="0" applyProtection="0"/>
    <xf numFmtId="0" fontId="53" fillId="11" borderId="0" applyNumberFormat="0" applyBorder="0" applyAlignment="0" applyProtection="0"/>
    <xf numFmtId="0" fontId="96" fillId="14" borderId="0" applyNumberFormat="0" applyBorder="0" applyAlignment="0" applyProtection="0"/>
    <xf numFmtId="0" fontId="96" fillId="14" borderId="0" applyNumberFormat="0" applyBorder="0" applyAlignment="0" applyProtection="0"/>
    <xf numFmtId="0" fontId="95" fillId="14" borderId="0" applyNumberFormat="0" applyBorder="0" applyAlignment="0" applyProtection="0"/>
    <xf numFmtId="0" fontId="53" fillId="14" borderId="0" applyNumberFormat="0" applyBorder="0" applyAlignment="0" applyProtection="0"/>
    <xf numFmtId="0" fontId="97" fillId="15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97" fillId="18" borderId="0" applyNumberFormat="0" applyBorder="0" applyAlignment="0" applyProtection="0"/>
    <xf numFmtId="0" fontId="98" fillId="15" borderId="0" applyNumberFormat="0" applyBorder="0" applyAlignment="0" applyProtection="0"/>
    <xf numFmtId="0" fontId="98" fillId="15" borderId="0" applyNumberFormat="0" applyBorder="0" applyAlignment="0" applyProtection="0"/>
    <xf numFmtId="0" fontId="97" fillId="15" borderId="0" applyNumberFormat="0" applyBorder="0" applyAlignment="0" applyProtection="0"/>
    <xf numFmtId="0" fontId="99" fillId="15" borderId="0" applyNumberFormat="0" applyBorder="0" applyAlignment="0" applyProtection="0"/>
    <xf numFmtId="0" fontId="98" fillId="12" borderId="0" applyNumberFormat="0" applyBorder="0" applyAlignment="0" applyProtection="0"/>
    <xf numFmtId="0" fontId="98" fillId="12" borderId="0" applyNumberFormat="0" applyBorder="0" applyAlignment="0" applyProtection="0"/>
    <xf numFmtId="0" fontId="97" fillId="12" borderId="0" applyNumberFormat="0" applyBorder="0" applyAlignment="0" applyProtection="0"/>
    <xf numFmtId="0" fontId="99" fillId="12" borderId="0" applyNumberFormat="0" applyBorder="0" applyAlignment="0" applyProtection="0"/>
    <xf numFmtId="0" fontId="98" fillId="3" borderId="0" applyNumberFormat="0" applyBorder="0" applyAlignment="0" applyProtection="0"/>
    <xf numFmtId="0" fontId="98" fillId="13" borderId="0" applyNumberFormat="0" applyBorder="0" applyAlignment="0" applyProtection="0"/>
    <xf numFmtId="0" fontId="97" fillId="13" borderId="0" applyNumberFormat="0" applyBorder="0" applyAlignment="0" applyProtection="0"/>
    <xf numFmtId="0" fontId="99" fillId="3" borderId="0" applyNumberFormat="0" applyBorder="0" applyAlignment="0" applyProtection="0"/>
    <xf numFmtId="0" fontId="98" fillId="19" borderId="0" applyNumberFormat="0" applyBorder="0" applyAlignment="0" applyProtection="0"/>
    <xf numFmtId="0" fontId="98" fillId="16" borderId="0" applyNumberFormat="0" applyBorder="0" applyAlignment="0" applyProtection="0"/>
    <xf numFmtId="0" fontId="97" fillId="16" borderId="0" applyNumberFormat="0" applyBorder="0" applyAlignment="0" applyProtection="0"/>
    <xf numFmtId="0" fontId="99" fillId="19" borderId="0" applyNumberFormat="0" applyBorder="0" applyAlignment="0" applyProtection="0"/>
    <xf numFmtId="0" fontId="98" fillId="17" borderId="0" applyNumberFormat="0" applyBorder="0" applyAlignment="0" applyProtection="0"/>
    <xf numFmtId="0" fontId="98" fillId="17" borderId="0" applyNumberFormat="0" applyBorder="0" applyAlignment="0" applyProtection="0"/>
    <xf numFmtId="0" fontId="97" fillId="17" borderId="0" applyNumberFormat="0" applyBorder="0" applyAlignment="0" applyProtection="0"/>
    <xf numFmtId="0" fontId="99" fillId="17" borderId="0" applyNumberFormat="0" applyBorder="0" applyAlignment="0" applyProtection="0"/>
    <xf numFmtId="0" fontId="98" fillId="8" borderId="0" applyNumberFormat="0" applyBorder="0" applyAlignment="0" applyProtection="0"/>
    <xf numFmtId="0" fontId="98" fillId="18" borderId="0" applyNumberFormat="0" applyBorder="0" applyAlignment="0" applyProtection="0"/>
    <xf numFmtId="0" fontId="97" fillId="18" borderId="0" applyNumberFormat="0" applyBorder="0" applyAlignment="0" applyProtection="0"/>
    <xf numFmtId="0" fontId="99" fillId="8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97" fillId="22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97" fillId="23" borderId="0" applyNumberFormat="0" applyBorder="0" applyAlignment="0" applyProtection="0"/>
    <xf numFmtId="0" fontId="100" fillId="4" borderId="0" applyNumberFormat="0" applyBorder="0" applyAlignment="0" applyProtection="0"/>
    <xf numFmtId="0" fontId="101" fillId="19" borderId="1" applyNumberFormat="0" applyAlignment="0" applyProtection="0"/>
    <xf numFmtId="0" fontId="102" fillId="24" borderId="2" applyNumberFormat="0" applyAlignment="0" applyProtection="0"/>
    <xf numFmtId="3" fontId="103" fillId="0" borderId="0" applyFont="0" applyFill="0" applyBorder="0" applyAlignment="0" applyProtection="0"/>
    <xf numFmtId="171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15" fontId="104" fillId="0" borderId="0"/>
    <xf numFmtId="17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2" fontId="103" fillId="0" borderId="0" applyFont="0" applyFill="0" applyBorder="0" applyAlignment="0" applyProtection="0"/>
    <xf numFmtId="0" fontId="106" fillId="5" borderId="0" applyNumberFormat="0" applyBorder="0" applyAlignment="0" applyProtection="0"/>
    <xf numFmtId="0" fontId="107" fillId="0" borderId="0"/>
    <xf numFmtId="0" fontId="108" fillId="0" borderId="3" applyNumberFormat="0" applyFill="0" applyAlignment="0" applyProtection="0"/>
    <xf numFmtId="0" fontId="109" fillId="0" borderId="4" applyNumberFormat="0" applyFill="0" applyAlignment="0" applyProtection="0"/>
    <xf numFmtId="0" fontId="110" fillId="0" borderId="5" applyNumberFormat="0" applyFill="0" applyAlignment="0" applyProtection="0"/>
    <xf numFmtId="0" fontId="110" fillId="0" borderId="0" applyNumberFormat="0" applyFill="0" applyBorder="0" applyAlignment="0" applyProtection="0"/>
    <xf numFmtId="0" fontId="111" fillId="8" borderId="1" applyNumberFormat="0" applyAlignment="0" applyProtection="0"/>
    <xf numFmtId="0" fontId="112" fillId="0" borderId="6" applyNumberFormat="0" applyFill="0" applyAlignment="0" applyProtection="0"/>
    <xf numFmtId="173" fontId="113" fillId="0" borderId="0"/>
    <xf numFmtId="4" fontId="114" fillId="25" borderId="0">
      <alignment horizontal="right"/>
    </xf>
    <xf numFmtId="0" fontId="115" fillId="26" borderId="0" applyNumberFormat="0" applyBorder="0" applyAlignment="0" applyProtection="0"/>
    <xf numFmtId="0" fontId="5" fillId="0" borderId="0"/>
    <xf numFmtId="0" fontId="165" fillId="0" borderId="0"/>
    <xf numFmtId="0" fontId="82" fillId="0" borderId="0"/>
    <xf numFmtId="0" fontId="51" fillId="0" borderId="0"/>
    <xf numFmtId="0" fontId="95" fillId="27" borderId="7" applyNumberFormat="0" applyFont="0" applyAlignment="0" applyProtection="0"/>
    <xf numFmtId="0" fontId="116" fillId="19" borderId="8" applyNumberFormat="0" applyAlignment="0" applyProtection="0"/>
    <xf numFmtId="9" fontId="95" fillId="0" borderId="0" applyFont="0" applyFill="0" applyBorder="0" applyAlignment="0" applyProtection="0"/>
    <xf numFmtId="0" fontId="91" fillId="0" borderId="0"/>
    <xf numFmtId="2" fontId="117" fillId="28" borderId="9" applyProtection="0"/>
    <xf numFmtId="2" fontId="117" fillId="28" borderId="9" applyProtection="0"/>
    <xf numFmtId="2" fontId="118" fillId="0" borderId="0" applyFill="0" applyBorder="0" applyProtection="0"/>
    <xf numFmtId="2" fontId="93" fillId="0" borderId="0" applyFill="0" applyBorder="0" applyProtection="0"/>
    <xf numFmtId="2" fontId="93" fillId="29" borderId="9" applyProtection="0"/>
    <xf numFmtId="2" fontId="93" fillId="30" borderId="9" applyProtection="0"/>
    <xf numFmtId="2" fontId="93" fillId="31" borderId="9" applyProtection="0"/>
    <xf numFmtId="2" fontId="93" fillId="31" borderId="9" applyProtection="0">
      <alignment horizontal="center"/>
    </xf>
    <xf numFmtId="2" fontId="93" fillId="30" borderId="9" applyProtection="0">
      <alignment horizontal="center"/>
    </xf>
    <xf numFmtId="0" fontId="119" fillId="0" borderId="0" applyNumberFormat="0" applyFill="0" applyBorder="0" applyAlignment="0" applyProtection="0"/>
    <xf numFmtId="0" fontId="30" fillId="0" borderId="10" applyNumberFormat="0" applyFill="0" applyAlignment="0" applyProtection="0"/>
    <xf numFmtId="174" fontId="113" fillId="0" borderId="0">
      <alignment horizontal="center"/>
    </xf>
    <xf numFmtId="175" fontId="113" fillId="0" borderId="0"/>
    <xf numFmtId="176" fontId="32" fillId="0" borderId="0">
      <alignment horizontal="center"/>
    </xf>
    <xf numFmtId="0" fontId="120" fillId="0" borderId="0" applyNumberFormat="0" applyFill="0" applyBorder="0" applyAlignment="0" applyProtection="0"/>
    <xf numFmtId="0" fontId="98" fillId="20" borderId="0" applyNumberFormat="0" applyBorder="0" applyAlignment="0" applyProtection="0"/>
    <xf numFmtId="0" fontId="97" fillId="20" borderId="0" applyNumberFormat="0" applyBorder="0" applyAlignment="0" applyProtection="0"/>
    <xf numFmtId="0" fontId="98" fillId="21" borderId="0" applyNumberFormat="0" applyBorder="0" applyAlignment="0" applyProtection="0"/>
    <xf numFmtId="0" fontId="97" fillId="21" borderId="0" applyNumberFormat="0" applyBorder="0" applyAlignment="0" applyProtection="0"/>
    <xf numFmtId="0" fontId="98" fillId="22" borderId="0" applyNumberFormat="0" applyBorder="0" applyAlignment="0" applyProtection="0"/>
    <xf numFmtId="0" fontId="97" fillId="22" borderId="0" applyNumberFormat="0" applyBorder="0" applyAlignment="0" applyProtection="0"/>
    <xf numFmtId="0" fontId="98" fillId="16" borderId="0" applyNumberFormat="0" applyBorder="0" applyAlignment="0" applyProtection="0"/>
    <xf numFmtId="0" fontId="97" fillId="16" borderId="0" applyNumberFormat="0" applyBorder="0" applyAlignment="0" applyProtection="0"/>
    <xf numFmtId="0" fontId="98" fillId="17" borderId="0" applyNumberFormat="0" applyBorder="0" applyAlignment="0" applyProtection="0"/>
    <xf numFmtId="0" fontId="97" fillId="17" borderId="0" applyNumberFormat="0" applyBorder="0" applyAlignment="0" applyProtection="0"/>
    <xf numFmtId="0" fontId="98" fillId="23" borderId="0" applyNumberFormat="0" applyBorder="0" applyAlignment="0" applyProtection="0"/>
    <xf numFmtId="0" fontId="97" fillId="23" borderId="0" applyNumberFormat="0" applyBorder="0" applyAlignment="0" applyProtection="0"/>
    <xf numFmtId="0" fontId="121" fillId="8" borderId="1" applyNumberFormat="0" applyAlignment="0" applyProtection="0"/>
    <xf numFmtId="0" fontId="121" fillId="8" borderId="1" applyNumberFormat="0" applyAlignment="0" applyProtection="0"/>
    <xf numFmtId="0" fontId="111" fillId="8" borderId="1" applyNumberFormat="0" applyAlignment="0" applyProtection="0"/>
    <xf numFmtId="0" fontId="122" fillId="19" borderId="8" applyNumberFormat="0" applyAlignment="0" applyProtection="0"/>
    <xf numFmtId="0" fontId="116" fillId="19" borderId="8" applyNumberFormat="0" applyAlignment="0" applyProtection="0"/>
    <xf numFmtId="0" fontId="123" fillId="19" borderId="1" applyNumberFormat="0" applyAlignment="0" applyProtection="0"/>
    <xf numFmtId="0" fontId="101" fillId="19" borderId="1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24" fillId="0" borderId="3" applyNumberFormat="0" applyFill="0" applyAlignment="0" applyProtection="0"/>
    <xf numFmtId="0" fontId="108" fillId="0" borderId="3" applyNumberFormat="0" applyFill="0" applyAlignment="0" applyProtection="0"/>
    <xf numFmtId="0" fontId="125" fillId="0" borderId="4" applyNumberFormat="0" applyFill="0" applyAlignment="0" applyProtection="0"/>
    <xf numFmtId="0" fontId="109" fillId="0" borderId="4" applyNumberFormat="0" applyFill="0" applyAlignment="0" applyProtection="0"/>
    <xf numFmtId="0" fontId="126" fillId="0" borderId="5" applyNumberFormat="0" applyFill="0" applyAlignment="0" applyProtection="0"/>
    <xf numFmtId="0" fontId="110" fillId="0" borderId="5" applyNumberFormat="0" applyFill="0" applyAlignment="0" applyProtection="0"/>
    <xf numFmtId="0" fontId="1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5" fillId="27" borderId="7" applyNumberFormat="0" applyFont="0" applyAlignment="0" applyProtection="0"/>
    <xf numFmtId="0" fontId="127" fillId="0" borderId="10" applyNumberFormat="0" applyFill="0" applyAlignment="0" applyProtection="0"/>
    <xf numFmtId="0" fontId="30" fillId="0" borderId="10" applyNumberFormat="0" applyFill="0" applyAlignment="0" applyProtection="0"/>
    <xf numFmtId="0" fontId="128" fillId="24" borderId="2" applyNumberFormat="0" applyAlignment="0" applyProtection="0"/>
    <xf numFmtId="0" fontId="102" fillId="24" borderId="2" applyNumberFormat="0" applyAlignment="0" applyProtection="0"/>
    <xf numFmtId="0" fontId="12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30" fillId="26" borderId="0" applyNumberFormat="0" applyBorder="0" applyAlignment="0" applyProtection="0"/>
    <xf numFmtId="0" fontId="115" fillId="26" borderId="0" applyNumberFormat="0" applyBorder="0" applyAlignment="0" applyProtection="0"/>
    <xf numFmtId="0" fontId="131" fillId="0" borderId="0"/>
    <xf numFmtId="0" fontId="131" fillId="0" borderId="0"/>
    <xf numFmtId="0" fontId="5" fillId="0" borderId="0"/>
    <xf numFmtId="0" fontId="165" fillId="0" borderId="0"/>
    <xf numFmtId="0" fontId="113" fillId="0" borderId="0"/>
    <xf numFmtId="0" fontId="5" fillId="0" borderId="0"/>
    <xf numFmtId="0" fontId="5" fillId="0" borderId="0"/>
    <xf numFmtId="0" fontId="113" fillId="0" borderId="0"/>
    <xf numFmtId="0" fontId="165" fillId="0" borderId="0"/>
    <xf numFmtId="0" fontId="113" fillId="0" borderId="0"/>
    <xf numFmtId="0" fontId="5" fillId="0" borderId="0"/>
    <xf numFmtId="0" fontId="113" fillId="0" borderId="0"/>
    <xf numFmtId="0" fontId="164" fillId="0" borderId="0"/>
    <xf numFmtId="0" fontId="32" fillId="0" borderId="0"/>
    <xf numFmtId="0" fontId="131" fillId="0" borderId="0"/>
    <xf numFmtId="0" fontId="131" fillId="0" borderId="0"/>
    <xf numFmtId="0" fontId="5" fillId="0" borderId="0"/>
    <xf numFmtId="0" fontId="3" fillId="0" borderId="0"/>
    <xf numFmtId="167" fontId="20" fillId="0" borderId="0"/>
    <xf numFmtId="0" fontId="32" fillId="0" borderId="0"/>
    <xf numFmtId="0" fontId="5" fillId="0" borderId="0"/>
    <xf numFmtId="0" fontId="5" fillId="0" borderId="0"/>
    <xf numFmtId="0" fontId="132" fillId="4" borderId="0" applyNumberFormat="0" applyBorder="0" applyAlignment="0" applyProtection="0"/>
    <xf numFmtId="0" fontId="100" fillId="4" borderId="0" applyNumberFormat="0" applyBorder="0" applyAlignment="0" applyProtection="0"/>
    <xf numFmtId="0" fontId="133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34" fillId="27" borderId="7" applyNumberFormat="0" applyFont="0" applyAlignment="0" applyProtection="0"/>
    <xf numFmtId="0" fontId="5" fillId="27" borderId="7" applyNumberFormat="0" applyFont="0" applyAlignment="0" applyProtection="0"/>
    <xf numFmtId="9" fontId="9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135" fillId="0" borderId="6" applyNumberFormat="0" applyFill="0" applyAlignment="0" applyProtection="0"/>
    <xf numFmtId="0" fontId="112" fillId="0" borderId="6" applyNumberFormat="0" applyFill="0" applyAlignment="0" applyProtection="0"/>
    <xf numFmtId="0" fontId="91" fillId="0" borderId="0"/>
    <xf numFmtId="0" fontId="37" fillId="0" borderId="0"/>
    <xf numFmtId="0" fontId="91" fillId="0" borderId="0"/>
    <xf numFmtId="0" fontId="13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37" fillId="5" borderId="0" applyNumberFormat="0" applyBorder="0" applyAlignment="0" applyProtection="0"/>
    <xf numFmtId="0" fontId="106" fillId="5" borderId="0" applyNumberFormat="0" applyBorder="0" applyAlignment="0" applyProtection="0"/>
  </cellStyleXfs>
  <cellXfs count="832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4" fillId="0" borderId="0" xfId="0" applyNumberFormat="1" applyFont="1" applyFill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141"/>
    <xf numFmtId="0" fontId="5" fillId="0" borderId="0" xfId="141" applyFill="1"/>
    <xf numFmtId="0" fontId="7" fillId="0" borderId="0" xfId="141" applyFont="1"/>
    <xf numFmtId="0" fontId="8" fillId="0" borderId="11" xfId="141" applyFont="1" applyBorder="1" applyAlignment="1">
      <alignment horizontal="center"/>
    </xf>
    <xf numFmtId="0" fontId="8" fillId="32" borderId="11" xfId="141" applyFont="1" applyFill="1" applyBorder="1" applyAlignment="1">
      <alignment horizontal="center"/>
    </xf>
    <xf numFmtId="0" fontId="8" fillId="0" borderId="11" xfId="141" applyFont="1" applyFill="1" applyBorder="1" applyAlignment="1">
      <alignment horizontal="center"/>
    </xf>
    <xf numFmtId="0" fontId="9" fillId="0" borderId="11" xfId="141" applyFont="1" applyFill="1" applyBorder="1" applyAlignment="1">
      <alignment horizontal="center"/>
    </xf>
    <xf numFmtId="0" fontId="10" fillId="0" borderId="11" xfId="141" applyFont="1" applyBorder="1" applyAlignment="1">
      <alignment wrapText="1"/>
    </xf>
    <xf numFmtId="165" fontId="11" fillId="0" borderId="11" xfId="141" applyNumberFormat="1" applyFont="1" applyBorder="1"/>
    <xf numFmtId="165" fontId="11" fillId="32" borderId="11" xfId="141" applyNumberFormat="1" applyFont="1" applyFill="1" applyBorder="1"/>
    <xf numFmtId="165" fontId="11" fillId="0" borderId="11" xfId="141" applyNumberFormat="1" applyFont="1" applyFill="1" applyBorder="1"/>
    <xf numFmtId="165" fontId="12" fillId="0" borderId="11" xfId="141" applyNumberFormat="1" applyFont="1" applyFill="1" applyBorder="1"/>
    <xf numFmtId="0" fontId="13" fillId="0" borderId="11" xfId="141" applyFont="1" applyBorder="1" applyAlignment="1">
      <alignment horizontal="left" wrapText="1" indent="5"/>
    </xf>
    <xf numFmtId="0" fontId="13" fillId="0" borderId="11" xfId="141" applyFont="1" applyBorder="1" applyAlignment="1">
      <alignment wrapText="1"/>
    </xf>
    <xf numFmtId="0" fontId="13" fillId="0" borderId="11" xfId="141" applyFont="1" applyBorder="1" applyAlignment="1">
      <alignment horizontal="left" wrapText="1" indent="1"/>
    </xf>
    <xf numFmtId="0" fontId="11" fillId="0" borderId="11" xfId="183" applyFont="1" applyBorder="1" applyAlignment="1" applyProtection="1">
      <alignment horizontal="left" wrapText="1" indent="1"/>
    </xf>
    <xf numFmtId="0" fontId="11" fillId="0" borderId="11" xfId="141" applyFont="1" applyBorder="1" applyAlignment="1">
      <alignment horizontal="left" wrapText="1" indent="1"/>
    </xf>
    <xf numFmtId="17" fontId="11" fillId="0" borderId="11" xfId="141" applyNumberFormat="1" applyFont="1" applyBorder="1" applyAlignment="1">
      <alignment horizontal="left" wrapText="1" indent="1"/>
    </xf>
    <xf numFmtId="0" fontId="11" fillId="0" borderId="11" xfId="183" applyFont="1" applyBorder="1" applyAlignment="1" applyProtection="1">
      <alignment wrapText="1"/>
    </xf>
    <xf numFmtId="4" fontId="11" fillId="0" borderId="11" xfId="141" applyNumberFormat="1" applyFont="1" applyBorder="1"/>
    <xf numFmtId="4" fontId="11" fillId="32" borderId="11" xfId="141" applyNumberFormat="1" applyFont="1" applyFill="1" applyBorder="1"/>
    <xf numFmtId="4" fontId="11" fillId="0" borderId="11" xfId="141" applyNumberFormat="1" applyFont="1" applyFill="1" applyBorder="1"/>
    <xf numFmtId="0" fontId="11" fillId="0" borderId="11" xfId="141" applyFont="1" applyFill="1" applyBorder="1"/>
    <xf numFmtId="0" fontId="12" fillId="0" borderId="11" xfId="141" applyFont="1" applyFill="1" applyBorder="1"/>
    <xf numFmtId="164" fontId="11" fillId="0" borderId="11" xfId="141" applyNumberFormat="1" applyFont="1" applyBorder="1"/>
    <xf numFmtId="164" fontId="11" fillId="32" borderId="11" xfId="141" applyNumberFormat="1" applyFont="1" applyFill="1" applyBorder="1"/>
    <xf numFmtId="164" fontId="11" fillId="0" borderId="11" xfId="141" applyNumberFormat="1" applyFont="1" applyFill="1" applyBorder="1"/>
    <xf numFmtId="164" fontId="12" fillId="0" borderId="11" xfId="141" applyNumberFormat="1" applyFont="1" applyFill="1" applyBorder="1"/>
    <xf numFmtId="0" fontId="11" fillId="0" borderId="11" xfId="141" applyFont="1" applyBorder="1"/>
    <xf numFmtId="0" fontId="13" fillId="0" borderId="0" xfId="218" applyFont="1" applyFill="1" applyBorder="1" applyAlignment="1">
      <alignment wrapText="1"/>
    </xf>
    <xf numFmtId="164" fontId="5" fillId="0" borderId="0" xfId="141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0" fillId="35" borderId="0" xfId="0" applyFill="1"/>
    <xf numFmtId="0" fontId="0" fillId="35" borderId="0" xfId="0" applyFill="1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/>
    <xf numFmtId="1" fontId="0" fillId="35" borderId="0" xfId="0" applyNumberFormat="1" applyFill="1"/>
    <xf numFmtId="164" fontId="0" fillId="35" borderId="0" xfId="0" applyNumberFormat="1" applyFill="1"/>
    <xf numFmtId="0" fontId="15" fillId="35" borderId="12" xfId="0" applyFont="1" applyFill="1" applyBorder="1" applyAlignment="1">
      <alignment horizontal="center" vertical="center"/>
    </xf>
    <xf numFmtId="0" fontId="15" fillId="35" borderId="0" xfId="0" applyFont="1" applyFill="1" applyBorder="1" applyAlignment="1">
      <alignment horizontal="center" vertical="center"/>
    </xf>
    <xf numFmtId="164" fontId="0" fillId="35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0" fontId="16" fillId="0" borderId="0" xfId="0" applyFont="1"/>
    <xf numFmtId="0" fontId="17" fillId="0" borderId="0" xfId="141" applyFont="1"/>
    <xf numFmtId="3" fontId="17" fillId="0" borderId="0" xfId="141" applyNumberFormat="1" applyFont="1"/>
    <xf numFmtId="0" fontId="17" fillId="0" borderId="0" xfId="141" applyFont="1" applyAlignment="1">
      <alignment wrapText="1"/>
    </xf>
    <xf numFmtId="165" fontId="18" fillId="0" borderId="0" xfId="141" applyNumberFormat="1" applyFont="1"/>
    <xf numFmtId="3" fontId="18" fillId="0" borderId="0" xfId="141" applyNumberFormat="1" applyFont="1"/>
    <xf numFmtId="164" fontId="17" fillId="0" borderId="0" xfId="141" applyNumberFormat="1" applyFont="1"/>
    <xf numFmtId="0" fontId="17" fillId="0" borderId="0" xfId="141" applyFont="1" applyBorder="1"/>
    <xf numFmtId="3" fontId="18" fillId="0" borderId="0" xfId="141" applyNumberFormat="1" applyFont="1" applyBorder="1"/>
    <xf numFmtId="4" fontId="18" fillId="0" borderId="0" xfId="141" applyNumberFormat="1" applyFont="1" applyBorder="1"/>
    <xf numFmtId="165" fontId="17" fillId="0" borderId="0" xfId="141" applyNumberFormat="1" applyFont="1"/>
    <xf numFmtId="4" fontId="17" fillId="0" borderId="0" xfId="141" applyNumberFormat="1" applyFont="1"/>
    <xf numFmtId="4" fontId="18" fillId="0" borderId="0" xfId="141" applyNumberFormat="1" applyFont="1" applyAlignment="1">
      <alignment wrapText="1"/>
    </xf>
    <xf numFmtId="0" fontId="18" fillId="0" borderId="0" xfId="141" applyFont="1" applyAlignment="1">
      <alignment wrapText="1"/>
    </xf>
    <xf numFmtId="0" fontId="18" fillId="0" borderId="0" xfId="141" applyFont="1"/>
    <xf numFmtId="3" fontId="19" fillId="0" borderId="0" xfId="141" applyNumberFormat="1" applyFont="1"/>
    <xf numFmtId="165" fontId="19" fillId="0" borderId="0" xfId="141" applyNumberFormat="1" applyFont="1"/>
    <xf numFmtId="165" fontId="17" fillId="0" borderId="0" xfId="141" applyNumberFormat="1" applyFont="1" applyBorder="1"/>
    <xf numFmtId="3" fontId="17" fillId="0" borderId="0" xfId="141" applyNumberFormat="1" applyFont="1" applyBorder="1"/>
    <xf numFmtId="0" fontId="17" fillId="0" borderId="0" xfId="141" applyFont="1" applyBorder="1" applyAlignment="1">
      <alignment wrapText="1"/>
    </xf>
    <xf numFmtId="3" fontId="19" fillId="0" borderId="0" xfId="141" applyNumberFormat="1" applyFont="1" applyBorder="1"/>
    <xf numFmtId="167" fontId="21" fillId="0" borderId="0" xfId="219" applyFont="1" applyBorder="1" applyAlignment="1">
      <alignment wrapText="1"/>
    </xf>
    <xf numFmtId="3" fontId="22" fillId="0" borderId="0" xfId="141" applyNumberFormat="1" applyFont="1"/>
    <xf numFmtId="167" fontId="23" fillId="0" borderId="13" xfId="219" applyFont="1" applyBorder="1" applyAlignment="1">
      <alignment wrapText="1"/>
    </xf>
    <xf numFmtId="3" fontId="24" fillId="0" borderId="14" xfId="141" applyNumberFormat="1" applyFont="1" applyBorder="1"/>
    <xf numFmtId="3" fontId="18" fillId="0" borderId="14" xfId="141" applyNumberFormat="1" applyFont="1" applyBorder="1"/>
    <xf numFmtId="3" fontId="21" fillId="0" borderId="14" xfId="141" applyNumberFormat="1" applyFont="1" applyFill="1" applyBorder="1" applyAlignment="1">
      <alignment horizontal="right"/>
    </xf>
    <xf numFmtId="3" fontId="18" fillId="0" borderId="14" xfId="141" applyNumberFormat="1" applyFont="1" applyFill="1" applyBorder="1" applyAlignment="1">
      <alignment horizontal="right"/>
    </xf>
    <xf numFmtId="167" fontId="21" fillId="0" borderId="15" xfId="219" quotePrefix="1" applyFont="1" applyBorder="1" applyAlignment="1" applyProtection="1">
      <alignment horizontal="left" wrapText="1"/>
      <protection locked="0"/>
    </xf>
    <xf numFmtId="3" fontId="24" fillId="0" borderId="16" xfId="141" applyNumberFormat="1" applyFont="1" applyBorder="1"/>
    <xf numFmtId="3" fontId="24" fillId="0" borderId="0" xfId="141" applyNumberFormat="1" applyFont="1" applyBorder="1"/>
    <xf numFmtId="3" fontId="18" fillId="0" borderId="0" xfId="141" applyNumberFormat="1" applyFont="1" applyFill="1" applyBorder="1" applyAlignment="1">
      <alignment horizontal="right"/>
    </xf>
    <xf numFmtId="3" fontId="24" fillId="0" borderId="0" xfId="141" applyNumberFormat="1" applyFont="1"/>
    <xf numFmtId="167" fontId="21" fillId="0" borderId="17" xfId="219" quotePrefix="1" applyFont="1" applyBorder="1" applyAlignment="1" applyProtection="1">
      <alignment horizontal="left" wrapText="1"/>
      <protection locked="0"/>
    </xf>
    <xf numFmtId="3" fontId="21" fillId="0" borderId="0" xfId="141" applyNumberFormat="1" applyFont="1" applyFill="1" applyBorder="1" applyAlignment="1">
      <alignment horizontal="right"/>
    </xf>
    <xf numFmtId="167" fontId="21" fillId="0" borderId="17" xfId="219" applyFont="1" applyBorder="1" applyAlignment="1" applyProtection="1">
      <alignment horizontal="left" wrapText="1"/>
      <protection locked="0"/>
    </xf>
    <xf numFmtId="3" fontId="17" fillId="0" borderId="0" xfId="141" applyNumberFormat="1" applyFont="1" applyFill="1" applyBorder="1" applyAlignment="1">
      <alignment horizontal="right"/>
    </xf>
    <xf numFmtId="3" fontId="25" fillId="0" borderId="0" xfId="141" applyNumberFormat="1" applyFont="1" applyBorder="1"/>
    <xf numFmtId="3" fontId="25" fillId="0" borderId="0" xfId="141" applyNumberFormat="1" applyFont="1"/>
    <xf numFmtId="167" fontId="23" fillId="0" borderId="17" xfId="219" quotePrefix="1" applyFont="1" applyBorder="1" applyAlignment="1" applyProtection="1">
      <alignment horizontal="left" wrapText="1"/>
      <protection locked="0"/>
    </xf>
    <xf numFmtId="167" fontId="23" fillId="0" borderId="17" xfId="219" applyFont="1" applyBorder="1" applyAlignment="1" applyProtection="1">
      <alignment horizontal="left" wrapText="1"/>
      <protection locked="0"/>
    </xf>
    <xf numFmtId="3" fontId="23" fillId="0" borderId="0" xfId="141" applyNumberFormat="1" applyFont="1" applyBorder="1"/>
    <xf numFmtId="3" fontId="23" fillId="0" borderId="0" xfId="141" applyNumberFormat="1" applyFont="1" applyFill="1" applyBorder="1" applyAlignment="1">
      <alignment horizontal="right"/>
    </xf>
    <xf numFmtId="0" fontId="24" fillId="36" borderId="18" xfId="141" applyNumberFormat="1" applyFont="1" applyFill="1" applyBorder="1" applyAlignment="1">
      <alignment horizontal="center"/>
    </xf>
    <xf numFmtId="0" fontId="24" fillId="36" borderId="19" xfId="141" applyNumberFormat="1" applyFont="1" applyFill="1" applyBorder="1" applyAlignment="1">
      <alignment horizontal="center"/>
    </xf>
    <xf numFmtId="0" fontId="24" fillId="36" borderId="20" xfId="141" applyFont="1" applyFill="1" applyBorder="1" applyAlignment="1">
      <alignment horizontal="center"/>
    </xf>
    <xf numFmtId="0" fontId="24" fillId="36" borderId="21" xfId="141" applyFont="1" applyFill="1" applyBorder="1" applyAlignment="1">
      <alignment horizontal="center"/>
    </xf>
    <xf numFmtId="3" fontId="18" fillId="36" borderId="20" xfId="141" applyNumberFormat="1" applyFont="1" applyFill="1" applyBorder="1" applyAlignment="1">
      <alignment horizontal="center" wrapText="1"/>
    </xf>
    <xf numFmtId="3" fontId="18" fillId="36" borderId="21" xfId="141" applyNumberFormat="1" applyFont="1" applyFill="1" applyBorder="1" applyAlignment="1">
      <alignment horizontal="center"/>
    </xf>
    <xf numFmtId="0" fontId="18" fillId="36" borderId="20" xfId="141" applyFont="1" applyFill="1" applyBorder="1" applyAlignment="1">
      <alignment horizontal="center"/>
    </xf>
    <xf numFmtId="0" fontId="18" fillId="36" borderId="21" xfId="141" applyFont="1" applyFill="1" applyBorder="1" applyAlignment="1">
      <alignment horizontal="center"/>
    </xf>
    <xf numFmtId="0" fontId="18" fillId="36" borderId="19" xfId="141" applyFont="1" applyFill="1" applyBorder="1" applyAlignment="1">
      <alignment horizontal="center"/>
    </xf>
    <xf numFmtId="167" fontId="21" fillId="36" borderId="22" xfId="219" applyFont="1" applyFill="1" applyBorder="1" applyAlignment="1" applyProtection="1">
      <alignment horizontal="center" wrapText="1"/>
      <protection locked="0"/>
    </xf>
    <xf numFmtId="3" fontId="24" fillId="0" borderId="23" xfId="141" applyNumberFormat="1" applyFont="1" applyBorder="1"/>
    <xf numFmtId="3" fontId="21" fillId="0" borderId="23" xfId="141" applyNumberFormat="1" applyFont="1" applyBorder="1"/>
    <xf numFmtId="3" fontId="18" fillId="0" borderId="23" xfId="141" applyNumberFormat="1" applyFont="1" applyFill="1" applyBorder="1" applyAlignment="1">
      <alignment horizontal="right"/>
    </xf>
    <xf numFmtId="3" fontId="18" fillId="0" borderId="23" xfId="141" applyNumberFormat="1" applyFont="1" applyBorder="1"/>
    <xf numFmtId="0" fontId="24" fillId="36" borderId="20" xfId="141" applyNumberFormat="1" applyFont="1" applyFill="1" applyBorder="1" applyAlignment="1">
      <alignment horizontal="center"/>
    </xf>
    <xf numFmtId="0" fontId="24" fillId="36" borderId="24" xfId="141" applyFont="1" applyFill="1" applyBorder="1" applyAlignment="1">
      <alignment horizontal="center"/>
    </xf>
    <xf numFmtId="0" fontId="18" fillId="36" borderId="21" xfId="141" applyNumberFormat="1" applyFont="1" applyFill="1" applyBorder="1" applyAlignment="1">
      <alignment horizontal="center" wrapText="1"/>
    </xf>
    <xf numFmtId="0" fontId="18" fillId="36" borderId="24" xfId="141" applyNumberFormat="1" applyFont="1" applyFill="1" applyBorder="1" applyAlignment="1">
      <alignment horizontal="center"/>
    </xf>
    <xf numFmtId="0" fontId="18" fillId="36" borderId="24" xfId="141" applyFont="1" applyFill="1" applyBorder="1" applyAlignment="1">
      <alignment horizontal="center"/>
    </xf>
    <xf numFmtId="167" fontId="21" fillId="36" borderId="19" xfId="219" applyFont="1" applyFill="1" applyBorder="1" applyAlignment="1" applyProtection="1">
      <alignment horizontal="center" wrapText="1"/>
      <protection locked="0"/>
    </xf>
    <xf numFmtId="167" fontId="27" fillId="0" borderId="0" xfId="219" applyFont="1" applyBorder="1" applyAlignment="1" applyProtection="1">
      <alignment horizontal="center" wrapText="1"/>
      <protection locked="0"/>
    </xf>
    <xf numFmtId="167" fontId="21" fillId="0" borderId="0" xfId="219" quotePrefix="1" applyFont="1" applyAlignment="1" applyProtection="1">
      <alignment horizontal="center" wrapText="1"/>
      <protection locked="0"/>
    </xf>
    <xf numFmtId="0" fontId="17" fillId="37" borderId="24" xfId="141" applyFont="1" applyFill="1" applyBorder="1" applyAlignment="1">
      <alignment horizontal="center"/>
    </xf>
    <xf numFmtId="0" fontId="28" fillId="37" borderId="19" xfId="141" applyFont="1" applyFill="1" applyBorder="1" applyAlignment="1">
      <alignment horizontal="center" wrapText="1"/>
    </xf>
    <xf numFmtId="0" fontId="165" fillId="0" borderId="0" xfId="142"/>
    <xf numFmtId="0" fontId="165" fillId="0" borderId="22" xfId="142" applyNumberFormat="1" applyBorder="1"/>
    <xf numFmtId="0" fontId="165" fillId="0" borderId="25" xfId="142" applyNumberFormat="1" applyBorder="1"/>
    <xf numFmtId="0" fontId="165" fillId="0" borderId="26" xfId="142" applyNumberFormat="1" applyBorder="1"/>
    <xf numFmtId="0" fontId="165" fillId="0" borderId="27" xfId="142" applyNumberFormat="1" applyBorder="1"/>
    <xf numFmtId="0" fontId="165" fillId="0" borderId="28" xfId="142" applyNumberFormat="1" applyBorder="1"/>
    <xf numFmtId="0" fontId="165" fillId="0" borderId="29" xfId="142" applyNumberFormat="1" applyBorder="1"/>
    <xf numFmtId="168" fontId="165" fillId="0" borderId="29" xfId="142" applyNumberFormat="1" applyBorder="1"/>
    <xf numFmtId="168" fontId="165" fillId="0" borderId="27" xfId="142" applyNumberFormat="1" applyBorder="1"/>
    <xf numFmtId="168" fontId="165" fillId="0" borderId="0" xfId="142" applyNumberFormat="1" applyBorder="1"/>
    <xf numFmtId="0" fontId="30" fillId="0" borderId="0" xfId="142" applyFont="1" applyBorder="1" applyAlignment="1">
      <alignment horizontal="center"/>
    </xf>
    <xf numFmtId="168" fontId="165" fillId="0" borderId="0" xfId="142" applyNumberFormat="1" applyFill="1" applyBorder="1"/>
    <xf numFmtId="168" fontId="165" fillId="0" borderId="0" xfId="142" applyNumberFormat="1"/>
    <xf numFmtId="1" fontId="165" fillId="0" borderId="29" xfId="142" applyNumberFormat="1" applyBorder="1"/>
    <xf numFmtId="1" fontId="165" fillId="0" borderId="27" xfId="142" applyNumberFormat="1" applyBorder="1"/>
    <xf numFmtId="1" fontId="165" fillId="0" borderId="28" xfId="142" applyNumberFormat="1" applyBorder="1"/>
    <xf numFmtId="1" fontId="165" fillId="0" borderId="0" xfId="142" applyNumberFormat="1" applyFill="1" applyBorder="1"/>
    <xf numFmtId="164" fontId="165" fillId="0" borderId="22" xfId="142" applyNumberFormat="1" applyBorder="1"/>
    <xf numFmtId="164" fontId="165" fillId="0" borderId="25" xfId="142" applyNumberFormat="1" applyBorder="1"/>
    <xf numFmtId="164" fontId="165" fillId="0" borderId="26" xfId="142" applyNumberFormat="1" applyBorder="1"/>
    <xf numFmtId="2" fontId="165" fillId="0" borderId="0" xfId="142" applyNumberFormat="1"/>
    <xf numFmtId="0" fontId="31" fillId="35" borderId="0" xfId="142" applyFont="1" applyFill="1" applyBorder="1" applyAlignment="1">
      <alignment horizontal="left" indent="15"/>
    </xf>
    <xf numFmtId="164" fontId="165" fillId="35" borderId="29" xfId="142" applyNumberFormat="1" applyFill="1" applyBorder="1"/>
    <xf numFmtId="164" fontId="165" fillId="35" borderId="27" xfId="142" applyNumberFormat="1" applyFill="1" applyBorder="1"/>
    <xf numFmtId="164" fontId="165" fillId="35" borderId="0" xfId="142" applyNumberFormat="1" applyFill="1" applyBorder="1"/>
    <xf numFmtId="0" fontId="165" fillId="35" borderId="0" xfId="142" applyFill="1"/>
    <xf numFmtId="0" fontId="32" fillId="34" borderId="0" xfId="207" applyFont="1" applyFill="1" applyAlignment="1">
      <alignment horizontal="left" vertical="justify"/>
    </xf>
    <xf numFmtId="1" fontId="32" fillId="34" borderId="0" xfId="207" applyNumberFormat="1" applyFont="1" applyFill="1" applyAlignment="1">
      <alignment vertical="justify"/>
    </xf>
    <xf numFmtId="0" fontId="165" fillId="0" borderId="0" xfId="142" applyBorder="1"/>
    <xf numFmtId="1" fontId="165" fillId="0" borderId="0" xfId="142" applyNumberFormat="1" applyBorder="1"/>
    <xf numFmtId="0" fontId="31" fillId="35" borderId="0" xfId="142" applyFont="1" applyFill="1" applyAlignment="1">
      <alignment horizontal="left" indent="15"/>
    </xf>
    <xf numFmtId="0" fontId="165" fillId="38" borderId="0" xfId="142" applyFill="1" applyBorder="1"/>
    <xf numFmtId="0" fontId="31" fillId="0" borderId="0" xfId="142" applyFont="1" applyFill="1" applyAlignment="1">
      <alignment horizontal="left" indent="15"/>
    </xf>
    <xf numFmtId="0" fontId="165" fillId="0" borderId="0" xfId="142" applyFill="1" applyBorder="1"/>
    <xf numFmtId="0" fontId="30" fillId="0" borderId="0" xfId="142" applyFont="1" applyFill="1" applyBorder="1"/>
    <xf numFmtId="0" fontId="165" fillId="39" borderId="0" xfId="142" applyFill="1" applyBorder="1"/>
    <xf numFmtId="2" fontId="165" fillId="39" borderId="0" xfId="142" applyNumberFormat="1" applyFill="1" applyBorder="1"/>
    <xf numFmtId="2" fontId="165" fillId="0" borderId="0" xfId="142" applyNumberFormat="1" applyBorder="1"/>
    <xf numFmtId="2" fontId="165" fillId="0" borderId="0" xfId="142" applyNumberFormat="1" applyFill="1" applyBorder="1"/>
    <xf numFmtId="0" fontId="165" fillId="0" borderId="0" xfId="142" applyFill="1"/>
    <xf numFmtId="2" fontId="33" fillId="40" borderId="0" xfId="142" applyNumberFormat="1" applyFont="1" applyFill="1" applyBorder="1"/>
    <xf numFmtId="0" fontId="31" fillId="0" borderId="0" xfId="142" applyFont="1" applyFill="1" applyAlignment="1">
      <alignment horizontal="left" indent="14"/>
    </xf>
    <xf numFmtId="0" fontId="13" fillId="0" borderId="0" xfId="142" applyFont="1" applyAlignment="1">
      <alignment horizontal="right" wrapText="1"/>
    </xf>
    <xf numFmtId="164" fontId="165" fillId="0" borderId="0" xfId="142" applyNumberFormat="1" applyBorder="1"/>
    <xf numFmtId="3" fontId="34" fillId="0" borderId="0" xfId="142" applyNumberFormat="1" applyFont="1" applyBorder="1" applyAlignment="1">
      <alignment horizontal="right" wrapText="1"/>
    </xf>
    <xf numFmtId="3" fontId="165" fillId="0" borderId="0" xfId="142" applyNumberFormat="1"/>
    <xf numFmtId="1" fontId="165" fillId="0" borderId="0" xfId="142" applyNumberFormat="1"/>
    <xf numFmtId="0" fontId="31" fillId="36" borderId="0" xfId="142" applyFont="1" applyFill="1"/>
    <xf numFmtId="164" fontId="35" fillId="36" borderId="0" xfId="142" applyNumberFormat="1" applyFont="1" applyFill="1"/>
    <xf numFmtId="2" fontId="35" fillId="36" borderId="0" xfId="142" applyNumberFormat="1" applyFont="1" applyFill="1"/>
    <xf numFmtId="168" fontId="35" fillId="36" borderId="0" xfId="142" applyNumberFormat="1" applyFont="1" applyFill="1"/>
    <xf numFmtId="168" fontId="31" fillId="36" borderId="0" xfId="142" applyNumberFormat="1" applyFont="1" applyFill="1"/>
    <xf numFmtId="1" fontId="36" fillId="0" borderId="0" xfId="142" applyNumberFormat="1" applyFont="1"/>
    <xf numFmtId="0" fontId="36" fillId="0" borderId="0" xfId="142" applyFont="1"/>
    <xf numFmtId="1" fontId="32" fillId="34" borderId="0" xfId="207" applyNumberFormat="1" applyFont="1" applyFill="1" applyAlignment="1">
      <alignment horizontal="right" vertical="justify"/>
    </xf>
    <xf numFmtId="1" fontId="32" fillId="41" borderId="0" xfId="207" applyNumberFormat="1" applyFont="1" applyFill="1" applyAlignment="1">
      <alignment vertical="justify"/>
    </xf>
    <xf numFmtId="0" fontId="32" fillId="0" borderId="0" xfId="207" applyFont="1" applyFill="1" applyBorder="1" applyAlignment="1">
      <alignment horizontal="left" vertical="justify"/>
    </xf>
    <xf numFmtId="3" fontId="17" fillId="0" borderId="0" xfId="218" applyNumberFormat="1" applyFont="1" applyFill="1" applyBorder="1" applyAlignment="1" applyProtection="1">
      <alignment horizontal="right"/>
      <protection locked="0"/>
    </xf>
    <xf numFmtId="3" fontId="18" fillId="0" borderId="0" xfId="218" applyNumberFormat="1" applyFont="1" applyFill="1" applyBorder="1" applyAlignment="1" applyProtection="1">
      <alignment horizontal="right"/>
      <protection locked="0"/>
    </xf>
    <xf numFmtId="3" fontId="25" fillId="0" borderId="0" xfId="218" applyNumberFormat="1" applyFont="1" applyFill="1" applyBorder="1" applyAlignment="1" applyProtection="1">
      <alignment horizontal="right"/>
      <protection locked="0"/>
    </xf>
    <xf numFmtId="3" fontId="37" fillId="0" borderId="0" xfId="207" applyNumberFormat="1" applyFont="1" applyFill="1" applyBorder="1"/>
    <xf numFmtId="3" fontId="38" fillId="0" borderId="0" xfId="207" applyNumberFormat="1" applyFont="1" applyFill="1" applyBorder="1"/>
    <xf numFmtId="3" fontId="39" fillId="0" borderId="0" xfId="207" applyNumberFormat="1" applyFont="1" applyFill="1" applyBorder="1"/>
    <xf numFmtId="0" fontId="39" fillId="0" borderId="0" xfId="207" applyFont="1" applyFill="1" applyBorder="1"/>
    <xf numFmtId="0" fontId="37" fillId="0" borderId="0" xfId="207" applyFont="1" applyFill="1" applyBorder="1"/>
    <xf numFmtId="0" fontId="31" fillId="0" borderId="0" xfId="142" applyFont="1" applyFill="1" applyBorder="1" applyAlignment="1">
      <alignment horizontal="left" indent="15"/>
    </xf>
    <xf numFmtId="0" fontId="40" fillId="0" borderId="0" xfId="207" applyFont="1" applyFill="1" applyBorder="1" applyAlignment="1">
      <alignment horizontal="left" vertical="justify"/>
    </xf>
    <xf numFmtId="164" fontId="40" fillId="0" borderId="0" xfId="207" applyNumberFormat="1" applyFont="1" applyFill="1" applyBorder="1" applyAlignment="1">
      <alignment horizontal="left" vertical="justify"/>
    </xf>
    <xf numFmtId="164" fontId="40" fillId="39" borderId="0" xfId="207" applyNumberFormat="1" applyFont="1" applyFill="1" applyBorder="1" applyAlignment="1">
      <alignment horizontal="left" vertical="justify"/>
    </xf>
    <xf numFmtId="2" fontId="32" fillId="0" borderId="0" xfId="207" applyNumberFormat="1" applyFont="1" applyFill="1" applyBorder="1" applyAlignment="1">
      <alignment horizontal="left" vertical="justify"/>
    </xf>
    <xf numFmtId="2" fontId="32" fillId="38" borderId="0" xfId="207" applyNumberFormat="1" applyFont="1" applyFill="1" applyBorder="1" applyAlignment="1">
      <alignment horizontal="left" vertical="justify"/>
    </xf>
    <xf numFmtId="0" fontId="165" fillId="38" borderId="0" xfId="142" applyFill="1"/>
    <xf numFmtId="164" fontId="165" fillId="38" borderId="0" xfId="142" applyNumberFormat="1" applyFill="1"/>
    <xf numFmtId="164" fontId="165" fillId="0" borderId="0" xfId="142" applyNumberFormat="1"/>
    <xf numFmtId="164" fontId="165" fillId="0" borderId="0" xfId="142" applyNumberFormat="1" applyFill="1"/>
    <xf numFmtId="164" fontId="165" fillId="35" borderId="0" xfId="142" applyNumberFormat="1" applyFill="1"/>
    <xf numFmtId="164" fontId="31" fillId="0" borderId="0" xfId="142" applyNumberFormat="1" applyFont="1"/>
    <xf numFmtId="0" fontId="41" fillId="0" borderId="0" xfId="142" applyFont="1"/>
    <xf numFmtId="0" fontId="42" fillId="0" borderId="0" xfId="0" applyFont="1"/>
    <xf numFmtId="0" fontId="43" fillId="0" borderId="0" xfId="0" applyFont="1"/>
    <xf numFmtId="3" fontId="0" fillId="0" borderId="17" xfId="0" applyNumberFormat="1" applyBorder="1"/>
    <xf numFmtId="3" fontId="0" fillId="0" borderId="0" xfId="0" applyNumberFormat="1" applyBorder="1"/>
    <xf numFmtId="3" fontId="0" fillId="0" borderId="30" xfId="0" applyNumberFormat="1" applyBorder="1"/>
    <xf numFmtId="0" fontId="0" fillId="0" borderId="17" xfId="0" applyBorder="1"/>
    <xf numFmtId="0" fontId="0" fillId="0" borderId="0" xfId="0" applyBorder="1"/>
    <xf numFmtId="0" fontId="0" fillId="0" borderId="30" xfId="0" applyBorder="1"/>
    <xf numFmtId="4" fontId="42" fillId="0" borderId="17" xfId="0" applyNumberFormat="1" applyFont="1" applyBorder="1"/>
    <xf numFmtId="4" fontId="42" fillId="0" borderId="0" xfId="0" applyNumberFormat="1" applyFont="1" applyBorder="1"/>
    <xf numFmtId="4" fontId="42" fillId="36" borderId="30" xfId="0" applyNumberFormat="1" applyFont="1" applyFill="1" applyBorder="1"/>
    <xf numFmtId="3" fontId="0" fillId="41" borderId="0" xfId="0" applyNumberFormat="1" applyFill="1" applyBorder="1"/>
    <xf numFmtId="3" fontId="0" fillId="41" borderId="30" xfId="0" applyNumberFormat="1" applyFill="1" applyBorder="1"/>
    <xf numFmtId="169" fontId="42" fillId="0" borderId="17" xfId="0" applyNumberFormat="1" applyFont="1" applyBorder="1"/>
    <xf numFmtId="169" fontId="42" fillId="0" borderId="0" xfId="0" applyNumberFormat="1" applyFont="1" applyBorder="1"/>
    <xf numFmtId="3" fontId="42" fillId="0" borderId="0" xfId="0" applyNumberFormat="1" applyFont="1" applyFill="1" applyBorder="1"/>
    <xf numFmtId="0" fontId="42" fillId="0" borderId="30" xfId="0" applyFont="1" applyFill="1" applyBorder="1"/>
    <xf numFmtId="4" fontId="42" fillId="0" borderId="30" xfId="0" applyNumberFormat="1" applyFont="1" applyBorder="1"/>
    <xf numFmtId="0" fontId="0" fillId="0" borderId="30" xfId="0" applyFill="1" applyBorder="1"/>
    <xf numFmtId="4" fontId="42" fillId="0" borderId="30" xfId="0" applyNumberFormat="1" applyFont="1" applyFill="1" applyBorder="1"/>
    <xf numFmtId="165" fontId="43" fillId="0" borderId="17" xfId="0" applyNumberFormat="1" applyFont="1" applyBorder="1"/>
    <xf numFmtId="165" fontId="43" fillId="0" borderId="0" xfId="0" applyNumberFormat="1" applyFont="1" applyBorder="1"/>
    <xf numFmtId="165" fontId="43" fillId="0" borderId="30" xfId="0" applyNumberFormat="1" applyFont="1" applyFill="1" applyBorder="1"/>
    <xf numFmtId="165" fontId="0" fillId="0" borderId="0" xfId="0" applyNumberFormat="1" applyBorder="1"/>
    <xf numFmtId="165" fontId="0" fillId="0" borderId="30" xfId="0" applyNumberFormat="1" applyBorder="1"/>
    <xf numFmtId="1" fontId="0" fillId="0" borderId="30" xfId="0" applyNumberFormat="1" applyBorder="1"/>
    <xf numFmtId="1" fontId="0" fillId="0" borderId="17" xfId="0" applyNumberFormat="1" applyBorder="1"/>
    <xf numFmtId="1" fontId="0" fillId="0" borderId="0" xfId="0" applyNumberFormat="1" applyBorder="1"/>
    <xf numFmtId="0" fontId="0" fillId="35" borderId="17" xfId="0" applyFill="1" applyBorder="1"/>
    <xf numFmtId="0" fontId="0" fillId="35" borderId="0" xfId="0" applyFill="1" applyBorder="1"/>
    <xf numFmtId="164" fontId="0" fillId="35" borderId="0" xfId="0" applyNumberFormat="1" applyFill="1" applyBorder="1"/>
    <xf numFmtId="164" fontId="0" fillId="35" borderId="30" xfId="0" applyNumberFormat="1" applyFill="1" applyBorder="1"/>
    <xf numFmtId="0" fontId="0" fillId="0" borderId="15" xfId="0" applyBorder="1"/>
    <xf numFmtId="0" fontId="0" fillId="0" borderId="14" xfId="0" applyBorder="1"/>
    <xf numFmtId="1" fontId="0" fillId="0" borderId="14" xfId="0" applyNumberFormat="1" applyBorder="1"/>
    <xf numFmtId="1" fontId="0" fillId="0" borderId="31" xfId="0" applyNumberFormat="1" applyBorder="1"/>
    <xf numFmtId="0" fontId="42" fillId="0" borderId="17" xfId="0" applyFont="1" applyBorder="1"/>
    <xf numFmtId="0" fontId="42" fillId="0" borderId="0" xfId="0" applyFont="1" applyBorder="1"/>
    <xf numFmtId="0" fontId="42" fillId="0" borderId="30" xfId="0" applyFont="1" applyBorder="1"/>
    <xf numFmtId="3" fontId="0" fillId="41" borderId="17" xfId="0" applyNumberFormat="1" applyFill="1" applyBorder="1"/>
    <xf numFmtId="0" fontId="42" fillId="0" borderId="17" xfId="0" applyFont="1" applyFill="1" applyBorder="1"/>
    <xf numFmtId="0" fontId="42" fillId="0" borderId="0" xfId="0" applyFont="1" applyFill="1" applyBorder="1"/>
    <xf numFmtId="2" fontId="42" fillId="0" borderId="17" xfId="0" applyNumberFormat="1" applyFont="1" applyBorder="1"/>
    <xf numFmtId="2" fontId="42" fillId="0" borderId="0" xfId="0" applyNumberFormat="1" applyFont="1" applyBorder="1"/>
    <xf numFmtId="2" fontId="42" fillId="0" borderId="30" xfId="0" applyNumberFormat="1" applyFont="1" applyBorder="1"/>
    <xf numFmtId="0" fontId="0" fillId="0" borderId="0" xfId="0" applyFill="1" applyBorder="1"/>
    <xf numFmtId="4" fontId="42" fillId="0" borderId="17" xfId="0" applyNumberFormat="1" applyFont="1" applyFill="1" applyBorder="1"/>
    <xf numFmtId="4" fontId="42" fillId="0" borderId="0" xfId="0" applyNumberFormat="1" applyFont="1" applyFill="1" applyBorder="1"/>
    <xf numFmtId="165" fontId="43" fillId="0" borderId="30" xfId="0" applyNumberFormat="1" applyFont="1" applyBorder="1"/>
    <xf numFmtId="164" fontId="0" fillId="0" borderId="17" xfId="0" applyNumberFormat="1" applyBorder="1"/>
    <xf numFmtId="164" fontId="0" fillId="0" borderId="0" xfId="0" applyNumberFormat="1" applyBorder="1"/>
    <xf numFmtId="164" fontId="0" fillId="0" borderId="30" xfId="0" applyNumberFormat="1" applyBorder="1"/>
    <xf numFmtId="3" fontId="16" fillId="0" borderId="17" xfId="0" applyNumberFormat="1" applyFont="1" applyBorder="1"/>
    <xf numFmtId="164" fontId="0" fillId="35" borderId="17" xfId="0" applyNumberFormat="1" applyFill="1" applyBorder="1"/>
    <xf numFmtId="1" fontId="0" fillId="0" borderId="15" xfId="0" applyNumberFormat="1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35" borderId="19" xfId="0" applyFill="1" applyBorder="1"/>
    <xf numFmtId="0" fontId="0" fillId="35" borderId="21" xfId="0" applyFill="1" applyBorder="1"/>
    <xf numFmtId="0" fontId="0" fillId="35" borderId="24" xfId="0" applyFill="1" applyBorder="1"/>
    <xf numFmtId="0" fontId="0" fillId="0" borderId="20" xfId="0" applyBorder="1"/>
    <xf numFmtId="0" fontId="0" fillId="0" borderId="13" xfId="0" applyBorder="1" applyAlignment="1">
      <alignment wrapText="1"/>
    </xf>
    <xf numFmtId="0" fontId="29" fillId="0" borderId="13" xfId="0" applyFont="1" applyBorder="1" applyAlignment="1">
      <alignment horizontal="left" wrapText="1" indent="15"/>
    </xf>
    <xf numFmtId="0" fontId="42" fillId="0" borderId="13" xfId="0" applyFont="1" applyBorder="1" applyAlignment="1">
      <alignment wrapText="1"/>
    </xf>
    <xf numFmtId="0" fontId="43" fillId="0" borderId="13" xfId="0" applyFont="1" applyBorder="1" applyAlignment="1">
      <alignment wrapText="1"/>
    </xf>
    <xf numFmtId="0" fontId="0" fillId="0" borderId="13" xfId="0" applyBorder="1"/>
    <xf numFmtId="0" fontId="0" fillId="35" borderId="13" xfId="0" applyFill="1" applyBorder="1"/>
    <xf numFmtId="0" fontId="0" fillId="0" borderId="32" xfId="0" applyBorder="1"/>
    <xf numFmtId="169" fontId="42" fillId="0" borderId="0" xfId="0" applyNumberFormat="1" applyFont="1" applyFill="1" applyBorder="1"/>
    <xf numFmtId="164" fontId="42" fillId="0" borderId="17" xfId="0" applyNumberFormat="1" applyFont="1" applyBorder="1"/>
    <xf numFmtId="164" fontId="42" fillId="0" borderId="0" xfId="0" applyNumberFormat="1" applyFont="1" applyBorder="1"/>
    <xf numFmtId="164" fontId="42" fillId="0" borderId="30" xfId="0" applyNumberFormat="1" applyFont="1" applyBorder="1"/>
    <xf numFmtId="4" fontId="44" fillId="0" borderId="0" xfId="0" applyNumberFormat="1" applyFont="1" applyBorder="1"/>
    <xf numFmtId="2" fontId="45" fillId="0" borderId="0" xfId="0" applyNumberFormat="1" applyFont="1" applyAlignment="1">
      <alignment horizontal="center"/>
    </xf>
    <xf numFmtId="2" fontId="0" fillId="0" borderId="0" xfId="0" applyNumberFormat="1" applyFill="1"/>
    <xf numFmtId="168" fontId="0" fillId="0" borderId="0" xfId="0" applyNumberFormat="1"/>
    <xf numFmtId="17" fontId="16" fillId="0" borderId="0" xfId="0" applyNumberFormat="1" applyFont="1"/>
    <xf numFmtId="164" fontId="16" fillId="0" borderId="0" xfId="0" applyNumberFormat="1" applyFont="1"/>
    <xf numFmtId="0" fontId="5" fillId="0" borderId="0" xfId="217"/>
    <xf numFmtId="0" fontId="5" fillId="42" borderId="0" xfId="217" applyFill="1"/>
    <xf numFmtId="0" fontId="5" fillId="35" borderId="0" xfId="217" applyFill="1"/>
    <xf numFmtId="0" fontId="5" fillId="43" borderId="0" xfId="217" applyFill="1"/>
    <xf numFmtId="0" fontId="5" fillId="0" borderId="0" xfId="217" applyFill="1"/>
    <xf numFmtId="164" fontId="5" fillId="0" borderId="0" xfId="217" applyNumberFormat="1" applyFill="1" applyBorder="1"/>
    <xf numFmtId="0" fontId="5" fillId="0" borderId="0" xfId="217" applyBorder="1"/>
    <xf numFmtId="0" fontId="5" fillId="0" borderId="0" xfId="217" applyFill="1" applyBorder="1"/>
    <xf numFmtId="2" fontId="5" fillId="0" borderId="0" xfId="217" applyNumberFormat="1" applyFill="1" applyBorder="1"/>
    <xf numFmtId="0" fontId="5" fillId="41" borderId="0" xfId="217" applyFill="1"/>
    <xf numFmtId="168" fontId="47" fillId="0" borderId="0" xfId="204" applyNumberFormat="1" applyFont="1" applyFill="1" applyBorder="1"/>
    <xf numFmtId="164" fontId="47" fillId="0" borderId="0" xfId="204" applyNumberFormat="1" applyFont="1" applyFill="1" applyBorder="1"/>
    <xf numFmtId="0" fontId="47" fillId="0" borderId="0" xfId="204" applyFont="1" applyFill="1" applyBorder="1"/>
    <xf numFmtId="168" fontId="47" fillId="0" borderId="28" xfId="204" applyNumberFormat="1" applyFont="1" applyFill="1" applyBorder="1"/>
    <xf numFmtId="168" fontId="47" fillId="0" borderId="27" xfId="204" applyNumberFormat="1" applyFont="1" applyFill="1" applyBorder="1"/>
    <xf numFmtId="164" fontId="47" fillId="0" borderId="27" xfId="204" applyNumberFormat="1" applyFont="1" applyFill="1" applyBorder="1"/>
    <xf numFmtId="0" fontId="5" fillId="0" borderId="27" xfId="217" applyFill="1" applyBorder="1"/>
    <xf numFmtId="0" fontId="47" fillId="0" borderId="33" xfId="204" applyFont="1" applyFill="1" applyBorder="1"/>
    <xf numFmtId="1" fontId="48" fillId="0" borderId="0" xfId="204" applyNumberFormat="1" applyFont="1" applyFill="1" applyBorder="1"/>
    <xf numFmtId="0" fontId="48" fillId="0" borderId="34" xfId="204" applyFont="1" applyFill="1" applyBorder="1"/>
    <xf numFmtId="168" fontId="47" fillId="0" borderId="16" xfId="204" applyNumberFormat="1" applyFont="1" applyFill="1" applyBorder="1"/>
    <xf numFmtId="0" fontId="47" fillId="0" borderId="34" xfId="204" applyFont="1" applyFill="1" applyBorder="1"/>
    <xf numFmtId="1" fontId="47" fillId="0" borderId="0" xfId="204" applyNumberFormat="1" applyFont="1" applyFill="1" applyBorder="1"/>
    <xf numFmtId="1" fontId="49" fillId="0" borderId="35" xfId="204" applyNumberFormat="1" applyFont="1" applyFill="1" applyBorder="1"/>
    <xf numFmtId="0" fontId="5" fillId="0" borderId="35" xfId="217" applyFill="1" applyBorder="1"/>
    <xf numFmtId="0" fontId="48" fillId="0" borderId="36" xfId="204" applyFont="1" applyFill="1" applyBorder="1"/>
    <xf numFmtId="0" fontId="50" fillId="0" borderId="25" xfId="204" applyFont="1" applyFill="1" applyBorder="1" applyAlignment="1">
      <alignment horizontal="center"/>
    </xf>
    <xf numFmtId="0" fontId="50" fillId="43" borderId="25" xfId="204" applyFont="1" applyFill="1" applyBorder="1" applyAlignment="1">
      <alignment horizontal="center"/>
    </xf>
    <xf numFmtId="0" fontId="52" fillId="0" borderId="22" xfId="144" applyFont="1" applyFill="1" applyBorder="1"/>
    <xf numFmtId="164" fontId="5" fillId="0" borderId="27" xfId="217" applyNumberFormat="1" applyBorder="1"/>
    <xf numFmtId="0" fontId="51" fillId="0" borderId="29" xfId="144" applyFill="1" applyBorder="1" applyAlignment="1">
      <alignment horizontal="left" vertical="center" wrapText="1" indent="1"/>
    </xf>
    <xf numFmtId="164" fontId="5" fillId="0" borderId="0" xfId="217" applyNumberFormat="1" applyBorder="1"/>
    <xf numFmtId="0" fontId="51" fillId="0" borderId="37" xfId="144" applyFill="1" applyBorder="1" applyAlignment="1">
      <alignment horizontal="left" vertical="center" wrapText="1" indent="1"/>
    </xf>
    <xf numFmtId="164" fontId="5" fillId="0" borderId="35" xfId="217" applyNumberFormat="1" applyBorder="1"/>
    <xf numFmtId="0" fontId="51" fillId="0" borderId="38" xfId="144" applyFill="1" applyBorder="1" applyAlignment="1">
      <alignment vertical="center" wrapText="1"/>
    </xf>
    <xf numFmtId="164" fontId="5" fillId="0" borderId="28" xfId="217" applyNumberFormat="1" applyFill="1" applyBorder="1"/>
    <xf numFmtId="164" fontId="5" fillId="0" borderId="27" xfId="217" applyNumberFormat="1" applyFill="1" applyBorder="1"/>
    <xf numFmtId="0" fontId="5" fillId="0" borderId="29" xfId="217" applyBorder="1" applyAlignment="1">
      <alignment horizontal="left" vertical="center" wrapText="1" indent="2"/>
    </xf>
    <xf numFmtId="164" fontId="5" fillId="0" borderId="16" xfId="217" applyNumberFormat="1" applyFill="1" applyBorder="1"/>
    <xf numFmtId="2" fontId="5" fillId="0" borderId="0" xfId="217" applyNumberFormat="1" applyBorder="1"/>
    <xf numFmtId="0" fontId="5" fillId="0" borderId="37" xfId="217" applyBorder="1" applyAlignment="1">
      <alignment horizontal="left" vertical="center" wrapText="1" indent="2"/>
    </xf>
    <xf numFmtId="164" fontId="5" fillId="0" borderId="39" xfId="217" applyNumberFormat="1" applyFill="1" applyBorder="1"/>
    <xf numFmtId="164" fontId="5" fillId="0" borderId="35" xfId="217" applyNumberFormat="1" applyFill="1" applyBorder="1"/>
    <xf numFmtId="0" fontId="5" fillId="0" borderId="38" xfId="217" applyBorder="1" applyAlignment="1">
      <alignment horizontal="left" vertical="center" wrapText="1" indent="2"/>
    </xf>
    <xf numFmtId="0" fontId="5" fillId="0" borderId="38" xfId="217" applyBorder="1"/>
    <xf numFmtId="1" fontId="5" fillId="0" borderId="0" xfId="217" applyNumberFormat="1" applyFill="1" applyBorder="1"/>
    <xf numFmtId="0" fontId="5" fillId="0" borderId="37" xfId="217" applyFont="1" applyBorder="1" applyAlignment="1">
      <alignment horizontal="left" vertical="center" wrapText="1" indent="4"/>
    </xf>
    <xf numFmtId="0" fontId="54" fillId="0" borderId="37" xfId="217" applyFont="1" applyBorder="1" applyAlignment="1">
      <alignment horizontal="left" vertical="center" wrapText="1" indent="5"/>
    </xf>
    <xf numFmtId="0" fontId="5" fillId="37" borderId="37" xfId="217" applyFill="1" applyBorder="1" applyAlignment="1">
      <alignment horizontal="left" vertical="center" wrapText="1" indent="2"/>
    </xf>
    <xf numFmtId="1" fontId="5" fillId="0" borderId="0" xfId="217" applyNumberFormat="1" applyBorder="1"/>
    <xf numFmtId="1" fontId="5" fillId="0" borderId="35" xfId="217" applyNumberFormat="1" applyFill="1" applyBorder="1"/>
    <xf numFmtId="164" fontId="5" fillId="0" borderId="37" xfId="217" applyNumberFormat="1" applyFont="1" applyFill="1" applyBorder="1"/>
    <xf numFmtId="164" fontId="5" fillId="0" borderId="0" xfId="217" applyNumberFormat="1" applyFont="1" applyFill="1" applyBorder="1"/>
    <xf numFmtId="164" fontId="5" fillId="0" borderId="34" xfId="217" applyNumberFormat="1" applyFont="1" applyFill="1" applyBorder="1"/>
    <xf numFmtId="0" fontId="56" fillId="0" borderId="0" xfId="217" applyFont="1" applyFill="1" applyBorder="1" applyAlignment="1">
      <alignment horizontal="left" indent="4"/>
    </xf>
    <xf numFmtId="164" fontId="5" fillId="0" borderId="30" xfId="217" applyNumberFormat="1" applyBorder="1"/>
    <xf numFmtId="164" fontId="5" fillId="0" borderId="17" xfId="217" applyNumberFormat="1" applyBorder="1"/>
    <xf numFmtId="164" fontId="55" fillId="0" borderId="0" xfId="217" applyNumberFormat="1" applyFont="1" applyFill="1" applyBorder="1"/>
    <xf numFmtId="0" fontId="5" fillId="44" borderId="0" xfId="217" applyFill="1" applyBorder="1"/>
    <xf numFmtId="2" fontId="5" fillId="44" borderId="0" xfId="217" applyNumberFormat="1" applyFill="1" applyBorder="1"/>
    <xf numFmtId="164" fontId="5" fillId="44" borderId="0" xfId="217" applyNumberFormat="1" applyFill="1" applyBorder="1"/>
    <xf numFmtId="164" fontId="5" fillId="0" borderId="35" xfId="217" applyNumberFormat="1" applyFont="1" applyFill="1" applyBorder="1"/>
    <xf numFmtId="164" fontId="5" fillId="0" borderId="16" xfId="217" applyNumberFormat="1" applyFont="1" applyFill="1" applyBorder="1"/>
    <xf numFmtId="164" fontId="5" fillId="0" borderId="38" xfId="217" applyNumberFormat="1" applyFont="1" applyFill="1" applyBorder="1"/>
    <xf numFmtId="0" fontId="56" fillId="0" borderId="35" xfId="217" applyFont="1" applyFill="1" applyBorder="1" applyAlignment="1">
      <alignment horizontal="left" indent="4"/>
    </xf>
    <xf numFmtId="0" fontId="5" fillId="36" borderId="35" xfId="217" applyFont="1" applyFill="1" applyBorder="1"/>
    <xf numFmtId="0" fontId="5" fillId="36" borderId="22" xfId="217" applyFont="1" applyFill="1" applyBorder="1"/>
    <xf numFmtId="164" fontId="57" fillId="36" borderId="11" xfId="217" applyNumberFormat="1" applyFont="1" applyFill="1" applyBorder="1"/>
    <xf numFmtId="164" fontId="57" fillId="36" borderId="22" xfId="217" applyNumberFormat="1" applyFont="1" applyFill="1" applyBorder="1"/>
    <xf numFmtId="164" fontId="57" fillId="36" borderId="25" xfId="217" applyNumberFormat="1" applyFont="1" applyFill="1" applyBorder="1"/>
    <xf numFmtId="0" fontId="57" fillId="41" borderId="0" xfId="217" applyFont="1" applyFill="1" applyBorder="1"/>
    <xf numFmtId="164" fontId="60" fillId="36" borderId="22" xfId="217" applyNumberFormat="1" applyFont="1" applyFill="1" applyBorder="1"/>
    <xf numFmtId="164" fontId="60" fillId="36" borderId="25" xfId="217" applyNumberFormat="1" applyFont="1" applyFill="1" applyBorder="1"/>
    <xf numFmtId="164" fontId="60" fillId="36" borderId="11" xfId="217" applyNumberFormat="1" applyFont="1" applyFill="1" applyBorder="1"/>
    <xf numFmtId="0" fontId="57" fillId="45" borderId="0" xfId="217" applyFont="1" applyFill="1" applyBorder="1"/>
    <xf numFmtId="164" fontId="60" fillId="0" borderId="13" xfId="217" applyNumberFormat="1" applyFont="1" applyBorder="1"/>
    <xf numFmtId="164" fontId="60" fillId="0" borderId="0" xfId="217" applyNumberFormat="1" applyFont="1" applyBorder="1"/>
    <xf numFmtId="164" fontId="60" fillId="0" borderId="30" xfId="217" applyNumberFormat="1" applyFont="1" applyBorder="1"/>
    <xf numFmtId="164" fontId="60" fillId="0" borderId="17" xfId="217" applyNumberFormat="1" applyFont="1" applyBorder="1"/>
    <xf numFmtId="164" fontId="62" fillId="0" borderId="16" xfId="217" applyNumberFormat="1" applyFont="1" applyFill="1" applyBorder="1"/>
    <xf numFmtId="164" fontId="62" fillId="0" borderId="37" xfId="217" applyNumberFormat="1" applyFont="1" applyFill="1" applyBorder="1"/>
    <xf numFmtId="164" fontId="62" fillId="0" borderId="0" xfId="217" applyNumberFormat="1" applyFont="1" applyFill="1" applyBorder="1"/>
    <xf numFmtId="164" fontId="62" fillId="0" borderId="34" xfId="217" applyNumberFormat="1" applyFont="1" applyFill="1" applyBorder="1"/>
    <xf numFmtId="0" fontId="63" fillId="0" borderId="0" xfId="217" applyFont="1" applyFill="1" applyBorder="1" applyAlignment="1">
      <alignment horizontal="left" indent="3"/>
    </xf>
    <xf numFmtId="0" fontId="5" fillId="38" borderId="0" xfId="217" applyFill="1" applyBorder="1"/>
    <xf numFmtId="1" fontId="57" fillId="38" borderId="13" xfId="217" applyNumberFormat="1" applyFont="1" applyFill="1" applyBorder="1"/>
    <xf numFmtId="1" fontId="57" fillId="38" borderId="0" xfId="217" applyNumberFormat="1" applyFont="1" applyFill="1" applyBorder="1"/>
    <xf numFmtId="1" fontId="57" fillId="38" borderId="30" xfId="217" applyNumberFormat="1" applyFont="1" applyFill="1" applyBorder="1"/>
    <xf numFmtId="1" fontId="57" fillId="38" borderId="17" xfId="217" applyNumberFormat="1" applyFont="1" applyFill="1" applyBorder="1"/>
    <xf numFmtId="164" fontId="5" fillId="38" borderId="16" xfId="217" applyNumberFormat="1" applyFont="1" applyFill="1" applyBorder="1"/>
    <xf numFmtId="164" fontId="5" fillId="38" borderId="37" xfId="217" applyNumberFormat="1" applyFont="1" applyFill="1" applyBorder="1"/>
    <xf numFmtId="164" fontId="5" fillId="38" borderId="0" xfId="217" applyNumberFormat="1" applyFont="1" applyFill="1" applyBorder="1"/>
    <xf numFmtId="164" fontId="5" fillId="38" borderId="34" xfId="217" applyNumberFormat="1" applyFont="1" applyFill="1" applyBorder="1"/>
    <xf numFmtId="0" fontId="5" fillId="38" borderId="0" xfId="217" applyFont="1" applyFill="1" applyBorder="1"/>
    <xf numFmtId="0" fontId="5" fillId="35" borderId="0" xfId="217" applyFill="1" applyBorder="1"/>
    <xf numFmtId="164" fontId="64" fillId="46" borderId="13" xfId="217" applyNumberFormat="1" applyFont="1" applyFill="1" applyBorder="1"/>
    <xf numFmtId="164" fontId="64" fillId="46" borderId="0" xfId="217" applyNumberFormat="1" applyFont="1" applyFill="1" applyBorder="1"/>
    <xf numFmtId="164" fontId="64" fillId="35" borderId="0" xfId="217" applyNumberFormat="1" applyFont="1" applyFill="1" applyBorder="1"/>
    <xf numFmtId="164" fontId="64" fillId="46" borderId="30" xfId="217" applyNumberFormat="1" applyFont="1" applyFill="1" applyBorder="1"/>
    <xf numFmtId="164" fontId="64" fillId="46" borderId="17" xfId="217" applyNumberFormat="1" applyFont="1" applyFill="1" applyBorder="1"/>
    <xf numFmtId="0" fontId="5" fillId="0" borderId="0" xfId="217" applyFont="1" applyFill="1" applyBorder="1"/>
    <xf numFmtId="0" fontId="5" fillId="38" borderId="13" xfId="217" applyFill="1" applyBorder="1"/>
    <xf numFmtId="1" fontId="5" fillId="38" borderId="30" xfId="217" applyNumberFormat="1" applyFill="1" applyBorder="1"/>
    <xf numFmtId="1" fontId="5" fillId="38" borderId="0" xfId="217" applyNumberFormat="1" applyFill="1" applyBorder="1"/>
    <xf numFmtId="1" fontId="5" fillId="38" borderId="17" xfId="217" applyNumberFormat="1" applyFill="1" applyBorder="1"/>
    <xf numFmtId="0" fontId="5" fillId="38" borderId="0" xfId="217" applyFont="1" applyFill="1" applyBorder="1" applyAlignment="1">
      <alignment horizontal="left" indent="2"/>
    </xf>
    <xf numFmtId="0" fontId="5" fillId="0" borderId="13" xfId="217" applyBorder="1"/>
    <xf numFmtId="1" fontId="5" fillId="0" borderId="30" xfId="217" applyNumberFormat="1" applyBorder="1"/>
    <xf numFmtId="1" fontId="5" fillId="0" borderId="17" xfId="217" applyNumberFormat="1" applyBorder="1"/>
    <xf numFmtId="0" fontId="5" fillId="0" borderId="0" xfId="217" applyFont="1" applyFill="1" applyBorder="1" applyAlignment="1">
      <alignment horizontal="left" indent="2"/>
    </xf>
    <xf numFmtId="0" fontId="57" fillId="38" borderId="0" xfId="217" applyFont="1" applyFill="1" applyBorder="1"/>
    <xf numFmtId="0" fontId="57" fillId="38" borderId="13" xfId="217" applyFont="1" applyFill="1" applyBorder="1"/>
    <xf numFmtId="0" fontId="57" fillId="0" borderId="0" xfId="217" applyFont="1" applyBorder="1"/>
    <xf numFmtId="0" fontId="57" fillId="0" borderId="13" xfId="217" applyFont="1" applyBorder="1"/>
    <xf numFmtId="164" fontId="60" fillId="0" borderId="16" xfId="217" applyNumberFormat="1" applyFont="1" applyFill="1" applyBorder="1"/>
    <xf numFmtId="164" fontId="60" fillId="0" borderId="37" xfId="217" applyNumberFormat="1" applyFont="1" applyFill="1" applyBorder="1"/>
    <xf numFmtId="164" fontId="60" fillId="0" borderId="34" xfId="217" applyNumberFormat="1" applyFont="1" applyFill="1" applyBorder="1"/>
    <xf numFmtId="164" fontId="60" fillId="0" borderId="0" xfId="217" applyNumberFormat="1" applyFont="1" applyFill="1" applyBorder="1"/>
    <xf numFmtId="0" fontId="54" fillId="0" borderId="0" xfId="217" applyFont="1" applyFill="1" applyBorder="1"/>
    <xf numFmtId="1" fontId="57" fillId="47" borderId="30" xfId="217" applyNumberFormat="1" applyFont="1" applyFill="1" applyBorder="1"/>
    <xf numFmtId="1" fontId="57" fillId="47" borderId="0" xfId="217" applyNumberFormat="1" applyFont="1" applyFill="1" applyBorder="1"/>
    <xf numFmtId="1" fontId="57" fillId="47" borderId="17" xfId="217" applyNumberFormat="1" applyFont="1" applyFill="1" applyBorder="1"/>
    <xf numFmtId="164" fontId="5" fillId="48" borderId="16" xfId="217" applyNumberFormat="1" applyFont="1" applyFill="1" applyBorder="1"/>
    <xf numFmtId="164" fontId="5" fillId="48" borderId="37" xfId="217" applyNumberFormat="1" applyFont="1" applyFill="1" applyBorder="1"/>
    <xf numFmtId="164" fontId="5" fillId="48" borderId="0" xfId="217" applyNumberFormat="1" applyFont="1" applyFill="1" applyBorder="1"/>
    <xf numFmtId="164" fontId="5" fillId="48" borderId="34" xfId="217" applyNumberFormat="1" applyFont="1" applyFill="1" applyBorder="1"/>
    <xf numFmtId="0" fontId="5" fillId="48" borderId="0" xfId="217" applyFont="1" applyFill="1" applyBorder="1"/>
    <xf numFmtId="0" fontId="5" fillId="2" borderId="0" xfId="217" applyFill="1" applyBorder="1"/>
    <xf numFmtId="0" fontId="5" fillId="2" borderId="13" xfId="217" applyFill="1" applyBorder="1"/>
    <xf numFmtId="0" fontId="5" fillId="2" borderId="30" xfId="217" applyFill="1" applyBorder="1"/>
    <xf numFmtId="0" fontId="5" fillId="2" borderId="17" xfId="217" applyFill="1" applyBorder="1"/>
    <xf numFmtId="1" fontId="5" fillId="2" borderId="30" xfId="217" applyNumberFormat="1" applyFill="1" applyBorder="1"/>
    <xf numFmtId="1" fontId="5" fillId="2" borderId="0" xfId="217" applyNumberFormat="1" applyFill="1" applyBorder="1"/>
    <xf numFmtId="0" fontId="62" fillId="0" borderId="0" xfId="217" applyFont="1" applyFill="1" applyBorder="1"/>
    <xf numFmtId="0" fontId="5" fillId="37" borderId="0" xfId="217" applyFill="1" applyBorder="1"/>
    <xf numFmtId="164" fontId="57" fillId="36" borderId="39" xfId="217" applyNumberFormat="1" applyFont="1" applyFill="1" applyBorder="1"/>
    <xf numFmtId="0" fontId="65" fillId="36" borderId="22" xfId="217" applyFont="1" applyFill="1" applyBorder="1"/>
    <xf numFmtId="0" fontId="57" fillId="0" borderId="0" xfId="217" applyFont="1" applyFill="1" applyBorder="1"/>
    <xf numFmtId="1" fontId="57" fillId="0" borderId="0" xfId="217" applyNumberFormat="1" applyFont="1" applyFill="1" applyBorder="1"/>
    <xf numFmtId="1" fontId="61" fillId="0" borderId="0" xfId="217" applyNumberFormat="1" applyFont="1" applyBorder="1"/>
    <xf numFmtId="168" fontId="61" fillId="0" borderId="0" xfId="217" applyNumberFormat="1" applyFont="1" applyFill="1" applyBorder="1"/>
    <xf numFmtId="1" fontId="60" fillId="47" borderId="0" xfId="217" applyNumberFormat="1" applyFont="1" applyFill="1" applyBorder="1"/>
    <xf numFmtId="0" fontId="60" fillId="0" borderId="0" xfId="217" applyFont="1" applyBorder="1"/>
    <xf numFmtId="0" fontId="66" fillId="0" borderId="13" xfId="217" applyFont="1" applyFill="1" applyBorder="1" applyAlignment="1">
      <alignment horizontal="left" indent="3"/>
    </xf>
    <xf numFmtId="1" fontId="57" fillId="0" borderId="0" xfId="217" applyNumberFormat="1" applyFont="1" applyBorder="1"/>
    <xf numFmtId="0" fontId="57" fillId="0" borderId="13" xfId="217" applyFont="1" applyFill="1" applyBorder="1"/>
    <xf numFmtId="168" fontId="5" fillId="0" borderId="0" xfId="217" applyNumberFormat="1" applyFill="1" applyBorder="1"/>
    <xf numFmtId="0" fontId="5" fillId="0" borderId="13" xfId="217" applyFont="1" applyFill="1" applyBorder="1" applyAlignment="1">
      <alignment horizontal="left" indent="2"/>
    </xf>
    <xf numFmtId="0" fontId="67" fillId="0" borderId="13" xfId="217" applyFont="1" applyFill="1" applyBorder="1" applyAlignment="1">
      <alignment horizontal="left" indent="3"/>
    </xf>
    <xf numFmtId="0" fontId="28" fillId="49" borderId="0" xfId="217" applyFont="1" applyFill="1" applyBorder="1"/>
    <xf numFmtId="2" fontId="64" fillId="49" borderId="0" xfId="217" applyNumberFormat="1" applyFont="1" applyFill="1" applyBorder="1"/>
    <xf numFmtId="0" fontId="64" fillId="0" borderId="0" xfId="217" applyFont="1" applyFill="1" applyBorder="1"/>
    <xf numFmtId="0" fontId="64" fillId="0" borderId="13" xfId="217" applyFont="1" applyFill="1" applyBorder="1"/>
    <xf numFmtId="0" fontId="5" fillId="0" borderId="13" xfId="217" applyFill="1" applyBorder="1"/>
    <xf numFmtId="2" fontId="5" fillId="37" borderId="0" xfId="217" applyNumberFormat="1" applyFill="1" applyBorder="1"/>
    <xf numFmtId="168" fontId="60" fillId="0" borderId="16" xfId="217" applyNumberFormat="1" applyFont="1" applyFill="1" applyBorder="1"/>
    <xf numFmtId="168" fontId="60" fillId="0" borderId="0" xfId="217" applyNumberFormat="1" applyFont="1" applyFill="1" applyBorder="1"/>
    <xf numFmtId="164" fontId="5" fillId="36" borderId="0" xfId="217" applyNumberFormat="1" applyFont="1" applyFill="1" applyBorder="1"/>
    <xf numFmtId="0" fontId="5" fillId="36" borderId="0" xfId="217" applyFont="1" applyFill="1" applyBorder="1"/>
    <xf numFmtId="0" fontId="5" fillId="50" borderId="0" xfId="217" applyFill="1" applyBorder="1"/>
    <xf numFmtId="168" fontId="60" fillId="50" borderId="0" xfId="217" applyNumberFormat="1" applyFont="1" applyFill="1" applyBorder="1"/>
    <xf numFmtId="0" fontId="63" fillId="0" borderId="0" xfId="217" applyFont="1" applyFill="1" applyBorder="1" applyAlignment="1">
      <alignment horizontal="left" indent="4"/>
    </xf>
    <xf numFmtId="0" fontId="68" fillId="0" borderId="0" xfId="217" applyFont="1" applyFill="1" applyBorder="1" applyAlignment="1">
      <alignment horizontal="left" indent="2"/>
    </xf>
    <xf numFmtId="1" fontId="69" fillId="0" borderId="34" xfId="217" applyNumberFormat="1" applyFont="1" applyFill="1" applyBorder="1"/>
    <xf numFmtId="1" fontId="69" fillId="0" borderId="16" xfId="217" applyNumberFormat="1" applyFont="1" applyFill="1" applyBorder="1"/>
    <xf numFmtId="1" fontId="69" fillId="0" borderId="37" xfId="217" applyNumberFormat="1" applyFont="1" applyFill="1" applyBorder="1"/>
    <xf numFmtId="1" fontId="69" fillId="0" borderId="0" xfId="217" applyNumberFormat="1" applyFont="1" applyFill="1" applyBorder="1"/>
    <xf numFmtId="164" fontId="69" fillId="0" borderId="0" xfId="217" applyNumberFormat="1" applyFont="1" applyFill="1" applyBorder="1"/>
    <xf numFmtId="2" fontId="60" fillId="0" borderId="0" xfId="217" applyNumberFormat="1" applyFont="1" applyBorder="1"/>
    <xf numFmtId="2" fontId="60" fillId="0" borderId="34" xfId="217" applyNumberFormat="1" applyFont="1" applyFill="1" applyBorder="1"/>
    <xf numFmtId="2" fontId="60" fillId="0" borderId="16" xfId="217" applyNumberFormat="1" applyFont="1" applyFill="1" applyBorder="1"/>
    <xf numFmtId="2" fontId="60" fillId="0" borderId="37" xfId="217" applyNumberFormat="1" applyFont="1" applyFill="1" applyBorder="1"/>
    <xf numFmtId="2" fontId="60" fillId="0" borderId="0" xfId="217" applyNumberFormat="1" applyFont="1" applyFill="1" applyBorder="1"/>
    <xf numFmtId="1" fontId="5" fillId="0" borderId="16" xfId="217" applyNumberFormat="1" applyFont="1" applyFill="1" applyBorder="1"/>
    <xf numFmtId="1" fontId="5" fillId="0" borderId="0" xfId="217" applyNumberFormat="1" applyFont="1" applyFill="1" applyBorder="1"/>
    <xf numFmtId="0" fontId="5" fillId="0" borderId="0" xfId="217" applyFont="1" applyFill="1" applyBorder="1" applyAlignment="1">
      <alignment horizontal="left" indent="1"/>
    </xf>
    <xf numFmtId="0" fontId="65" fillId="35" borderId="0" xfId="217" applyFont="1" applyFill="1" applyBorder="1"/>
    <xf numFmtId="0" fontId="63" fillId="0" borderId="0" xfId="217" applyFont="1" applyFill="1" applyBorder="1" applyAlignment="1">
      <alignment horizontal="right" indent="3"/>
    </xf>
    <xf numFmtId="0" fontId="5" fillId="46" borderId="0" xfId="217" applyFill="1" applyBorder="1"/>
    <xf numFmtId="164" fontId="5" fillId="46" borderId="0" xfId="217" applyNumberFormat="1" applyFill="1" applyBorder="1"/>
    <xf numFmtId="1" fontId="5" fillId="38" borderId="34" xfId="217" applyNumberFormat="1" applyFont="1" applyFill="1" applyBorder="1"/>
    <xf numFmtId="1" fontId="5" fillId="38" borderId="16" xfId="217" applyNumberFormat="1" applyFont="1" applyFill="1" applyBorder="1"/>
    <xf numFmtId="1" fontId="5" fillId="38" borderId="37" xfId="217" applyNumberFormat="1" applyFont="1" applyFill="1" applyBorder="1"/>
    <xf numFmtId="1" fontId="5" fillId="38" borderId="0" xfId="217" applyNumberFormat="1" applyFont="1" applyFill="1" applyBorder="1"/>
    <xf numFmtId="164" fontId="65" fillId="35" borderId="0" xfId="217" applyNumberFormat="1" applyFont="1" applyFill="1" applyBorder="1"/>
    <xf numFmtId="164" fontId="70" fillId="0" borderId="37" xfId="217" applyNumberFormat="1" applyFont="1" applyFill="1" applyBorder="1"/>
    <xf numFmtId="164" fontId="70" fillId="0" borderId="0" xfId="217" applyNumberFormat="1" applyFont="1" applyFill="1" applyBorder="1"/>
    <xf numFmtId="0" fontId="56" fillId="0" borderId="0" xfId="217" applyFont="1" applyFill="1" applyBorder="1"/>
    <xf numFmtId="1" fontId="60" fillId="36" borderId="37" xfId="217" applyNumberFormat="1" applyFont="1" applyFill="1" applyBorder="1"/>
    <xf numFmtId="1" fontId="60" fillId="36" borderId="34" xfId="217" applyNumberFormat="1" applyFont="1" applyFill="1" applyBorder="1"/>
    <xf numFmtId="1" fontId="5" fillId="36" borderId="34" xfId="217" applyNumberFormat="1" applyFont="1" applyFill="1" applyBorder="1"/>
    <xf numFmtId="1" fontId="5" fillId="36" borderId="16" xfId="217" applyNumberFormat="1" applyFont="1" applyFill="1" applyBorder="1"/>
    <xf numFmtId="1" fontId="5" fillId="36" borderId="37" xfId="217" applyNumberFormat="1" applyFont="1" applyFill="1" applyBorder="1"/>
    <xf numFmtId="1" fontId="5" fillId="36" borderId="0" xfId="217" applyNumberFormat="1" applyFont="1" applyFill="1" applyBorder="1"/>
    <xf numFmtId="1" fontId="57" fillId="48" borderId="0" xfId="217" applyNumberFormat="1" applyFont="1" applyFill="1" applyBorder="1"/>
    <xf numFmtId="1" fontId="57" fillId="48" borderId="16" xfId="217" applyNumberFormat="1" applyFont="1" applyFill="1" applyBorder="1"/>
    <xf numFmtId="164" fontId="57" fillId="48" borderId="0" xfId="217" applyNumberFormat="1" applyFont="1" applyFill="1" applyBorder="1"/>
    <xf numFmtId="0" fontId="57" fillId="48" borderId="0" xfId="217" applyFont="1" applyFill="1" applyBorder="1"/>
    <xf numFmtId="0" fontId="5" fillId="0" borderId="21" xfId="217" applyBorder="1"/>
    <xf numFmtId="0" fontId="5" fillId="0" borderId="21" xfId="217" applyFont="1" applyBorder="1"/>
    <xf numFmtId="0" fontId="5" fillId="0" borderId="22" xfId="217" applyFont="1" applyFill="1" applyBorder="1"/>
    <xf numFmtId="0" fontId="5" fillId="0" borderId="25" xfId="217" applyFont="1" applyFill="1" applyBorder="1"/>
    <xf numFmtId="0" fontId="5" fillId="0" borderId="11" xfId="217" applyFont="1" applyFill="1" applyBorder="1"/>
    <xf numFmtId="10" fontId="71" fillId="0" borderId="22" xfId="217" applyNumberFormat="1" applyFont="1" applyFill="1" applyBorder="1" applyAlignment="1">
      <alignment horizontal="center" vertical="center"/>
    </xf>
    <xf numFmtId="0" fontId="5" fillId="51" borderId="0" xfId="217" applyFont="1" applyFill="1" applyBorder="1"/>
    <xf numFmtId="1" fontId="5" fillId="32" borderId="34" xfId="217" applyNumberFormat="1" applyFont="1" applyFill="1" applyBorder="1"/>
    <xf numFmtId="164" fontId="5" fillId="51" borderId="33" xfId="217" applyNumberFormat="1" applyFont="1" applyFill="1" applyBorder="1"/>
    <xf numFmtId="164" fontId="5" fillId="51" borderId="0" xfId="217" applyNumberFormat="1" applyFont="1" applyFill="1" applyBorder="1"/>
    <xf numFmtId="0" fontId="5" fillId="51" borderId="0" xfId="217" applyFont="1" applyFill="1" applyBorder="1"/>
    <xf numFmtId="0" fontId="56" fillId="51" borderId="0" xfId="217" applyFont="1" applyFill="1" applyBorder="1"/>
    <xf numFmtId="168" fontId="60" fillId="0" borderId="37" xfId="217" applyNumberFormat="1" applyFont="1" applyFill="1" applyBorder="1"/>
    <xf numFmtId="0" fontId="60" fillId="0" borderId="0" xfId="217" applyFont="1" applyFill="1" applyBorder="1"/>
    <xf numFmtId="1" fontId="60" fillId="0" borderId="0" xfId="217" applyNumberFormat="1" applyFont="1" applyFill="1" applyBorder="1"/>
    <xf numFmtId="164" fontId="64" fillId="0" borderId="0" xfId="217" applyNumberFormat="1" applyFont="1" applyFill="1" applyBorder="1"/>
    <xf numFmtId="164" fontId="64" fillId="0" borderId="30" xfId="217" applyNumberFormat="1" applyFont="1" applyFill="1" applyBorder="1"/>
    <xf numFmtId="164" fontId="64" fillId="0" borderId="17" xfId="217" applyNumberFormat="1" applyFont="1" applyFill="1" applyBorder="1"/>
    <xf numFmtId="0" fontId="56" fillId="38" borderId="0" xfId="217" applyFont="1" applyFill="1" applyBorder="1" applyAlignment="1">
      <alignment horizontal="left" indent="4"/>
    </xf>
    <xf numFmtId="0" fontId="68" fillId="0" borderId="0" xfId="217" applyFont="1" applyFill="1" applyBorder="1" applyAlignment="1">
      <alignment horizontal="left" indent="3"/>
    </xf>
    <xf numFmtId="1" fontId="5" fillId="44" borderId="0" xfId="217" applyNumberFormat="1" applyFill="1" applyBorder="1"/>
    <xf numFmtId="0" fontId="59" fillId="0" borderId="0" xfId="217" applyFont="1" applyFill="1" applyBorder="1"/>
    <xf numFmtId="1" fontId="59" fillId="0" borderId="13" xfId="217" applyNumberFormat="1" applyFont="1" applyFill="1" applyBorder="1"/>
    <xf numFmtId="1" fontId="59" fillId="0" borderId="0" xfId="217" applyNumberFormat="1" applyFont="1" applyFill="1" applyBorder="1"/>
    <xf numFmtId="1" fontId="59" fillId="0" borderId="30" xfId="217" applyNumberFormat="1" applyFont="1" applyFill="1" applyBorder="1"/>
    <xf numFmtId="1" fontId="59" fillId="0" borderId="17" xfId="217" applyNumberFormat="1" applyFont="1" applyFill="1" applyBorder="1"/>
    <xf numFmtId="1" fontId="62" fillId="0" borderId="0" xfId="217" applyNumberFormat="1" applyFont="1" applyFill="1" applyBorder="1"/>
    <xf numFmtId="0" fontId="55" fillId="41" borderId="0" xfId="217" applyFont="1" applyFill="1" applyBorder="1"/>
    <xf numFmtId="164" fontId="55" fillId="41" borderId="0" xfId="217" applyNumberFormat="1" applyFont="1" applyFill="1" applyBorder="1"/>
    <xf numFmtId="2" fontId="54" fillId="0" borderId="0" xfId="217" applyNumberFormat="1" applyFont="1" applyFill="1" applyBorder="1"/>
    <xf numFmtId="164" fontId="57" fillId="0" borderId="0" xfId="217" applyNumberFormat="1" applyFont="1" applyBorder="1"/>
    <xf numFmtId="1" fontId="24" fillId="36" borderId="0" xfId="217" applyNumberFormat="1" applyFont="1" applyFill="1" applyBorder="1"/>
    <xf numFmtId="1" fontId="57" fillId="36" borderId="0" xfId="217" applyNumberFormat="1" applyFont="1" applyFill="1" applyBorder="1"/>
    <xf numFmtId="0" fontId="57" fillId="36" borderId="0" xfId="217" applyFont="1" applyFill="1" applyBorder="1"/>
    <xf numFmtId="2" fontId="54" fillId="0" borderId="37" xfId="217" applyNumberFormat="1" applyFont="1" applyFill="1" applyBorder="1"/>
    <xf numFmtId="2" fontId="54" fillId="0" borderId="34" xfId="217" applyNumberFormat="1" applyFont="1" applyFill="1" applyBorder="1"/>
    <xf numFmtId="1" fontId="57" fillId="48" borderId="34" xfId="217" applyNumberFormat="1" applyFont="1" applyFill="1" applyBorder="1"/>
    <xf numFmtId="1" fontId="57" fillId="48" borderId="37" xfId="217" applyNumberFormat="1" applyFont="1" applyFill="1" applyBorder="1"/>
    <xf numFmtId="0" fontId="5" fillId="0" borderId="11" xfId="217" applyBorder="1"/>
    <xf numFmtId="0" fontId="5" fillId="0" borderId="39" xfId="217" applyFont="1" applyFill="1" applyBorder="1"/>
    <xf numFmtId="0" fontId="5" fillId="52" borderId="0" xfId="217" applyFont="1" applyFill="1" applyBorder="1"/>
    <xf numFmtId="1" fontId="5" fillId="52" borderId="0" xfId="217" applyNumberFormat="1" applyFont="1" applyFill="1" applyBorder="1"/>
    <xf numFmtId="1" fontId="5" fillId="52" borderId="37" xfId="217" applyNumberFormat="1" applyFont="1" applyFill="1" applyBorder="1"/>
    <xf numFmtId="1" fontId="5" fillId="52" borderId="16" xfId="217" applyNumberFormat="1" applyFont="1" applyFill="1" applyBorder="1"/>
    <xf numFmtId="1" fontId="5" fillId="52" borderId="34" xfId="217" applyNumberFormat="1" applyFont="1" applyFill="1" applyBorder="1"/>
    <xf numFmtId="1" fontId="5" fillId="52" borderId="0" xfId="217" applyNumberFormat="1" applyFill="1" applyBorder="1"/>
    <xf numFmtId="1" fontId="5" fillId="52" borderId="17" xfId="217" applyNumberFormat="1" applyFill="1" applyBorder="1"/>
    <xf numFmtId="1" fontId="5" fillId="52" borderId="30" xfId="217" applyNumberFormat="1" applyFill="1" applyBorder="1"/>
    <xf numFmtId="1" fontId="5" fillId="52" borderId="13" xfId="217" applyNumberFormat="1" applyFill="1" applyBorder="1"/>
    <xf numFmtId="0" fontId="5" fillId="52" borderId="0" xfId="217" applyFill="1" applyBorder="1"/>
    <xf numFmtId="0" fontId="56" fillId="52" borderId="0" xfId="217" applyFont="1" applyFill="1" applyBorder="1" applyAlignment="1">
      <alignment horizontal="left" indent="4"/>
    </xf>
    <xf numFmtId="164" fontId="5" fillId="52" borderId="0" xfId="217" applyNumberFormat="1" applyFill="1" applyBorder="1"/>
    <xf numFmtId="0" fontId="56" fillId="52" borderId="0" xfId="217" applyFont="1" applyFill="1" applyBorder="1" applyAlignment="1">
      <alignment horizontal="left"/>
    </xf>
    <xf numFmtId="3" fontId="5" fillId="0" borderId="0" xfId="217" applyNumberFormat="1" applyFont="1" applyFill="1" applyBorder="1"/>
    <xf numFmtId="167" fontId="21" fillId="0" borderId="0" xfId="219" quotePrefix="1" applyFont="1" applyBorder="1" applyAlignment="1" applyProtection="1">
      <alignment horizontal="left" wrapText="1"/>
      <protection locked="0"/>
    </xf>
    <xf numFmtId="167" fontId="76" fillId="0" borderId="0" xfId="219" quotePrefix="1" applyFont="1" applyBorder="1" applyAlignment="1" applyProtection="1">
      <alignment horizontal="left" wrapText="1"/>
      <protection locked="0"/>
    </xf>
    <xf numFmtId="167" fontId="78" fillId="0" borderId="17" xfId="219" quotePrefix="1" applyFont="1" applyBorder="1" applyAlignment="1" applyProtection="1">
      <alignment horizontal="left" wrapText="1"/>
      <protection locked="0"/>
    </xf>
    <xf numFmtId="0" fontId="5" fillId="52" borderId="0" xfId="217" applyFont="1" applyFill="1" applyBorder="1" applyAlignment="1">
      <alignment wrapText="1"/>
    </xf>
    <xf numFmtId="3" fontId="77" fillId="0" borderId="0" xfId="141" applyNumberFormat="1" applyFont="1" applyBorder="1"/>
    <xf numFmtId="164" fontId="5" fillId="52" borderId="0" xfId="217" applyNumberFormat="1" applyFont="1" applyFill="1" applyBorder="1"/>
    <xf numFmtId="0" fontId="56" fillId="52" borderId="0" xfId="217" applyFont="1" applyFill="1" applyBorder="1"/>
    <xf numFmtId="164" fontId="62" fillId="52" borderId="0" xfId="217" applyNumberFormat="1" applyFont="1" applyFill="1" applyBorder="1"/>
    <xf numFmtId="168" fontId="5" fillId="0" borderId="0" xfId="217" applyNumberFormat="1" applyFont="1" applyFill="1" applyBorder="1"/>
    <xf numFmtId="0" fontId="58" fillId="0" borderId="0" xfId="217" applyFont="1" applyBorder="1"/>
    <xf numFmtId="2" fontId="7" fillId="0" borderId="0" xfId="217" applyNumberFormat="1" applyFont="1" applyBorder="1"/>
    <xf numFmtId="1" fontId="7" fillId="0" borderId="0" xfId="217" applyNumberFormat="1" applyFont="1" applyBorder="1"/>
    <xf numFmtId="0" fontId="7" fillId="0" borderId="0" xfId="217" applyFont="1" applyBorder="1"/>
    <xf numFmtId="0" fontId="80" fillId="0" borderId="13" xfId="217" applyFont="1" applyBorder="1"/>
    <xf numFmtId="1" fontId="80" fillId="0" borderId="0" xfId="217" applyNumberFormat="1" applyFont="1" applyBorder="1"/>
    <xf numFmtId="1" fontId="80" fillId="0" borderId="0" xfId="217" applyNumberFormat="1" applyFont="1" applyFill="1" applyBorder="1"/>
    <xf numFmtId="0" fontId="80" fillId="0" borderId="0" xfId="217" applyFont="1" applyBorder="1"/>
    <xf numFmtId="2" fontId="81" fillId="0" borderId="0" xfId="217" applyNumberFormat="1" applyFont="1" applyBorder="1"/>
    <xf numFmtId="164" fontId="57" fillId="36" borderId="35" xfId="217" applyNumberFormat="1" applyFont="1" applyFill="1" applyBorder="1"/>
    <xf numFmtId="164" fontId="57" fillId="36" borderId="36" xfId="217" applyNumberFormat="1" applyFont="1" applyFill="1" applyBorder="1"/>
    <xf numFmtId="164" fontId="57" fillId="36" borderId="38" xfId="217" applyNumberFormat="1" applyFont="1" applyFill="1" applyBorder="1"/>
    <xf numFmtId="1" fontId="7" fillId="0" borderId="0" xfId="217" applyNumberFormat="1" applyFont="1" applyFill="1" applyBorder="1"/>
    <xf numFmtId="164" fontId="7" fillId="0" borderId="0" xfId="217" applyNumberFormat="1" applyFont="1" applyFill="1" applyBorder="1"/>
    <xf numFmtId="164" fontId="57" fillId="48" borderId="37" xfId="217" applyNumberFormat="1" applyFont="1" applyFill="1" applyBorder="1"/>
    <xf numFmtId="3" fontId="0" fillId="0" borderId="0" xfId="0" applyNumberFormat="1" applyFill="1" applyBorder="1"/>
    <xf numFmtId="169" fontId="0" fillId="0" borderId="17" xfId="0" applyNumberFormat="1" applyBorder="1"/>
    <xf numFmtId="3" fontId="0" fillId="28" borderId="17" xfId="0" applyNumberFormat="1" applyFill="1" applyBorder="1"/>
    <xf numFmtId="3" fontId="0" fillId="0" borderId="30" xfId="0" applyNumberFormat="1" applyFill="1" applyBorder="1"/>
    <xf numFmtId="164" fontId="5" fillId="0" borderId="0" xfId="217" applyNumberFormat="1" applyFill="1"/>
    <xf numFmtId="4" fontId="0" fillId="0" borderId="30" xfId="0" applyNumberFormat="1" applyBorder="1"/>
    <xf numFmtId="0" fontId="82" fillId="0" borderId="0" xfId="143"/>
    <xf numFmtId="0" fontId="82" fillId="0" borderId="0" xfId="143" applyAlignment="1">
      <alignment horizontal="center" vertical="center" wrapText="1"/>
    </xf>
    <xf numFmtId="0" fontId="82" fillId="0" borderId="0" xfId="143" applyFill="1" applyBorder="1"/>
    <xf numFmtId="0" fontId="13" fillId="0" borderId="36" xfId="143" applyNumberFormat="1" applyFont="1" applyBorder="1" applyAlignment="1">
      <alignment horizontal="left" vertical="center" wrapText="1"/>
    </xf>
    <xf numFmtId="4" fontId="13" fillId="0" borderId="0" xfId="143" applyNumberFormat="1" applyFont="1" applyBorder="1" applyAlignment="1">
      <alignment horizontal="center" vertical="center" wrapText="1"/>
    </xf>
    <xf numFmtId="164" fontId="82" fillId="0" borderId="0" xfId="143" applyNumberFormat="1" applyFill="1" applyBorder="1"/>
    <xf numFmtId="0" fontId="13" fillId="0" borderId="34" xfId="143" applyNumberFormat="1" applyFont="1" applyBorder="1" applyAlignment="1">
      <alignment horizontal="left" vertical="center" wrapText="1"/>
    </xf>
    <xf numFmtId="165" fontId="13" fillId="0" borderId="0" xfId="143" applyNumberFormat="1" applyFont="1" applyBorder="1" applyAlignment="1">
      <alignment horizontal="center" vertical="center" wrapText="1"/>
    </xf>
    <xf numFmtId="4" fontId="13" fillId="35" borderId="0" xfId="143" applyNumberFormat="1" applyFont="1" applyFill="1" applyBorder="1" applyAlignment="1">
      <alignment horizontal="center" vertical="center" wrapText="1"/>
    </xf>
    <xf numFmtId="165" fontId="13" fillId="35" borderId="0" xfId="143" applyNumberFormat="1" applyFont="1" applyFill="1" applyBorder="1" applyAlignment="1">
      <alignment horizontal="center" vertical="center" wrapText="1"/>
    </xf>
    <xf numFmtId="165" fontId="13" fillId="35" borderId="16" xfId="143" applyNumberFormat="1" applyFont="1" applyFill="1" applyBorder="1" applyAlignment="1">
      <alignment horizontal="center" vertical="center" wrapText="1"/>
    </xf>
    <xf numFmtId="4" fontId="13" fillId="0" borderId="0" xfId="143" applyNumberFormat="1" applyFont="1" applyFill="1" applyBorder="1" applyAlignment="1">
      <alignment horizontal="center" vertical="center" wrapText="1"/>
    </xf>
    <xf numFmtId="0" fontId="82" fillId="0" borderId="16" xfId="143" applyFill="1" applyBorder="1"/>
    <xf numFmtId="0" fontId="12" fillId="0" borderId="34" xfId="143" applyNumberFormat="1" applyFont="1" applyBorder="1" applyAlignment="1">
      <alignment horizontal="left" vertical="center" wrapText="1"/>
    </xf>
    <xf numFmtId="1" fontId="7" fillId="43" borderId="0" xfId="217" applyNumberFormat="1" applyFont="1" applyFill="1" applyBorder="1"/>
    <xf numFmtId="4" fontId="12" fillId="0" borderId="0" xfId="143" applyNumberFormat="1" applyFont="1" applyFill="1" applyBorder="1" applyAlignment="1">
      <alignment horizontal="center" vertical="center" wrapText="1"/>
    </xf>
    <xf numFmtId="0" fontId="13" fillId="0" borderId="33" xfId="143" applyNumberFormat="1" applyFont="1" applyBorder="1" applyAlignment="1">
      <alignment horizontal="left" vertical="center" wrapText="1"/>
    </xf>
    <xf numFmtId="4" fontId="13" fillId="0" borderId="27" xfId="143" applyNumberFormat="1" applyFont="1" applyFill="1" applyBorder="1" applyAlignment="1">
      <alignment horizontal="center" vertical="center" wrapText="1"/>
    </xf>
    <xf numFmtId="169" fontId="13" fillId="0" borderId="27" xfId="143" applyNumberFormat="1" applyFont="1" applyFill="1" applyBorder="1" applyAlignment="1">
      <alignment horizontal="center" vertical="center" wrapText="1"/>
    </xf>
    <xf numFmtId="0" fontId="13" fillId="0" borderId="0" xfId="143" applyNumberFormat="1" applyFont="1" applyBorder="1" applyAlignment="1">
      <alignment horizontal="left" vertical="center" wrapText="1"/>
    </xf>
    <xf numFmtId="0" fontId="82" fillId="0" borderId="0" xfId="143" applyBorder="1" applyAlignment="1">
      <alignment horizontal="center"/>
    </xf>
    <xf numFmtId="0" fontId="82" fillId="0" borderId="0" xfId="143" applyBorder="1" applyAlignment="1">
      <alignment horizontal="center" vertical="center" wrapText="1"/>
    </xf>
    <xf numFmtId="0" fontId="82" fillId="0" borderId="0" xfId="143" applyBorder="1"/>
    <xf numFmtId="169" fontId="13" fillId="0" borderId="0" xfId="143" applyNumberFormat="1" applyFont="1" applyBorder="1" applyAlignment="1">
      <alignment horizontal="center" vertical="center" wrapText="1"/>
    </xf>
    <xf numFmtId="0" fontId="83" fillId="0" borderId="0" xfId="143" applyFont="1"/>
    <xf numFmtId="164" fontId="82" fillId="0" borderId="0" xfId="143" applyNumberFormat="1"/>
    <xf numFmtId="1" fontId="5" fillId="0" borderId="0" xfId="217" applyNumberFormat="1" applyFill="1"/>
    <xf numFmtId="0" fontId="50" fillId="0" borderId="26" xfId="204" applyFont="1" applyFill="1" applyBorder="1" applyAlignment="1">
      <alignment horizontal="center"/>
    </xf>
    <xf numFmtId="0" fontId="7" fillId="0" borderId="0" xfId="217" applyFont="1" applyFill="1" applyBorder="1"/>
    <xf numFmtId="168" fontId="11" fillId="0" borderId="0" xfId="222" applyNumberFormat="1" applyFont="1" applyFill="1"/>
    <xf numFmtId="0" fontId="11" fillId="0" borderId="0" xfId="222" applyFont="1" applyFill="1"/>
    <xf numFmtId="165" fontId="0" fillId="0" borderId="17" xfId="0" applyNumberFormat="1" applyBorder="1"/>
    <xf numFmtId="164" fontId="24" fillId="36" borderId="0" xfId="217" applyNumberFormat="1" applyFont="1" applyFill="1" applyBorder="1"/>
    <xf numFmtId="2" fontId="25" fillId="52" borderId="0" xfId="217" applyNumberFormat="1" applyFont="1" applyFill="1" applyBorder="1"/>
    <xf numFmtId="0" fontId="5" fillId="35" borderId="0" xfId="217" applyFont="1" applyFill="1" applyBorder="1"/>
    <xf numFmtId="164" fontId="5" fillId="35" borderId="0" xfId="217" applyNumberFormat="1" applyFont="1" applyFill="1" applyBorder="1"/>
    <xf numFmtId="0" fontId="5" fillId="35" borderId="0" xfId="217" applyFill="1" applyBorder="1"/>
    <xf numFmtId="164" fontId="5" fillId="0" borderId="27" xfId="217" applyNumberFormat="1" applyFont="1" applyFill="1" applyBorder="1"/>
    <xf numFmtId="0" fontId="56" fillId="35" borderId="0" xfId="217" applyFont="1" applyFill="1" applyBorder="1" applyAlignment="1">
      <alignment horizontal="left" indent="4"/>
    </xf>
    <xf numFmtId="164" fontId="5" fillId="35" borderId="16" xfId="217" applyNumberFormat="1" applyFont="1" applyFill="1" applyBorder="1"/>
    <xf numFmtId="164" fontId="5" fillId="35" borderId="37" xfId="217" applyNumberFormat="1" applyFont="1" applyFill="1" applyBorder="1"/>
    <xf numFmtId="0" fontId="63" fillId="35" borderId="0" xfId="217" applyFont="1" applyFill="1" applyBorder="1" applyAlignment="1">
      <alignment horizontal="left" indent="3"/>
    </xf>
    <xf numFmtId="164" fontId="62" fillId="35" borderId="0" xfId="217" applyNumberFormat="1" applyFont="1" applyFill="1" applyBorder="1"/>
    <xf numFmtId="2" fontId="60" fillId="35" borderId="0" xfId="217" applyNumberFormat="1" applyFont="1" applyFill="1" applyBorder="1"/>
    <xf numFmtId="164" fontId="85" fillId="35" borderId="37" xfId="217" applyNumberFormat="1" applyFont="1" applyFill="1" applyBorder="1"/>
    <xf numFmtId="164" fontId="86" fillId="35" borderId="37" xfId="217" applyNumberFormat="1" applyFont="1" applyFill="1" applyBorder="1"/>
    <xf numFmtId="2" fontId="87" fillId="35" borderId="0" xfId="217" applyNumberFormat="1" applyFont="1" applyFill="1" applyBorder="1"/>
    <xf numFmtId="2" fontId="87" fillId="35" borderId="37" xfId="217" applyNumberFormat="1" applyFont="1" applyFill="1" applyBorder="1"/>
    <xf numFmtId="0" fontId="88" fillId="35" borderId="0" xfId="217" applyFont="1" applyFill="1" applyBorder="1" applyAlignment="1">
      <alignment horizontal="left" indent="1"/>
    </xf>
    <xf numFmtId="164" fontId="7" fillId="43" borderId="0" xfId="217" applyNumberFormat="1" applyFont="1" applyFill="1" applyBorder="1"/>
    <xf numFmtId="0" fontId="65" fillId="43" borderId="0" xfId="217" applyFont="1" applyFill="1" applyBorder="1"/>
    <xf numFmtId="164" fontId="57" fillId="43" borderId="0" xfId="217" applyNumberFormat="1" applyFont="1" applyFill="1" applyBorder="1"/>
    <xf numFmtId="1" fontId="57" fillId="43" borderId="0" xfId="217" applyNumberFormat="1" applyFont="1" applyFill="1" applyBorder="1"/>
    <xf numFmtId="0" fontId="7" fillId="43" borderId="13" xfId="217" applyFont="1" applyFill="1" applyBorder="1"/>
    <xf numFmtId="170" fontId="59" fillId="0" borderId="0" xfId="217" applyNumberFormat="1" applyFont="1" applyFill="1" applyBorder="1"/>
    <xf numFmtId="168" fontId="59" fillId="0" borderId="0" xfId="217" applyNumberFormat="1" applyFont="1" applyFill="1" applyBorder="1"/>
    <xf numFmtId="0" fontId="165" fillId="0" borderId="0" xfId="209"/>
    <xf numFmtId="0" fontId="90" fillId="35" borderId="0" xfId="217" applyFont="1" applyFill="1" applyBorder="1"/>
    <xf numFmtId="0" fontId="11" fillId="0" borderId="0" xfId="222" applyFont="1"/>
    <xf numFmtId="168" fontId="11" fillId="0" borderId="0" xfId="222" applyNumberFormat="1" applyFont="1"/>
    <xf numFmtId="168" fontId="46" fillId="0" borderId="0" xfId="222" applyNumberFormat="1" applyFont="1"/>
    <xf numFmtId="170" fontId="46" fillId="0" borderId="0" xfId="222" applyNumberFormat="1" applyFont="1"/>
    <xf numFmtId="0" fontId="5" fillId="0" borderId="0" xfId="217" applyFont="1"/>
    <xf numFmtId="0" fontId="165" fillId="0" borderId="22" xfId="209" applyBorder="1"/>
    <xf numFmtId="0" fontId="165" fillId="0" borderId="25" xfId="209" applyBorder="1"/>
    <xf numFmtId="0" fontId="165" fillId="0" borderId="26" xfId="209" applyBorder="1"/>
    <xf numFmtId="0" fontId="165" fillId="0" borderId="36" xfId="209" applyBorder="1"/>
    <xf numFmtId="0" fontId="165" fillId="0" borderId="35" xfId="209" applyBorder="1"/>
    <xf numFmtId="0" fontId="165" fillId="0" borderId="39" xfId="209" applyBorder="1"/>
    <xf numFmtId="0" fontId="165" fillId="0" borderId="34" xfId="209" applyBorder="1"/>
    <xf numFmtId="0" fontId="165" fillId="0" borderId="0" xfId="209" applyBorder="1"/>
    <xf numFmtId="0" fontId="165" fillId="0" borderId="16" xfId="209" applyBorder="1"/>
    <xf numFmtId="1" fontId="165" fillId="0" borderId="0" xfId="209" applyNumberFormat="1" applyBorder="1"/>
    <xf numFmtId="1" fontId="165" fillId="0" borderId="16" xfId="209" applyNumberFormat="1" applyBorder="1"/>
    <xf numFmtId="0" fontId="165" fillId="0" borderId="34" xfId="209" applyBorder="1" applyAlignment="1">
      <alignment wrapText="1"/>
    </xf>
    <xf numFmtId="2" fontId="165" fillId="0" borderId="0" xfId="209" applyNumberFormat="1" applyBorder="1"/>
    <xf numFmtId="10" fontId="165" fillId="0" borderId="0" xfId="209" applyNumberFormat="1" applyBorder="1"/>
    <xf numFmtId="0" fontId="165" fillId="0" borderId="33" xfId="209" applyBorder="1" applyAlignment="1">
      <alignment wrapText="1"/>
    </xf>
    <xf numFmtId="0" fontId="165" fillId="0" borderId="27" xfId="209" applyBorder="1"/>
    <xf numFmtId="164" fontId="165" fillId="0" borderId="0" xfId="209" applyNumberFormat="1" applyBorder="1"/>
    <xf numFmtId="164" fontId="165" fillId="0" borderId="28" xfId="209" applyNumberFormat="1" applyBorder="1"/>
    <xf numFmtId="0" fontId="165" fillId="0" borderId="38" xfId="209" applyBorder="1"/>
    <xf numFmtId="1" fontId="165" fillId="0" borderId="37" xfId="209" applyNumberFormat="1" applyBorder="1"/>
    <xf numFmtId="0" fontId="165" fillId="0" borderId="37" xfId="209" applyBorder="1"/>
    <xf numFmtId="0" fontId="165" fillId="0" borderId="29" xfId="209" applyBorder="1"/>
    <xf numFmtId="0" fontId="165" fillId="0" borderId="28" xfId="209" applyBorder="1"/>
    <xf numFmtId="164" fontId="165" fillId="0" borderId="27" xfId="209" applyNumberFormat="1" applyBorder="1"/>
    <xf numFmtId="1" fontId="165" fillId="0" borderId="0" xfId="209" applyNumberFormat="1"/>
    <xf numFmtId="2" fontId="89" fillId="0" borderId="0" xfId="209" applyNumberFormat="1" applyFont="1" applyBorder="1"/>
    <xf numFmtId="10" fontId="89" fillId="0" borderId="0" xfId="209" applyNumberFormat="1" applyFont="1" applyBorder="1"/>
    <xf numFmtId="0" fontId="7" fillId="0" borderId="0" xfId="217" applyFont="1" applyFill="1"/>
    <xf numFmtId="0" fontId="7" fillId="0" borderId="0" xfId="217" applyFont="1"/>
    <xf numFmtId="164" fontId="90" fillId="35" borderId="0" xfId="217" applyNumberFormat="1" applyFont="1" applyFill="1" applyBorder="1"/>
    <xf numFmtId="164" fontId="11" fillId="0" borderId="0" xfId="222" applyNumberFormat="1" applyFont="1"/>
    <xf numFmtId="164" fontId="5" fillId="35" borderId="0" xfId="217" applyNumberFormat="1" applyFill="1"/>
    <xf numFmtId="164" fontId="5" fillId="43" borderId="0" xfId="217" applyNumberFormat="1" applyFill="1"/>
    <xf numFmtId="164" fontId="165" fillId="0" borderId="0" xfId="209" applyNumberFormat="1"/>
    <xf numFmtId="164" fontId="165" fillId="0" borderId="25" xfId="209" applyNumberFormat="1" applyBorder="1"/>
    <xf numFmtId="164" fontId="165" fillId="0" borderId="35" xfId="209" applyNumberFormat="1" applyBorder="1"/>
    <xf numFmtId="1" fontId="25" fillId="52" borderId="37" xfId="217" applyNumberFormat="1" applyFont="1" applyFill="1" applyBorder="1"/>
    <xf numFmtId="1" fontId="25" fillId="52" borderId="16" xfId="217" applyNumberFormat="1" applyFont="1" applyFill="1" applyBorder="1"/>
    <xf numFmtId="1" fontId="25" fillId="52" borderId="34" xfId="217" applyNumberFormat="1" applyFont="1" applyFill="1" applyBorder="1"/>
    <xf numFmtId="164" fontId="58" fillId="36" borderId="38" xfId="217" applyNumberFormat="1" applyFont="1" applyFill="1" applyBorder="1"/>
    <xf numFmtId="164" fontId="5" fillId="0" borderId="29" xfId="217" applyNumberFormat="1" applyFont="1" applyFill="1" applyBorder="1"/>
    <xf numFmtId="164" fontId="86" fillId="35" borderId="0" xfId="217" applyNumberFormat="1" applyFont="1" applyFill="1" applyBorder="1"/>
    <xf numFmtId="1" fontId="5" fillId="0" borderId="0" xfId="217" applyNumberFormat="1" applyFill="1" applyBorder="1" applyAlignment="1">
      <alignment horizontal="right"/>
    </xf>
    <xf numFmtId="1" fontId="5" fillId="0" borderId="27" xfId="217" applyNumberFormat="1" applyFill="1" applyBorder="1"/>
    <xf numFmtId="1" fontId="5" fillId="48" borderId="0" xfId="217" applyNumberFormat="1" applyFont="1" applyFill="1" applyBorder="1"/>
    <xf numFmtId="1" fontId="24" fillId="36" borderId="37" xfId="217" applyNumberFormat="1" applyFont="1" applyFill="1" applyBorder="1"/>
    <xf numFmtId="1" fontId="24" fillId="36" borderId="34" xfId="217" applyNumberFormat="1" applyFont="1" applyFill="1" applyBorder="1"/>
    <xf numFmtId="1" fontId="25" fillId="52" borderId="0" xfId="217" applyNumberFormat="1" applyFont="1" applyFill="1" applyBorder="1"/>
    <xf numFmtId="1" fontId="5" fillId="32" borderId="0" xfId="217" applyNumberFormat="1" applyFont="1" applyFill="1" applyBorder="1"/>
    <xf numFmtId="168" fontId="64" fillId="35" borderId="0" xfId="217" applyNumberFormat="1" applyFont="1" applyFill="1" applyBorder="1"/>
    <xf numFmtId="1" fontId="60" fillId="36" borderId="0" xfId="217" applyNumberFormat="1" applyFont="1" applyFill="1" applyBorder="1"/>
    <xf numFmtId="164" fontId="57" fillId="36" borderId="0" xfId="217" applyNumberFormat="1" applyFont="1" applyFill="1" applyBorder="1"/>
    <xf numFmtId="164" fontId="60" fillId="36" borderId="0" xfId="217" applyNumberFormat="1" applyFont="1" applyFill="1" applyBorder="1"/>
    <xf numFmtId="0" fontId="50" fillId="0" borderId="0" xfId="204" applyFont="1" applyFill="1" applyBorder="1" applyAlignment="1">
      <alignment horizontal="center"/>
    </xf>
    <xf numFmtId="1" fontId="49" fillId="0" borderId="0" xfId="204" applyNumberFormat="1" applyFont="1" applyFill="1" applyBorder="1"/>
    <xf numFmtId="164" fontId="84" fillId="0" borderId="0" xfId="217" applyNumberFormat="1" applyFont="1" applyFill="1" applyBorder="1"/>
    <xf numFmtId="1" fontId="79" fillId="52" borderId="0" xfId="217" applyNumberFormat="1" applyFont="1" applyFill="1" applyBorder="1"/>
    <xf numFmtId="168" fontId="62" fillId="0" borderId="0" xfId="217" applyNumberFormat="1" applyFont="1" applyFill="1" applyBorder="1"/>
    <xf numFmtId="0" fontId="54" fillId="0" borderId="0" xfId="217" applyFont="1" applyAlignment="1">
      <alignment horizontal="left" indent="6"/>
    </xf>
    <xf numFmtId="0" fontId="138" fillId="0" borderId="0" xfId="203" applyFont="1" applyAlignment="1">
      <alignment horizontal="center"/>
    </xf>
    <xf numFmtId="0" fontId="5" fillId="0" borderId="0" xfId="203"/>
    <xf numFmtId="0" fontId="139" fillId="0" borderId="0" xfId="203" applyFont="1"/>
    <xf numFmtId="0" fontId="8" fillId="42" borderId="22" xfId="220" applyFont="1" applyFill="1" applyBorder="1" applyAlignment="1">
      <alignment horizontal="center" vertical="center" wrapText="1"/>
    </xf>
    <xf numFmtId="3" fontId="8" fillId="42" borderId="39" xfId="203" applyNumberFormat="1" applyFont="1" applyFill="1" applyBorder="1" applyAlignment="1">
      <alignment horizontal="center" wrapText="1"/>
    </xf>
    <xf numFmtId="3" fontId="8" fillId="42" borderId="36" xfId="203" applyNumberFormat="1" applyFont="1" applyFill="1" applyBorder="1" applyAlignment="1">
      <alignment horizontal="center" wrapText="1"/>
    </xf>
    <xf numFmtId="3" fontId="8" fillId="42" borderId="38" xfId="203" applyNumberFormat="1" applyFont="1" applyFill="1" applyBorder="1" applyAlignment="1">
      <alignment horizontal="center" wrapText="1"/>
    </xf>
    <xf numFmtId="3" fontId="8" fillId="42" borderId="22" xfId="203" applyNumberFormat="1" applyFont="1" applyFill="1" applyBorder="1" applyAlignment="1">
      <alignment horizontal="center" wrapText="1"/>
    </xf>
    <xf numFmtId="3" fontId="140" fillId="42" borderId="22" xfId="203" applyNumberFormat="1" applyFont="1" applyFill="1" applyBorder="1" applyAlignment="1">
      <alignment horizontal="center" wrapText="1"/>
    </xf>
    <xf numFmtId="3" fontId="8" fillId="42" borderId="11" xfId="203" applyNumberFormat="1" applyFont="1" applyFill="1" applyBorder="1" applyAlignment="1">
      <alignment horizontal="center" wrapText="1"/>
    </xf>
    <xf numFmtId="3" fontId="141" fillId="42" borderId="11" xfId="203" applyNumberFormat="1" applyFont="1" applyFill="1" applyBorder="1" applyAlignment="1">
      <alignment horizontal="center" wrapText="1"/>
    </xf>
    <xf numFmtId="3" fontId="142" fillId="42" borderId="11" xfId="203" applyNumberFormat="1" applyFont="1" applyFill="1" applyBorder="1" applyAlignment="1">
      <alignment horizontal="center" wrapText="1"/>
    </xf>
    <xf numFmtId="0" fontId="5" fillId="0" borderId="0" xfId="203" applyFill="1"/>
    <xf numFmtId="0" fontId="8" fillId="0" borderId="22" xfId="220" applyFont="1" applyBorder="1" applyAlignment="1">
      <alignment horizontal="left" wrapText="1"/>
    </xf>
    <xf numFmtId="3" fontId="8" fillId="0" borderId="11" xfId="203" applyNumberFormat="1" applyFont="1" applyFill="1" applyBorder="1" applyAlignment="1">
      <alignment horizontal="right"/>
    </xf>
    <xf numFmtId="3" fontId="8" fillId="0" borderId="11" xfId="203" applyNumberFormat="1" applyFont="1" applyBorder="1" applyAlignment="1">
      <alignment horizontal="right" wrapText="1"/>
    </xf>
    <xf numFmtId="3" fontId="8" fillId="0" borderId="22" xfId="203" applyNumberFormat="1" applyFont="1" applyBorder="1" applyAlignment="1">
      <alignment horizontal="right" wrapText="1"/>
    </xf>
    <xf numFmtId="3" fontId="140" fillId="0" borderId="22" xfId="203" applyNumberFormat="1" applyFont="1" applyBorder="1"/>
    <xf numFmtId="3" fontId="8" fillId="0" borderId="11" xfId="203" applyNumberFormat="1" applyFont="1" applyBorder="1"/>
    <xf numFmtId="3" fontId="141" fillId="0" borderId="22" xfId="203" applyNumberFormat="1" applyFont="1" applyBorder="1"/>
    <xf numFmtId="3" fontId="142" fillId="0" borderId="11" xfId="203" applyNumberFormat="1" applyFont="1" applyBorder="1"/>
    <xf numFmtId="0" fontId="8" fillId="0" borderId="22" xfId="220" applyFont="1" applyBorder="1" applyAlignment="1">
      <alignment wrapText="1"/>
    </xf>
    <xf numFmtId="3" fontId="8" fillId="0" borderId="22" xfId="203" applyNumberFormat="1" applyFont="1" applyFill="1" applyBorder="1" applyAlignment="1">
      <alignment horizontal="right"/>
    </xf>
    <xf numFmtId="0" fontId="143" fillId="0" borderId="22" xfId="220" applyFont="1" applyBorder="1" applyAlignment="1">
      <alignment horizontal="justify" wrapText="1"/>
    </xf>
    <xf numFmtId="3" fontId="11" fillId="0" borderId="11" xfId="203" applyNumberFormat="1" applyFont="1" applyBorder="1"/>
    <xf numFmtId="3" fontId="11" fillId="0" borderId="11" xfId="203" applyNumberFormat="1" applyFont="1" applyBorder="1" applyAlignment="1">
      <alignment horizontal="right" wrapText="1"/>
    </xf>
    <xf numFmtId="3" fontId="144" fillId="0" borderId="22" xfId="203" applyNumberFormat="1" applyFont="1" applyBorder="1"/>
    <xf numFmtId="165" fontId="8" fillId="0" borderId="11" xfId="203" applyNumberFormat="1" applyFont="1" applyBorder="1"/>
    <xf numFmtId="165" fontId="141" fillId="0" borderId="22" xfId="203" applyNumberFormat="1" applyFont="1" applyBorder="1"/>
    <xf numFmtId="0" fontId="11" fillId="0" borderId="22" xfId="220" applyFont="1" applyBorder="1" applyAlignment="1">
      <alignment wrapText="1"/>
    </xf>
    <xf numFmtId="3" fontId="11" fillId="0" borderId="11" xfId="203" applyNumberFormat="1" applyFont="1" applyFill="1" applyBorder="1"/>
    <xf numFmtId="3" fontId="11" fillId="0" borderId="22" xfId="203" applyNumberFormat="1" applyFont="1" applyBorder="1" applyAlignment="1">
      <alignment horizontal="right" wrapText="1"/>
    </xf>
    <xf numFmtId="3" fontId="145" fillId="0" borderId="22" xfId="203" applyNumberFormat="1" applyFont="1" applyBorder="1"/>
    <xf numFmtId="3" fontId="11" fillId="0" borderId="11" xfId="203" applyNumberFormat="1" applyFont="1" applyFill="1" applyBorder="1" applyAlignment="1">
      <alignment horizontal="right"/>
    </xf>
    <xf numFmtId="0" fontId="11" fillId="0" borderId="25" xfId="220" applyFont="1" applyBorder="1" applyAlignment="1">
      <alignment horizontal="left" wrapText="1" indent="1"/>
    </xf>
    <xf numFmtId="3" fontId="11" fillId="0" borderId="11" xfId="203" applyNumberFormat="1" applyFont="1" applyBorder="1" applyAlignment="1">
      <alignment horizontal="center"/>
    </xf>
    <xf numFmtId="3" fontId="11" fillId="0" borderId="22" xfId="203" applyNumberFormat="1" applyFont="1" applyBorder="1" applyAlignment="1">
      <alignment horizontal="center"/>
    </xf>
    <xf numFmtId="3" fontId="8" fillId="0" borderId="11" xfId="203" applyNumberFormat="1" applyFont="1" applyBorder="1" applyAlignment="1">
      <alignment horizontal="center"/>
    </xf>
    <xf numFmtId="0" fontId="8" fillId="0" borderId="40" xfId="220" applyFont="1" applyBorder="1" applyAlignment="1">
      <alignment wrapText="1"/>
    </xf>
    <xf numFmtId="0" fontId="8" fillId="0" borderId="25" xfId="220" applyFont="1" applyBorder="1" applyAlignment="1">
      <alignment wrapText="1"/>
    </xf>
    <xf numFmtId="3" fontId="140" fillId="0" borderId="22" xfId="203" applyNumberFormat="1" applyFont="1" applyFill="1" applyBorder="1" applyAlignment="1">
      <alignment horizontal="right"/>
    </xf>
    <xf numFmtId="3" fontId="8" fillId="0" borderId="11" xfId="203" applyNumberFormat="1" applyFont="1" applyFill="1" applyBorder="1"/>
    <xf numFmtId="3" fontId="8" fillId="0" borderId="22" xfId="203" applyNumberFormat="1" applyFont="1" applyFill="1" applyBorder="1"/>
    <xf numFmtId="3" fontId="140" fillId="0" borderId="22" xfId="203" applyNumberFormat="1" applyFont="1" applyFill="1" applyBorder="1"/>
    <xf numFmtId="3" fontId="8" fillId="0" borderId="0" xfId="203" applyNumberFormat="1" applyFont="1" applyBorder="1" applyAlignment="1">
      <alignment horizontal="right" wrapText="1"/>
    </xf>
    <xf numFmtId="3" fontId="8" fillId="0" borderId="22" xfId="203" applyNumberFormat="1" applyFont="1" applyBorder="1"/>
    <xf numFmtId="3" fontId="142" fillId="0" borderId="11" xfId="203" applyNumberFormat="1" applyFont="1" applyFill="1" applyBorder="1"/>
    <xf numFmtId="0" fontId="11" fillId="42" borderId="22" xfId="220" applyFont="1" applyFill="1" applyBorder="1" applyAlignment="1">
      <alignment horizontal="center" vertical="center" wrapText="1"/>
    </xf>
    <xf numFmtId="3" fontId="143" fillId="0" borderId="11" xfId="203" applyNumberFormat="1" applyFont="1" applyBorder="1"/>
    <xf numFmtId="0" fontId="146" fillId="0" borderId="34" xfId="203" applyFont="1" applyBorder="1" applyAlignment="1">
      <alignment horizontal="left"/>
    </xf>
    <xf numFmtId="3" fontId="11" fillId="0" borderId="0" xfId="203" applyNumberFormat="1" applyFont="1"/>
    <xf numFmtId="0" fontId="11" fillId="0" borderId="0" xfId="203" applyFont="1"/>
    <xf numFmtId="165" fontId="142" fillId="0" borderId="11" xfId="203" applyNumberFormat="1" applyFont="1" applyBorder="1"/>
    <xf numFmtId="165" fontId="11" fillId="0" borderId="11" xfId="203" applyNumberFormat="1" applyFont="1" applyBorder="1"/>
    <xf numFmtId="165" fontId="9" fillId="0" borderId="11" xfId="203" applyNumberFormat="1" applyFont="1" applyBorder="1"/>
    <xf numFmtId="165" fontId="12" fillId="0" borderId="11" xfId="203" applyNumberFormat="1" applyFont="1" applyBorder="1"/>
    <xf numFmtId="0" fontId="2" fillId="0" borderId="0" xfId="209" applyFont="1"/>
    <xf numFmtId="0" fontId="58" fillId="0" borderId="0" xfId="217" applyFont="1" applyFill="1" applyBorder="1"/>
    <xf numFmtId="168" fontId="147" fillId="0" borderId="0" xfId="204" applyNumberFormat="1" applyFont="1" applyFill="1" applyBorder="1"/>
    <xf numFmtId="164" fontId="147" fillId="0" borderId="0" xfId="204" applyNumberFormat="1" applyFont="1" applyFill="1" applyBorder="1"/>
    <xf numFmtId="1" fontId="147" fillId="0" borderId="0" xfId="204" applyNumberFormat="1" applyFont="1" applyFill="1" applyBorder="1"/>
    <xf numFmtId="0" fontId="58" fillId="41" borderId="0" xfId="217" applyFont="1" applyFill="1"/>
    <xf numFmtId="164" fontId="54" fillId="35" borderId="0" xfId="217" applyNumberFormat="1" applyFont="1" applyFill="1"/>
    <xf numFmtId="0" fontId="147" fillId="0" borderId="34" xfId="204" applyFont="1" applyFill="1" applyBorder="1" applyAlignment="1">
      <alignment horizontal="left" indent="3"/>
    </xf>
    <xf numFmtId="0" fontId="47" fillId="0" borderId="34" xfId="204" applyFont="1" applyFill="1" applyBorder="1" applyAlignment="1">
      <alignment horizontal="left" indent="1"/>
    </xf>
    <xf numFmtId="3" fontId="16" fillId="35" borderId="0" xfId="0" applyNumberFormat="1" applyFont="1" applyFill="1" applyBorder="1"/>
    <xf numFmtId="1" fontId="149" fillId="0" borderId="0" xfId="217" applyNumberFormat="1" applyFont="1" applyFill="1" applyBorder="1"/>
    <xf numFmtId="0" fontId="57" fillId="0" borderId="0" xfId="217" applyFont="1"/>
    <xf numFmtId="0" fontId="57" fillId="0" borderId="0" xfId="217" applyFont="1" applyFill="1"/>
    <xf numFmtId="0" fontId="8" fillId="0" borderId="0" xfId="222" applyFont="1" applyFill="1"/>
    <xf numFmtId="168" fontId="8" fillId="0" borderId="0" xfId="222" applyNumberFormat="1" applyFont="1" applyFill="1"/>
    <xf numFmtId="0" fontId="13" fillId="35" borderId="34" xfId="143" applyNumberFormat="1" applyFont="1" applyFill="1" applyBorder="1" applyAlignment="1">
      <alignment horizontal="left" vertical="center" wrapText="1"/>
    </xf>
    <xf numFmtId="4" fontId="13" fillId="35" borderId="0" xfId="143" applyNumberFormat="1" applyFont="1" applyFill="1" applyBorder="1" applyAlignment="1">
      <alignment horizontal="center" vertical="center" wrapText="1"/>
    </xf>
    <xf numFmtId="165" fontId="13" fillId="35" borderId="0" xfId="143" applyNumberFormat="1" applyFont="1" applyFill="1" applyBorder="1" applyAlignment="1">
      <alignment horizontal="center" vertical="center" wrapText="1"/>
    </xf>
    <xf numFmtId="0" fontId="82" fillId="35" borderId="0" xfId="143" applyFill="1"/>
    <xf numFmtId="1" fontId="148" fillId="0" borderId="0" xfId="209" applyNumberFormat="1" applyFont="1"/>
    <xf numFmtId="0" fontId="1" fillId="0" borderId="0" xfId="209" applyFont="1"/>
    <xf numFmtId="0" fontId="151" fillId="0" borderId="0" xfId="217" applyFont="1"/>
    <xf numFmtId="0" fontId="153" fillId="0" borderId="0" xfId="0" applyFont="1" applyFill="1" applyAlignment="1">
      <alignment horizontal="left" indent="1"/>
    </xf>
    <xf numFmtId="0" fontId="153" fillId="0" borderId="0" xfId="0" applyFont="1" applyFill="1"/>
    <xf numFmtId="0" fontId="153" fillId="0" borderId="0" xfId="0" applyFont="1" applyFill="1" applyBorder="1" applyAlignment="1"/>
    <xf numFmtId="0" fontId="153" fillId="0" borderId="41" xfId="0" applyFont="1" applyFill="1" applyBorder="1" applyAlignment="1">
      <alignment horizontal="center"/>
    </xf>
    <xf numFmtId="0" fontId="153" fillId="0" borderId="32" xfId="0" applyFont="1" applyFill="1" applyBorder="1" applyAlignment="1">
      <alignment horizontal="center"/>
    </xf>
    <xf numFmtId="0" fontId="153" fillId="0" borderId="19" xfId="0" applyFont="1" applyFill="1" applyBorder="1" applyAlignment="1">
      <alignment horizontal="center"/>
    </xf>
    <xf numFmtId="0" fontId="153" fillId="0" borderId="20" xfId="0" applyFont="1" applyFill="1" applyBorder="1" applyAlignment="1">
      <alignment horizontal="center"/>
    </xf>
    <xf numFmtId="0" fontId="153" fillId="0" borderId="34" xfId="0" applyFont="1" applyFill="1" applyBorder="1" applyAlignment="1">
      <alignment horizontal="left" wrapText="1"/>
    </xf>
    <xf numFmtId="0" fontId="153" fillId="0" borderId="34" xfId="0" applyFont="1" applyFill="1" applyBorder="1" applyAlignment="1">
      <alignment horizontal="center"/>
    </xf>
    <xf numFmtId="164" fontId="153" fillId="0" borderId="34" xfId="0" applyNumberFormat="1" applyFont="1" applyFill="1" applyBorder="1" applyAlignment="1">
      <alignment horizontal="center"/>
    </xf>
    <xf numFmtId="0" fontId="153" fillId="0" borderId="34" xfId="0" applyFont="1" applyFill="1" applyBorder="1" applyAlignment="1">
      <alignment horizontal="left"/>
    </xf>
    <xf numFmtId="0" fontId="154" fillId="0" borderId="33" xfId="221" applyFont="1" applyFill="1" applyBorder="1" applyAlignment="1">
      <alignment wrapText="1"/>
    </xf>
    <xf numFmtId="3" fontId="153" fillId="0" borderId="33" xfId="0" applyNumberFormat="1" applyFont="1" applyFill="1" applyBorder="1" applyAlignment="1">
      <alignment horizontal="center"/>
    </xf>
    <xf numFmtId="0" fontId="155" fillId="0" borderId="0" xfId="0" applyFont="1" applyFill="1" applyBorder="1" applyAlignment="1">
      <alignment horizontal="left"/>
    </xf>
    <xf numFmtId="4" fontId="156" fillId="0" borderId="0" xfId="0" applyNumberFormat="1" applyFont="1" applyFill="1" applyBorder="1" applyAlignment="1">
      <alignment horizontal="center"/>
    </xf>
    <xf numFmtId="0" fontId="158" fillId="0" borderId="0" xfId="0" applyFont="1" applyFill="1" applyAlignment="1">
      <alignment horizontal="left" indent="7"/>
    </xf>
    <xf numFmtId="0" fontId="158" fillId="0" borderId="0" xfId="0" applyFont="1" applyFill="1" applyAlignment="1">
      <alignment horizontal="center"/>
    </xf>
    <xf numFmtId="0" fontId="158" fillId="0" borderId="0" xfId="0" applyFont="1" applyFill="1" applyAlignment="1">
      <alignment horizontal="left" indent="1"/>
    </xf>
    <xf numFmtId="4" fontId="158" fillId="0" borderId="0" xfId="0" applyNumberFormat="1" applyFont="1" applyFill="1" applyAlignment="1">
      <alignment horizontal="center"/>
    </xf>
    <xf numFmtId="0" fontId="158" fillId="0" borderId="0" xfId="0" applyFont="1" applyFill="1"/>
    <xf numFmtId="164" fontId="159" fillId="0" borderId="0" xfId="209" applyNumberFormat="1" applyFont="1"/>
    <xf numFmtId="2" fontId="160" fillId="0" borderId="0" xfId="209" applyNumberFormat="1" applyFont="1"/>
    <xf numFmtId="166" fontId="60" fillId="0" borderId="37" xfId="217" applyNumberFormat="1" applyFont="1" applyFill="1" applyBorder="1"/>
    <xf numFmtId="164" fontId="165" fillId="0" borderId="16" xfId="209" applyNumberFormat="1" applyBorder="1"/>
    <xf numFmtId="2" fontId="165" fillId="0" borderId="37" xfId="209" applyNumberFormat="1" applyBorder="1"/>
    <xf numFmtId="10" fontId="165" fillId="0" borderId="37" xfId="209" applyNumberFormat="1" applyBorder="1"/>
    <xf numFmtId="10" fontId="165" fillId="0" borderId="16" xfId="209" applyNumberFormat="1" applyBorder="1"/>
    <xf numFmtId="0" fontId="11" fillId="0" borderId="29" xfId="222" applyFont="1" applyFill="1" applyBorder="1" applyAlignment="1">
      <alignment wrapText="1"/>
    </xf>
    <xf numFmtId="164" fontId="165" fillId="0" borderId="26" xfId="209" applyNumberFormat="1" applyBorder="1"/>
    <xf numFmtId="2" fontId="165" fillId="0" borderId="16" xfId="209" applyNumberFormat="1" applyBorder="1"/>
    <xf numFmtId="164" fontId="165" fillId="0" borderId="38" xfId="209" applyNumberFormat="1" applyBorder="1"/>
    <xf numFmtId="164" fontId="165" fillId="0" borderId="39" xfId="209" applyNumberFormat="1" applyBorder="1"/>
    <xf numFmtId="0" fontId="161" fillId="0" borderId="0" xfId="209" applyFont="1"/>
    <xf numFmtId="1" fontId="165" fillId="35" borderId="0" xfId="209" applyNumberFormat="1" applyFill="1" applyBorder="1"/>
    <xf numFmtId="0" fontId="1" fillId="0" borderId="38" xfId="209" applyFont="1" applyBorder="1"/>
    <xf numFmtId="0" fontId="162" fillId="35" borderId="0" xfId="209" applyFont="1" applyFill="1"/>
    <xf numFmtId="164" fontId="162" fillId="35" borderId="0" xfId="209" applyNumberFormat="1" applyFont="1" applyFill="1"/>
    <xf numFmtId="1" fontId="61" fillId="0" borderId="0" xfId="217" applyNumberFormat="1" applyFont="1" applyFill="1" applyBorder="1"/>
    <xf numFmtId="164" fontId="5" fillId="32" borderId="0" xfId="217" applyNumberFormat="1" applyFont="1" applyFill="1" applyBorder="1"/>
    <xf numFmtId="0" fontId="165" fillId="0" borderId="29" xfId="209" applyBorder="1" applyAlignment="1">
      <alignment horizontal="center"/>
    </xf>
    <xf numFmtId="0" fontId="165" fillId="0" borderId="27" xfId="209" applyBorder="1" applyAlignment="1">
      <alignment horizontal="center"/>
    </xf>
    <xf numFmtId="0" fontId="165" fillId="0" borderId="28" xfId="209" applyBorder="1" applyAlignment="1">
      <alignment horizontal="center"/>
    </xf>
    <xf numFmtId="0" fontId="165" fillId="0" borderId="37" xfId="209" applyBorder="1" applyAlignment="1">
      <alignment horizontal="center"/>
    </xf>
    <xf numFmtId="0" fontId="165" fillId="0" borderId="0" xfId="209" applyBorder="1" applyAlignment="1">
      <alignment horizontal="center"/>
    </xf>
    <xf numFmtId="0" fontId="165" fillId="0" borderId="16" xfId="209" applyBorder="1" applyAlignment="1">
      <alignment horizontal="center"/>
    </xf>
    <xf numFmtId="0" fontId="82" fillId="0" borderId="35" xfId="143" applyBorder="1" applyAlignment="1">
      <alignment horizontal="center" vertical="center" wrapText="1"/>
    </xf>
    <xf numFmtId="0" fontId="82" fillId="0" borderId="27" xfId="143" applyBorder="1" applyAlignment="1">
      <alignment horizontal="center" vertical="center" wrapText="1"/>
    </xf>
    <xf numFmtId="0" fontId="82" fillId="0" borderId="35" xfId="143" applyBorder="1" applyAlignment="1">
      <alignment horizontal="center" vertical="center"/>
    </xf>
    <xf numFmtId="0" fontId="82" fillId="0" borderId="27" xfId="143" applyBorder="1" applyAlignment="1">
      <alignment horizontal="center" vertical="center"/>
    </xf>
    <xf numFmtId="0" fontId="82" fillId="0" borderId="36" xfId="143" applyBorder="1" applyAlignment="1">
      <alignment horizontal="center"/>
    </xf>
    <xf numFmtId="0" fontId="82" fillId="0" borderId="33" xfId="143" applyBorder="1" applyAlignment="1">
      <alignment horizontal="center"/>
    </xf>
    <xf numFmtId="0" fontId="6" fillId="0" borderId="0" xfId="141" applyFont="1" applyAlignment="1">
      <alignment horizontal="center"/>
    </xf>
    <xf numFmtId="0" fontId="13" fillId="0" borderId="0" xfId="218" applyFont="1" applyFill="1" applyBorder="1" applyAlignment="1">
      <alignment horizontal="left" wrapText="1"/>
    </xf>
    <xf numFmtId="167" fontId="21" fillId="0" borderId="0" xfId="219" quotePrefix="1" applyFont="1" applyAlignment="1" applyProtection="1">
      <alignment horizontal="center" wrapText="1"/>
      <protection locked="0"/>
    </xf>
    <xf numFmtId="0" fontId="26" fillId="0" borderId="14" xfId="141" applyFont="1" applyBorder="1" applyAlignment="1">
      <alignment horizontal="center"/>
    </xf>
    <xf numFmtId="0" fontId="165" fillId="0" borderId="38" xfId="142" applyBorder="1" applyAlignment="1">
      <alignment horizontal="center"/>
    </xf>
    <xf numFmtId="0" fontId="165" fillId="0" borderId="35" xfId="142" applyBorder="1" applyAlignment="1">
      <alignment horizontal="center"/>
    </xf>
    <xf numFmtId="0" fontId="165" fillId="0" borderId="39" xfId="142" applyBorder="1" applyAlignment="1">
      <alignment horizontal="center"/>
    </xf>
    <xf numFmtId="0" fontId="165" fillId="0" borderId="22" xfId="142" applyBorder="1" applyAlignment="1">
      <alignment horizontal="center"/>
    </xf>
    <xf numFmtId="0" fontId="165" fillId="0" borderId="25" xfId="142" applyBorder="1" applyAlignment="1">
      <alignment horizontal="center"/>
    </xf>
    <xf numFmtId="0" fontId="165" fillId="0" borderId="26" xfId="142" applyBorder="1" applyAlignment="1">
      <alignment horizontal="center"/>
    </xf>
    <xf numFmtId="0" fontId="165" fillId="0" borderId="27" xfId="142" applyBorder="1" applyAlignment="1">
      <alignment horizontal="center"/>
    </xf>
    <xf numFmtId="0" fontId="30" fillId="0" borderId="0" xfId="142" applyFont="1" applyBorder="1" applyAlignment="1">
      <alignment horizontal="center"/>
    </xf>
    <xf numFmtId="0" fontId="152" fillId="0" borderId="0" xfId="0" applyFont="1" applyFill="1" applyAlignment="1">
      <alignment horizontal="center" vertical="center" wrapText="1"/>
    </xf>
    <xf numFmtId="0" fontId="153" fillId="0" borderId="41" xfId="0" applyFont="1" applyFill="1" applyBorder="1" applyAlignment="1">
      <alignment horizontal="center" vertical="center"/>
    </xf>
    <xf numFmtId="0" fontId="153" fillId="0" borderId="32" xfId="0" applyFont="1" applyFill="1" applyBorder="1" applyAlignment="1">
      <alignment horizontal="center" vertical="center"/>
    </xf>
    <xf numFmtId="0" fontId="153" fillId="0" borderId="19" xfId="0" applyFont="1" applyFill="1" applyBorder="1" applyAlignment="1">
      <alignment horizontal="center"/>
    </xf>
    <xf numFmtId="0" fontId="153" fillId="0" borderId="21" xfId="0" applyFont="1" applyFill="1" applyBorder="1" applyAlignment="1">
      <alignment horizontal="center"/>
    </xf>
    <xf numFmtId="0" fontId="153" fillId="0" borderId="24" xfId="0" applyFont="1" applyFill="1" applyBorder="1" applyAlignment="1">
      <alignment horizontal="center"/>
    </xf>
    <xf numFmtId="0" fontId="157" fillId="32" borderId="0" xfId="0" applyFont="1" applyFill="1" applyBorder="1" applyAlignment="1">
      <alignment horizontal="left" wrapText="1"/>
    </xf>
  </cellXfs>
  <cellStyles count="241">
    <cellStyle name="_3 сцен-2020-значен " xfId="1"/>
    <cellStyle name="_C E вар2b 12 08 10" xfId="2"/>
    <cellStyle name="_CPI foodimp" xfId="3"/>
    <cellStyle name="_macro 2012 var 1" xfId="4"/>
    <cellStyle name="_macro(2 авг)" xfId="5"/>
    <cellStyle name="_SeriesAttributes" xfId="6"/>
    <cellStyle name="_v-2013-2030- 2b17.01.11Нах-cpiнов. курс inn 1-2-Е1xls" xfId="7"/>
    <cellStyle name="_Бюджетная система" xfId="8"/>
    <cellStyle name="_бюджетники-новый расчет-13.07.10" xfId="9"/>
    <cellStyle name="_бюджетники-новый расчет-13.07.10_Образование - в Минтруд 23 06 12" xfId="10"/>
    <cellStyle name="_ДБС 09 04 2007_для БФР НЕ ТРОГАТЬ!!!" xfId="11"/>
    <cellStyle name="_Книга1 (2)" xfId="12"/>
    <cellStyle name="_Модель - 2(23)" xfId="13"/>
    <cellStyle name="_Пенсионный фонд" xfId="14"/>
    <cellStyle name="_проет бюджета ПФР Минздрав" xfId="15"/>
    <cellStyle name="_расходы по вариантам" xfId="16"/>
    <cellStyle name="_Расходы ФБ до 2020-Inn" xfId="17"/>
    <cellStyle name="_Расчет ПФР" xfId="18"/>
    <cellStyle name="_РИХ с разбивкой" xfId="19"/>
    <cellStyle name="_Сб-macro 2020" xfId="20"/>
    <cellStyle name="_Справочные таблицы СФБ" xfId="21"/>
    <cellStyle name="_сх маш" xfId="22"/>
    <cellStyle name="20% - Accent1" xfId="23"/>
    <cellStyle name="20% - Accent2" xfId="24"/>
    <cellStyle name="20% - Accent3" xfId="25"/>
    <cellStyle name="20% - Accent4" xfId="26"/>
    <cellStyle name="20% - Accent5" xfId="27"/>
    <cellStyle name="20% - Accent6" xfId="28"/>
    <cellStyle name="20% — Акцент1" xfId="29"/>
    <cellStyle name="20% - Акцент1 2" xfId="30"/>
    <cellStyle name="20% - Акцент1 3" xfId="31"/>
    <cellStyle name="20% — Акцент1_2013-15 годы - разные сценарии (2)" xfId="32"/>
    <cellStyle name="20% — Акцент2" xfId="33"/>
    <cellStyle name="20% - Акцент2 2" xfId="34"/>
    <cellStyle name="20% - Акцент2 3" xfId="35"/>
    <cellStyle name="20% — Акцент2_2013-15 годы - разные сценарии (2)" xfId="36"/>
    <cellStyle name="20% — Акцент3" xfId="37"/>
    <cellStyle name="20% - Акцент3 2" xfId="38"/>
    <cellStyle name="20% - Акцент3 3" xfId="39"/>
    <cellStyle name="20% — Акцент3_2013-15 годы - разные сценарии (2)" xfId="40"/>
    <cellStyle name="20% — Акцент4" xfId="41"/>
    <cellStyle name="20% - Акцент4 2" xfId="42"/>
    <cellStyle name="20% - Акцент4 3" xfId="43"/>
    <cellStyle name="20% — Акцент4_2013-15 годы - разные сценарии (2)" xfId="44"/>
    <cellStyle name="20% — Акцент5" xfId="45"/>
    <cellStyle name="20% - Акцент5 2" xfId="46"/>
    <cellStyle name="20% - Акцент5 3" xfId="47"/>
    <cellStyle name="20% — Акцент5_2013-15 годы - разные сценарии (2)" xfId="48"/>
    <cellStyle name="20% — Акцент6" xfId="49"/>
    <cellStyle name="20% - Акцент6 2" xfId="50"/>
    <cellStyle name="20% - Акцент6 3" xfId="51"/>
    <cellStyle name="20% — Акцент6_2013-15 годы - разные сценарии (2)" xfId="52"/>
    <cellStyle name="40% - Accent1" xfId="53"/>
    <cellStyle name="40% - Accent2" xfId="54"/>
    <cellStyle name="40% - Accent3" xfId="55"/>
    <cellStyle name="40% - Accent4" xfId="56"/>
    <cellStyle name="40% - Accent5" xfId="57"/>
    <cellStyle name="40% - Accent6" xfId="58"/>
    <cellStyle name="40% — Акцент1" xfId="59"/>
    <cellStyle name="40% - Акцент1 2" xfId="60"/>
    <cellStyle name="40% - Акцент1 3" xfId="61"/>
    <cellStyle name="40% — Акцент1_2013-15 годы - разные сценарии (2)" xfId="62"/>
    <cellStyle name="40% — Акцент2" xfId="63"/>
    <cellStyle name="40% - Акцент2 2" xfId="64"/>
    <cellStyle name="40% - Акцент2 3" xfId="65"/>
    <cellStyle name="40% — Акцент2_2013-15 годы - разные сценарии (2)" xfId="66"/>
    <cellStyle name="40% — Акцент3" xfId="67"/>
    <cellStyle name="40% - Акцент3 2" xfId="68"/>
    <cellStyle name="40% - Акцент3 3" xfId="69"/>
    <cellStyle name="40% — Акцент3_2013-15 годы - разные сценарии (2)" xfId="70"/>
    <cellStyle name="40% — Акцент4" xfId="71"/>
    <cellStyle name="40% - Акцент4 2" xfId="72"/>
    <cellStyle name="40% - Акцент4 3" xfId="73"/>
    <cellStyle name="40% — Акцент4_2013-15 годы - разные сценарии (2)" xfId="74"/>
    <cellStyle name="40% — Акцент5" xfId="75"/>
    <cellStyle name="40% - Акцент5 2" xfId="76"/>
    <cellStyle name="40% - Акцент5 3" xfId="77"/>
    <cellStyle name="40% — Акцент5_2013-15 годы - разные сценарии (2)" xfId="78"/>
    <cellStyle name="40% — Акцент6" xfId="79"/>
    <cellStyle name="40% - Акцент6 2" xfId="80"/>
    <cellStyle name="40% - Акцент6 3" xfId="81"/>
    <cellStyle name="40% — Акцент6_2013-15 годы - разные сценарии (2)" xfId="82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— Акцент1" xfId="89"/>
    <cellStyle name="60% - Акцент1 2" xfId="90"/>
    <cellStyle name="60% - Акцент1 3" xfId="91"/>
    <cellStyle name="60% — Акцент1_2013-15 годы - разные сценарии (2)" xfId="92"/>
    <cellStyle name="60% — Акцент2" xfId="93"/>
    <cellStyle name="60% - Акцент2 2" xfId="94"/>
    <cellStyle name="60% - Акцент2 3" xfId="95"/>
    <cellStyle name="60% — Акцент2_2013-15 годы - разные сценарии (2)" xfId="96"/>
    <cellStyle name="60% — Акцент3" xfId="97"/>
    <cellStyle name="60% - Акцент3 2" xfId="98"/>
    <cellStyle name="60% - Акцент3 3" xfId="99"/>
    <cellStyle name="60% — Акцент3_2013-15 годы - разные сценарии (2)" xfId="100"/>
    <cellStyle name="60% — Акцент4" xfId="101"/>
    <cellStyle name="60% - Акцент4 2" xfId="102"/>
    <cellStyle name="60% - Акцент4 3" xfId="103"/>
    <cellStyle name="60% — Акцент4_2013-15 годы - разные сценарии (2)" xfId="104"/>
    <cellStyle name="60% — Акцент5" xfId="105"/>
    <cellStyle name="60% - Акцент5 2" xfId="106"/>
    <cellStyle name="60% - Акцент5 3" xfId="107"/>
    <cellStyle name="60% — Акцент5_2013-15 годы - разные сценарии (2)" xfId="108"/>
    <cellStyle name="60% — Акцент6" xfId="109"/>
    <cellStyle name="60% - Акцент6 2" xfId="110"/>
    <cellStyle name="60% - Акцент6 3" xfId="111"/>
    <cellStyle name="60% — Акцент6_2013-15 годы - разные сценарии (2)" xfId="112"/>
    <cellStyle name="Accent1" xfId="113"/>
    <cellStyle name="Accent2" xfId="114"/>
    <cellStyle name="Accent3" xfId="115"/>
    <cellStyle name="Accent4" xfId="116"/>
    <cellStyle name="Accent5" xfId="117"/>
    <cellStyle name="Accent6" xfId="118"/>
    <cellStyle name="Bad" xfId="119"/>
    <cellStyle name="Calculation" xfId="120"/>
    <cellStyle name="Check Cell" xfId="121"/>
    <cellStyle name="Comma0" xfId="122"/>
    <cellStyle name="Currency0" xfId="123"/>
    <cellStyle name="Date" xfId="124"/>
    <cellStyle name="day of week" xfId="125"/>
    <cellStyle name="Euro" xfId="126"/>
    <cellStyle name="Euro 2" xfId="127"/>
    <cellStyle name="Explanatory Text" xfId="128"/>
    <cellStyle name="Fixed" xfId="129"/>
    <cellStyle name="Good" xfId="130"/>
    <cellStyle name="Header style" xfId="131"/>
    <cellStyle name="Heading 1" xfId="132"/>
    <cellStyle name="Heading 2" xfId="133"/>
    <cellStyle name="Heading 3" xfId="134"/>
    <cellStyle name="Heading 4" xfId="135"/>
    <cellStyle name="Hyperlink" xfId="183" builtinId="8"/>
    <cellStyle name="Input" xfId="136"/>
    <cellStyle name="Linked Cell" xfId="137"/>
    <cellStyle name="MTW" xfId="138"/>
    <cellStyle name="My_own" xfId="139"/>
    <cellStyle name="Neutral" xfId="140"/>
    <cellStyle name="Normal" xfId="0" builtinId="0"/>
    <cellStyle name="Normal 2" xfId="141"/>
    <cellStyle name="Normal 3" xfId="142"/>
    <cellStyle name="Normal 3 2" xfId="143"/>
    <cellStyle name="Normal 4" xfId="144"/>
    <cellStyle name="Note" xfId="145"/>
    <cellStyle name="Output" xfId="146"/>
    <cellStyle name="Percent 2" xfId="147"/>
    <cellStyle name="Style 1" xfId="148"/>
    <cellStyle name="styleColumnTitles" xfId="149"/>
    <cellStyle name="styleDateRange" xfId="150"/>
    <cellStyle name="styleHidden" xfId="151"/>
    <cellStyle name="styleNormal" xfId="152"/>
    <cellStyle name="styleSeriesAttributes" xfId="153"/>
    <cellStyle name="styleSeriesData" xfId="154"/>
    <cellStyle name="styleSeriesDataForecast" xfId="155"/>
    <cellStyle name="styleSeriesDataForecastNA" xfId="156"/>
    <cellStyle name="styleSeriesDataNA" xfId="157"/>
    <cellStyle name="Title" xfId="158"/>
    <cellStyle name="Total" xfId="159"/>
    <cellStyle name="USD" xfId="160"/>
    <cellStyle name="USD Paren" xfId="161"/>
    <cellStyle name="USD_AllTables" xfId="162"/>
    <cellStyle name="Warning Text" xfId="163"/>
    <cellStyle name="Акцент1 2" xfId="164"/>
    <cellStyle name="Акцент1 3" xfId="165"/>
    <cellStyle name="Акцент2 2" xfId="166"/>
    <cellStyle name="Акцент2 3" xfId="167"/>
    <cellStyle name="Акцент3 2" xfId="168"/>
    <cellStyle name="Акцент3 3" xfId="169"/>
    <cellStyle name="Акцент4 2" xfId="170"/>
    <cellStyle name="Акцент4 3" xfId="171"/>
    <cellStyle name="Акцент5 2" xfId="172"/>
    <cellStyle name="Акцент5 3" xfId="173"/>
    <cellStyle name="Акцент6 2" xfId="174"/>
    <cellStyle name="Акцент6 3" xfId="175"/>
    <cellStyle name="Ввод" xfId="176"/>
    <cellStyle name="Ввод  2" xfId="177"/>
    <cellStyle name="Ввод  3" xfId="178"/>
    <cellStyle name="Вывод 2" xfId="179"/>
    <cellStyle name="Вывод 3" xfId="180"/>
    <cellStyle name="Вычисление 2" xfId="181"/>
    <cellStyle name="Вычисление 3" xfId="182"/>
    <cellStyle name="Заголовок 1 2" xfId="184"/>
    <cellStyle name="Заголовок 1 3" xfId="185"/>
    <cellStyle name="Заголовок 2 2" xfId="186"/>
    <cellStyle name="Заголовок 2 3" xfId="187"/>
    <cellStyle name="Заголовок 3 2" xfId="188"/>
    <cellStyle name="Заголовок 3 3" xfId="189"/>
    <cellStyle name="Заголовок 4 2" xfId="190"/>
    <cellStyle name="Заголовок 4 3" xfId="191"/>
    <cellStyle name="Заметка" xfId="192"/>
    <cellStyle name="Итог 2" xfId="193"/>
    <cellStyle name="Итог 3" xfId="194"/>
    <cellStyle name="Контрольная ячейка 2" xfId="195"/>
    <cellStyle name="Контрольная ячейка 3" xfId="196"/>
    <cellStyle name="Название 2" xfId="197"/>
    <cellStyle name="Название 3" xfId="198"/>
    <cellStyle name="Нейтральный 2" xfId="199"/>
    <cellStyle name="Нейтральный 3" xfId="200"/>
    <cellStyle name="Обычный 10" xfId="201"/>
    <cellStyle name="Обычный 11" xfId="202"/>
    <cellStyle name="Обычный 2" xfId="203"/>
    <cellStyle name="Обычный 2 2" xfId="204"/>
    <cellStyle name="Обычный 2 2 2" xfId="205"/>
    <cellStyle name="Обычный 27" xfId="206"/>
    <cellStyle name="Обычный 3" xfId="207"/>
    <cellStyle name="Обычный 3 2" xfId="208"/>
    <cellStyle name="Обычный 4" xfId="209"/>
    <cellStyle name="Обычный 4 2" xfId="210"/>
    <cellStyle name="Обычный 5" xfId="211"/>
    <cellStyle name="Обычный 5 2" xfId="212"/>
    <cellStyle name="Обычный 6" xfId="213"/>
    <cellStyle name="Обычный 7" xfId="214"/>
    <cellStyle name="Обычный 8" xfId="215"/>
    <cellStyle name="Обычный 9" xfId="216"/>
    <cellStyle name="Обычный_Книга24" xfId="217"/>
    <cellStyle name="Обычный_Лист1" xfId="218"/>
    <cellStyle name="Обычный_Лист1 2" xfId="219"/>
    <cellStyle name="Обычный_Лист1 3" xfId="220"/>
    <cellStyle name="Обычный_Прог.бюдж.99&amp;20 " xfId="221"/>
    <cellStyle name="Обычный_расчет зарплаты до 2030 (вар 1 базовый)- 31 10 13 + гос  служба+наука (ушел официально)+доп для сов" xfId="222"/>
    <cellStyle name="Плохой 2" xfId="223"/>
    <cellStyle name="Плохой 3" xfId="224"/>
    <cellStyle name="Пояснение 2" xfId="225"/>
    <cellStyle name="Пояснение 3" xfId="226"/>
    <cellStyle name="Примечание 2" xfId="227"/>
    <cellStyle name="Примечание 3" xfId="228"/>
    <cellStyle name="Процентный 2" xfId="229"/>
    <cellStyle name="Процентный 3" xfId="230"/>
    <cellStyle name="Процентный 4" xfId="231"/>
    <cellStyle name="Связанная ячейка 2" xfId="232"/>
    <cellStyle name="Связанная ячейка 3" xfId="233"/>
    <cellStyle name="Стиль 1" xfId="234"/>
    <cellStyle name="Стиль 1 2" xfId="235"/>
    <cellStyle name="Стиль 1_Лист2" xfId="236"/>
    <cellStyle name="Текст предупреждения 2" xfId="237"/>
    <cellStyle name="Текст предупреждения 3" xfId="238"/>
    <cellStyle name="Хороший 2" xfId="239"/>
    <cellStyle name="Хороший 3" xfId="24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6825510991787547"/>
          <c:y val="3.5502958579881658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Sheet1!$AE$2:$AE$121</c:f>
              <c:numCache>
                <c:formatCode>General</c:formatCode>
                <c:ptCount val="120"/>
                <c:pt idx="0">
                  <c:v>65.01737</c:v>
                </c:pt>
                <c:pt idx="1">
                  <c:v>66.9465</c:v>
                </c:pt>
                <c:pt idx="2">
                  <c:v>77.69019999999999</c:v>
                </c:pt>
                <c:pt idx="3">
                  <c:v>74.286144000000007</c:v>
                </c:pt>
                <c:pt idx="4">
                  <c:v>82.770707000000002</c:v>
                </c:pt>
                <c:pt idx="5">
                  <c:v>83.148200000000003</c:v>
                </c:pt>
                <c:pt idx="6">
                  <c:v>83.906924820000015</c:v>
                </c:pt>
                <c:pt idx="7">
                  <c:v>96.387387000000004</c:v>
                </c:pt>
                <c:pt idx="8">
                  <c:v>87.8874</c:v>
                </c:pt>
                <c:pt idx="9">
                  <c:v>87.937502000000009</c:v>
                </c:pt>
                <c:pt idx="10">
                  <c:v>76.529209000000009</c:v>
                </c:pt>
                <c:pt idx="11">
                  <c:v>73.973300000000009</c:v>
                </c:pt>
                <c:pt idx="12">
                  <c:v>71.849399999999989</c:v>
                </c:pt>
                <c:pt idx="13">
                  <c:v>68.992699999999999</c:v>
                </c:pt>
                <c:pt idx="14">
                  <c:v>79.755099999999999</c:v>
                </c:pt>
                <c:pt idx="15">
                  <c:v>72.745453999999995</c:v>
                </c:pt>
                <c:pt idx="16">
                  <c:v>87.146985000000001</c:v>
                </c:pt>
                <c:pt idx="17">
                  <c:v>81.519199999999998</c:v>
                </c:pt>
                <c:pt idx="18">
                  <c:v>80.045065000000008</c:v>
                </c:pt>
                <c:pt idx="19">
                  <c:v>81.242307999999994</c:v>
                </c:pt>
                <c:pt idx="20">
                  <c:v>73.630399999999995</c:v>
                </c:pt>
                <c:pt idx="21">
                  <c:v>84.657103000000006</c:v>
                </c:pt>
                <c:pt idx="22">
                  <c:v>75.821214999999995</c:v>
                </c:pt>
                <c:pt idx="23">
                  <c:v>68.175200000000004</c:v>
                </c:pt>
                <c:pt idx="24">
                  <c:v>74.523758000000001</c:v>
                </c:pt>
                <c:pt idx="25">
                  <c:v>64.86985</c:v>
                </c:pt>
                <c:pt idx="26">
                  <c:v>79.030500000000004</c:v>
                </c:pt>
                <c:pt idx="27">
                  <c:v>74.89671700000001</c:v>
                </c:pt>
                <c:pt idx="28">
                  <c:v>89.763300000000001</c:v>
                </c:pt>
                <c:pt idx="29">
                  <c:v>80.261200000000002</c:v>
                </c:pt>
                <c:pt idx="30">
                  <c:v>90.111193</c:v>
                </c:pt>
                <c:pt idx="31">
                  <c:v>91.722460000000012</c:v>
                </c:pt>
                <c:pt idx="32">
                  <c:v>84.881399999999999</c:v>
                </c:pt>
                <c:pt idx="33">
                  <c:v>100.2915</c:v>
                </c:pt>
                <c:pt idx="34">
                  <c:v>87.534499999999994</c:v>
                </c:pt>
                <c:pt idx="35">
                  <c:v>78.497199999999992</c:v>
                </c:pt>
                <c:pt idx="36">
                  <c:v>88.918700000000001</c:v>
                </c:pt>
                <c:pt idx="37">
                  <c:v>84.380899999999997</c:v>
                </c:pt>
                <c:pt idx="38">
                  <c:v>96.117699999999999</c:v>
                </c:pt>
                <c:pt idx="39">
                  <c:v>97.108564000000015</c:v>
                </c:pt>
                <c:pt idx="40">
                  <c:v>96.057899999999989</c:v>
                </c:pt>
                <c:pt idx="41">
                  <c:v>102.31195600000001</c:v>
                </c:pt>
                <c:pt idx="42">
                  <c:v>110.83427399999999</c:v>
                </c:pt>
                <c:pt idx="43">
                  <c:v>104.5283</c:v>
                </c:pt>
                <c:pt idx="44">
                  <c:v>116.96680000000001</c:v>
                </c:pt>
                <c:pt idx="45">
                  <c:v>124.87512099999998</c:v>
                </c:pt>
                <c:pt idx="46">
                  <c:v>112.69151799999999</c:v>
                </c:pt>
                <c:pt idx="47">
                  <c:v>112.7615</c:v>
                </c:pt>
                <c:pt idx="48">
                  <c:v>94.234798999999995</c:v>
                </c:pt>
                <c:pt idx="49">
                  <c:v>98.686047000000002</c:v>
                </c:pt>
                <c:pt idx="50">
                  <c:v>115.78059500000001</c:v>
                </c:pt>
                <c:pt idx="51">
                  <c:v>111.97513600000001</c:v>
                </c:pt>
                <c:pt idx="52">
                  <c:v>110.7565</c:v>
                </c:pt>
                <c:pt idx="53">
                  <c:v>124.634739</c:v>
                </c:pt>
                <c:pt idx="54">
                  <c:v>130.62909999999999</c:v>
                </c:pt>
                <c:pt idx="55">
                  <c:v>129.49442499999998</c:v>
                </c:pt>
                <c:pt idx="56">
                  <c:v>126.05860000000001</c:v>
                </c:pt>
                <c:pt idx="57">
                  <c:v>129.087333</c:v>
                </c:pt>
                <c:pt idx="58">
                  <c:v>120.973117</c:v>
                </c:pt>
                <c:pt idx="59">
                  <c:v>119.22295099999999</c:v>
                </c:pt>
                <c:pt idx="60">
                  <c:v>97.822600000000008</c:v>
                </c:pt>
                <c:pt idx="61">
                  <c:v>111.827325</c:v>
                </c:pt>
                <c:pt idx="62">
                  <c:v>136.34257199999999</c:v>
                </c:pt>
                <c:pt idx="63">
                  <c:v>135.30875899999998</c:v>
                </c:pt>
                <c:pt idx="64">
                  <c:v>142.013184</c:v>
                </c:pt>
                <c:pt idx="65">
                  <c:v>148.33677</c:v>
                </c:pt>
                <c:pt idx="66">
                  <c:v>152.10830799999999</c:v>
                </c:pt>
                <c:pt idx="67">
                  <c:v>161.91081500000001</c:v>
                </c:pt>
                <c:pt idx="68">
                  <c:v>154.3373</c:v>
                </c:pt>
                <c:pt idx="69">
                  <c:v>153.24852600000003</c:v>
                </c:pt>
                <c:pt idx="70">
                  <c:v>155.67128500000001</c:v>
                </c:pt>
                <c:pt idx="71">
                  <c:v>148.212287</c:v>
                </c:pt>
                <c:pt idx="72">
                  <c:v>124.893944</c:v>
                </c:pt>
                <c:pt idx="73">
                  <c:v>127.223652</c:v>
                </c:pt>
                <c:pt idx="74">
                  <c:v>152.57767000000001</c:v>
                </c:pt>
                <c:pt idx="75">
                  <c:v>149.11749900000001</c:v>
                </c:pt>
                <c:pt idx="76">
                  <c:v>165.80513099999999</c:v>
                </c:pt>
                <c:pt idx="77">
                  <c:v>164.17470399999999</c:v>
                </c:pt>
                <c:pt idx="78">
                  <c:v>162.285281</c:v>
                </c:pt>
                <c:pt idx="79">
                  <c:v>184.63221799999999</c:v>
                </c:pt>
                <c:pt idx="80">
                  <c:v>169.090654</c:v>
                </c:pt>
                <c:pt idx="81">
                  <c:v>172.54658600000002</c:v>
                </c:pt>
                <c:pt idx="82">
                  <c:v>161.13404299999999</c:v>
                </c:pt>
                <c:pt idx="83">
                  <c:v>150.55439199999998</c:v>
                </c:pt>
                <c:pt idx="84">
                  <c:v>136.524742</c:v>
                </c:pt>
                <c:pt idx="85">
                  <c:v>139.64189999999999</c:v>
                </c:pt>
                <c:pt idx="86">
                  <c:v>158.37721500000001</c:v>
                </c:pt>
                <c:pt idx="87">
                  <c:v>161.08120000000002</c:v>
                </c:pt>
                <c:pt idx="88">
                  <c:v>187.791483</c:v>
                </c:pt>
                <c:pt idx="89">
                  <c:v>172.50412499999999</c:v>
                </c:pt>
                <c:pt idx="90">
                  <c:v>188.58142800000002</c:v>
                </c:pt>
                <c:pt idx="91">
                  <c:v>184.753534</c:v>
                </c:pt>
                <c:pt idx="92">
                  <c:v>165.63749999999999</c:v>
                </c:pt>
                <c:pt idx="93">
                  <c:v>192.667339</c:v>
                </c:pt>
                <c:pt idx="94">
                  <c:v>162.121826</c:v>
                </c:pt>
                <c:pt idx="95">
                  <c:v>147.900779</c:v>
                </c:pt>
                <c:pt idx="96">
                  <c:v>143.117549</c:v>
                </c:pt>
                <c:pt idx="97">
                  <c:v>141.416246</c:v>
                </c:pt>
                <c:pt idx="98">
                  <c:v>150.67181599999998</c:v>
                </c:pt>
                <c:pt idx="99">
                  <c:v>179.90055600000002</c:v>
                </c:pt>
                <c:pt idx="100">
                  <c:v>174.19370000000001</c:v>
                </c:pt>
                <c:pt idx="101">
                  <c:v>167.390625</c:v>
                </c:pt>
                <c:pt idx="102">
                  <c:v>197.450357</c:v>
                </c:pt>
                <c:pt idx="103">
                  <c:v>182.43987399999997</c:v>
                </c:pt>
                <c:pt idx="104">
                  <c:v>182.47096900000003</c:v>
                </c:pt>
                <c:pt idx="105">
                  <c:v>184.23962299999999</c:v>
                </c:pt>
                <c:pt idx="106">
                  <c:v>165.60130963866811</c:v>
                </c:pt>
                <c:pt idx="107">
                  <c:v>156.96480807054778</c:v>
                </c:pt>
                <c:pt idx="108">
                  <c:v>134.51211999999998</c:v>
                </c:pt>
                <c:pt idx="109">
                  <c:v>140.80265199999999</c:v>
                </c:pt>
                <c:pt idx="110">
                  <c:v>166.63</c:v>
                </c:pt>
                <c:pt idx="111">
                  <c:v>169.37751800000001</c:v>
                </c:pt>
                <c:pt idx="112">
                  <c:v>168.94965100000002</c:v>
                </c:pt>
                <c:pt idx="113">
                  <c:v>175.58679999999998</c:v>
                </c:pt>
                <c:pt idx="114">
                  <c:v>184.356675</c:v>
                </c:pt>
                <c:pt idx="115">
                  <c:v>167.776475</c:v>
                </c:pt>
                <c:pt idx="116">
                  <c:v>179.51675500000002</c:v>
                </c:pt>
                <c:pt idx="117">
                  <c:v>180.54116200000001</c:v>
                </c:pt>
                <c:pt idx="118">
                  <c:v>148.32109599999998</c:v>
                </c:pt>
                <c:pt idx="119">
                  <c:v>205.91400899999999</c:v>
                </c:pt>
              </c:numCache>
            </c:numRef>
          </c:val>
        </c:ser>
        <c:marker val="1"/>
        <c:axId val="38281984"/>
        <c:axId val="38283520"/>
      </c:line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Sheet1!$S$2:$S$121</c:f>
              <c:numCache>
                <c:formatCode>General</c:formatCode>
                <c:ptCount val="120"/>
                <c:pt idx="0">
                  <c:v>610.32530759720339</c:v>
                </c:pt>
                <c:pt idx="1">
                  <c:v>740.50486612813791</c:v>
                </c:pt>
                <c:pt idx="2">
                  <c:v>815.74037943909855</c:v>
                </c:pt>
                <c:pt idx="3">
                  <c:v>858.16234687597444</c:v>
                </c:pt>
                <c:pt idx="4">
                  <c:v>801.79000602656629</c:v>
                </c:pt>
                <c:pt idx="5">
                  <c:v>855.35419264589791</c:v>
                </c:pt>
                <c:pt idx="6">
                  <c:v>880.77299818496897</c:v>
                </c:pt>
                <c:pt idx="7">
                  <c:v>851.51881551346537</c:v>
                </c:pt>
                <c:pt idx="8">
                  <c:v>906.44180025962532</c:v>
                </c:pt>
                <c:pt idx="9">
                  <c:v>926.77057562271511</c:v>
                </c:pt>
                <c:pt idx="10">
                  <c:v>961.23011795735556</c:v>
                </c:pt>
                <c:pt idx="11">
                  <c:v>1343.6846001531389</c:v>
                </c:pt>
                <c:pt idx="12">
                  <c:v>752.91794592629662</c:v>
                </c:pt>
                <c:pt idx="13">
                  <c:v>902.68997972714817</c:v>
                </c:pt>
                <c:pt idx="14">
                  <c:v>989.78320239920276</c:v>
                </c:pt>
                <c:pt idx="15">
                  <c:v>1042.4942458748521</c:v>
                </c:pt>
                <c:pt idx="16">
                  <c:v>1026.9845795330559</c:v>
                </c:pt>
                <c:pt idx="17">
                  <c:v>1103.1417357827115</c:v>
                </c:pt>
                <c:pt idx="18">
                  <c:v>1107.7824968283717</c:v>
                </c:pt>
                <c:pt idx="19">
                  <c:v>1111.9952662261151</c:v>
                </c:pt>
                <c:pt idx="20">
                  <c:v>1093.3770146181569</c:v>
                </c:pt>
                <c:pt idx="21">
                  <c:v>1158.2939213097814</c:v>
                </c:pt>
                <c:pt idx="22">
                  <c:v>1209.0502893873352</c:v>
                </c:pt>
                <c:pt idx="23">
                  <c:v>1673.3964271717266</c:v>
                </c:pt>
                <c:pt idx="24">
                  <c:v>914.83703869134388</c:v>
                </c:pt>
                <c:pt idx="25">
                  <c:v>1154.4761172757517</c:v>
                </c:pt>
                <c:pt idx="26">
                  <c:v>1201.0198385555134</c:v>
                </c:pt>
                <c:pt idx="27">
                  <c:v>1262.7890845267859</c:v>
                </c:pt>
                <c:pt idx="28">
                  <c:v>1289.0306022492905</c:v>
                </c:pt>
                <c:pt idx="29">
                  <c:v>1349.8010146790548</c:v>
                </c:pt>
                <c:pt idx="30">
                  <c:v>1373.1552314767298</c:v>
                </c:pt>
                <c:pt idx="31">
                  <c:v>1368.9988759245621</c:v>
                </c:pt>
                <c:pt idx="32">
                  <c:v>1372.275656571846</c:v>
                </c:pt>
                <c:pt idx="33">
                  <c:v>1393.0023850431387</c:v>
                </c:pt>
                <c:pt idx="34">
                  <c:v>1507.6503288207255</c:v>
                </c:pt>
                <c:pt idx="35">
                  <c:v>2097.6397598557287</c:v>
                </c:pt>
                <c:pt idx="36">
                  <c:v>1086.8695647845816</c:v>
                </c:pt>
                <c:pt idx="37">
                  <c:v>1397.0063660349035</c:v>
                </c:pt>
                <c:pt idx="38">
                  <c:v>1371.5284024341006</c:v>
                </c:pt>
                <c:pt idx="39">
                  <c:v>1545.1263859964658</c:v>
                </c:pt>
                <c:pt idx="40">
                  <c:v>1483.0479205324293</c:v>
                </c:pt>
                <c:pt idx="41">
                  <c:v>1548.9533431018224</c:v>
                </c:pt>
                <c:pt idx="42">
                  <c:v>1615.9925469070724</c:v>
                </c:pt>
                <c:pt idx="43">
                  <c:v>1670.6787802774077</c:v>
                </c:pt>
                <c:pt idx="44">
                  <c:v>1542.4496328157986</c:v>
                </c:pt>
                <c:pt idx="45">
                  <c:v>1582.7968798729644</c:v>
                </c:pt>
                <c:pt idx="46">
                  <c:v>1651.6896575165833</c:v>
                </c:pt>
                <c:pt idx="47">
                  <c:v>2094.9707150757336</c:v>
                </c:pt>
                <c:pt idx="48">
                  <c:v>1170.3676992006688</c:v>
                </c:pt>
                <c:pt idx="49">
                  <c:v>1562.797451700384</c:v>
                </c:pt>
                <c:pt idx="50">
                  <c:v>1614.0758906377937</c:v>
                </c:pt>
                <c:pt idx="51">
                  <c:v>1781.6381512038402</c:v>
                </c:pt>
                <c:pt idx="52">
                  <c:v>1772.0247613020497</c:v>
                </c:pt>
                <c:pt idx="53">
                  <c:v>1829.1852627361468</c:v>
                </c:pt>
                <c:pt idx="54">
                  <c:v>1807.675077388707</c:v>
                </c:pt>
                <c:pt idx="55">
                  <c:v>1751.8558581493407</c:v>
                </c:pt>
                <c:pt idx="56">
                  <c:v>1815.0817264081716</c:v>
                </c:pt>
                <c:pt idx="57">
                  <c:v>1948.1761887150135</c:v>
                </c:pt>
                <c:pt idx="58">
                  <c:v>1924.7694440702628</c:v>
                </c:pt>
                <c:pt idx="59">
                  <c:v>2670.6182726420002</c:v>
                </c:pt>
                <c:pt idx="60">
                  <c:v>1553.0240325578568</c:v>
                </c:pt>
                <c:pt idx="61">
                  <c:v>1945.0911306917656</c:v>
                </c:pt>
                <c:pt idx="62">
                  <c:v>2001.0118708731256</c:v>
                </c:pt>
                <c:pt idx="63">
                  <c:v>2209.0748080426065</c:v>
                </c:pt>
                <c:pt idx="64">
                  <c:v>2051.070630196476</c:v>
                </c:pt>
                <c:pt idx="65">
                  <c:v>2172.5644192405116</c:v>
                </c:pt>
                <c:pt idx="66">
                  <c:v>2197.5153067352758</c:v>
                </c:pt>
                <c:pt idx="67">
                  <c:v>2073.7725528469232</c:v>
                </c:pt>
                <c:pt idx="68">
                  <c:v>2090.3698468437319</c:v>
                </c:pt>
                <c:pt idx="69">
                  <c:v>2244.4782447217544</c:v>
                </c:pt>
                <c:pt idx="70">
                  <c:v>2210.0918480754594</c:v>
                </c:pt>
                <c:pt idx="71">
                  <c:v>3100.9978693593057</c:v>
                </c:pt>
                <c:pt idx="72">
                  <c:v>1707.7785005567309</c:v>
                </c:pt>
                <c:pt idx="73">
                  <c:v>2116.3186471889949</c:v>
                </c:pt>
                <c:pt idx="74">
                  <c:v>2084.8931554397886</c:v>
                </c:pt>
                <c:pt idx="75">
                  <c:v>2328.3089885833183</c:v>
                </c:pt>
                <c:pt idx="76">
                  <c:v>2116.8244720442203</c:v>
                </c:pt>
                <c:pt idx="77">
                  <c:v>2314.5884582316767</c:v>
                </c:pt>
                <c:pt idx="78">
                  <c:v>2332.9517885247146</c:v>
                </c:pt>
                <c:pt idx="79">
                  <c:v>2205.4259654366192</c:v>
                </c:pt>
                <c:pt idx="80">
                  <c:v>2252.9626332727689</c:v>
                </c:pt>
                <c:pt idx="81">
                  <c:v>2349.4434985708299</c:v>
                </c:pt>
                <c:pt idx="82">
                  <c:v>2417.0668327238609</c:v>
                </c:pt>
                <c:pt idx="83">
                  <c:v>3414.0997013846827</c:v>
                </c:pt>
                <c:pt idx="84">
                  <c:v>1835.5360595156271</c:v>
                </c:pt>
                <c:pt idx="85">
                  <c:v>2338.2416038649185</c:v>
                </c:pt>
                <c:pt idx="86">
                  <c:v>2327.8679389433501</c:v>
                </c:pt>
                <c:pt idx="87">
                  <c:v>2573.9656009328719</c:v>
                </c:pt>
                <c:pt idx="88">
                  <c:v>2406.0178477899804</c:v>
                </c:pt>
                <c:pt idx="89">
                  <c:v>2650.4187613132131</c:v>
                </c:pt>
                <c:pt idx="90">
                  <c:v>2524.7372316738374</c:v>
                </c:pt>
                <c:pt idx="91">
                  <c:v>2629.7694962469382</c:v>
                </c:pt>
                <c:pt idx="92">
                  <c:v>2578.8624106979519</c:v>
                </c:pt>
                <c:pt idx="93">
                  <c:v>2585.9310804372467</c:v>
                </c:pt>
                <c:pt idx="94">
                  <c:v>2771.5145404477444</c:v>
                </c:pt>
                <c:pt idx="95">
                  <c:v>3824.7295552258829</c:v>
                </c:pt>
                <c:pt idx="96">
                  <c:v>1911.8466841987195</c:v>
                </c:pt>
                <c:pt idx="97">
                  <c:v>2588.1988597211653</c:v>
                </c:pt>
                <c:pt idx="98">
                  <c:v>2661.9917419328444</c:v>
                </c:pt>
                <c:pt idx="99">
                  <c:v>2846.8154741469707</c:v>
                </c:pt>
                <c:pt idx="100">
                  <c:v>2501.9232551766031</c:v>
                </c:pt>
                <c:pt idx="101">
                  <c:v>2893.1104815744061</c:v>
                </c:pt>
                <c:pt idx="102">
                  <c:v>2823.4167269863356</c:v>
                </c:pt>
                <c:pt idx="103">
                  <c:v>2865.1161741729757</c:v>
                </c:pt>
                <c:pt idx="104">
                  <c:v>2718.2684661288122</c:v>
                </c:pt>
                <c:pt idx="105">
                  <c:v>2928.2288334250479</c:v>
                </c:pt>
                <c:pt idx="106">
                  <c:v>3051.0228981927708</c:v>
                </c:pt>
                <c:pt idx="107">
                  <c:v>4255.3639717314163</c:v>
                </c:pt>
                <c:pt idx="108">
                  <c:v>2224.8673056888006</c:v>
                </c:pt>
                <c:pt idx="109">
                  <c:v>2974.2220515958948</c:v>
                </c:pt>
                <c:pt idx="110">
                  <c:v>2876.5215329218117</c:v>
                </c:pt>
                <c:pt idx="111">
                  <c:v>3347.3103800382</c:v>
                </c:pt>
                <c:pt idx="112">
                  <c:v>3087.1001999024261</c:v>
                </c:pt>
                <c:pt idx="113">
                  <c:v>3248.6417354605323</c:v>
                </c:pt>
                <c:pt idx="114">
                  <c:v>3305.3348616100511</c:v>
                </c:pt>
                <c:pt idx="115">
                  <c:v>3426.8396438865643</c:v>
                </c:pt>
                <c:pt idx="116">
                  <c:v>3184.0708645746554</c:v>
                </c:pt>
                <c:pt idx="117">
                  <c:v>3417.7675122356641</c:v>
                </c:pt>
                <c:pt idx="118">
                  <c:v>3368.9769475518069</c:v>
                </c:pt>
                <c:pt idx="119">
                  <c:v>4600.0748794021956</c:v>
                </c:pt>
              </c:numCache>
            </c:numRef>
          </c:val>
        </c:ser>
        <c:marker val="1"/>
        <c:axId val="38297600"/>
        <c:axId val="38299136"/>
      </c:lineChart>
      <c:catAx>
        <c:axId val="38281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83520"/>
        <c:crosses val="autoZero"/>
        <c:auto val="1"/>
        <c:lblAlgn val="ctr"/>
        <c:lblOffset val="100"/>
      </c:catAx>
      <c:valAx>
        <c:axId val="3828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81984"/>
        <c:crosses val="autoZero"/>
        <c:crossBetween val="between"/>
      </c:valAx>
      <c:catAx>
        <c:axId val="38297600"/>
        <c:scaling>
          <c:orientation val="minMax"/>
        </c:scaling>
        <c:delete val="1"/>
        <c:axPos val="b"/>
        <c:tickLblPos val="nextTo"/>
        <c:crossAx val="38299136"/>
        <c:crosses val="autoZero"/>
        <c:auto val="1"/>
        <c:lblAlgn val="ctr"/>
        <c:lblOffset val="100"/>
      </c:catAx>
      <c:valAx>
        <c:axId val="38299136"/>
        <c:scaling>
          <c:orientation val="minMax"/>
        </c:scaling>
        <c:axPos val="r"/>
        <c:numFmt formatCode="General" sourceLinked="1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76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12705892565391"/>
          <c:y val="0.90828402366863903"/>
          <c:w val="0.51111269566187889"/>
          <c:h val="6.5088757396449703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7069597069597069"/>
          <c:y val="2.9106029106029108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Sheet1!$V$1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Sheet1!$V$2:$V$169</c:f>
              <c:numCache>
                <c:formatCode>0.0</c:formatCode>
                <c:ptCount val="168"/>
                <c:pt idx="0" formatCode="0.00">
                  <c:v>102.62</c:v>
                </c:pt>
                <c:pt idx="1">
                  <c:v>101.23</c:v>
                </c:pt>
                <c:pt idx="2">
                  <c:v>101.34</c:v>
                </c:pt>
                <c:pt idx="3">
                  <c:v>101.12</c:v>
                </c:pt>
                <c:pt idx="4">
                  <c:v>100.8</c:v>
                </c:pt>
                <c:pt idx="5">
                  <c:v>100.64</c:v>
                </c:pt>
                <c:pt idx="6">
                  <c:v>100.46</c:v>
                </c:pt>
                <c:pt idx="7">
                  <c:v>99.86</c:v>
                </c:pt>
                <c:pt idx="8">
                  <c:v>100.25</c:v>
                </c:pt>
                <c:pt idx="9">
                  <c:v>100.55</c:v>
                </c:pt>
                <c:pt idx="10">
                  <c:v>100.74</c:v>
                </c:pt>
                <c:pt idx="11">
                  <c:v>100.82</c:v>
                </c:pt>
                <c:pt idx="12">
                  <c:v>102.43</c:v>
                </c:pt>
                <c:pt idx="13">
                  <c:v>101.66</c:v>
                </c:pt>
                <c:pt idx="14">
                  <c:v>100.82</c:v>
                </c:pt>
                <c:pt idx="15">
                  <c:v>100.35</c:v>
                </c:pt>
                <c:pt idx="16">
                  <c:v>100.48</c:v>
                </c:pt>
                <c:pt idx="17">
                  <c:v>100.28</c:v>
                </c:pt>
                <c:pt idx="18">
                  <c:v>100.67</c:v>
                </c:pt>
                <c:pt idx="19">
                  <c:v>100.19217815593518</c:v>
                </c:pt>
                <c:pt idx="20">
                  <c:v>100.09</c:v>
                </c:pt>
                <c:pt idx="21">
                  <c:v>100.28003795563394</c:v>
                </c:pt>
                <c:pt idx="22">
                  <c:v>100.63353188621011</c:v>
                </c:pt>
                <c:pt idx="23">
                  <c:v>100.79</c:v>
                </c:pt>
                <c:pt idx="24">
                  <c:v>101.67645199999998</c:v>
                </c:pt>
                <c:pt idx="25">
                  <c:v>101.11008539342031</c:v>
                </c:pt>
                <c:pt idx="26">
                  <c:v>100.58552721175062</c:v>
                </c:pt>
                <c:pt idx="27">
                  <c:v>100.56721774567202</c:v>
                </c:pt>
                <c:pt idx="28">
                  <c:v>100.62763654969986</c:v>
                </c:pt>
                <c:pt idx="29">
                  <c:v>100.9515650921373</c:v>
                </c:pt>
                <c:pt idx="30">
                  <c:v>100.86791103845717</c:v>
                </c:pt>
                <c:pt idx="31">
                  <c:v>100.09432853871157</c:v>
                </c:pt>
                <c:pt idx="32">
                  <c:v>100.79412330719683</c:v>
                </c:pt>
                <c:pt idx="33">
                  <c:v>101.64274685752655</c:v>
                </c:pt>
                <c:pt idx="34">
                  <c:v>101.2294424249383</c:v>
                </c:pt>
                <c:pt idx="35">
                  <c:v>101.12591309163365</c:v>
                </c:pt>
                <c:pt idx="36">
                  <c:v>102.33690009746195</c:v>
                </c:pt>
                <c:pt idx="37">
                  <c:v>101.22291819672651</c:v>
                </c:pt>
                <c:pt idx="38">
                  <c:v>101.22291003047525</c:v>
                </c:pt>
                <c:pt idx="39">
                  <c:v>101.44564497443952</c:v>
                </c:pt>
                <c:pt idx="40">
                  <c:v>101.36751887863349</c:v>
                </c:pt>
                <c:pt idx="41">
                  <c:v>100.97298196609465</c:v>
                </c:pt>
                <c:pt idx="42">
                  <c:v>100.4923732879445</c:v>
                </c:pt>
                <c:pt idx="43">
                  <c:v>100.34869010622346</c:v>
                </c:pt>
                <c:pt idx="44">
                  <c:v>100.80145122939035</c:v>
                </c:pt>
                <c:pt idx="45">
                  <c:v>100.9280992246746</c:v>
                </c:pt>
                <c:pt idx="46">
                  <c:v>100.85002023561758</c:v>
                </c:pt>
                <c:pt idx="47">
                  <c:v>100.71010196005038</c:v>
                </c:pt>
                <c:pt idx="48">
                  <c:v>102.45857402143703</c:v>
                </c:pt>
                <c:pt idx="49">
                  <c:v>101.65700756377348</c:v>
                </c:pt>
                <c:pt idx="50">
                  <c:v>101.30615232853611</c:v>
                </c:pt>
                <c:pt idx="51">
                  <c:v>100.67976891684215</c:v>
                </c:pt>
                <c:pt idx="52">
                  <c:v>100.56478118411388</c:v>
                </c:pt>
                <c:pt idx="53">
                  <c:v>100.57625739861389</c:v>
                </c:pt>
                <c:pt idx="54">
                  <c:v>100.61977893119384</c:v>
                </c:pt>
                <c:pt idx="55">
                  <c:v>99.96653082979698</c:v>
                </c:pt>
                <c:pt idx="56">
                  <c:v>99.934200553391932</c:v>
                </c:pt>
                <c:pt idx="57">
                  <c:v>99.970347603973934</c:v>
                </c:pt>
                <c:pt idx="58">
                  <c:v>100.28323948673687</c:v>
                </c:pt>
                <c:pt idx="59">
                  <c:v>100.41591733573853</c:v>
                </c:pt>
                <c:pt idx="60">
                  <c:v>101.63603199971482</c:v>
                </c:pt>
                <c:pt idx="61">
                  <c:v>100.8551408455734</c:v>
                </c:pt>
                <c:pt idx="62">
                  <c:v>100.62858913645454</c:v>
                </c:pt>
                <c:pt idx="63">
                  <c:v>100.29415766819474</c:v>
                </c:pt>
                <c:pt idx="64">
                  <c:v>100.50541490252355</c:v>
                </c:pt>
                <c:pt idx="65">
                  <c:v>100.39191626378775</c:v>
                </c:pt>
                <c:pt idx="66">
                  <c:v>100.35279447220002</c:v>
                </c:pt>
                <c:pt idx="67">
                  <c:v>100.55337993365293</c:v>
                </c:pt>
                <c:pt idx="68">
                  <c:v>100.83527290090289</c:v>
                </c:pt>
                <c:pt idx="69">
                  <c:v>100.50064130258623</c:v>
                </c:pt>
                <c:pt idx="70">
                  <c:v>100.80737696469778</c:v>
                </c:pt>
                <c:pt idx="71">
                  <c:v>101.08699408448967</c:v>
                </c:pt>
                <c:pt idx="72">
                  <c:v>102.33679910000001</c:v>
                </c:pt>
                <c:pt idx="73">
                  <c:v>100.77677926013028</c:v>
                </c:pt>
                <c:pt idx="74">
                  <c:v>100.62239699161937</c:v>
                </c:pt>
                <c:pt idx="75">
                  <c:v>100.43268295821143</c:v>
                </c:pt>
                <c:pt idx="76">
                  <c:v>100.48034689807574</c:v>
                </c:pt>
                <c:pt idx="77">
                  <c:v>100.23126990283086</c:v>
                </c:pt>
                <c:pt idx="78">
                  <c:v>99.988922671929572</c:v>
                </c:pt>
                <c:pt idx="79">
                  <c:v>99.764093730522873</c:v>
                </c:pt>
                <c:pt idx="80">
                  <c:v>99.955481559165563</c:v>
                </c:pt>
                <c:pt idx="81">
                  <c:v>100.48173833243965</c:v>
                </c:pt>
                <c:pt idx="82">
                  <c:v>100.42001163353727</c:v>
                </c:pt>
                <c:pt idx="83">
                  <c:v>100.44370739310033</c:v>
                </c:pt>
                <c:pt idx="84">
                  <c:v>100.49887620000001</c:v>
                </c:pt>
                <c:pt idx="85">
                  <c:v>100.374683424062</c:v>
                </c:pt>
                <c:pt idx="86">
                  <c:v>100.58145259790042</c:v>
                </c:pt>
                <c:pt idx="87">
                  <c:v>100.30584750329196</c:v>
                </c:pt>
                <c:pt idx="88">
                  <c:v>100.52252420833585</c:v>
                </c:pt>
                <c:pt idx="89">
                  <c:v>100.88556205034725</c:v>
                </c:pt>
                <c:pt idx="90">
                  <c:v>101.22688644428504</c:v>
                </c:pt>
                <c:pt idx="91">
                  <c:v>100.10024057194997</c:v>
                </c:pt>
                <c:pt idx="92">
                  <c:v>100.55064556101756</c:v>
                </c:pt>
                <c:pt idx="93">
                  <c:v>100.45574925684021</c:v>
                </c:pt>
                <c:pt idx="94">
                  <c:v>100.33968656367465</c:v>
                </c:pt>
                <c:pt idx="95">
                  <c:v>100.54378718029535</c:v>
                </c:pt>
                <c:pt idx="96">
                  <c:v>100.97559427</c:v>
                </c:pt>
                <c:pt idx="97">
                  <c:v>100.56049241580729</c:v>
                </c:pt>
                <c:pt idx="98">
                  <c:v>100.34232060139729</c:v>
                </c:pt>
                <c:pt idx="99">
                  <c:v>100.51222347207106</c:v>
                </c:pt>
                <c:pt idx="100">
                  <c:v>100.6586897954527</c:v>
                </c:pt>
                <c:pt idx="101">
                  <c:v>100.41831764061952</c:v>
                </c:pt>
                <c:pt idx="102">
                  <c:v>100.82655253603683</c:v>
                </c:pt>
                <c:pt idx="103">
                  <c:v>100.14542041163098</c:v>
                </c:pt>
                <c:pt idx="104">
                  <c:v>100.21424036824038</c:v>
                </c:pt>
                <c:pt idx="105">
                  <c:v>100.56892057808207</c:v>
                </c:pt>
                <c:pt idx="106">
                  <c:v>100.5612473907938</c:v>
                </c:pt>
                <c:pt idx="107">
                  <c:v>100.5144117567805</c:v>
                </c:pt>
                <c:pt idx="108">
                  <c:v>100.58590700000001</c:v>
                </c:pt>
                <c:pt idx="109">
                  <c:v>100.69734575480838</c:v>
                </c:pt>
                <c:pt idx="110">
                  <c:v>101.02146010076817</c:v>
                </c:pt>
                <c:pt idx="111">
                  <c:v>100.90257414307528</c:v>
                </c:pt>
                <c:pt idx="112">
                  <c:v>100.90396149051368</c:v>
                </c:pt>
                <c:pt idx="113">
                  <c:v>100.62308632015353</c:v>
                </c:pt>
                <c:pt idx="114">
                  <c:v>100.48515930477288</c:v>
                </c:pt>
                <c:pt idx="115">
                  <c:v>100.24136476735228</c:v>
                </c:pt>
                <c:pt idx="116">
                  <c:v>100.64745443333315</c:v>
                </c:pt>
                <c:pt idx="117">
                  <c:v>100.81823818207275</c:v>
                </c:pt>
                <c:pt idx="118">
                  <c:v>101.28105179644491</c:v>
                </c:pt>
                <c:pt idx="119">
                  <c:v>102.62540694803825</c:v>
                </c:pt>
                <c:pt idx="120">
                  <c:v>103.87306434349026</c:v>
                </c:pt>
                <c:pt idx="121">
                  <c:v>102.33823151121098</c:v>
                </c:pt>
                <c:pt idx="122">
                  <c:v>102.36722869306492</c:v>
                </c:pt>
                <c:pt idx="123">
                  <c:v>101.66001446069906</c:v>
                </c:pt>
                <c:pt idx="124">
                  <c:v>100.94699797580135</c:v>
                </c:pt>
                <c:pt idx="125">
                  <c:v>100.42013665456393</c:v>
                </c:pt>
                <c:pt idx="126">
                  <c:v>100.5203420059927</c:v>
                </c:pt>
                <c:pt idx="127">
                  <c:v>99.537144742152847</c:v>
                </c:pt>
                <c:pt idx="128">
                  <c:v>100.04899606809485</c:v>
                </c:pt>
                <c:pt idx="129">
                  <c:v>100.24078512835459</c:v>
                </c:pt>
                <c:pt idx="130">
                  <c:v>100.27770466562826</c:v>
                </c:pt>
                <c:pt idx="131">
                  <c:v>100.25284631913783</c:v>
                </c:pt>
                <c:pt idx="132">
                  <c:v>100.83349483186186</c:v>
                </c:pt>
                <c:pt idx="133">
                  <c:v>100.58229097571666</c:v>
                </c:pt>
                <c:pt idx="134">
                  <c:v>100.457799671884</c:v>
                </c:pt>
                <c:pt idx="135">
                  <c:v>100.65605177655118</c:v>
                </c:pt>
                <c:pt idx="136">
                  <c:v>100.76566668373432</c:v>
                </c:pt>
                <c:pt idx="137">
                  <c:v>100.44582655680128</c:v>
                </c:pt>
                <c:pt idx="138">
                  <c:v>100.76410843133097</c:v>
                </c:pt>
                <c:pt idx="139">
                  <c:v>99.798329786784834</c:v>
                </c:pt>
                <c:pt idx="140">
                  <c:v>100.37628281919942</c:v>
                </c:pt>
                <c:pt idx="141">
                  <c:v>100.36873755044915</c:v>
                </c:pt>
                <c:pt idx="142">
                  <c:v>100.38414824647855</c:v>
                </c:pt>
                <c:pt idx="143">
                  <c:v>100.48475873593964</c:v>
                </c:pt>
                <c:pt idx="144">
                  <c:v>100.65921204362108</c:v>
                </c:pt>
                <c:pt idx="145">
                  <c:v>100.49330919934138</c:v>
                </c:pt>
                <c:pt idx="146">
                  <c:v>100.3705011335454</c:v>
                </c:pt>
                <c:pt idx="147">
                  <c:v>100.43615367995963</c:v>
                </c:pt>
                <c:pt idx="148">
                  <c:v>100.61254199865874</c:v>
                </c:pt>
                <c:pt idx="149">
                  <c:v>100.35535047241879</c:v>
                </c:pt>
                <c:pt idx="150">
                  <c:v>100.45123297268616</c:v>
                </c:pt>
                <c:pt idx="151">
                  <c:v>99.756433689853949</c:v>
                </c:pt>
                <c:pt idx="152">
                  <c:v>100.27593841465317</c:v>
                </c:pt>
                <c:pt idx="153">
                  <c:v>100.22371960143879</c:v>
                </c:pt>
                <c:pt idx="154">
                  <c:v>100.31270124147257</c:v>
                </c:pt>
                <c:pt idx="155">
                  <c:v>100.41838331345959</c:v>
                </c:pt>
                <c:pt idx="156">
                  <c:v>100.65921204362108</c:v>
                </c:pt>
                <c:pt idx="157">
                  <c:v>100.49330919934138</c:v>
                </c:pt>
                <c:pt idx="158">
                  <c:v>100.3705011335454</c:v>
                </c:pt>
                <c:pt idx="159">
                  <c:v>100.43615367995963</c:v>
                </c:pt>
                <c:pt idx="160">
                  <c:v>100.61254199865874</c:v>
                </c:pt>
                <c:pt idx="161">
                  <c:v>100.35535047241879</c:v>
                </c:pt>
                <c:pt idx="162">
                  <c:v>100.45123297268616</c:v>
                </c:pt>
                <c:pt idx="163">
                  <c:v>99.756433689853949</c:v>
                </c:pt>
                <c:pt idx="164">
                  <c:v>100.27593841465317</c:v>
                </c:pt>
                <c:pt idx="165">
                  <c:v>100.22371960143879</c:v>
                </c:pt>
                <c:pt idx="166">
                  <c:v>100.31270124147257</c:v>
                </c:pt>
                <c:pt idx="167">
                  <c:v>100.41838331345959</c:v>
                </c:pt>
              </c:numCache>
            </c:numRef>
          </c:val>
        </c:ser>
        <c:marker val="1"/>
        <c:axId val="38324096"/>
        <c:axId val="38325632"/>
      </c:lineChart>
      <c:catAx>
        <c:axId val="38324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25632"/>
        <c:crosses val="autoZero"/>
        <c:auto val="1"/>
        <c:lblAlgn val="ctr"/>
        <c:lblOffset val="100"/>
      </c:catAx>
      <c:valAx>
        <c:axId val="38325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2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52112676056338"/>
          <c:y val="3.6496350364963501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Sheet1!$AN$2:$AN$169</c:f>
              <c:numCache>
                <c:formatCode>General</c:formatCode>
                <c:ptCount val="168"/>
                <c:pt idx="0">
                  <c:v>0.98778904422689362</c:v>
                </c:pt>
                <c:pt idx="1">
                  <c:v>0.98899107813898068</c:v>
                </c:pt>
                <c:pt idx="2">
                  <c:v>0.97647578387783818</c:v>
                </c:pt>
                <c:pt idx="3">
                  <c:v>0.98354657159599768</c:v>
                </c:pt>
                <c:pt idx="4">
                  <c:v>0.98708196545507743</c:v>
                </c:pt>
                <c:pt idx="5">
                  <c:v>1.0077357363798214</c:v>
                </c:pt>
                <c:pt idx="6">
                  <c:v>1.0143044981699916</c:v>
                </c:pt>
                <c:pt idx="7">
                  <c:v>1.0068801710659241</c:v>
                </c:pt>
                <c:pt idx="8">
                  <c:v>1.0026376984350283</c:v>
                </c:pt>
                <c:pt idx="9">
                  <c:v>1.00935494676728</c:v>
                </c:pt>
                <c:pt idx="10">
                  <c:v>1.0166555350862798</c:v>
                </c:pt>
                <c:pt idx="11">
                  <c:v>1.0185469708008874</c:v>
                </c:pt>
                <c:pt idx="12">
                  <c:v>1.004483174029468</c:v>
                </c:pt>
                <c:pt idx="13">
                  <c:v>0.99698106826050059</c:v>
                </c:pt>
                <c:pt idx="14">
                  <c:v>0.98566780791144526</c:v>
                </c:pt>
                <c:pt idx="15">
                  <c:v>0.97480707797635224</c:v>
                </c:pt>
                <c:pt idx="16">
                  <c:v>0.95632403888108308</c:v>
                </c:pt>
                <c:pt idx="17">
                  <c:v>0.95384926317972729</c:v>
                </c:pt>
                <c:pt idx="18">
                  <c:v>0.95172802686427938</c:v>
                </c:pt>
                <c:pt idx="19">
                  <c:v>0.94642493607565958</c:v>
                </c:pt>
                <c:pt idx="20">
                  <c:v>0.94536431791793563</c:v>
                </c:pt>
                <c:pt idx="21">
                  <c:v>0.94960679054883157</c:v>
                </c:pt>
                <c:pt idx="22">
                  <c:v>0.94101578347126758</c:v>
                </c:pt>
                <c:pt idx="23">
                  <c:v>0.9294550455520767</c:v>
                </c:pt>
                <c:pt idx="24">
                  <c:v>0.93581875449842011</c:v>
                </c:pt>
                <c:pt idx="25">
                  <c:v>0.93122274248161641</c:v>
                </c:pt>
                <c:pt idx="26">
                  <c:v>0.92273779721982496</c:v>
                </c:pt>
                <c:pt idx="27">
                  <c:v>0.91319223380030945</c:v>
                </c:pt>
                <c:pt idx="28">
                  <c:v>0.91283869441440157</c:v>
                </c:pt>
                <c:pt idx="29">
                  <c:v>0.9167276276593892</c:v>
                </c:pt>
                <c:pt idx="30">
                  <c:v>0.90364667038079394</c:v>
                </c:pt>
                <c:pt idx="31">
                  <c:v>0.90612144608214973</c:v>
                </c:pt>
                <c:pt idx="32">
                  <c:v>0.88208076784040723</c:v>
                </c:pt>
                <c:pt idx="33">
                  <c:v>0.87995953152495954</c:v>
                </c:pt>
                <c:pt idx="34">
                  <c:v>0.86511087731682423</c:v>
                </c:pt>
                <c:pt idx="35">
                  <c:v>0.86687857424636416</c:v>
                </c:pt>
                <c:pt idx="36">
                  <c:v>0.86617149547454819</c:v>
                </c:pt>
                <c:pt idx="37">
                  <c:v>0.86723211363227215</c:v>
                </c:pt>
                <c:pt idx="38">
                  <c:v>0.84000958091735778</c:v>
                </c:pt>
                <c:pt idx="39">
                  <c:v>0.83117109626965835</c:v>
                </c:pt>
                <c:pt idx="40">
                  <c:v>0.83894896275963393</c:v>
                </c:pt>
                <c:pt idx="41">
                  <c:v>0.83576710828646206</c:v>
                </c:pt>
                <c:pt idx="42">
                  <c:v>0.82533769640217658</c:v>
                </c:pt>
                <c:pt idx="43">
                  <c:v>0.85291376850299894</c:v>
                </c:pt>
                <c:pt idx="44">
                  <c:v>0.89357079788241656</c:v>
                </c:pt>
                <c:pt idx="45">
                  <c:v>0.93157628186752439</c:v>
                </c:pt>
                <c:pt idx="46">
                  <c:v>0.96551606291469028</c:v>
                </c:pt>
                <c:pt idx="47">
                  <c:v>0.99450629255914469</c:v>
                </c:pt>
                <c:pt idx="48">
                  <c:v>1.1125884474524097</c:v>
                </c:pt>
                <c:pt idx="49">
                  <c:v>1.2642568440069326</c:v>
                </c:pt>
                <c:pt idx="50">
                  <c:v>1.225721050942963</c:v>
                </c:pt>
                <c:pt idx="51">
                  <c:v>1.1864781791071775</c:v>
                </c:pt>
                <c:pt idx="52">
                  <c:v>1.1334472712209804</c:v>
                </c:pt>
                <c:pt idx="53">
                  <c:v>1.0970327144724585</c:v>
                </c:pt>
                <c:pt idx="54">
                  <c:v>1.1143561443819494</c:v>
                </c:pt>
                <c:pt idx="55">
                  <c:v>1.1185986170128452</c:v>
                </c:pt>
                <c:pt idx="56">
                  <c:v>1.0892548479824831</c:v>
                </c:pt>
                <c:pt idx="57">
                  <c:v>1.0421351186286676</c:v>
                </c:pt>
                <c:pt idx="58">
                  <c:v>1.0247268392665587</c:v>
                </c:pt>
                <c:pt idx="59">
                  <c:v>1.0585075275900662</c:v>
                </c:pt>
                <c:pt idx="60">
                  <c:v>1.0586949034645974</c:v>
                </c:pt>
                <c:pt idx="61">
                  <c:v>1.0672965167237385</c:v>
                </c:pt>
                <c:pt idx="62">
                  <c:v>1.0452533360123759</c:v>
                </c:pt>
                <c:pt idx="63">
                  <c:v>1.0322749051556941</c:v>
                </c:pt>
                <c:pt idx="64">
                  <c:v>1.0732819385271604</c:v>
                </c:pt>
                <c:pt idx="65">
                  <c:v>1.1017182898003588</c:v>
                </c:pt>
                <c:pt idx="66">
                  <c:v>1.0848992427480968</c:v>
                </c:pt>
                <c:pt idx="67">
                  <c:v>1.0727763772053123</c:v>
                </c:pt>
                <c:pt idx="68">
                  <c:v>1.0901917273551394</c:v>
                </c:pt>
                <c:pt idx="69">
                  <c:v>1.0717475775923202</c:v>
                </c:pt>
                <c:pt idx="70">
                  <c:v>1.0959720963147348</c:v>
                </c:pt>
                <c:pt idx="71">
                  <c:v>1.0906690055261152</c:v>
                </c:pt>
                <c:pt idx="72">
                  <c:v>1.0635973356651853</c:v>
                </c:pt>
                <c:pt idx="73">
                  <c:v>1.0356656566493736</c:v>
                </c:pt>
                <c:pt idx="74">
                  <c:v>1.0051434289382586</c:v>
                </c:pt>
                <c:pt idx="75">
                  <c:v>0.99358588165200301</c:v>
                </c:pt>
                <c:pt idx="76">
                  <c:v>0.98529888246524899</c:v>
                </c:pt>
                <c:pt idx="77">
                  <c:v>0.98934667377495</c:v>
                </c:pt>
                <c:pt idx="78">
                  <c:v>0.98637060942488719</c:v>
                </c:pt>
                <c:pt idx="79">
                  <c:v>1.0170475076247849</c:v>
                </c:pt>
                <c:pt idx="80">
                  <c:v>1.0779589103245404</c:v>
                </c:pt>
                <c:pt idx="81">
                  <c:v>1.1083879922257656</c:v>
                </c:pt>
                <c:pt idx="82">
                  <c:v>1.0910108101508789</c:v>
                </c:pt>
                <c:pt idx="83">
                  <c:v>1.1119747093806953</c:v>
                </c:pt>
                <c:pt idx="84">
                  <c:v>1.1139852589976313</c:v>
                </c:pt>
                <c:pt idx="85">
                  <c:v>1.0564449517018029</c:v>
                </c:pt>
                <c:pt idx="86">
                  <c:v>1.03824690652695</c:v>
                </c:pt>
                <c:pt idx="87">
                  <c:v>1.0420383666833908</c:v>
                </c:pt>
                <c:pt idx="88">
                  <c:v>1.0835344724719429</c:v>
                </c:pt>
                <c:pt idx="89">
                  <c:v>1.1636100100896125</c:v>
                </c:pt>
                <c:pt idx="90">
                  <c:v>1.1490173938834096</c:v>
                </c:pt>
                <c:pt idx="91">
                  <c:v>1.1303588909870819</c:v>
                </c:pt>
                <c:pt idx="92">
                  <c:v>1.1145197378069656</c:v>
                </c:pt>
                <c:pt idx="93">
                  <c:v>1.0992259066688259</c:v>
                </c:pt>
                <c:pt idx="94">
                  <c:v>1.1103352231737746</c:v>
                </c:pt>
                <c:pt idx="95">
                  <c:v>1.0867925400269325</c:v>
                </c:pt>
                <c:pt idx="96">
                  <c:v>1.0697327964046459</c:v>
                </c:pt>
                <c:pt idx="97">
                  <c:v>1.0663043838134849</c:v>
                </c:pt>
                <c:pt idx="98">
                  <c:v>1.0888427056679437</c:v>
                </c:pt>
                <c:pt idx="99">
                  <c:v>1.1076037952921656</c:v>
                </c:pt>
                <c:pt idx="100">
                  <c:v>1.1044806081311105</c:v>
                </c:pt>
                <c:pt idx="101">
                  <c:v>1.1411460829860949</c:v>
                </c:pt>
                <c:pt idx="102">
                  <c:v>1.1573611308077043</c:v>
                </c:pt>
                <c:pt idx="103">
                  <c:v>1.1672979878444891</c:v>
                </c:pt>
                <c:pt idx="104">
                  <c:v>1.1535495070957893</c:v>
                </c:pt>
                <c:pt idx="105">
                  <c:v>1.1335267445141362</c:v>
                </c:pt>
                <c:pt idx="106">
                  <c:v>1.154122559643409</c:v>
                </c:pt>
                <c:pt idx="107">
                  <c:v>1.1629312031371886</c:v>
                </c:pt>
                <c:pt idx="108">
                  <c:v>1.1828350357564965</c:v>
                </c:pt>
                <c:pt idx="109">
                  <c:v>1.2452951960957339</c:v>
                </c:pt>
                <c:pt idx="110">
                  <c:v>1.2802010294022743</c:v>
                </c:pt>
                <c:pt idx="111">
                  <c:v>1.2607840217699899</c:v>
                </c:pt>
                <c:pt idx="112">
                  <c:v>1.2348017713159896</c:v>
                </c:pt>
                <c:pt idx="113">
                  <c:v>1.2164057118766221</c:v>
                </c:pt>
                <c:pt idx="114">
                  <c:v>1.2246148147999607</c:v>
                </c:pt>
                <c:pt idx="115">
                  <c:v>1.2766514617250939</c:v>
                </c:pt>
                <c:pt idx="116">
                  <c:v>1.3388365246350167</c:v>
                </c:pt>
                <c:pt idx="117">
                  <c:v>1.441005987840126</c:v>
                </c:pt>
                <c:pt idx="118">
                  <c:v>1.6214955583087782</c:v>
                </c:pt>
                <c:pt idx="119">
                  <c:v>1.959070468257784</c:v>
                </c:pt>
                <c:pt idx="120">
                  <c:v>2.2355555500719557</c:v>
                </c:pt>
                <c:pt idx="121">
                  <c:v>2.4905407403859043</c:v>
                </c:pt>
                <c:pt idx="122">
                  <c:v>2.5073120585029818</c:v>
                </c:pt>
                <c:pt idx="123">
                  <c:v>2.5375004311137199</c:v>
                </c:pt>
                <c:pt idx="124">
                  <c:v>2.55930314466592</c:v>
                </c:pt>
                <c:pt idx="125">
                  <c:v>2.5458860901722584</c:v>
                </c:pt>
                <c:pt idx="126">
                  <c:v>2.4905407403859043</c:v>
                </c:pt>
                <c:pt idx="127">
                  <c:v>2.4234554679175973</c:v>
                </c:pt>
                <c:pt idx="128">
                  <c:v>2.3815271726249052</c:v>
                </c:pt>
                <c:pt idx="129">
                  <c:v>2.3479845363907521</c:v>
                </c:pt>
                <c:pt idx="130">
                  <c:v>2.314441900156599</c:v>
                </c:pt>
                <c:pt idx="131">
                  <c:v>2.2808992639224446</c:v>
                </c:pt>
                <c:pt idx="132">
                  <c:v>2.247356627688291</c:v>
                </c:pt>
                <c:pt idx="133">
                  <c:v>2.2138139914541375</c:v>
                </c:pt>
                <c:pt idx="134">
                  <c:v>2.1802713552199839</c:v>
                </c:pt>
                <c:pt idx="135">
                  <c:v>2.1551143780443685</c:v>
                </c:pt>
                <c:pt idx="136">
                  <c:v>2.1383430599272919</c:v>
                </c:pt>
                <c:pt idx="137">
                  <c:v>2.1215717418102149</c:v>
                </c:pt>
                <c:pt idx="138">
                  <c:v>2.1131860827516769</c:v>
                </c:pt>
                <c:pt idx="139">
                  <c:v>2.1131860827516769</c:v>
                </c:pt>
                <c:pt idx="140">
                  <c:v>2.1131860827516769</c:v>
                </c:pt>
                <c:pt idx="141">
                  <c:v>2.1131860827516769</c:v>
                </c:pt>
                <c:pt idx="142">
                  <c:v>2.1131860827516769</c:v>
                </c:pt>
                <c:pt idx="143">
                  <c:v>2.1131860827516769</c:v>
                </c:pt>
                <c:pt idx="144">
                  <c:v>2.1165403463750923</c:v>
                </c:pt>
                <c:pt idx="145">
                  <c:v>2.123248873621923</c:v>
                </c:pt>
                <c:pt idx="146">
                  <c:v>2.1299574008687534</c:v>
                </c:pt>
                <c:pt idx="147">
                  <c:v>2.1366659281155846</c:v>
                </c:pt>
                <c:pt idx="148">
                  <c:v>2.1416973235507077</c:v>
                </c:pt>
                <c:pt idx="149">
                  <c:v>2.1450515871741231</c:v>
                </c:pt>
                <c:pt idx="150">
                  <c:v>2.148405850797539</c:v>
                </c:pt>
                <c:pt idx="151">
                  <c:v>2.1517601144209535</c:v>
                </c:pt>
                <c:pt idx="152">
                  <c:v>2.1551143780443689</c:v>
                </c:pt>
                <c:pt idx="153">
                  <c:v>2.1584686416677843</c:v>
                </c:pt>
                <c:pt idx="154">
                  <c:v>2.1618229052911997</c:v>
                </c:pt>
                <c:pt idx="155">
                  <c:v>2.1651771689146142</c:v>
                </c:pt>
                <c:pt idx="156">
                  <c:v>2.1668543007263219</c:v>
                </c:pt>
                <c:pt idx="157">
                  <c:v>2.1668543007263219</c:v>
                </c:pt>
                <c:pt idx="158">
                  <c:v>2.1668543007263219</c:v>
                </c:pt>
                <c:pt idx="159">
                  <c:v>2.1668543007263219</c:v>
                </c:pt>
                <c:pt idx="160">
                  <c:v>2.1668543007263219</c:v>
                </c:pt>
                <c:pt idx="161">
                  <c:v>2.1668543007263219</c:v>
                </c:pt>
                <c:pt idx="162">
                  <c:v>2.1668543007263219</c:v>
                </c:pt>
                <c:pt idx="163">
                  <c:v>2.1668543007263219</c:v>
                </c:pt>
                <c:pt idx="164">
                  <c:v>2.1668543007263219</c:v>
                </c:pt>
                <c:pt idx="165">
                  <c:v>2.1668543007263219</c:v>
                </c:pt>
                <c:pt idx="166">
                  <c:v>2.1668543007263219</c:v>
                </c:pt>
                <c:pt idx="167">
                  <c:v>2.1668543007263219</c:v>
                </c:pt>
              </c:numCache>
            </c:numRef>
          </c:val>
        </c:ser>
        <c:marker val="1"/>
        <c:axId val="35068928"/>
        <c:axId val="35087104"/>
      </c:lineChart>
      <c:catAx>
        <c:axId val="35068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87104"/>
        <c:crosses val="autoZero"/>
        <c:auto val="1"/>
        <c:lblAlgn val="ctr"/>
        <c:lblOffset val="100"/>
      </c:catAx>
      <c:valAx>
        <c:axId val="3508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6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1249999999999998"/>
          <c:y val="3.8194444444444448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Sheet1!$AU$122:$AU$169</c:f>
              <c:numCache>
                <c:formatCode>General</c:formatCode>
                <c:ptCount val="48"/>
                <c:pt idx="0">
                  <c:v>330.61134728204701</c:v>
                </c:pt>
                <c:pt idx="1">
                  <c:v>255.57076422118899</c:v>
                </c:pt>
                <c:pt idx="2">
                  <c:v>257.117928439617</c:v>
                </c:pt>
                <c:pt idx="3">
                  <c:v>216.68012370253101</c:v>
                </c:pt>
                <c:pt idx="4">
                  <c:v>212.12203738915301</c:v>
                </c:pt>
                <c:pt idx="5">
                  <c:v>234.192903869926</c:v>
                </c:pt>
                <c:pt idx="6">
                  <c:v>249.71365151493401</c:v>
                </c:pt>
                <c:pt idx="7">
                  <c:v>232.59765904532799</c:v>
                </c:pt>
                <c:pt idx="8">
                  <c:v>262.35631391261597</c:v>
                </c:pt>
                <c:pt idx="9">
                  <c:v>272.495055598433</c:v>
                </c:pt>
                <c:pt idx="10">
                  <c:v>244.921131165552</c:v>
                </c:pt>
                <c:pt idx="11">
                  <c:v>286.64614999733101</c:v>
                </c:pt>
                <c:pt idx="12">
                  <c:v>242.288455465775</c:v>
                </c:pt>
                <c:pt idx="13">
                  <c:v>208.59395836928101</c:v>
                </c:pt>
                <c:pt idx="14">
                  <c:v>220.20879578477599</c:v>
                </c:pt>
                <c:pt idx="15">
                  <c:v>176.052132513586</c:v>
                </c:pt>
                <c:pt idx="16">
                  <c:v>167.815872524767</c:v>
                </c:pt>
                <c:pt idx="17">
                  <c:v>181.95889680077499</c:v>
                </c:pt>
                <c:pt idx="18">
                  <c:v>193.163565099208</c:v>
                </c:pt>
                <c:pt idx="19">
                  <c:v>173.503827202172</c:v>
                </c:pt>
                <c:pt idx="20">
                  <c:v>201.37610885651401</c:v>
                </c:pt>
                <c:pt idx="21">
                  <c:v>210.76736429856601</c:v>
                </c:pt>
                <c:pt idx="22">
                  <c:v>188.45249321581201</c:v>
                </c:pt>
                <c:pt idx="23">
                  <c:v>241.62166973143201</c:v>
                </c:pt>
                <c:pt idx="24">
                  <c:v>206.029199235709</c:v>
                </c:pt>
                <c:pt idx="25">
                  <c:v>186.53203752474701</c:v>
                </c:pt>
                <c:pt idx="26">
                  <c:v>208.82733767241001</c:v>
                </c:pt>
                <c:pt idx="27">
                  <c:v>171.78132900568701</c:v>
                </c:pt>
                <c:pt idx="28">
                  <c:v>170.43937926499001</c:v>
                </c:pt>
                <c:pt idx="29">
                  <c:v>188.71741041285199</c:v>
                </c:pt>
                <c:pt idx="30">
                  <c:v>197.08047858426099</c:v>
                </c:pt>
                <c:pt idx="31">
                  <c:v>181.33495783140199</c:v>
                </c:pt>
                <c:pt idx="32">
                  <c:v>205.935919140143</c:v>
                </c:pt>
                <c:pt idx="33">
                  <c:v>213.86358285472301</c:v>
                </c:pt>
                <c:pt idx="34">
                  <c:v>190.56208086698101</c:v>
                </c:pt>
                <c:pt idx="35">
                  <c:v>242.337108921566</c:v>
                </c:pt>
                <c:pt idx="36">
                  <c:v>207.13408484963199</c:v>
                </c:pt>
                <c:pt idx="37">
                  <c:v>186.22356554677501</c:v>
                </c:pt>
                <c:pt idx="38">
                  <c:v>208.790159294353</c:v>
                </c:pt>
                <c:pt idx="39">
                  <c:v>171.247640410706</c:v>
                </c:pt>
                <c:pt idx="40">
                  <c:v>170.91113256121801</c:v>
                </c:pt>
                <c:pt idx="41">
                  <c:v>189.41825217110801</c:v>
                </c:pt>
                <c:pt idx="42">
                  <c:v>199.56672963882801</c:v>
                </c:pt>
                <c:pt idx="43">
                  <c:v>183.037815376373</c:v>
                </c:pt>
                <c:pt idx="44">
                  <c:v>209.78611067230199</c:v>
                </c:pt>
                <c:pt idx="45">
                  <c:v>217.66270432597199</c:v>
                </c:pt>
                <c:pt idx="46">
                  <c:v>195.26291073204001</c:v>
                </c:pt>
                <c:pt idx="47">
                  <c:v>247.14890288506001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Sheet1!$AV$122:$AV$169</c:f>
              <c:numCache>
                <c:formatCode>General</c:formatCode>
                <c:ptCount val="48"/>
                <c:pt idx="0">
                  <c:v>290.99392795379299</c:v>
                </c:pt>
                <c:pt idx="1">
                  <c:v>177.924205959278</c:v>
                </c:pt>
                <c:pt idx="2">
                  <c:v>143.735851029325</c:v>
                </c:pt>
                <c:pt idx="3">
                  <c:v>82.958843370556806</c:v>
                </c:pt>
                <c:pt idx="4">
                  <c:v>63.448982974928903</c:v>
                </c:pt>
                <c:pt idx="5">
                  <c:v>81.200475735364506</c:v>
                </c:pt>
                <c:pt idx="6">
                  <c:v>89.689920925630901</c:v>
                </c:pt>
                <c:pt idx="7">
                  <c:v>83.390095138800902</c:v>
                </c:pt>
                <c:pt idx="8">
                  <c:v>106.92997933579601</c:v>
                </c:pt>
                <c:pt idx="9">
                  <c:v>109.344604298824</c:v>
                </c:pt>
                <c:pt idx="10">
                  <c:v>100.701658044404</c:v>
                </c:pt>
                <c:pt idx="11">
                  <c:v>169.13122927072499</c:v>
                </c:pt>
                <c:pt idx="12">
                  <c:v>109.655800082163</c:v>
                </c:pt>
                <c:pt idx="13">
                  <c:v>73.598328241528705</c:v>
                </c:pt>
                <c:pt idx="14">
                  <c:v>82.657313279337203</c:v>
                </c:pt>
                <c:pt idx="15">
                  <c:v>47.535551967933401</c:v>
                </c:pt>
                <c:pt idx="16">
                  <c:v>43.358199781159001</c:v>
                </c:pt>
                <c:pt idx="17">
                  <c:v>71.056578314033203</c:v>
                </c:pt>
                <c:pt idx="18">
                  <c:v>82.797258267885098</c:v>
                </c:pt>
                <c:pt idx="19">
                  <c:v>76.410081662019607</c:v>
                </c:pt>
                <c:pt idx="20">
                  <c:v>98.985582739773093</c:v>
                </c:pt>
                <c:pt idx="21">
                  <c:v>101.61758794425999</c:v>
                </c:pt>
                <c:pt idx="22">
                  <c:v>93.947903566996899</c:v>
                </c:pt>
                <c:pt idx="23">
                  <c:v>171.546029522532</c:v>
                </c:pt>
                <c:pt idx="24">
                  <c:v>115.662270905125</c:v>
                </c:pt>
                <c:pt idx="25">
                  <c:v>85.189369257091997</c:v>
                </c:pt>
                <c:pt idx="26">
                  <c:v>99.292034759668198</c:v>
                </c:pt>
                <c:pt idx="27">
                  <c:v>69.4775963219532</c:v>
                </c:pt>
                <c:pt idx="28">
                  <c:v>67.128097727503402</c:v>
                </c:pt>
                <c:pt idx="29">
                  <c:v>95.069476204626994</c:v>
                </c:pt>
                <c:pt idx="30">
                  <c:v>105.114048251596</c:v>
                </c:pt>
                <c:pt idx="31">
                  <c:v>96.884690764728603</c:v>
                </c:pt>
                <c:pt idx="32">
                  <c:v>116.251304847844</c:v>
                </c:pt>
                <c:pt idx="33">
                  <c:v>116.555211089997</c:v>
                </c:pt>
                <c:pt idx="34">
                  <c:v>106.540163317938</c:v>
                </c:pt>
                <c:pt idx="35">
                  <c:v>185.78715479764199</c:v>
                </c:pt>
                <c:pt idx="36">
                  <c:v>124.88642091000401</c:v>
                </c:pt>
                <c:pt idx="37">
                  <c:v>93.826349736185904</c:v>
                </c:pt>
                <c:pt idx="38">
                  <c:v>107.606343199623</c:v>
                </c:pt>
                <c:pt idx="39">
                  <c:v>79.993093286452805</c:v>
                </c:pt>
                <c:pt idx="40">
                  <c:v>78.843491583659798</c:v>
                </c:pt>
                <c:pt idx="41">
                  <c:v>108.611533961897</c:v>
                </c:pt>
                <c:pt idx="42">
                  <c:v>120.834156590844</c:v>
                </c:pt>
                <c:pt idx="43">
                  <c:v>114.956640220697</c:v>
                </c:pt>
                <c:pt idx="44">
                  <c:v>135.439696212874</c:v>
                </c:pt>
                <c:pt idx="45">
                  <c:v>137.675863030644</c:v>
                </c:pt>
                <c:pt idx="46">
                  <c:v>129.089871524957</c:v>
                </c:pt>
                <c:pt idx="47">
                  <c:v>214.02093378327999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Sheet1!$AW$122:$AW$169</c:f>
              <c:numCache>
                <c:formatCode>General</c:formatCode>
                <c:ptCount val="48"/>
                <c:pt idx="0">
                  <c:v>215.82874288759299</c:v>
                </c:pt>
                <c:pt idx="1">
                  <c:v>128.25553112297601</c:v>
                </c:pt>
                <c:pt idx="2">
                  <c:v>114.714422639124</c:v>
                </c:pt>
                <c:pt idx="3">
                  <c:v>80.3240422914118</c:v>
                </c:pt>
                <c:pt idx="4">
                  <c:v>72.117717246050404</c:v>
                </c:pt>
                <c:pt idx="5">
                  <c:v>84.621253927461495</c:v>
                </c:pt>
                <c:pt idx="6">
                  <c:v>93.235828161009195</c:v>
                </c:pt>
                <c:pt idx="7">
                  <c:v>87.535828483549395</c:v>
                </c:pt>
                <c:pt idx="8">
                  <c:v>101.412124708924</c:v>
                </c:pt>
                <c:pt idx="9">
                  <c:v>103.47867053313399</c:v>
                </c:pt>
                <c:pt idx="10">
                  <c:v>100.961380743463</c:v>
                </c:pt>
                <c:pt idx="11">
                  <c:v>134.822924797882</c:v>
                </c:pt>
                <c:pt idx="12">
                  <c:v>107.721721080067</c:v>
                </c:pt>
                <c:pt idx="13">
                  <c:v>101.372802041965</c:v>
                </c:pt>
                <c:pt idx="14">
                  <c:v>116.985399939964</c:v>
                </c:pt>
                <c:pt idx="15">
                  <c:v>95.110447306897797</c:v>
                </c:pt>
                <c:pt idx="16">
                  <c:v>95.064872095760904</c:v>
                </c:pt>
                <c:pt idx="17">
                  <c:v>120.077437216473</c:v>
                </c:pt>
                <c:pt idx="18">
                  <c:v>136.019717274242</c:v>
                </c:pt>
                <c:pt idx="19">
                  <c:v>127.039558649933</c:v>
                </c:pt>
                <c:pt idx="20">
                  <c:v>146.072275898741</c:v>
                </c:pt>
                <c:pt idx="21">
                  <c:v>147.483747804232</c:v>
                </c:pt>
                <c:pt idx="22">
                  <c:v>142.48381660267</c:v>
                </c:pt>
                <c:pt idx="23">
                  <c:v>191.98465988134001</c:v>
                </c:pt>
                <c:pt idx="24">
                  <c:v>156.58331796419901</c:v>
                </c:pt>
                <c:pt idx="25">
                  <c:v>148.13321632793699</c:v>
                </c:pt>
                <c:pt idx="26">
                  <c:v>170.521258515683</c:v>
                </c:pt>
                <c:pt idx="27">
                  <c:v>136.85681255837201</c:v>
                </c:pt>
                <c:pt idx="28">
                  <c:v>133.99552707960601</c:v>
                </c:pt>
                <c:pt idx="29">
                  <c:v>164.67153462598799</c:v>
                </c:pt>
                <c:pt idx="30">
                  <c:v>179.54838741576</c:v>
                </c:pt>
                <c:pt idx="31">
                  <c:v>162.40829800582699</c:v>
                </c:pt>
                <c:pt idx="32">
                  <c:v>181.043644947274</c:v>
                </c:pt>
                <c:pt idx="33">
                  <c:v>177.54408251781399</c:v>
                </c:pt>
                <c:pt idx="34">
                  <c:v>167.16422566291001</c:v>
                </c:pt>
                <c:pt idx="35">
                  <c:v>220.063758009558</c:v>
                </c:pt>
                <c:pt idx="36">
                  <c:v>177.81135901269201</c:v>
                </c:pt>
                <c:pt idx="37">
                  <c:v>167.50149001688001</c:v>
                </c:pt>
                <c:pt idx="38">
                  <c:v>193.11034735530299</c:v>
                </c:pt>
                <c:pt idx="39">
                  <c:v>155.98092319931601</c:v>
                </c:pt>
                <c:pt idx="40">
                  <c:v>154.21891573677701</c:v>
                </c:pt>
                <c:pt idx="41">
                  <c:v>191.36929970204901</c:v>
                </c:pt>
                <c:pt idx="42">
                  <c:v>211.46109574206</c:v>
                </c:pt>
                <c:pt idx="43">
                  <c:v>193.252206427353</c:v>
                </c:pt>
                <c:pt idx="44">
                  <c:v>217.746428576494</c:v>
                </c:pt>
                <c:pt idx="45">
                  <c:v>215.661395941211</c:v>
                </c:pt>
                <c:pt idx="46">
                  <c:v>205.08773209833601</c:v>
                </c:pt>
                <c:pt idx="47">
                  <c:v>272.68610314283598</c:v>
                </c:pt>
              </c:numCache>
            </c:numRef>
          </c:val>
        </c:ser>
        <c:marker val="1"/>
        <c:axId val="35116544"/>
        <c:axId val="35118080"/>
      </c:lineChart>
      <c:catAx>
        <c:axId val="35116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18080"/>
        <c:crosses val="autoZero"/>
        <c:auto val="1"/>
        <c:lblAlgn val="ctr"/>
        <c:lblOffset val="100"/>
      </c:catAx>
      <c:valAx>
        <c:axId val="35118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1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1666666666667"/>
          <c:y val="0.89236111111111116"/>
          <c:w val="0.50208333333333333"/>
          <c:h val="7.6388888888888895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327390599675851"/>
          <c:y val="3.4782707152137549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cur_buy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Sheet2!$A$2:$A$169</c:f>
              <c:numCache>
                <c:formatCode>mmm/yy</c:formatCode>
                <c:ptCount val="16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</c:numCache>
            </c:numRef>
          </c:cat>
          <c:val>
            <c:numRef>
              <c:f>Sheet2!$B$2:$B$169</c:f>
              <c:numCache>
                <c:formatCode>0.0</c:formatCode>
                <c:ptCount val="168"/>
                <c:pt idx="0">
                  <c:v>65.073700000000002</c:v>
                </c:pt>
                <c:pt idx="1">
                  <c:v>68.881416000000002</c:v>
                </c:pt>
                <c:pt idx="2">
                  <c:v>78.780500000000004</c:v>
                </c:pt>
                <c:pt idx="3">
                  <c:v>83.490868000000006</c:v>
                </c:pt>
                <c:pt idx="4">
                  <c:v>77.055490000000006</c:v>
                </c:pt>
                <c:pt idx="5">
                  <c:v>103.6836</c:v>
                </c:pt>
                <c:pt idx="6">
                  <c:v>103.832173</c:v>
                </c:pt>
                <c:pt idx="7">
                  <c:v>106.91759999999999</c:v>
                </c:pt>
                <c:pt idx="8">
                  <c:v>103.54689999999999</c:v>
                </c:pt>
                <c:pt idx="9">
                  <c:v>106.3052</c:v>
                </c:pt>
                <c:pt idx="10">
                  <c:v>111.5189</c:v>
                </c:pt>
                <c:pt idx="11">
                  <c:v>163.88509999999999</c:v>
                </c:pt>
                <c:pt idx="12">
                  <c:v>71.243095999999994</c:v>
                </c:pt>
                <c:pt idx="13">
                  <c:v>84.352574000000004</c:v>
                </c:pt>
                <c:pt idx="14">
                  <c:v>103.61020000000001</c:v>
                </c:pt>
                <c:pt idx="15">
                  <c:v>87.7196</c:v>
                </c:pt>
                <c:pt idx="16">
                  <c:v>96.313817</c:v>
                </c:pt>
                <c:pt idx="17">
                  <c:v>109.7325</c:v>
                </c:pt>
                <c:pt idx="18">
                  <c:v>109.334551</c:v>
                </c:pt>
                <c:pt idx="19">
                  <c:v>117.99117</c:v>
                </c:pt>
                <c:pt idx="20">
                  <c:v>86.457400000000007</c:v>
                </c:pt>
                <c:pt idx="21">
                  <c:v>110.042644</c:v>
                </c:pt>
                <c:pt idx="22">
                  <c:v>96.954099999999997</c:v>
                </c:pt>
                <c:pt idx="23">
                  <c:v>106.26527</c:v>
                </c:pt>
                <c:pt idx="24">
                  <c:v>67.961708000000002</c:v>
                </c:pt>
                <c:pt idx="25">
                  <c:v>70.028407000000001</c:v>
                </c:pt>
                <c:pt idx="26">
                  <c:v>82.062923999999995</c:v>
                </c:pt>
                <c:pt idx="27">
                  <c:v>85.258190999999997</c:v>
                </c:pt>
                <c:pt idx="28">
                  <c:v>84.717764000000003</c:v>
                </c:pt>
                <c:pt idx="29">
                  <c:v>96.376999999999995</c:v>
                </c:pt>
                <c:pt idx="30">
                  <c:v>96.640119999999996</c:v>
                </c:pt>
                <c:pt idx="31">
                  <c:v>90.975307999999998</c:v>
                </c:pt>
                <c:pt idx="32">
                  <c:v>91.328199999999995</c:v>
                </c:pt>
                <c:pt idx="33">
                  <c:v>103.01098</c:v>
                </c:pt>
                <c:pt idx="34">
                  <c:v>102.9139</c:v>
                </c:pt>
                <c:pt idx="35">
                  <c:v>133.988148</c:v>
                </c:pt>
                <c:pt idx="36">
                  <c:v>111.23189000000001</c:v>
                </c:pt>
                <c:pt idx="37">
                  <c:v>141.50902300000001</c:v>
                </c:pt>
                <c:pt idx="38">
                  <c:v>107.0077</c:v>
                </c:pt>
                <c:pt idx="39">
                  <c:v>102.2291</c:v>
                </c:pt>
                <c:pt idx="40">
                  <c:v>92.577634000000003</c:v>
                </c:pt>
                <c:pt idx="41">
                  <c:v>98.860816999999997</c:v>
                </c:pt>
                <c:pt idx="42">
                  <c:v>109.684663</c:v>
                </c:pt>
                <c:pt idx="43">
                  <c:v>114.32618100000001</c:v>
                </c:pt>
                <c:pt idx="44">
                  <c:v>149.05600000000001</c:v>
                </c:pt>
                <c:pt idx="45">
                  <c:v>289.46643599999999</c:v>
                </c:pt>
                <c:pt idx="46">
                  <c:v>266.29578900000001</c:v>
                </c:pt>
                <c:pt idx="47">
                  <c:v>421.89095700000001</c:v>
                </c:pt>
                <c:pt idx="48">
                  <c:v>348.81240000000003</c:v>
                </c:pt>
                <c:pt idx="49">
                  <c:v>155.38206500000001</c:v>
                </c:pt>
                <c:pt idx="50">
                  <c:v>97.639336</c:v>
                </c:pt>
                <c:pt idx="51">
                  <c:v>83.330200000000005</c:v>
                </c:pt>
                <c:pt idx="52">
                  <c:v>71.512027000000003</c:v>
                </c:pt>
                <c:pt idx="53">
                  <c:v>92.708200000000005</c:v>
                </c:pt>
                <c:pt idx="54">
                  <c:v>144.13283100000001</c:v>
                </c:pt>
                <c:pt idx="55">
                  <c:v>143.60400000000001</c:v>
                </c:pt>
                <c:pt idx="56">
                  <c:v>132.47052400000001</c:v>
                </c:pt>
                <c:pt idx="57">
                  <c:v>93.765867999999998</c:v>
                </c:pt>
                <c:pt idx="58">
                  <c:v>83.976243999999994</c:v>
                </c:pt>
                <c:pt idx="59">
                  <c:v>113.75839999999999</c:v>
                </c:pt>
                <c:pt idx="60">
                  <c:v>67.486891</c:v>
                </c:pt>
                <c:pt idx="61">
                  <c:v>68.013450000000006</c:v>
                </c:pt>
                <c:pt idx="62">
                  <c:v>79.885558000000003</c:v>
                </c:pt>
                <c:pt idx="63">
                  <c:v>78.113690000000005</c:v>
                </c:pt>
                <c:pt idx="64">
                  <c:v>80.693004999999999</c:v>
                </c:pt>
                <c:pt idx="65">
                  <c:v>95.444630000000004</c:v>
                </c:pt>
                <c:pt idx="66">
                  <c:v>106.701893</c:v>
                </c:pt>
                <c:pt idx="67">
                  <c:v>104.677098</c:v>
                </c:pt>
                <c:pt idx="68">
                  <c:v>118.462059</c:v>
                </c:pt>
                <c:pt idx="69">
                  <c:v>125.142832</c:v>
                </c:pt>
                <c:pt idx="70">
                  <c:v>111.115049</c:v>
                </c:pt>
                <c:pt idx="71">
                  <c:v>137.55037300000001</c:v>
                </c:pt>
                <c:pt idx="72">
                  <c:v>84.166881000000004</c:v>
                </c:pt>
                <c:pt idx="73">
                  <c:v>90.761947000000006</c:v>
                </c:pt>
                <c:pt idx="74">
                  <c:v>112.703401</c:v>
                </c:pt>
                <c:pt idx="75">
                  <c:v>108.16389599999999</c:v>
                </c:pt>
                <c:pt idx="76">
                  <c:v>110.179181</c:v>
                </c:pt>
                <c:pt idx="77">
                  <c:v>119.342381</c:v>
                </c:pt>
                <c:pt idx="78">
                  <c:v>130.05784800000001</c:v>
                </c:pt>
                <c:pt idx="79">
                  <c:v>143.218977</c:v>
                </c:pt>
                <c:pt idx="80">
                  <c:v>147.50019499999999</c:v>
                </c:pt>
                <c:pt idx="81">
                  <c:v>153.15766600000001</c:v>
                </c:pt>
                <c:pt idx="82">
                  <c:v>135.821707</c:v>
                </c:pt>
                <c:pt idx="83">
                  <c:v>164.43554700000001</c:v>
                </c:pt>
                <c:pt idx="84">
                  <c:v>110.668656</c:v>
                </c:pt>
                <c:pt idx="85">
                  <c:v>153.57584199999999</c:v>
                </c:pt>
                <c:pt idx="86">
                  <c:v>158.97160099999999</c:v>
                </c:pt>
                <c:pt idx="87">
                  <c:v>125.54175499999999</c:v>
                </c:pt>
                <c:pt idx="88">
                  <c:v>140.56387699999999</c:v>
                </c:pt>
                <c:pt idx="89">
                  <c:v>156.18539999999999</c:v>
                </c:pt>
                <c:pt idx="90">
                  <c:v>203.32083900000001</c:v>
                </c:pt>
                <c:pt idx="91">
                  <c:v>202.00983099999999</c:v>
                </c:pt>
                <c:pt idx="92">
                  <c:v>172.63581300000001</c:v>
                </c:pt>
                <c:pt idx="93">
                  <c:v>157.10474500000001</c:v>
                </c:pt>
                <c:pt idx="94">
                  <c:v>151.29549900000001</c:v>
                </c:pt>
                <c:pt idx="95">
                  <c:v>171.35457</c:v>
                </c:pt>
                <c:pt idx="96">
                  <c:v>109.930333</c:v>
                </c:pt>
                <c:pt idx="97">
                  <c:v>110.356775</c:v>
                </c:pt>
                <c:pt idx="98">
                  <c:v>123.510943</c:v>
                </c:pt>
                <c:pt idx="99">
                  <c:v>149.54101399999999</c:v>
                </c:pt>
                <c:pt idx="100">
                  <c:v>127.502</c:v>
                </c:pt>
                <c:pt idx="101">
                  <c:v>150.36171999999999</c:v>
                </c:pt>
                <c:pt idx="102">
                  <c:v>190.00106</c:v>
                </c:pt>
                <c:pt idx="103">
                  <c:v>182.23564400000001</c:v>
                </c:pt>
                <c:pt idx="104">
                  <c:v>197.15589600000001</c:v>
                </c:pt>
                <c:pt idx="105">
                  <c:v>175.24827199999999</c:v>
                </c:pt>
                <c:pt idx="106">
                  <c:v>140.52453</c:v>
                </c:pt>
                <c:pt idx="107">
                  <c:v>218.19675100000001</c:v>
                </c:pt>
                <c:pt idx="108">
                  <c:v>213.781003</c:v>
                </c:pt>
                <c:pt idx="109">
                  <c:v>204.23599999999999</c:v>
                </c:pt>
                <c:pt idx="110">
                  <c:v>268.10492299999999</c:v>
                </c:pt>
                <c:pt idx="111">
                  <c:v>166.14352500000001</c:v>
                </c:pt>
                <c:pt idx="112">
                  <c:v>189.657837</c:v>
                </c:pt>
                <c:pt idx="113">
                  <c:v>183.14349999999999</c:v>
                </c:pt>
                <c:pt idx="114">
                  <c:v>174.624763</c:v>
                </c:pt>
                <c:pt idx="115">
                  <c:v>185.32991000000001</c:v>
                </c:pt>
                <c:pt idx="116">
                  <c:v>189.35029299999999</c:v>
                </c:pt>
                <c:pt idx="117">
                  <c:v>356.88804800000003</c:v>
                </c:pt>
                <c:pt idx="118">
                  <c:v>241.41977700000001</c:v>
                </c:pt>
                <c:pt idx="119">
                  <c:v>432.45912700000002</c:v>
                </c:pt>
                <c:pt idx="120">
                  <c:v>290.99392795379299</c:v>
                </c:pt>
                <c:pt idx="121">
                  <c:v>177.924205959278</c:v>
                </c:pt>
                <c:pt idx="122">
                  <c:v>143.735851029325</c:v>
                </c:pt>
                <c:pt idx="123">
                  <c:v>82.958843370556806</c:v>
                </c:pt>
                <c:pt idx="124">
                  <c:v>63.448982974928903</c:v>
                </c:pt>
                <c:pt idx="125">
                  <c:v>81.200475735364506</c:v>
                </c:pt>
                <c:pt idx="126">
                  <c:v>89.689920925630901</c:v>
                </c:pt>
                <c:pt idx="127">
                  <c:v>83.390095138800902</c:v>
                </c:pt>
                <c:pt idx="128">
                  <c:v>106.92997933579601</c:v>
                </c:pt>
                <c:pt idx="129">
                  <c:v>109.344604298824</c:v>
                </c:pt>
                <c:pt idx="130">
                  <c:v>100.701658044404</c:v>
                </c:pt>
                <c:pt idx="131">
                  <c:v>169.13122927072499</c:v>
                </c:pt>
                <c:pt idx="132">
                  <c:v>109.655800082163</c:v>
                </c:pt>
                <c:pt idx="133">
                  <c:v>73.598328241528705</c:v>
                </c:pt>
                <c:pt idx="134">
                  <c:v>82.657313279337203</c:v>
                </c:pt>
                <c:pt idx="135">
                  <c:v>47.535551967933401</c:v>
                </c:pt>
                <c:pt idx="136">
                  <c:v>43.358199781159001</c:v>
                </c:pt>
                <c:pt idx="137">
                  <c:v>71.056578314033203</c:v>
                </c:pt>
                <c:pt idx="138">
                  <c:v>82.797258267885098</c:v>
                </c:pt>
                <c:pt idx="139">
                  <c:v>76.410081662019607</c:v>
                </c:pt>
                <c:pt idx="140">
                  <c:v>98.985582739773093</c:v>
                </c:pt>
                <c:pt idx="141">
                  <c:v>101.61758794425999</c:v>
                </c:pt>
                <c:pt idx="142">
                  <c:v>93.947903566996899</c:v>
                </c:pt>
                <c:pt idx="143">
                  <c:v>171.546029522532</c:v>
                </c:pt>
                <c:pt idx="144">
                  <c:v>115.662270905125</c:v>
                </c:pt>
                <c:pt idx="145">
                  <c:v>85.189369257091997</c:v>
                </c:pt>
                <c:pt idx="146">
                  <c:v>99.292034759668198</c:v>
                </c:pt>
                <c:pt idx="147">
                  <c:v>69.4775963219532</c:v>
                </c:pt>
                <c:pt idx="148">
                  <c:v>67.128097727503402</c:v>
                </c:pt>
                <c:pt idx="149">
                  <c:v>95.069476204626994</c:v>
                </c:pt>
                <c:pt idx="150">
                  <c:v>105.114048251596</c:v>
                </c:pt>
                <c:pt idx="151">
                  <c:v>96.884690764728603</c:v>
                </c:pt>
                <c:pt idx="152">
                  <c:v>116.251304847844</c:v>
                </c:pt>
                <c:pt idx="153">
                  <c:v>116.555211089997</c:v>
                </c:pt>
                <c:pt idx="154">
                  <c:v>106.540163317938</c:v>
                </c:pt>
                <c:pt idx="155">
                  <c:v>185.78715479764199</c:v>
                </c:pt>
                <c:pt idx="156">
                  <c:v>124.88642091000401</c:v>
                </c:pt>
                <c:pt idx="157">
                  <c:v>93.826349736185904</c:v>
                </c:pt>
                <c:pt idx="158">
                  <c:v>107.606343199623</c:v>
                </c:pt>
                <c:pt idx="159">
                  <c:v>79.993093286452805</c:v>
                </c:pt>
                <c:pt idx="160">
                  <c:v>78.843491583659798</c:v>
                </c:pt>
                <c:pt idx="161">
                  <c:v>108.611533961897</c:v>
                </c:pt>
                <c:pt idx="162">
                  <c:v>120.834156590844</c:v>
                </c:pt>
                <c:pt idx="163">
                  <c:v>114.956640220697</c:v>
                </c:pt>
                <c:pt idx="164">
                  <c:v>135.439696212874</c:v>
                </c:pt>
                <c:pt idx="165">
                  <c:v>137.675863030644</c:v>
                </c:pt>
                <c:pt idx="166">
                  <c:v>129.089871524957</c:v>
                </c:pt>
                <c:pt idx="167">
                  <c:v>214.02093378327999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cur_buy_lev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Sheet2!$A$2:$A$169</c:f>
              <c:numCache>
                <c:formatCode>mmm/yy</c:formatCode>
                <c:ptCount val="16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</c:numCache>
            </c:numRef>
          </c:cat>
          <c:val>
            <c:numRef>
              <c:f>Sheet2!$C$2:$C$169</c:f>
              <c:numCache>
                <c:formatCode>0.0</c:formatCode>
                <c:ptCount val="168"/>
                <c:pt idx="0">
                  <c:v>65.073700000000002</c:v>
                </c:pt>
                <c:pt idx="1">
                  <c:v>68.881416000000002</c:v>
                </c:pt>
                <c:pt idx="2">
                  <c:v>78.780500000000004</c:v>
                </c:pt>
                <c:pt idx="3">
                  <c:v>83.490868000000006</c:v>
                </c:pt>
                <c:pt idx="4">
                  <c:v>77.055490000000006</c:v>
                </c:pt>
                <c:pt idx="5">
                  <c:v>103.6836</c:v>
                </c:pt>
                <c:pt idx="6">
                  <c:v>103.832173</c:v>
                </c:pt>
                <c:pt idx="7">
                  <c:v>106.91759999999999</c:v>
                </c:pt>
                <c:pt idx="8">
                  <c:v>103.54689999999999</c:v>
                </c:pt>
                <c:pt idx="9">
                  <c:v>106.3052</c:v>
                </c:pt>
                <c:pt idx="10">
                  <c:v>111.5189</c:v>
                </c:pt>
                <c:pt idx="11">
                  <c:v>163.88509999999999</c:v>
                </c:pt>
                <c:pt idx="12">
                  <c:v>71.243095999999994</c:v>
                </c:pt>
                <c:pt idx="13">
                  <c:v>84.352574000000004</c:v>
                </c:pt>
                <c:pt idx="14">
                  <c:v>103.61020000000001</c:v>
                </c:pt>
                <c:pt idx="15">
                  <c:v>87.7196</c:v>
                </c:pt>
                <c:pt idx="16">
                  <c:v>96.313817</c:v>
                </c:pt>
                <c:pt idx="17">
                  <c:v>109.7325</c:v>
                </c:pt>
                <c:pt idx="18">
                  <c:v>109.334551</c:v>
                </c:pt>
                <c:pt idx="19">
                  <c:v>117.99117</c:v>
                </c:pt>
                <c:pt idx="20">
                  <c:v>86.457400000000007</c:v>
                </c:pt>
                <c:pt idx="21">
                  <c:v>110.042644</c:v>
                </c:pt>
                <c:pt idx="22">
                  <c:v>96.954099999999997</c:v>
                </c:pt>
                <c:pt idx="23">
                  <c:v>106.26527</c:v>
                </c:pt>
                <c:pt idx="24">
                  <c:v>67.961708000000002</c:v>
                </c:pt>
                <c:pt idx="25">
                  <c:v>70.028407000000001</c:v>
                </c:pt>
                <c:pt idx="26">
                  <c:v>82.062923999999995</c:v>
                </c:pt>
                <c:pt idx="27">
                  <c:v>85.258190999999997</c:v>
                </c:pt>
                <c:pt idx="28">
                  <c:v>84.717764000000003</c:v>
                </c:pt>
                <c:pt idx="29">
                  <c:v>96.376999999999995</c:v>
                </c:pt>
                <c:pt idx="30">
                  <c:v>96.640119999999996</c:v>
                </c:pt>
                <c:pt idx="31">
                  <c:v>90.975307999999998</c:v>
                </c:pt>
                <c:pt idx="32">
                  <c:v>91.328199999999995</c:v>
                </c:pt>
                <c:pt idx="33">
                  <c:v>103.01098</c:v>
                </c:pt>
                <c:pt idx="34">
                  <c:v>102.9139</c:v>
                </c:pt>
                <c:pt idx="35">
                  <c:v>133.988148</c:v>
                </c:pt>
                <c:pt idx="36">
                  <c:v>111.23189000000001</c:v>
                </c:pt>
                <c:pt idx="37">
                  <c:v>141.50902300000001</c:v>
                </c:pt>
                <c:pt idx="38">
                  <c:v>107.0077</c:v>
                </c:pt>
                <c:pt idx="39">
                  <c:v>102.2291</c:v>
                </c:pt>
                <c:pt idx="40">
                  <c:v>92.577634000000003</c:v>
                </c:pt>
                <c:pt idx="41">
                  <c:v>98.860816999999997</c:v>
                </c:pt>
                <c:pt idx="42">
                  <c:v>109.684663</c:v>
                </c:pt>
                <c:pt idx="43">
                  <c:v>114.32618100000001</c:v>
                </c:pt>
                <c:pt idx="44">
                  <c:v>149.05600000000001</c:v>
                </c:pt>
                <c:pt idx="45">
                  <c:v>289.46643599999999</c:v>
                </c:pt>
                <c:pt idx="46">
                  <c:v>266.29578900000001</c:v>
                </c:pt>
                <c:pt idx="47">
                  <c:v>421.89095700000001</c:v>
                </c:pt>
                <c:pt idx="48">
                  <c:v>348.81240000000003</c:v>
                </c:pt>
                <c:pt idx="49">
                  <c:v>155.38206500000001</c:v>
                </c:pt>
                <c:pt idx="50">
                  <c:v>97.639336</c:v>
                </c:pt>
                <c:pt idx="51">
                  <c:v>83.330200000000005</c:v>
                </c:pt>
                <c:pt idx="52">
                  <c:v>71.512027000000003</c:v>
                </c:pt>
                <c:pt idx="53">
                  <c:v>92.708200000000005</c:v>
                </c:pt>
                <c:pt idx="54">
                  <c:v>144.13283100000001</c:v>
                </c:pt>
                <c:pt idx="55">
                  <c:v>143.60400000000001</c:v>
                </c:pt>
                <c:pt idx="56">
                  <c:v>132.47052400000001</c:v>
                </c:pt>
                <c:pt idx="57">
                  <c:v>93.765867999999998</c:v>
                </c:pt>
                <c:pt idx="58">
                  <c:v>83.976243999999994</c:v>
                </c:pt>
                <c:pt idx="59">
                  <c:v>113.75839999999999</c:v>
                </c:pt>
                <c:pt idx="60">
                  <c:v>67.486891</c:v>
                </c:pt>
                <c:pt idx="61">
                  <c:v>68.013450000000006</c:v>
                </c:pt>
                <c:pt idx="62">
                  <c:v>79.885558000000003</c:v>
                </c:pt>
                <c:pt idx="63">
                  <c:v>78.113690000000005</c:v>
                </c:pt>
                <c:pt idx="64">
                  <c:v>80.693004999999999</c:v>
                </c:pt>
                <c:pt idx="65">
                  <c:v>95.444630000000004</c:v>
                </c:pt>
                <c:pt idx="66">
                  <c:v>106.701893</c:v>
                </c:pt>
                <c:pt idx="67">
                  <c:v>104.677098</c:v>
                </c:pt>
                <c:pt idx="68">
                  <c:v>118.462059</c:v>
                </c:pt>
                <c:pt idx="69">
                  <c:v>125.142832</c:v>
                </c:pt>
                <c:pt idx="70">
                  <c:v>111.115049</c:v>
                </c:pt>
                <c:pt idx="71">
                  <c:v>137.55037300000001</c:v>
                </c:pt>
                <c:pt idx="72">
                  <c:v>84.166881000000004</c:v>
                </c:pt>
                <c:pt idx="73">
                  <c:v>90.761947000000006</c:v>
                </c:pt>
                <c:pt idx="74">
                  <c:v>112.703401</c:v>
                </c:pt>
                <c:pt idx="75">
                  <c:v>108.16389599999999</c:v>
                </c:pt>
                <c:pt idx="76">
                  <c:v>110.179181</c:v>
                </c:pt>
                <c:pt idx="77">
                  <c:v>119.342381</c:v>
                </c:pt>
                <c:pt idx="78">
                  <c:v>130.05784800000001</c:v>
                </c:pt>
                <c:pt idx="79">
                  <c:v>143.218977</c:v>
                </c:pt>
                <c:pt idx="80">
                  <c:v>147.50019499999999</c:v>
                </c:pt>
                <c:pt idx="81">
                  <c:v>153.15766600000001</c:v>
                </c:pt>
                <c:pt idx="82">
                  <c:v>135.821707</c:v>
                </c:pt>
                <c:pt idx="83">
                  <c:v>164.43554700000001</c:v>
                </c:pt>
                <c:pt idx="84">
                  <c:v>110.668656</c:v>
                </c:pt>
                <c:pt idx="85">
                  <c:v>153.57584199999999</c:v>
                </c:pt>
                <c:pt idx="86">
                  <c:v>158.97160099999999</c:v>
                </c:pt>
                <c:pt idx="87">
                  <c:v>125.54175499999999</c:v>
                </c:pt>
                <c:pt idx="88">
                  <c:v>140.56387699999999</c:v>
                </c:pt>
                <c:pt idx="89">
                  <c:v>156.18539999999999</c:v>
                </c:pt>
                <c:pt idx="90">
                  <c:v>203.32083900000001</c:v>
                </c:pt>
                <c:pt idx="91">
                  <c:v>202.00983099999999</c:v>
                </c:pt>
                <c:pt idx="92">
                  <c:v>172.63581300000001</c:v>
                </c:pt>
                <c:pt idx="93">
                  <c:v>157.10474500000001</c:v>
                </c:pt>
                <c:pt idx="94">
                  <c:v>151.29549900000001</c:v>
                </c:pt>
                <c:pt idx="95">
                  <c:v>171.35457</c:v>
                </c:pt>
                <c:pt idx="96">
                  <c:v>109.930333</c:v>
                </c:pt>
                <c:pt idx="97">
                  <c:v>110.356775</c:v>
                </c:pt>
                <c:pt idx="98">
                  <c:v>123.510943</c:v>
                </c:pt>
                <c:pt idx="99">
                  <c:v>149.54101399999999</c:v>
                </c:pt>
                <c:pt idx="100">
                  <c:v>127.502</c:v>
                </c:pt>
                <c:pt idx="101">
                  <c:v>150.36171999999999</c:v>
                </c:pt>
                <c:pt idx="102">
                  <c:v>190.00106</c:v>
                </c:pt>
                <c:pt idx="103">
                  <c:v>182.23564400000001</c:v>
                </c:pt>
                <c:pt idx="104">
                  <c:v>197.15589600000001</c:v>
                </c:pt>
                <c:pt idx="105">
                  <c:v>175.24827199999999</c:v>
                </c:pt>
                <c:pt idx="106">
                  <c:v>140.52453</c:v>
                </c:pt>
                <c:pt idx="107">
                  <c:v>218.19675100000001</c:v>
                </c:pt>
                <c:pt idx="108">
                  <c:v>213.781003</c:v>
                </c:pt>
                <c:pt idx="109">
                  <c:v>204.23599999999999</c:v>
                </c:pt>
                <c:pt idx="110">
                  <c:v>268.10492299999999</c:v>
                </c:pt>
                <c:pt idx="111">
                  <c:v>166.14352500000001</c:v>
                </c:pt>
                <c:pt idx="112">
                  <c:v>189.657837</c:v>
                </c:pt>
                <c:pt idx="113">
                  <c:v>183.14349999999999</c:v>
                </c:pt>
                <c:pt idx="114">
                  <c:v>174.624763</c:v>
                </c:pt>
                <c:pt idx="115">
                  <c:v>185.32991000000001</c:v>
                </c:pt>
                <c:pt idx="116">
                  <c:v>189.35029299999999</c:v>
                </c:pt>
                <c:pt idx="117">
                  <c:v>356.88804800000003</c:v>
                </c:pt>
                <c:pt idx="118">
                  <c:v>241.41977700000001</c:v>
                </c:pt>
                <c:pt idx="119">
                  <c:v>432.45912700000002</c:v>
                </c:pt>
                <c:pt idx="120">
                  <c:v>215.82874288759299</c:v>
                </c:pt>
                <c:pt idx="121">
                  <c:v>128.25553112297601</c:v>
                </c:pt>
                <c:pt idx="122">
                  <c:v>114.714422639124</c:v>
                </c:pt>
                <c:pt idx="123">
                  <c:v>80.3240422914118</c:v>
                </c:pt>
                <c:pt idx="124">
                  <c:v>72.117717246050404</c:v>
                </c:pt>
                <c:pt idx="125">
                  <c:v>84.621253927461495</c:v>
                </c:pt>
                <c:pt idx="126">
                  <c:v>93.235828161009195</c:v>
                </c:pt>
                <c:pt idx="127">
                  <c:v>87.535828483549395</c:v>
                </c:pt>
                <c:pt idx="128">
                  <c:v>101.412124708924</c:v>
                </c:pt>
                <c:pt idx="129">
                  <c:v>103.47867053313399</c:v>
                </c:pt>
                <c:pt idx="130">
                  <c:v>100.961380743463</c:v>
                </c:pt>
                <c:pt idx="131">
                  <c:v>134.822924797882</c:v>
                </c:pt>
                <c:pt idx="132">
                  <c:v>107.721721080067</c:v>
                </c:pt>
                <c:pt idx="133">
                  <c:v>101.372802041965</c:v>
                </c:pt>
                <c:pt idx="134">
                  <c:v>116.985399939964</c:v>
                </c:pt>
                <c:pt idx="135">
                  <c:v>95.110447306897797</c:v>
                </c:pt>
                <c:pt idx="136">
                  <c:v>95.064872095760904</c:v>
                </c:pt>
                <c:pt idx="137">
                  <c:v>120.077437216473</c:v>
                </c:pt>
                <c:pt idx="138">
                  <c:v>136.019717274242</c:v>
                </c:pt>
                <c:pt idx="139">
                  <c:v>127.039558649933</c:v>
                </c:pt>
                <c:pt idx="140">
                  <c:v>146.072275898741</c:v>
                </c:pt>
                <c:pt idx="141">
                  <c:v>147.483747804232</c:v>
                </c:pt>
                <c:pt idx="142">
                  <c:v>142.48381660267</c:v>
                </c:pt>
                <c:pt idx="143">
                  <c:v>191.98465988134001</c:v>
                </c:pt>
                <c:pt idx="144">
                  <c:v>156.58331796419901</c:v>
                </c:pt>
                <c:pt idx="145">
                  <c:v>148.13321632793699</c:v>
                </c:pt>
                <c:pt idx="146">
                  <c:v>170.521258515683</c:v>
                </c:pt>
                <c:pt idx="147">
                  <c:v>136.85681255837201</c:v>
                </c:pt>
                <c:pt idx="148">
                  <c:v>133.99552707960601</c:v>
                </c:pt>
                <c:pt idx="149">
                  <c:v>164.67153462598799</c:v>
                </c:pt>
                <c:pt idx="150">
                  <c:v>179.54838741576</c:v>
                </c:pt>
                <c:pt idx="151">
                  <c:v>162.40829800582699</c:v>
                </c:pt>
                <c:pt idx="152">
                  <c:v>181.043644947274</c:v>
                </c:pt>
                <c:pt idx="153">
                  <c:v>177.54408251781399</c:v>
                </c:pt>
                <c:pt idx="154">
                  <c:v>167.16422566291001</c:v>
                </c:pt>
                <c:pt idx="155">
                  <c:v>220.063758009558</c:v>
                </c:pt>
                <c:pt idx="156">
                  <c:v>177.81135901269201</c:v>
                </c:pt>
                <c:pt idx="157">
                  <c:v>167.50149001688001</c:v>
                </c:pt>
                <c:pt idx="158">
                  <c:v>193.11034735530299</c:v>
                </c:pt>
                <c:pt idx="159">
                  <c:v>155.98092319931601</c:v>
                </c:pt>
                <c:pt idx="160">
                  <c:v>154.21891573677701</c:v>
                </c:pt>
                <c:pt idx="161">
                  <c:v>191.36929970204901</c:v>
                </c:pt>
                <c:pt idx="162">
                  <c:v>211.46109574206</c:v>
                </c:pt>
                <c:pt idx="163">
                  <c:v>193.252206427353</c:v>
                </c:pt>
                <c:pt idx="164">
                  <c:v>217.746428576494</c:v>
                </c:pt>
                <c:pt idx="165">
                  <c:v>215.661395941211</c:v>
                </c:pt>
                <c:pt idx="166">
                  <c:v>205.08773209833601</c:v>
                </c:pt>
                <c:pt idx="167">
                  <c:v>272.68610314283598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Cur_sell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Sheet2!$A$2:$A$169</c:f>
              <c:numCache>
                <c:formatCode>mmm/yy</c:formatCode>
                <c:ptCount val="16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</c:numCache>
            </c:numRef>
          </c:cat>
          <c:val>
            <c:numRef>
              <c:f>Sheet2!$D$2:$D$169</c:f>
              <c:numCache>
                <c:formatCode>0.0</c:formatCode>
                <c:ptCount val="168"/>
                <c:pt idx="0">
                  <c:v>32.140201169999997</c:v>
                </c:pt>
                <c:pt idx="1">
                  <c:v>37.807493479999998</c:v>
                </c:pt>
                <c:pt idx="2">
                  <c:v>48.917305349999999</c:v>
                </c:pt>
                <c:pt idx="3">
                  <c:v>50.852987229999897</c:v>
                </c:pt>
                <c:pt idx="4">
                  <c:v>47.261532729999999</c:v>
                </c:pt>
                <c:pt idx="5">
                  <c:v>50.435480040000002</c:v>
                </c:pt>
                <c:pt idx="6">
                  <c:v>49.688238849999998</c:v>
                </c:pt>
                <c:pt idx="7">
                  <c:v>53.313529039999999</c:v>
                </c:pt>
                <c:pt idx="8">
                  <c:v>57.194232110000002</c:v>
                </c:pt>
                <c:pt idx="9">
                  <c:v>56.849253849999997</c:v>
                </c:pt>
                <c:pt idx="10">
                  <c:v>54.038164029999997</c:v>
                </c:pt>
                <c:pt idx="11">
                  <c:v>62.861424130000003</c:v>
                </c:pt>
                <c:pt idx="12">
                  <c:v>42.903038459999998</c:v>
                </c:pt>
                <c:pt idx="13">
                  <c:v>52.278672239999999</c:v>
                </c:pt>
                <c:pt idx="14">
                  <c:v>70.454189310000004</c:v>
                </c:pt>
                <c:pt idx="15">
                  <c:v>84.700238780000006</c:v>
                </c:pt>
                <c:pt idx="16">
                  <c:v>113.5081335</c:v>
                </c:pt>
                <c:pt idx="17">
                  <c:v>92.661027730000001</c:v>
                </c:pt>
                <c:pt idx="18">
                  <c:v>82.854006100000007</c:v>
                </c:pt>
                <c:pt idx="19">
                  <c:v>93.383308709999994</c:v>
                </c:pt>
                <c:pt idx="20">
                  <c:v>75.421685190000005</c:v>
                </c:pt>
                <c:pt idx="21">
                  <c:v>73.26499158</c:v>
                </c:pt>
                <c:pt idx="22">
                  <c:v>66.71298127</c:v>
                </c:pt>
                <c:pt idx="23">
                  <c:v>105.79462719999999</c:v>
                </c:pt>
                <c:pt idx="24">
                  <c:v>51.361691759999999</c:v>
                </c:pt>
                <c:pt idx="25">
                  <c:v>59.620887349999997</c:v>
                </c:pt>
                <c:pt idx="26">
                  <c:v>84.902420899999996</c:v>
                </c:pt>
                <c:pt idx="27">
                  <c:v>104.0081745</c:v>
                </c:pt>
                <c:pt idx="28">
                  <c:v>84.912854929999995</c:v>
                </c:pt>
                <c:pt idx="29">
                  <c:v>74.204970549999999</c:v>
                </c:pt>
                <c:pt idx="30">
                  <c:v>83.759720569999999</c:v>
                </c:pt>
                <c:pt idx="31">
                  <c:v>92.324098280000001</c:v>
                </c:pt>
                <c:pt idx="32">
                  <c:v>77.665181149999995</c:v>
                </c:pt>
                <c:pt idx="33">
                  <c:v>93.173179689999998</c:v>
                </c:pt>
                <c:pt idx="34">
                  <c:v>100.9173287</c:v>
                </c:pt>
                <c:pt idx="35">
                  <c:v>85.281491630000005</c:v>
                </c:pt>
                <c:pt idx="36">
                  <c:v>46.869972939999897</c:v>
                </c:pt>
                <c:pt idx="37">
                  <c:v>52.947862450000002</c:v>
                </c:pt>
                <c:pt idx="38">
                  <c:v>76.714164609999997</c:v>
                </c:pt>
                <c:pt idx="39">
                  <c:v>73.896194730000005</c:v>
                </c:pt>
                <c:pt idx="40">
                  <c:v>57.523533479999998</c:v>
                </c:pt>
                <c:pt idx="41">
                  <c:v>58.889271790000002</c:v>
                </c:pt>
                <c:pt idx="42">
                  <c:v>75.436411109999995</c:v>
                </c:pt>
                <c:pt idx="43">
                  <c:v>66.516934359999894</c:v>
                </c:pt>
                <c:pt idx="44">
                  <c:v>60.546537530000002</c:v>
                </c:pt>
                <c:pt idx="45">
                  <c:v>57.767358229999999</c:v>
                </c:pt>
                <c:pt idx="46">
                  <c:v>36.811589830000003</c:v>
                </c:pt>
                <c:pt idx="47">
                  <c:v>50.485051939999998</c:v>
                </c:pt>
                <c:pt idx="48">
                  <c:v>42.909608380000002</c:v>
                </c:pt>
                <c:pt idx="49">
                  <c:v>107.74445129999999</c:v>
                </c:pt>
                <c:pt idx="50">
                  <c:v>111.4679403</c:v>
                </c:pt>
                <c:pt idx="51">
                  <c:v>114.03151</c:v>
                </c:pt>
                <c:pt idx="52">
                  <c:v>98.951495390000005</c:v>
                </c:pt>
                <c:pt idx="53">
                  <c:v>88.886994639999998</c:v>
                </c:pt>
                <c:pt idx="54">
                  <c:v>79.4090159</c:v>
                </c:pt>
                <c:pt idx="55">
                  <c:v>66.376607179999894</c:v>
                </c:pt>
                <c:pt idx="56">
                  <c:v>68.679376919999996</c:v>
                </c:pt>
                <c:pt idx="57">
                  <c:v>101.7904935</c:v>
                </c:pt>
                <c:pt idx="58">
                  <c:v>81.528705700000003</c:v>
                </c:pt>
                <c:pt idx="59">
                  <c:v>98.217800839999995</c:v>
                </c:pt>
                <c:pt idx="60">
                  <c:v>54.560854470000002</c:v>
                </c:pt>
                <c:pt idx="61">
                  <c:v>85.488375779999998</c:v>
                </c:pt>
                <c:pt idx="62">
                  <c:v>98.423769750000005</c:v>
                </c:pt>
                <c:pt idx="63">
                  <c:v>96.547434359999997</c:v>
                </c:pt>
                <c:pt idx="64">
                  <c:v>112.44913870000001</c:v>
                </c:pt>
                <c:pt idx="65">
                  <c:v>80.954351970000005</c:v>
                </c:pt>
                <c:pt idx="66">
                  <c:v>74.118480509999998</c:v>
                </c:pt>
                <c:pt idx="67">
                  <c:v>70.357294789999997</c:v>
                </c:pt>
                <c:pt idx="68">
                  <c:v>72.625679700000006</c:v>
                </c:pt>
                <c:pt idx="69">
                  <c:v>71.352954729999894</c:v>
                </c:pt>
                <c:pt idx="70">
                  <c:v>76.401847660000001</c:v>
                </c:pt>
                <c:pt idx="71">
                  <c:v>84.622621609999996</c:v>
                </c:pt>
                <c:pt idx="72">
                  <c:v>46.672930710000003</c:v>
                </c:pt>
                <c:pt idx="73">
                  <c:v>65.288942449999894</c:v>
                </c:pt>
                <c:pt idx="74">
                  <c:v>70.559557839999997</c:v>
                </c:pt>
                <c:pt idx="75">
                  <c:v>73.654492759999997</c:v>
                </c:pt>
                <c:pt idx="76">
                  <c:v>71.152485990000002</c:v>
                </c:pt>
                <c:pt idx="77">
                  <c:v>69.839868249999995</c:v>
                </c:pt>
                <c:pt idx="78">
                  <c:v>75.986925409999998</c:v>
                </c:pt>
                <c:pt idx="79">
                  <c:v>98.963770240000002</c:v>
                </c:pt>
                <c:pt idx="80">
                  <c:v>100.88203129999999</c:v>
                </c:pt>
                <c:pt idx="81">
                  <c:v>83.613903579999999</c:v>
                </c:pt>
                <c:pt idx="82">
                  <c:v>76.856490730000004</c:v>
                </c:pt>
                <c:pt idx="83">
                  <c:v>116.48409770000001</c:v>
                </c:pt>
                <c:pt idx="84">
                  <c:v>60.759212869999999</c:v>
                </c:pt>
                <c:pt idx="85">
                  <c:v>75.990600470000004</c:v>
                </c:pt>
                <c:pt idx="86">
                  <c:v>67.121186660000006</c:v>
                </c:pt>
                <c:pt idx="87">
                  <c:v>77.192728149999894</c:v>
                </c:pt>
                <c:pt idx="88">
                  <c:v>89.30169669</c:v>
                </c:pt>
                <c:pt idx="89">
                  <c:v>104.3935752</c:v>
                </c:pt>
                <c:pt idx="90">
                  <c:v>71.960229519999999</c:v>
                </c:pt>
                <c:pt idx="91">
                  <c:v>65.066707339999894</c:v>
                </c:pt>
                <c:pt idx="92">
                  <c:v>67.908063150000004</c:v>
                </c:pt>
                <c:pt idx="93">
                  <c:v>98.304630560000007</c:v>
                </c:pt>
                <c:pt idx="94">
                  <c:v>89.884874240000002</c:v>
                </c:pt>
                <c:pt idx="95">
                  <c:v>115.90539920000001</c:v>
                </c:pt>
                <c:pt idx="96">
                  <c:v>72.907117569999997</c:v>
                </c:pt>
                <c:pt idx="97">
                  <c:v>97.682590250000004</c:v>
                </c:pt>
                <c:pt idx="98">
                  <c:v>97.014292179999998</c:v>
                </c:pt>
                <c:pt idx="99">
                  <c:v>118.93543680000001</c:v>
                </c:pt>
                <c:pt idx="100">
                  <c:v>77.671865010000005</c:v>
                </c:pt>
                <c:pt idx="101">
                  <c:v>87.279698170000003</c:v>
                </c:pt>
                <c:pt idx="102">
                  <c:v>66.604245860000006</c:v>
                </c:pt>
                <c:pt idx="103">
                  <c:v>61.750289870000003</c:v>
                </c:pt>
                <c:pt idx="104">
                  <c:v>64.290963439999999</c:v>
                </c:pt>
                <c:pt idx="105">
                  <c:v>80.976382259999994</c:v>
                </c:pt>
                <c:pt idx="106">
                  <c:v>74.647092049999998</c:v>
                </c:pt>
                <c:pt idx="107">
                  <c:v>98.914396620000005</c:v>
                </c:pt>
                <c:pt idx="108">
                  <c:v>65.932319620000001</c:v>
                </c:pt>
                <c:pt idx="109">
                  <c:v>93.117994240000002</c:v>
                </c:pt>
                <c:pt idx="110">
                  <c:v>93.171799010000001</c:v>
                </c:pt>
                <c:pt idx="111">
                  <c:v>110.4656248</c:v>
                </c:pt>
                <c:pt idx="112">
                  <c:v>70.546550319999994</c:v>
                </c:pt>
                <c:pt idx="113">
                  <c:v>73.283915690519606</c:v>
                </c:pt>
                <c:pt idx="114">
                  <c:v>74.247637712930398</c:v>
                </c:pt>
                <c:pt idx="115">
                  <c:v>82.486249143061698</c:v>
                </c:pt>
                <c:pt idx="116">
                  <c:v>79.153785721217304</c:v>
                </c:pt>
                <c:pt idx="117">
                  <c:v>94.787169316713701</c:v>
                </c:pt>
                <c:pt idx="118">
                  <c:v>92.112989655878806</c:v>
                </c:pt>
                <c:pt idx="119">
                  <c:v>122.53076400114099</c:v>
                </c:pt>
                <c:pt idx="120">
                  <c:v>87.381753534032796</c:v>
                </c:pt>
                <c:pt idx="121">
                  <c:v>161.12924409397499</c:v>
                </c:pt>
                <c:pt idx="122">
                  <c:v>198.59042881855399</c:v>
                </c:pt>
                <c:pt idx="123">
                  <c:v>249.20679172571599</c:v>
                </c:pt>
                <c:pt idx="124">
                  <c:v>234.2142910103</c:v>
                </c:pt>
                <c:pt idx="125">
                  <c:v>220.23399191707301</c:v>
                </c:pt>
                <c:pt idx="126">
                  <c:v>207.386957670806</c:v>
                </c:pt>
                <c:pt idx="127">
                  <c:v>212.18938645211901</c:v>
                </c:pt>
                <c:pt idx="128">
                  <c:v>185.330058510263</c:v>
                </c:pt>
                <c:pt idx="129">
                  <c:v>204.97510201709801</c:v>
                </c:pt>
                <c:pt idx="130">
                  <c:v>173.829126541064</c:v>
                </c:pt>
                <c:pt idx="131">
                  <c:v>210.440003959644</c:v>
                </c:pt>
                <c:pt idx="132">
                  <c:v>111.759394711003</c:v>
                </c:pt>
                <c:pt idx="133">
                  <c:v>152.552575140079</c:v>
                </c:pt>
                <c:pt idx="134">
                  <c:v>161.22325712314199</c:v>
                </c:pt>
                <c:pt idx="135">
                  <c:v>185.013364087855</c:v>
                </c:pt>
                <c:pt idx="136">
                  <c:v>162.97167669164401</c:v>
                </c:pt>
                <c:pt idx="137">
                  <c:v>147.24328014485701</c:v>
                </c:pt>
                <c:pt idx="138">
                  <c:v>138.276381224479</c:v>
                </c:pt>
                <c:pt idx="139">
                  <c:v>145.08295274903699</c:v>
                </c:pt>
                <c:pt idx="140">
                  <c:v>129.97515428998801</c:v>
                </c:pt>
                <c:pt idx="141">
                  <c:v>147.42173321153001</c:v>
                </c:pt>
                <c:pt idx="142">
                  <c:v>128.101350371064</c:v>
                </c:pt>
                <c:pt idx="143">
                  <c:v>157.508189518943</c:v>
                </c:pt>
                <c:pt idx="144">
                  <c:v>84.667861793371998</c:v>
                </c:pt>
                <c:pt idx="145">
                  <c:v>118.16036724535</c:v>
                </c:pt>
                <c:pt idx="146">
                  <c:v>128.327698040179</c:v>
                </c:pt>
                <c:pt idx="147">
                  <c:v>151.87223744039699</c:v>
                </c:pt>
                <c:pt idx="148">
                  <c:v>137.80921434212399</c:v>
                </c:pt>
                <c:pt idx="149">
                  <c:v>128.16648492808</c:v>
                </c:pt>
                <c:pt idx="150">
                  <c:v>124.086976449017</c:v>
                </c:pt>
                <c:pt idx="151">
                  <c:v>133.02297587837</c:v>
                </c:pt>
                <c:pt idx="152">
                  <c:v>121.35702968883</c:v>
                </c:pt>
                <c:pt idx="153">
                  <c:v>139.84313464790301</c:v>
                </c:pt>
                <c:pt idx="154">
                  <c:v>123.14435228093799</c:v>
                </c:pt>
                <c:pt idx="155">
                  <c:v>153.15731010072801</c:v>
                </c:pt>
                <c:pt idx="156">
                  <c:v>82.652023610259704</c:v>
                </c:pt>
                <c:pt idx="157">
                  <c:v>115.29331257160899</c:v>
                </c:pt>
                <c:pt idx="158">
                  <c:v>124.68320055303001</c:v>
                </c:pt>
                <c:pt idx="159">
                  <c:v>146.59738398095899</c:v>
                </c:pt>
                <c:pt idx="160">
                  <c:v>131.99735215695699</c:v>
                </c:pt>
                <c:pt idx="161">
                  <c:v>121.94035040266201</c:v>
                </c:pt>
                <c:pt idx="162">
                  <c:v>117.09101667806701</c:v>
                </c:pt>
                <c:pt idx="163">
                  <c:v>124.81190884815901</c:v>
                </c:pt>
                <c:pt idx="164">
                  <c:v>113.170749200275</c:v>
                </c:pt>
                <c:pt idx="165">
                  <c:v>129.677503596957</c:v>
                </c:pt>
                <c:pt idx="166">
                  <c:v>113.52087614423399</c:v>
                </c:pt>
                <c:pt idx="167">
                  <c:v>140.34071655303401</c:v>
                </c:pt>
              </c:numCache>
            </c:numRef>
          </c:val>
        </c:ser>
        <c:marker val="1"/>
        <c:axId val="35222272"/>
        <c:axId val="35223808"/>
      </c:lineChart>
      <c:dateAx>
        <c:axId val="35222272"/>
        <c:scaling>
          <c:orientation val="minMax"/>
        </c:scaling>
        <c:axPos val="b"/>
        <c:numFmt formatCode="mmm/yy" sourceLinked="0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3808"/>
        <c:crosses val="autoZero"/>
        <c:auto val="1"/>
        <c:lblOffset val="100"/>
        <c:baseTimeUnit val="months"/>
      </c:dateAx>
      <c:valAx>
        <c:axId val="35223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22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66450567260941"/>
          <c:y val="0.91014750381426579"/>
          <c:w val="0.45542949756888168"/>
          <c:h val="6.3768296445585501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1250083923510589"/>
          <c:y val="3.819457395621051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сбережения!$A$51</c:f>
              <c:strCache>
                <c:ptCount val="1"/>
                <c:pt idx="0">
                  <c:v>процентн платежи к расп доходу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сбережения!$B$1:$O$1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сбережения!$B$51:$O$51</c:f>
              <c:numCache>
                <c:formatCode>General</c:formatCode>
                <c:ptCount val="14"/>
                <c:pt idx="1">
                  <c:v>1.7296740260487842</c:v>
                </c:pt>
                <c:pt idx="2">
                  <c:v>2.1937109021051313</c:v>
                </c:pt>
                <c:pt idx="3">
                  <c:v>2.8212026505345951</c:v>
                </c:pt>
                <c:pt idx="4">
                  <c:v>2.6315929285978981</c:v>
                </c:pt>
                <c:pt idx="5">
                  <c:v>2.3648291371315349</c:v>
                </c:pt>
                <c:pt idx="6">
                  <c:v>2.7361591964554668</c:v>
                </c:pt>
                <c:pt idx="7">
                  <c:v>3.5866715222250871</c:v>
                </c:pt>
                <c:pt idx="8">
                  <c:v>4.463724532453325</c:v>
                </c:pt>
                <c:pt idx="9">
                  <c:v>5.0341985576309991</c:v>
                </c:pt>
                <c:pt idx="10">
                  <c:v>6.0221097209885102</c:v>
                </c:pt>
                <c:pt idx="11">
                  <c:v>6.3023927512320528</c:v>
                </c:pt>
                <c:pt idx="12">
                  <c:v>5.6860235970951392</c:v>
                </c:pt>
                <c:pt idx="13">
                  <c:v>5.5010701033257492</c:v>
                </c:pt>
              </c:numCache>
            </c:numRef>
          </c:val>
        </c:ser>
        <c:ser>
          <c:idx val="1"/>
          <c:order val="1"/>
          <c:tx>
            <c:strRef>
              <c:f>сбережения!$A$52</c:f>
              <c:strCache>
                <c:ptCount val="1"/>
                <c:pt idx="0">
                  <c:v>долг к располаг доходу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сбережения!$B$1:$O$1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сбережения!$B$52:$O$52</c:f>
              <c:numCache>
                <c:formatCode>General</c:formatCode>
                <c:ptCount val="14"/>
                <c:pt idx="1">
                  <c:v>13.027969077456971</c:v>
                </c:pt>
                <c:pt idx="2">
                  <c:v>16.763171595575251</c:v>
                </c:pt>
                <c:pt idx="3">
                  <c:v>19.015506204947158</c:v>
                </c:pt>
                <c:pt idx="4">
                  <c:v>14.825382190324049</c:v>
                </c:pt>
                <c:pt idx="5">
                  <c:v>14.773243418765283</c:v>
                </c:pt>
                <c:pt idx="6">
                  <c:v>18.416249684165837</c:v>
                </c:pt>
                <c:pt idx="7">
                  <c:v>23.116716564543125</c:v>
                </c:pt>
                <c:pt idx="8">
                  <c:v>26.757023618782881</c:v>
                </c:pt>
                <c:pt idx="9">
                  <c:v>30.756175857709238</c:v>
                </c:pt>
                <c:pt idx="10">
                  <c:v>30.597306351970353</c:v>
                </c:pt>
                <c:pt idx="11">
                  <c:v>31.066925268955959</c:v>
                </c:pt>
                <c:pt idx="12">
                  <c:v>32.183975507344513</c:v>
                </c:pt>
                <c:pt idx="13">
                  <c:v>33.712687693228105</c:v>
                </c:pt>
              </c:numCache>
            </c:numRef>
          </c:val>
        </c:ser>
        <c:marker val="1"/>
        <c:axId val="35268096"/>
        <c:axId val="35269632"/>
      </c:lineChart>
      <c:catAx>
        <c:axId val="35268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9632"/>
        <c:crosses val="autoZero"/>
        <c:auto val="1"/>
        <c:lblAlgn val="ctr"/>
        <c:lblOffset val="100"/>
      </c:catAx>
      <c:valAx>
        <c:axId val="35269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8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333452013045274E-2"/>
          <c:y val="0.89236413697691841"/>
          <c:w val="0.88125179291136257"/>
          <c:h val="7.638914791242103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17954070981210857"/>
          <c:y val="3.8194573956210516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сбережения!$A$53</c:f>
              <c:strCache>
                <c:ptCount val="1"/>
                <c:pt idx="0">
                  <c:v>депозиты+кредиты к располагаемым доходам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сбережения!$B$1:$O$1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сбережения!$B$53:$O$53</c:f>
              <c:numCache>
                <c:formatCode>General</c:formatCode>
                <c:ptCount val="14"/>
                <c:pt idx="3">
                  <c:v>-8.7793703518679357E-3</c:v>
                </c:pt>
                <c:pt idx="4">
                  <c:v>5.0180273399747927E-2</c:v>
                </c:pt>
                <c:pt idx="5">
                  <c:v>-8.3225652266553426E-3</c:v>
                </c:pt>
                <c:pt idx="6">
                  <c:v>-1.5389385882513833E-2</c:v>
                </c:pt>
                <c:pt idx="7">
                  <c:v>-5.5148507147191002E-2</c:v>
                </c:pt>
                <c:pt idx="8">
                  <c:v>-3.5975851049155246E-2</c:v>
                </c:pt>
                <c:pt idx="9">
                  <c:v>-4.3890403061401795E-2</c:v>
                </c:pt>
                <c:pt idx="10">
                  <c:v>5.2353739883342666E-2</c:v>
                </c:pt>
                <c:pt idx="11">
                  <c:v>1.1913304876410645E-2</c:v>
                </c:pt>
                <c:pt idx="12">
                  <c:v>1.2875248872665019E-2</c:v>
                </c:pt>
                <c:pt idx="13">
                  <c:v>1.3272399197200717E-2</c:v>
                </c:pt>
              </c:numCache>
            </c:numRef>
          </c:val>
        </c:ser>
        <c:marker val="1"/>
        <c:axId val="35289728"/>
        <c:axId val="35291520"/>
      </c:lineChart>
      <c:catAx>
        <c:axId val="35289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520"/>
        <c:crosses val="autoZero"/>
        <c:auto val="1"/>
        <c:lblAlgn val="ctr"/>
        <c:lblOffset val="100"/>
      </c:catAx>
      <c:valAx>
        <c:axId val="3529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19050</xdr:rowOff>
    </xdr:from>
    <xdr:to>
      <xdr:col>21</xdr:col>
      <xdr:colOff>142875</xdr:colOff>
      <xdr:row>23</xdr:row>
      <xdr:rowOff>38100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147</xdr:row>
      <xdr:rowOff>180975</xdr:rowOff>
    </xdr:from>
    <xdr:to>
      <xdr:col>28</xdr:col>
      <xdr:colOff>19050</xdr:colOff>
      <xdr:row>172</xdr:row>
      <xdr:rowOff>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228600</xdr:colOff>
      <xdr:row>152</xdr:row>
      <xdr:rowOff>161925</xdr:rowOff>
    </xdr:from>
    <xdr:to>
      <xdr:col>36</xdr:col>
      <xdr:colOff>533400</xdr:colOff>
      <xdr:row>166</xdr:row>
      <xdr:rowOff>104775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28575</xdr:colOff>
      <xdr:row>152</xdr:row>
      <xdr:rowOff>0</xdr:rowOff>
    </xdr:from>
    <xdr:to>
      <xdr:col>50</xdr:col>
      <xdr:colOff>333375</xdr:colOff>
      <xdr:row>166</xdr:row>
      <xdr:rowOff>76200</xdr:rowOff>
    </xdr:to>
    <xdr:graphicFrame macro="">
      <xdr:nvGraphicFramePr>
        <xdr:cNvPr id="12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152</xdr:row>
      <xdr:rowOff>28575</xdr:rowOff>
    </xdr:from>
    <xdr:to>
      <xdr:col>14</xdr:col>
      <xdr:colOff>485775</xdr:colOff>
      <xdr:row>169</xdr:row>
      <xdr:rowOff>76200</xdr:rowOff>
    </xdr:to>
    <xdr:graphicFrame macro="">
      <xdr:nvGraphicFramePr>
        <xdr:cNvPr id="2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60</xdr:row>
      <xdr:rowOff>180975</xdr:rowOff>
    </xdr:from>
    <xdr:to>
      <xdr:col>4</xdr:col>
      <xdr:colOff>209550</xdr:colOff>
      <xdr:row>75</xdr:row>
      <xdr:rowOff>66675</xdr:rowOff>
    </xdr:to>
    <xdr:graphicFrame macro="">
      <xdr:nvGraphicFramePr>
        <xdr:cNvPr id="11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61</xdr:row>
      <xdr:rowOff>19050</xdr:rowOff>
    </xdr:from>
    <xdr:to>
      <xdr:col>15</xdr:col>
      <xdr:colOff>238125</xdr:colOff>
      <xdr:row>75</xdr:row>
      <xdr:rowOff>95250</xdr:rowOff>
    </xdr:to>
    <xdr:graphicFrame macro="">
      <xdr:nvGraphicFramePr>
        <xdr:cNvPr id="112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291353</xdr:rowOff>
    </xdr:from>
    <xdr:to>
      <xdr:col>2</xdr:col>
      <xdr:colOff>56030</xdr:colOff>
      <xdr:row>11</xdr:row>
      <xdr:rowOff>224117</xdr:rowOff>
    </xdr:to>
    <xdr:sp macro="" textlink="">
      <xdr:nvSpPr>
        <xdr:cNvPr id="2" name="TextBox 1"/>
        <xdr:cNvSpPr txBox="1"/>
      </xdr:nvSpPr>
      <xdr:spPr>
        <a:xfrm>
          <a:off x="4229100" y="4129928"/>
          <a:ext cx="1665755" cy="228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55;&#1086;&#1103;&#1089;&#1085;&#1080;&#1090;&#1077;&#1083;&#1100;&#1085;&#1099;&#1077;%20&#1079;&#1072;&#1087;&#1080;&#1089;&#1082;&#1080;\4%20&#1072;&#1074;&#1075;&#1091;&#1089;&#1090;&#1072;%202006\Documents%20and%20Settings\Ustinov\Local%20Settings\Temporary%20Internet%20Files\OLK2B0\&#1054;&#1090;&#1087;&#1088;&#1072;&#1074;&#1083;&#1077;&#1085;&#1086;\brp\&#1043;&#1059;&#1060;&#1050;\GUF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work/&#1041;&#1044;&#1044;&#1056;&#1053;%20(final)long-ter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vrovaNA/Desktop/money_current_&#1089;&#1094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MPKA_Macro/&#1044;&#1086;&#1083;&#1075;&#1086;&#1089;&#1088;&#1086;&#1095;&#1082;&#1072;/benchmark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MPKA_Macro/&#1044;&#1086;&#1083;&#1075;&#1086;&#1089;&#1088;&#1086;&#1095;&#1082;&#1072;/&#1041;&#1102;&#1076;&#1078;&#1077;&#1090;/&#1059;&#1088;&#1086;&#1074;&#1077;&#1085;&#1100;%20&#1069;&#1040;&#1053;_16.06.201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vrovaNA/AppData/Local/Microsoft/Windows/Temporary%20Internet%20Files/Content.Outlook/60GRUSVF/&#1041;&#1102;&#1076;&#1078;&#1077;&#1090;%2007.04.2015_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&#1041;&#1102;&#1076;&#1078;&#1077;&#1090;/&#1052;&#1069;&#1056;%20&#1076;&#1077;&#1082;&#1072;&#1073;&#1088;&#1100;%202014/%23&#1042;&#1041;&#1060;%23&#1042;&#1079;&#1085;&#1086;&#1089;&#1099;-&#1087;&#1077;&#1085;&#1089;&#1080;&#110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8;&#1072;&#1089;&#1095;&#1077;&#1090;%20&#1085;&#1072;%2015.07/&#1088;&#1072;&#1089;&#1095;&#1077;&#1090;%20&#1079;&#1072;&#1088;&#1087;&#1083;&#1072;&#1090;&#1099;_var1_15.07.201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MPKA_Macro/Forecast/&#1041;&#1072;&#1085;&#1082;&#1080;%20&#1080;%20&#1044;&#1050;&#1055;%20(&#1064;&#1074;&#1072;&#1088;&#1077;&#1074;&#1072;)/money_current_&#1089;&#1094;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vings%20(sa)%20for_forecast_20_06_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ltila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&#1041;&#1072;&#1083;&#1072;&#1085;&#1089;\An(EsMon)\7.02.01\&#1061;&#1072;&#1085;&#1086;&#1074;&#1072;\&#1043;&#1088;(27.07.00)5&#106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&#1041;&#1072;&#1083;&#1072;&#1085;&#1089;\An(EsMon)\7.02.01\SC_W\&#1055;&#1088;&#1086;&#1075;&#1085;&#1086;&#1079;\&#1055;&#1088;&#1086;&#1075;05_00(27.0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&#1041;&#1072;&#1083;&#1072;&#1085;&#1089;\An(EsMon)\SC_W\&#1055;&#1088;&#1086;&#1075;&#1085;&#1086;&#1079;\&#1055;&#1088;&#1086;&#1075;05_00(27.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&#1061;&#1072;&#1085;&#1086;&#1074;&#1072;\&#1043;&#1088;(27.07.00)5&#106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iNVESTMENTS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SC_W\&#1055;&#1088;&#1086;&#1075;&#1085;&#1086;&#1079;\&#1055;&#1088;&#1086;&#1075;05_00(27.06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tinov\&#1087;&#1092;&#1087;%202008-2010\&#1041;&#1072;&#1083;&#1072;&#1085;&#1089;\An(EsMon)\&#1061;&#1072;&#1085;&#1086;&#1074;&#1072;\&#1043;&#1088;(27.07.00)5&#106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диффер."/>
      <sheetName val="доход"/>
      <sheetName val="расход"/>
      <sheetName val="сбережен"/>
      <sheetName val="баланс"/>
      <sheetName val="баланс02"/>
      <sheetName val="БАЛ"/>
      <sheetName val="2002_2005"/>
      <sheetName val="принт"/>
      <sheetName val="Сбережения"/>
      <sheetName val="кредиты населению"/>
      <sheetName val="Темпы роста"/>
      <sheetName val="Сбережения 2"/>
      <sheetName val="выход по-квартально"/>
      <sheetName val="темп роста по-квартально"/>
      <sheetName val="Сравнение доходов"/>
      <sheetName val="Sheet11"/>
      <sheetName val="Sheet12"/>
      <sheetName val="Sheet13"/>
      <sheetName val="Sheet14"/>
      <sheetName val="Лист1"/>
      <sheetName val="Расчет номиналы"/>
      <sheetName val="Sheet15"/>
      <sheetName val="Sheet16"/>
      <sheetName val="Sheet17"/>
      <sheetName val="Sheet18"/>
      <sheetName val="Sheet19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B21">
            <v>1040500</v>
          </cell>
          <cell r="D21">
            <v>1253402</v>
          </cell>
          <cell r="F21">
            <v>1407374.977</v>
          </cell>
          <cell r="H21">
            <v>1755574.5649999999</v>
          </cell>
          <cell r="J21">
            <v>2080322.7999999998</v>
          </cell>
        </row>
        <row r="22">
          <cell r="B22">
            <v>722554.22699999996</v>
          </cell>
          <cell r="D22">
            <v>879941</v>
          </cell>
          <cell r="F22">
            <v>1059423.6400000001</v>
          </cell>
          <cell r="H22">
            <v>1254640.0789999999</v>
          </cell>
          <cell r="J22">
            <v>1438320.8</v>
          </cell>
        </row>
        <row r="63">
          <cell r="B63">
            <v>26575</v>
          </cell>
          <cell r="D63">
            <v>39734</v>
          </cell>
          <cell r="F63">
            <v>53896.781999999999</v>
          </cell>
          <cell r="H63">
            <v>68093.364000000001</v>
          </cell>
          <cell r="J63">
            <v>78068.497000000018</v>
          </cell>
        </row>
        <row r="69">
          <cell r="F69">
            <v>132.98474946216916</v>
          </cell>
          <cell r="H69">
            <v>118.00939401659033</v>
          </cell>
          <cell r="J69">
            <v>132.47093363627741</v>
          </cell>
        </row>
        <row r="71">
          <cell r="B71">
            <v>149513.60000000001</v>
          </cell>
          <cell r="D71">
            <v>183911</v>
          </cell>
          <cell r="F71">
            <v>255783.29800000001</v>
          </cell>
          <cell r="H71">
            <v>217622.236</v>
          </cell>
          <cell r="J71">
            <v>246942.60000000003</v>
          </cell>
        </row>
        <row r="73">
          <cell r="B73">
            <v>23932</v>
          </cell>
          <cell r="D73">
            <v>39790</v>
          </cell>
          <cell r="F73">
            <v>70079.686000000002</v>
          </cell>
          <cell r="H73">
            <v>142265.723</v>
          </cell>
          <cell r="J73">
            <v>249959</v>
          </cell>
        </row>
        <row r="75">
          <cell r="B75">
            <v>4172</v>
          </cell>
          <cell r="D75">
            <v>4592</v>
          </cell>
          <cell r="F75">
            <v>4901.2800000000007</v>
          </cell>
          <cell r="H75">
            <v>3332.7689999999998</v>
          </cell>
          <cell r="J75">
            <v>3509</v>
          </cell>
        </row>
        <row r="83">
          <cell r="D83">
            <v>196.56993938566498</v>
          </cell>
          <cell r="F83">
            <v>95.896476380164458</v>
          </cell>
          <cell r="H83">
            <v>146.38786784241944</v>
          </cell>
          <cell r="J83">
            <v>170.6040995283775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Рын. ставки"/>
      <sheetName val="Ключевая ставка"/>
      <sheetName val="Кред&amp;Деп-кв"/>
      <sheetName val="Ден-кв"/>
      <sheetName val="Таб-кв"/>
      <sheetName val="Результаты-свод"/>
      <sheetName val="Схема 1"/>
      <sheetName val="Схема 1 (2)"/>
      <sheetName val="Обзор ЦБ"/>
      <sheetName val="Обзор КО"/>
      <sheetName val="dbase"/>
      <sheetName val="external"/>
      <sheetName val="валюта+сроч"/>
      <sheetName val="Прибыль банков-ДМ"/>
      <sheetName val="Прибыль банков"/>
    </sheetNames>
    <sheetDataSet>
      <sheetData sheetId="0">
        <row r="113">
          <cell r="H113">
            <v>0.1377590771128305</v>
          </cell>
          <cell r="I113">
            <v>0.2639993560094151</v>
          </cell>
        </row>
        <row r="125">
          <cell r="H125">
            <v>0.12549371502511347</v>
          </cell>
          <cell r="I125">
            <v>0.2190729169624826</v>
          </cell>
        </row>
        <row r="137">
          <cell r="H137">
            <v>0.10925334810383834</v>
          </cell>
          <cell r="I137">
            <v>0.20824625982496323</v>
          </cell>
        </row>
        <row r="149">
          <cell r="H149">
            <v>9.867487137070502E-2</v>
          </cell>
          <cell r="I149">
            <v>0.20596341549383085</v>
          </cell>
        </row>
      </sheetData>
      <sheetData sheetId="1"/>
      <sheetData sheetId="2"/>
      <sheetData sheetId="3"/>
      <sheetData sheetId="4"/>
      <sheetData sheetId="5"/>
      <sheetData sheetId="6">
        <row r="75">
          <cell r="C75" t="str">
            <v>Другие депозиты</v>
          </cell>
          <cell r="D75">
            <v>2150.5340000000001</v>
          </cell>
          <cell r="E75">
            <v>3063.21</v>
          </cell>
          <cell r="F75">
            <v>3780.4009999999998</v>
          </cell>
          <cell r="G75">
            <v>4096.4620000000004</v>
          </cell>
          <cell r="H75">
            <v>5216.7280000000001</v>
          </cell>
          <cell r="I75">
            <v>5682.6779999999999</v>
          </cell>
          <cell r="J75">
            <v>6651.6019999999999</v>
          </cell>
        </row>
        <row r="83">
          <cell r="J83">
            <v>13788.801028289614</v>
          </cell>
          <cell r="K83">
            <v>13404.88483210999</v>
          </cell>
        </row>
        <row r="104">
          <cell r="F104">
            <v>4.0601209454717777E-3</v>
          </cell>
          <cell r="G104">
            <v>2.932315278065303E-3</v>
          </cell>
        </row>
        <row r="115">
          <cell r="G115">
            <v>4525.84</v>
          </cell>
          <cell r="H115">
            <v>6055.4409999999998</v>
          </cell>
          <cell r="I115">
            <v>8412.9920000000002</v>
          </cell>
          <cell r="J115">
            <v>10795.175999999999</v>
          </cell>
          <cell r="K115">
            <v>12244.630999999999</v>
          </cell>
        </row>
        <row r="126">
          <cell r="I126">
            <v>14135.673000000001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out"/>
      <sheetName val="House Price To Household Incom"/>
      <sheetName val="Total Household Liabilities (A"/>
      <sheetName val="Mortgage Loans (As % Of GDP)"/>
      <sheetName val="morgage"/>
      <sheetName val="Household"/>
      <sheetName val="Corporate "/>
      <sheetName val="WB"/>
      <sheetName val="EUROMONITOR"/>
      <sheetName val="Euromon Mortgae"/>
      <sheetName val="IMF1"/>
      <sheetName val="IMF2"/>
      <sheetName val="Лист1"/>
    </sheetNames>
    <sheetDataSet>
      <sheetData sheetId="0">
        <row r="12">
          <cell r="G12">
            <v>15925.566857173966</v>
          </cell>
          <cell r="H12">
            <v>18444.369944501919</v>
          </cell>
          <cell r="I12">
            <v>21191.496428731767</v>
          </cell>
          <cell r="J12">
            <v>23755.651717038254</v>
          </cell>
          <cell r="K12">
            <v>26618.87975050529</v>
          </cell>
          <cell r="L12">
            <v>29755.02594992581</v>
          </cell>
          <cell r="M12">
            <v>33207.229900543534</v>
          </cell>
          <cell r="N12">
            <v>37013.360345650086</v>
          </cell>
          <cell r="O12">
            <v>41260.304549298773</v>
          </cell>
          <cell r="P12">
            <v>45815.784166573918</v>
          </cell>
          <cell r="Q12">
            <v>50759.551599859733</v>
          </cell>
          <cell r="R12">
            <v>55979.311679883969</v>
          </cell>
          <cell r="S12">
            <v>61636.741092044285</v>
          </cell>
          <cell r="T12">
            <v>66936.256418255944</v>
          </cell>
          <cell r="U12">
            <v>72568.802803665545</v>
          </cell>
          <cell r="V12">
            <v>78596.467360958661</v>
          </cell>
          <cell r="W12">
            <v>84814.096923573888</v>
          </cell>
          <cell r="X12">
            <v>91251.396889383512</v>
          </cell>
        </row>
        <row r="17">
          <cell r="C17">
            <v>3657.9030000000002</v>
          </cell>
          <cell r="D17">
            <v>4170.2243582038354</v>
          </cell>
          <cell r="E17">
            <v>4830.8969076209733</v>
          </cell>
          <cell r="F17">
            <v>5723.0273301624238</v>
          </cell>
          <cell r="G17">
            <v>6761.5731344036603</v>
          </cell>
          <cell r="H17">
            <v>7582.4170264296354</v>
          </cell>
          <cell r="I17">
            <v>8476.5985714927065</v>
          </cell>
          <cell r="J17">
            <v>10068.27740606161</v>
          </cell>
          <cell r="K17">
            <v>11838.181281893181</v>
          </cell>
          <cell r="L17">
            <v>13782.936253194388</v>
          </cell>
          <cell r="M17">
            <v>15928.773593276088</v>
          </cell>
          <cell r="N17">
            <v>18300.716898827068</v>
          </cell>
          <cell r="O17">
            <v>20949.451774451398</v>
          </cell>
          <cell r="P17">
            <v>23814.698444370533</v>
          </cell>
          <cell r="Q17">
            <v>26941.38894042798</v>
          </cell>
          <cell r="R17">
            <v>30273.349821569893</v>
          </cell>
          <cell r="S17">
            <v>33900.207600624351</v>
          </cell>
          <cell r="T17">
            <v>37558.677212465838</v>
          </cell>
          <cell r="U17">
            <v>41481.896737770985</v>
          </cell>
          <cell r="V17">
            <v>45710.050754662792</v>
          </cell>
          <cell r="W17">
            <v>50127.306002266101</v>
          </cell>
          <cell r="X17">
            <v>54750.83813363011</v>
          </cell>
        </row>
        <row r="22">
          <cell r="C22">
            <v>8586.7279999999992</v>
          </cell>
          <cell r="D22">
            <v>8929.3819072252627</v>
          </cell>
          <cell r="E22">
            <v>9515.6803905408833</v>
          </cell>
          <cell r="F22">
            <v>10444.159776662029</v>
          </cell>
          <cell r="G22">
            <v>11501.459639583751</v>
          </cell>
          <cell r="H22">
            <v>12084.417046389046</v>
          </cell>
          <cell r="I22">
            <v>12714.897857239061</v>
          </cell>
          <cell r="J22">
            <v>13687.374310976646</v>
          </cell>
          <cell r="K22">
            <v>14780.69846861211</v>
          </cell>
          <cell r="L22">
            <v>15972.089696731427</v>
          </cell>
          <cell r="M22">
            <v>17278.456307267454</v>
          </cell>
          <cell r="N22">
            <v>18712.643446823022</v>
          </cell>
          <cell r="O22">
            <v>20310.852774847393</v>
          </cell>
          <cell r="P22">
            <v>22001.08572220341</v>
          </cell>
          <cell r="Q22">
            <v>23818.162659431779</v>
          </cell>
          <cell r="R22">
            <v>25705.961858314098</v>
          </cell>
          <cell r="S22">
            <v>27736.533491419927</v>
          </cell>
          <cell r="T22">
            <v>29377.579205790116</v>
          </cell>
          <cell r="U22">
            <v>31086.906065894571</v>
          </cell>
          <cell r="V22">
            <v>32886.416606295861</v>
          </cell>
          <cell r="W22">
            <v>34686.790921307787</v>
          </cell>
          <cell r="X22">
            <v>36500.558755753409</v>
          </cell>
        </row>
        <row r="28">
          <cell r="G28">
            <v>28458.266550046901</v>
          </cell>
          <cell r="H28">
            <v>30552.519933374038</v>
          </cell>
          <cell r="I28">
            <v>32510.894271957335</v>
          </cell>
          <cell r="J28">
            <v>35355.475185827367</v>
          </cell>
          <cell r="K28">
            <v>38546.119007314206</v>
          </cell>
          <cell r="L28">
            <v>42029.061179738681</v>
          </cell>
          <cell r="M28">
            <v>45853.212348828332</v>
          </cell>
          <cell r="N28">
            <v>50057.663724587677</v>
          </cell>
          <cell r="O28">
            <v>54745.057032138837</v>
          </cell>
          <cell r="P28">
            <v>59726.63713597777</v>
          </cell>
          <cell r="Q28">
            <v>65099.679719885971</v>
          </cell>
          <cell r="R28">
            <v>70713.566615806238</v>
          </cell>
          <cell r="S28">
            <v>76768.310089939201</v>
          </cell>
          <cell r="T28">
            <v>82912.374340870112</v>
          </cell>
          <cell r="U28">
            <v>89421.156788068372</v>
          </cell>
          <cell r="V28">
            <v>96368.281735205368</v>
          </cell>
          <cell r="W28">
            <v>103500.07236611425</v>
          </cell>
          <cell r="X28">
            <v>110853.01251274254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На начало года"/>
      <sheetName val="В среднем за год"/>
      <sheetName val="В среднем за год млн."/>
      <sheetName val="трудосп"/>
      <sheetName val="Выход"/>
      <sheetName val="На начало года (по группам)"/>
      <sheetName val="ЭАН (более мелкие группы)"/>
      <sheetName val="Принт"/>
      <sheetName val="Принт по М Ж"/>
      <sheetName val="Страны мира"/>
      <sheetName val="мир ЭАН"/>
      <sheetName val="Страны мира (2)"/>
      <sheetName val="Лист2"/>
    </sheetNames>
    <sheetDataSet>
      <sheetData sheetId="0" refreshError="1"/>
      <sheetData sheetId="1" refreshError="1"/>
      <sheetData sheetId="2" refreshError="1">
        <row r="183">
          <cell r="J183">
            <v>1.0153521517642736</v>
          </cell>
          <cell r="K183">
            <v>1.0140085597133079</v>
          </cell>
          <cell r="L183">
            <v>1.0120132444800394</v>
          </cell>
          <cell r="M183">
            <v>1.0084615404214885</v>
          </cell>
          <cell r="N183">
            <v>1.0064465530591085</v>
          </cell>
          <cell r="O183">
            <v>1.0049425003990053</v>
          </cell>
          <cell r="P183">
            <v>1.0047484258329877</v>
          </cell>
          <cell r="Q183">
            <v>1.0042936544845003</v>
          </cell>
          <cell r="R183">
            <v>1.0031040965674922</v>
          </cell>
          <cell r="S183">
            <v>1.0029708734030396</v>
          </cell>
          <cell r="T183">
            <v>1.0031261883054694</v>
          </cell>
          <cell r="U183">
            <v>1.0047418379712318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Out"/>
      <sheetName val="Свод"/>
      <sheetName val="прогноз"/>
      <sheetName val="Расходы"/>
      <sheetName val="Антикризисные меры"/>
      <sheetName val="Индекс з.пл и ден довольств"/>
      <sheetName val="Пенсионные выплаты"/>
      <sheetName val="Сравнение"/>
      <sheetName val="Sheet1"/>
    </sheetNames>
    <sheetDataSet>
      <sheetData sheetId="0"/>
      <sheetData sheetId="1"/>
      <sheetData sheetId="2"/>
      <sheetData sheetId="3"/>
      <sheetData sheetId="4">
        <row r="7">
          <cell r="C7">
            <v>188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in"/>
      <sheetName val="РСВ"/>
      <sheetName val="льготники"/>
      <sheetName val="облагаемость"/>
      <sheetName val="взносы"/>
      <sheetName val="взносы_соп"/>
      <sheetName val="пенсия"/>
      <sheetName val="%ВВП"/>
      <sheetName val="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N10">
            <v>0.624</v>
          </cell>
          <cell r="O10">
            <v>0.64800000000000002</v>
          </cell>
        </row>
        <row r="23">
          <cell r="L23">
            <v>0.82485348940275816</v>
          </cell>
          <cell r="M23">
            <v>0.82068220706653761</v>
          </cell>
          <cell r="N23">
            <v>0.82472340920922149</v>
          </cell>
          <cell r="O23">
            <v>0.83747085654561437</v>
          </cell>
          <cell r="P23">
            <v>0.8486131794999533</v>
          </cell>
          <cell r="Q23">
            <v>0.85885683574290161</v>
          </cell>
          <cell r="R23">
            <v>0.86820182527445944</v>
          </cell>
        </row>
        <row r="33">
          <cell r="L33">
            <v>3.5130478116695341E-2</v>
          </cell>
          <cell r="M33">
            <v>3.62315229183355E-2</v>
          </cell>
          <cell r="P33">
            <v>1.7888339999999999E-2</v>
          </cell>
          <cell r="Q33">
            <v>1.8663801724072011E-2</v>
          </cell>
          <cell r="R33">
            <v>1.9223243665140399E-2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вар 1"/>
      <sheetName val="ФЗП свод"/>
      <sheetName val="Макро"/>
      <sheetName val="Числ старая"/>
      <sheetName val="лин Прогр"/>
      <sheetName val="лин Фед"/>
      <sheetName val="лин Фед (сравнение)"/>
      <sheetName val="лин Рег"/>
      <sheetName val="лин Рег (сравнение)"/>
      <sheetName val="лин Мун"/>
      <sheetName val="Наука"/>
      <sheetName val="Здрав"/>
      <sheetName val="Культура"/>
      <sheetName val="ГС, ОВД"/>
      <sheetName val="Обр"/>
      <sheetName val="прочие бюджетники"/>
      <sheetName val="ЦК числ вход"/>
      <sheetName val="ЦК зп вход"/>
      <sheetName val="stat data wage"/>
      <sheetName val="stat data empl"/>
      <sheetName val="Лист5"/>
    </sheetNames>
    <sheetDataSet>
      <sheetData sheetId="0">
        <row r="19">
          <cell r="O19">
            <v>26628.879210273688</v>
          </cell>
          <cell r="P19">
            <v>29791.957273214997</v>
          </cell>
          <cell r="Q19">
            <v>32494.625006215891</v>
          </cell>
          <cell r="R19">
            <v>33773.281345940573</v>
          </cell>
          <cell r="S19">
            <v>36232.786042495216</v>
          </cell>
          <cell r="T19">
            <v>39516.270577532552</v>
          </cell>
          <cell r="U19">
            <v>43066.326336978447</v>
          </cell>
          <cell r="V19">
            <v>45927.414442829708</v>
          </cell>
          <cell r="W19">
            <v>48560.650534633911</v>
          </cell>
          <cell r="X19">
            <v>51296.57992689604</v>
          </cell>
          <cell r="Y19">
            <v>54199.765873213284</v>
          </cell>
          <cell r="Z19">
            <v>57341.457024365533</v>
          </cell>
          <cell r="AA19">
            <v>60675.95046121793</v>
          </cell>
          <cell r="AB19">
            <v>64222.824495667541</v>
          </cell>
          <cell r="AC19">
            <v>67986.669195968105</v>
          </cell>
          <cell r="AD19">
            <v>71965.965467693735</v>
          </cell>
          <cell r="AE19">
            <v>76069.727750396822</v>
          </cell>
          <cell r="AF19">
            <v>80572.328508856692</v>
          </cell>
          <cell r="AG19">
            <v>85048.209871440326</v>
          </cell>
          <cell r="AH19">
            <v>89958.699510051243</v>
          </cell>
          <cell r="AI19">
            <v>94838.704962979289</v>
          </cell>
          <cell r="AJ19">
            <v>99912.984980044072</v>
          </cell>
          <cell r="AK19">
            <v>105127.86712636483</v>
          </cell>
          <cell r="AL19">
            <v>110669.900648749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Рын. ставки"/>
      <sheetName val="Ключевая ставка"/>
      <sheetName val="Кред&amp;Деп-кв"/>
      <sheetName val="Ден-кв"/>
      <sheetName val="Таб-кв"/>
      <sheetName val="Результаты-свод"/>
      <sheetName val="Схема 1"/>
      <sheetName val="Схема 1 (2)"/>
      <sheetName val="Обзор ЦБ"/>
      <sheetName val="Обзор КО"/>
      <sheetName val="dbase"/>
      <sheetName val="external"/>
      <sheetName val="валюта+сроч"/>
      <sheetName val="Прибыль банков-ДМ"/>
      <sheetName val="Прибыль банков"/>
    </sheetNames>
    <sheetDataSet>
      <sheetData sheetId="0"/>
      <sheetData sheetId="1"/>
      <sheetData sheetId="2"/>
      <sheetData sheetId="3"/>
      <sheetData sheetId="4"/>
      <sheetData sheetId="5"/>
      <sheetData sheetId="6">
        <row r="83">
          <cell r="K83">
            <v>13404.88483210999</v>
          </cell>
          <cell r="L83">
            <v>15017.513445712057</v>
          </cell>
          <cell r="M83">
            <v>16625.97375821137</v>
          </cell>
          <cell r="N83">
            <v>18672.017829320441</v>
          </cell>
          <cell r="O83">
            <v>21024.738065548125</v>
          </cell>
        </row>
        <row r="118">
          <cell r="K118">
            <v>12244.630999999999</v>
          </cell>
          <cell r="L118">
            <v>11576.176807588919</v>
          </cell>
          <cell r="M118">
            <v>12701.245954596954</v>
          </cell>
          <cell r="N118">
            <v>14188.788278584279</v>
          </cell>
          <cell r="O118">
            <v>15925.566857173966</v>
          </cell>
        </row>
      </sheetData>
      <sheetData sheetId="7"/>
      <sheetData sheetId="8"/>
      <sheetData sheetId="9"/>
      <sheetData sheetId="10"/>
      <sheetData sheetId="11">
        <row r="23">
          <cell r="J23">
            <v>1.1817315589046267</v>
          </cell>
          <cell r="K23">
            <v>0.97215739095865061</v>
          </cell>
          <cell r="L23">
            <v>1.120301564228227</v>
          </cell>
          <cell r="M23">
            <v>1.1071056349184476</v>
          </cell>
          <cell r="N23">
            <v>1.1230631120236523</v>
          </cell>
          <cell r="O23">
            <v>1.1260024630296377</v>
          </cell>
        </row>
      </sheetData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quarter"/>
      <sheetName val="quarter (dinam saving rate)"/>
      <sheetName val="quarter (saving rate)"/>
      <sheetName val="month"/>
      <sheetName val="month (dinam savins rate)"/>
      <sheetName val="month (savins rate) "/>
      <sheetName val="динам квартал (мэр) "/>
      <sheetName val="мес(мэр) (2)"/>
      <sheetName val="Лист1"/>
      <sheetName val="мес(мэр)"/>
      <sheetName val="мес(темпы) (3)"/>
      <sheetName val="мес (мэр) графики"/>
      <sheetName val="ДЛЯ РАСЧЕТОВ"/>
      <sheetName val="курс"/>
      <sheetName val="расчет по доходн части"/>
      <sheetName val="БАНКИ-КРЕДИТЫ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N22">
            <v>118865</v>
          </cell>
          <cell r="O22">
            <v>148550</v>
          </cell>
          <cell r="P22">
            <v>160196</v>
          </cell>
          <cell r="Q22">
            <v>173748.842</v>
          </cell>
          <cell r="R22">
            <v>165635.9</v>
          </cell>
          <cell r="S22">
            <v>290869.40000000002</v>
          </cell>
          <cell r="T22">
            <v>251659</v>
          </cell>
          <cell r="U22">
            <v>245772.6</v>
          </cell>
          <cell r="V22">
            <v>195885</v>
          </cell>
          <cell r="W22">
            <v>263126</v>
          </cell>
          <cell r="X22">
            <v>253749</v>
          </cell>
          <cell r="Y22">
            <v>279372</v>
          </cell>
          <cell r="Z22">
            <v>176532</v>
          </cell>
          <cell r="AA22">
            <v>190309</v>
          </cell>
          <cell r="AB22">
            <v>202499.883</v>
          </cell>
          <cell r="AC22">
            <v>145064</v>
          </cell>
          <cell r="AD22">
            <v>262122</v>
          </cell>
          <cell r="AE22">
            <v>301870</v>
          </cell>
          <cell r="AF22">
            <v>214465</v>
          </cell>
          <cell r="AG22">
            <v>281537</v>
          </cell>
          <cell r="AH22">
            <v>238473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514">
          <cell r="G514">
            <v>28.009499999999992</v>
          </cell>
        </row>
        <row r="533">
          <cell r="G533">
            <v>27.995394736842105</v>
          </cell>
        </row>
        <row r="555">
          <cell r="G555">
            <v>27.626422727272725</v>
          </cell>
        </row>
        <row r="577">
          <cell r="G577">
            <v>27.810354545454548</v>
          </cell>
        </row>
        <row r="595">
          <cell r="G595">
            <v>27.951377777777779</v>
          </cell>
        </row>
        <row r="616">
          <cell r="G616">
            <v>28.49786666666666</v>
          </cell>
        </row>
        <row r="638">
          <cell r="G638">
            <v>28.694431818181819</v>
          </cell>
        </row>
        <row r="660">
          <cell r="G660">
            <v>28.479809090909086</v>
          </cell>
        </row>
        <row r="682">
          <cell r="G682">
            <v>28.380013636363639</v>
          </cell>
        </row>
        <row r="703">
          <cell r="G703">
            <v>28.563133333333326</v>
          </cell>
        </row>
        <row r="724">
          <cell r="G724">
            <v>28.762576190476196</v>
          </cell>
        </row>
        <row r="747">
          <cell r="G747">
            <v>28.804599999999997</v>
          </cell>
        </row>
        <row r="762">
          <cell r="G762">
            <v>28.228133333333336</v>
          </cell>
        </row>
        <row r="781">
          <cell r="G781">
            <v>28.1946052631579</v>
          </cell>
        </row>
        <row r="803">
          <cell r="G803">
            <v>27.87377272727273</v>
          </cell>
        </row>
        <row r="824">
          <cell r="G824">
            <v>27.564476190476192</v>
          </cell>
        </row>
        <row r="844">
          <cell r="G844">
            <v>27.052744999999998</v>
          </cell>
        </row>
        <row r="865">
          <cell r="G865">
            <v>26.983447619047617</v>
          </cell>
        </row>
        <row r="886">
          <cell r="G886">
            <v>26.915823809523811</v>
          </cell>
        </row>
        <row r="909">
          <cell r="G909">
            <v>26.761921739130432</v>
          </cell>
        </row>
        <row r="931">
          <cell r="G931">
            <v>26.746340909090907</v>
          </cell>
        </row>
        <row r="952">
          <cell r="G952">
            <v>26.867204761904766</v>
          </cell>
        </row>
        <row r="973">
          <cell r="G973">
            <v>26.617409523809524</v>
          </cell>
        </row>
        <row r="995">
          <cell r="G995">
            <v>26.288154545454542</v>
          </cell>
        </row>
        <row r="1011">
          <cell r="G1011">
            <v>26.529043750000003</v>
          </cell>
        </row>
        <row r="1031">
          <cell r="G1031">
            <v>26.343194999999998</v>
          </cell>
        </row>
        <row r="1053">
          <cell r="G1053">
            <v>26.105595454545451</v>
          </cell>
        </row>
        <row r="1073">
          <cell r="G1073">
            <v>25.831079999999996</v>
          </cell>
        </row>
        <row r="1093">
          <cell r="G1093">
            <v>25.824049999999993</v>
          </cell>
        </row>
        <row r="1114">
          <cell r="G1114">
            <v>25.909300000000009</v>
          </cell>
        </row>
        <row r="1135">
          <cell r="G1135">
            <v>25.540752380952387</v>
          </cell>
        </row>
        <row r="1158">
          <cell r="G1158">
            <v>25.62369130434783</v>
          </cell>
        </row>
        <row r="1179">
          <cell r="G1179">
            <v>25.334071428571427</v>
          </cell>
        </row>
        <row r="1201">
          <cell r="G1201">
            <v>24.89621363636364</v>
          </cell>
        </row>
        <row r="1222">
          <cell r="G1222">
            <v>24.465095238095241</v>
          </cell>
        </row>
        <row r="1243">
          <cell r="G1243">
            <v>24.578014285714282</v>
          </cell>
        </row>
        <row r="1260">
          <cell r="G1260">
            <v>24.502776470588238</v>
          </cell>
        </row>
        <row r="1280">
          <cell r="G1280">
            <v>24.527330000000003</v>
          </cell>
        </row>
        <row r="1300">
          <cell r="G1300">
            <v>23.760380000000001</v>
          </cell>
        </row>
        <row r="1322">
          <cell r="G1322">
            <v>23.512913636363635</v>
          </cell>
        </row>
        <row r="1343">
          <cell r="G1343">
            <v>23.719609523809527</v>
          </cell>
        </row>
        <row r="1362">
          <cell r="G1362">
            <v>23.64323684210526</v>
          </cell>
        </row>
        <row r="1385">
          <cell r="G1385">
            <v>23.347895652173911</v>
          </cell>
        </row>
        <row r="1407">
          <cell r="G1407">
            <v>24.153336363636367</v>
          </cell>
        </row>
        <row r="1428">
          <cell r="G1428">
            <v>25.269933333333331</v>
          </cell>
        </row>
        <row r="1451">
          <cell r="G1451">
            <v>26.356378260869565</v>
          </cell>
        </row>
        <row r="1471">
          <cell r="G1471">
            <v>27.3337</v>
          </cell>
        </row>
        <row r="1493">
          <cell r="G1493">
            <v>28.15127272727273</v>
          </cell>
        </row>
        <row r="1510">
          <cell r="G1510">
            <v>32.492252941176467</v>
          </cell>
        </row>
        <row r="1529">
          <cell r="G1529">
            <v>35.814394736842104</v>
          </cell>
        </row>
        <row r="1549">
          <cell r="G1549">
            <v>34.657685000000001</v>
          </cell>
        </row>
        <row r="1571">
          <cell r="G1571">
            <v>33.583263636363647</v>
          </cell>
        </row>
        <row r="1591">
          <cell r="G1591">
            <v>31.994804999999996</v>
          </cell>
        </row>
        <row r="1611">
          <cell r="G1611">
            <v>31.058</v>
          </cell>
        </row>
        <row r="1634">
          <cell r="G1634">
            <v>31.50815217391305</v>
          </cell>
        </row>
        <row r="1655">
          <cell r="G1655">
            <v>31.649661904761913</v>
          </cell>
        </row>
        <row r="1677">
          <cell r="G1677">
            <v>30.856518181818192</v>
          </cell>
        </row>
        <row r="1700">
          <cell r="G1700">
            <v>29.464000000000006</v>
          </cell>
        </row>
        <row r="1721">
          <cell r="G1721">
            <v>28.924385714285719</v>
          </cell>
        </row>
        <row r="1752">
          <cell r="G1752">
            <v>29.940341935483872</v>
          </cell>
        </row>
        <row r="1783">
          <cell r="G1783">
            <v>29.945616129032263</v>
          </cell>
        </row>
        <row r="1811">
          <cell r="G1811">
            <v>30.188885714285703</v>
          </cell>
        </row>
        <row r="1836">
          <cell r="G1836">
            <v>29.608139999999995</v>
          </cell>
        </row>
        <row r="1861">
          <cell r="G1861">
            <v>29.206016000000005</v>
          </cell>
        </row>
        <row r="1892">
          <cell r="G1892">
            <v>30.358190322580636</v>
          </cell>
        </row>
        <row r="1922">
          <cell r="G1922">
            <v>31.162533333333329</v>
          </cell>
        </row>
        <row r="1984">
          <cell r="G1984">
            <v>30.343893548387104</v>
          </cell>
        </row>
        <row r="2014">
          <cell r="G2014">
            <v>30.836463333333334</v>
          </cell>
        </row>
        <row r="2045">
          <cell r="G2045">
            <v>30.321435483870964</v>
          </cell>
        </row>
        <row r="2075">
          <cell r="G2075">
            <v>30.966523333333328</v>
          </cell>
        </row>
        <row r="2106">
          <cell r="G2106">
            <v>30.853832258064514</v>
          </cell>
        </row>
      </sheetData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ultil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ПРОГНОЗ_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ПРОГНОЗ_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ПРОГНОЗ_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89"/>
  <sheetViews>
    <sheetView tabSelected="1" view="pageBreakPreview" zoomScaleNormal="90" zoomScaleSheetLayoutView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RowHeight="12.75"/>
  <cols>
    <col min="1" max="1" width="47.42578125" style="280" customWidth="1"/>
    <col min="2" max="8" width="9.28515625" style="280" hidden="1" customWidth="1"/>
    <col min="9" max="10" width="12.28515625" style="280" hidden="1" customWidth="1"/>
    <col min="11" max="11" width="9.28515625" style="284" hidden="1" customWidth="1"/>
    <col min="12" max="12" width="9.140625" style="284" hidden="1" customWidth="1"/>
    <col min="13" max="13" width="9.140625" style="283" customWidth="1"/>
    <col min="14" max="14" width="9.42578125" style="282" customWidth="1"/>
    <col min="15" max="15" width="8.85546875" style="282" customWidth="1"/>
    <col min="16" max="16" width="9.5703125" style="282" customWidth="1"/>
    <col min="17" max="17" width="9.5703125" style="280" customWidth="1"/>
    <col min="18" max="18" width="8.140625" style="281" customWidth="1"/>
    <col min="19" max="27" width="8.140625" style="280" customWidth="1"/>
    <col min="28" max="30" width="7.85546875" style="280" customWidth="1"/>
    <col min="31" max="34" width="7.42578125" style="280" customWidth="1"/>
    <col min="35" max="36" width="8.140625" style="280" customWidth="1"/>
    <col min="37" max="16384" width="9.140625" style="280"/>
  </cols>
  <sheetData>
    <row r="1" spans="1:45" ht="32.25" customHeight="1">
      <c r="A1" s="483" t="s">
        <v>558</v>
      </c>
      <c r="B1" s="481">
        <v>2002</v>
      </c>
      <c r="C1" s="481">
        <v>2003</v>
      </c>
      <c r="D1" s="481">
        <v>2004</v>
      </c>
      <c r="E1" s="481">
        <v>2005</v>
      </c>
      <c r="F1" s="481">
        <v>2006</v>
      </c>
      <c r="G1" s="481">
        <v>2007</v>
      </c>
      <c r="H1" s="481">
        <v>2008</v>
      </c>
      <c r="I1" s="481">
        <v>2009</v>
      </c>
      <c r="J1" s="481">
        <v>2010</v>
      </c>
      <c r="K1" s="481">
        <v>2011</v>
      </c>
      <c r="L1" s="482">
        <v>2012</v>
      </c>
      <c r="M1" s="480">
        <v>2013</v>
      </c>
      <c r="N1" s="480">
        <v>2014</v>
      </c>
      <c r="O1" s="480">
        <v>2015</v>
      </c>
      <c r="P1" s="517">
        <v>2016</v>
      </c>
      <c r="Q1" s="517">
        <v>2017</v>
      </c>
      <c r="R1" s="516">
        <v>2018</v>
      </c>
      <c r="S1" s="516">
        <v>2019</v>
      </c>
      <c r="T1" s="516">
        <v>2020</v>
      </c>
      <c r="U1" s="517">
        <v>2021</v>
      </c>
      <c r="V1" s="516">
        <v>2022</v>
      </c>
      <c r="W1" s="517">
        <v>2023</v>
      </c>
      <c r="X1" s="516">
        <v>2024</v>
      </c>
      <c r="Y1" s="517">
        <v>2025</v>
      </c>
      <c r="Z1" s="516">
        <v>2026</v>
      </c>
      <c r="AA1" s="517">
        <v>2027</v>
      </c>
      <c r="AB1" s="516">
        <v>2028</v>
      </c>
      <c r="AC1" s="517">
        <v>2029</v>
      </c>
      <c r="AD1" s="516">
        <v>2030</v>
      </c>
      <c r="AE1" s="517">
        <v>2031</v>
      </c>
      <c r="AF1" s="516">
        <v>2032</v>
      </c>
      <c r="AG1" s="517">
        <v>2033</v>
      </c>
      <c r="AH1" s="516">
        <v>2034</v>
      </c>
      <c r="AI1" s="517">
        <v>2035</v>
      </c>
      <c r="AJ1" s="380"/>
    </row>
    <row r="2" spans="1:45" s="439" customFormat="1" ht="20.25" customHeight="1">
      <c r="A2" s="477" t="s">
        <v>557</v>
      </c>
      <c r="B2" s="477"/>
      <c r="C2" s="477">
        <v>8900.5</v>
      </c>
      <c r="D2" s="477">
        <v>10976.294446</v>
      </c>
      <c r="E2" s="477">
        <v>13819.100301062279</v>
      </c>
      <c r="F2" s="477">
        <v>17289.9378</v>
      </c>
      <c r="G2" s="474">
        <f t="shared" ref="G2:AI2" si="0">G4+G5</f>
        <v>21312.078429000001</v>
      </c>
      <c r="H2" s="474">
        <f t="shared" si="0"/>
        <v>25244.744483999999</v>
      </c>
      <c r="I2" s="474">
        <f t="shared" si="0"/>
        <v>28697.482230000001</v>
      </c>
      <c r="J2" s="474">
        <f t="shared" si="0"/>
        <v>32498.284563000001</v>
      </c>
      <c r="K2" s="474">
        <f t="shared" si="0"/>
        <v>35648.449352000003</v>
      </c>
      <c r="L2" s="514">
        <f t="shared" si="0"/>
        <v>39902.026922869431</v>
      </c>
      <c r="M2" s="555">
        <f t="shared" si="0"/>
        <v>44650.448554000002</v>
      </c>
      <c r="N2" s="555">
        <f>N4+N5</f>
        <v>47900.334343762544</v>
      </c>
      <c r="O2" s="515">
        <f t="shared" si="0"/>
        <v>53146.530174404877</v>
      </c>
      <c r="P2" s="475">
        <f t="shared" si="0"/>
        <v>57133.741113838849</v>
      </c>
      <c r="Q2" s="475">
        <f t="shared" si="0"/>
        <v>61358.541647441431</v>
      </c>
      <c r="R2" s="475">
        <f t="shared" ca="1" si="0"/>
        <v>66328.048722825988</v>
      </c>
      <c r="S2" s="475">
        <f t="shared" ca="1" si="0"/>
        <v>70519.22853963972</v>
      </c>
      <c r="T2" s="475">
        <f t="shared" ca="1" si="0"/>
        <v>74437.248403431004</v>
      </c>
      <c r="U2" s="475">
        <f t="shared" ca="1" si="0"/>
        <v>77975.738799807543</v>
      </c>
      <c r="V2" s="475">
        <f t="shared" ca="1" si="0"/>
        <v>81640.999040488299</v>
      </c>
      <c r="W2" s="475">
        <f t="shared" ca="1" si="0"/>
        <v>85526.483559331711</v>
      </c>
      <c r="X2" s="475">
        <f t="shared" ca="1" si="0"/>
        <v>89690.036630861825</v>
      </c>
      <c r="Y2" s="475">
        <f t="shared" ca="1" si="0"/>
        <v>94240.505767116469</v>
      </c>
      <c r="Z2" s="475">
        <f t="shared" ca="1" si="0"/>
        <v>99194.131913911318</v>
      </c>
      <c r="AA2" s="475">
        <f t="shared" ca="1" si="0"/>
        <v>104372.94990372167</v>
      </c>
      <c r="AB2" s="475">
        <f t="shared" ca="1" si="0"/>
        <v>109875.41079530152</v>
      </c>
      <c r="AC2" s="475">
        <f t="shared" ca="1" si="0"/>
        <v>115784.39902082032</v>
      </c>
      <c r="AD2" s="475">
        <f t="shared" ca="1" si="0"/>
        <v>121780.82031733151</v>
      </c>
      <c r="AE2" s="475">
        <f t="shared" ca="1" si="0"/>
        <v>127917.58277575632</v>
      </c>
      <c r="AF2" s="475">
        <f t="shared" ca="1" si="0"/>
        <v>134594.32992082942</v>
      </c>
      <c r="AG2" s="475">
        <f t="shared" ca="1" si="0"/>
        <v>141565.4550098943</v>
      </c>
      <c r="AH2" s="475">
        <f t="shared" ca="1" si="0"/>
        <v>148815.21276019211</v>
      </c>
      <c r="AI2" s="475">
        <f t="shared" ca="1" si="0"/>
        <v>156462.53224450315</v>
      </c>
      <c r="AJ2" s="474"/>
      <c r="AO2" s="439">
        <f>AO4/AO3</f>
        <v>1.0658387030902079</v>
      </c>
      <c r="AP2" s="439">
        <f>AP4/AP3</f>
        <v>0.89752987944251472</v>
      </c>
    </row>
    <row r="3" spans="1:45" s="439" customFormat="1" ht="19.5" customHeight="1">
      <c r="A3" s="380" t="s">
        <v>556</v>
      </c>
      <c r="B3" s="507"/>
      <c r="C3" s="507">
        <f t="shared" ref="C3:Q3" si="1">C5/C2</f>
        <v>0.92868602887478235</v>
      </c>
      <c r="D3" s="507">
        <f t="shared" si="1"/>
        <v>0.93487660571455489</v>
      </c>
      <c r="E3" s="507">
        <f t="shared" si="1"/>
        <v>0.94246138976202698</v>
      </c>
      <c r="F3" s="507">
        <f t="shared" si="1"/>
        <v>0.92401215578693419</v>
      </c>
      <c r="G3" s="507">
        <f t="shared" si="1"/>
        <v>0.9275887251850542</v>
      </c>
      <c r="H3" s="507">
        <f t="shared" si="1"/>
        <v>0.94927973032915736</v>
      </c>
      <c r="I3" s="507">
        <f t="shared" si="1"/>
        <v>0.93927170035222984</v>
      </c>
      <c r="J3" s="507">
        <f t="shared" si="1"/>
        <v>0.94390236767271707</v>
      </c>
      <c r="K3" s="507">
        <f t="shared" si="1"/>
        <v>0.94469909207055724</v>
      </c>
      <c r="L3" s="513">
        <f t="shared" si="1"/>
        <v>0.94691992121876112</v>
      </c>
      <c r="M3" s="512">
        <f t="shared" si="1"/>
        <v>0.94848626374874323</v>
      </c>
      <c r="N3" s="512">
        <f t="shared" si="1"/>
        <v>0.9479326551473588</v>
      </c>
      <c r="O3" s="512">
        <f t="shared" si="1"/>
        <v>0.9259314676071565</v>
      </c>
      <c r="P3" s="512">
        <f t="shared" si="1"/>
        <v>0.93165255824072513</v>
      </c>
      <c r="Q3" s="512">
        <f t="shared" si="1"/>
        <v>0.93747858044493149</v>
      </c>
      <c r="R3" s="512">
        <v>0.93608625000331402</v>
      </c>
      <c r="S3" s="507">
        <f>R3</f>
        <v>0.93608625000331402</v>
      </c>
      <c r="T3" s="507">
        <f t="shared" ref="T3:AI3" si="2">S3</f>
        <v>0.93608625000331402</v>
      </c>
      <c r="U3" s="507">
        <f t="shared" si="2"/>
        <v>0.93608625000331402</v>
      </c>
      <c r="V3" s="507">
        <f t="shared" si="2"/>
        <v>0.93608625000331402</v>
      </c>
      <c r="W3" s="507">
        <f t="shared" si="2"/>
        <v>0.93608625000331402</v>
      </c>
      <c r="X3" s="507">
        <f t="shared" si="2"/>
        <v>0.93608625000331402</v>
      </c>
      <c r="Y3" s="507">
        <f t="shared" si="2"/>
        <v>0.93608625000331402</v>
      </c>
      <c r="Z3" s="507">
        <f t="shared" si="2"/>
        <v>0.93608625000331402</v>
      </c>
      <c r="AA3" s="507">
        <f t="shared" si="2"/>
        <v>0.93608625000331402</v>
      </c>
      <c r="AB3" s="507">
        <f t="shared" si="2"/>
        <v>0.93608625000331402</v>
      </c>
      <c r="AC3" s="507">
        <f t="shared" si="2"/>
        <v>0.93608625000331402</v>
      </c>
      <c r="AD3" s="507">
        <f t="shared" si="2"/>
        <v>0.93608625000331402</v>
      </c>
      <c r="AE3" s="507">
        <f t="shared" si="2"/>
        <v>0.93608625000331402</v>
      </c>
      <c r="AF3" s="507">
        <f t="shared" si="2"/>
        <v>0.93608625000331402</v>
      </c>
      <c r="AG3" s="507">
        <f t="shared" si="2"/>
        <v>0.93608625000331402</v>
      </c>
      <c r="AH3" s="507">
        <f t="shared" si="2"/>
        <v>0.93608625000331402</v>
      </c>
      <c r="AI3" s="507">
        <f t="shared" si="2"/>
        <v>0.93608625000331402</v>
      </c>
      <c r="AJ3" s="507"/>
      <c r="AK3" s="507"/>
      <c r="AL3" s="507"/>
      <c r="AO3" s="439">
        <f>1.277</f>
        <v>1.2769999999999999</v>
      </c>
      <c r="AP3" s="439">
        <v>1.7585542207019573</v>
      </c>
    </row>
    <row r="4" spans="1:45" s="439" customFormat="1" ht="18.75" customHeight="1">
      <c r="A4" s="380" t="s">
        <v>555</v>
      </c>
      <c r="B4" s="380"/>
      <c r="C4" s="380"/>
      <c r="D4" s="380"/>
      <c r="E4" s="380"/>
      <c r="F4" s="380"/>
      <c r="G4" s="531">
        <f ca="1">(номинал!L28+номинал!L24)/1000</f>
        <v>1543.2347680000003</v>
      </c>
      <c r="H4" s="531">
        <f ca="1">(номинал!M28+номинал!M25)/1000</f>
        <v>1280.4202480000001</v>
      </c>
      <c r="I4" s="531">
        <f ca="1">(номинал!N28+номинал!N25)/1000</f>
        <v>1742.7492999999997</v>
      </c>
      <c r="J4" s="531">
        <f ca="1">(номинал!O28+номинал!O25)/1000</f>
        <v>1823.076818682589</v>
      </c>
      <c r="K4" s="531">
        <f ca="1">(номинал!P28+номинал!P25)/1000</f>
        <v>1971.3916154423569</v>
      </c>
      <c r="L4" s="531">
        <f ca="1">(номинал!Q28+номинал!Q25)/1000</f>
        <v>2118.0027325970213</v>
      </c>
      <c r="M4" s="531">
        <f ca="1">(номинал!R28+номинал!R25)/1000</f>
        <v>2300.1114303110676</v>
      </c>
      <c r="N4" s="531">
        <f ca="1">(номинал!S28+номинал!S25)/1000</f>
        <v>2494.0432268334962</v>
      </c>
      <c r="O4" s="331">
        <f ca="1">сбережения!L22+сбережения!L27</f>
        <v>3936.4854917901384</v>
      </c>
      <c r="P4" s="331">
        <f ca="1">сбережения!M22+сбережения!M27</f>
        <v>3904.9450432675844</v>
      </c>
      <c r="Q4" s="331">
        <f ca="1">сбережения!N22+сбережения!N27</f>
        <v>3836.223125626831</v>
      </c>
      <c r="R4" s="331">
        <f ca="1">сбережения!O22+сбережения!O27</f>
        <v>4384.7711586832957</v>
      </c>
      <c r="S4" s="331">
        <f ca="1">сбережения!P22+сбережения!P27</f>
        <v>4683.626770725501</v>
      </c>
      <c r="T4" s="331">
        <f ca="1">сбережения!Q22+сбережения!Q27</f>
        <v>5007.3207363962083</v>
      </c>
      <c r="U4" s="331">
        <f ca="1">сбережения!R22+сбережения!R27</f>
        <v>4852.7264163409891</v>
      </c>
      <c r="V4" s="331">
        <f ca="1">сбережения!S22+сбережения!S27</f>
        <v>4674.5273988546742</v>
      </c>
      <c r="W4" s="331">
        <f ca="1">сбережения!T22+сбережения!T27</f>
        <v>4492.1247781113734</v>
      </c>
      <c r="X4" s="331">
        <f ca="1">сбережения!U22+сбережения!U27</f>
        <v>4335.2808858663957</v>
      </c>
      <c r="Y4" s="331">
        <f ca="1">сбережения!V22+сбережения!V27</f>
        <v>4255.1830449667523</v>
      </c>
      <c r="Z4" s="331">
        <f ca="1">сбережения!W22+сбережения!W27</f>
        <v>4311.8986969055459</v>
      </c>
      <c r="AA4" s="331">
        <f ca="1">сбережения!X22+сбережения!X27</f>
        <v>4410.0883056939001</v>
      </c>
      <c r="AB4" s="331">
        <f ca="1">сбережения!Y22+сбережения!Y27</f>
        <v>4592.9916172774756</v>
      </c>
      <c r="AC4" s="331">
        <f ca="1">сбережения!Z22+сбережения!Z27</f>
        <v>4769.2575767059943</v>
      </c>
      <c r="AD4" s="331">
        <f ca="1">сбережения!AA22+сбережения!AA27</f>
        <v>4911.8427070170092</v>
      </c>
      <c r="AE4" s="331">
        <f ca="1">сбережения!AB22+сбережения!AB27</f>
        <v>5063.4641912921343</v>
      </c>
      <c r="AF4" s="331">
        <f ca="1">сбережения!AC22+сбережения!AC27</f>
        <v>5255.9010428310721</v>
      </c>
      <c r="AG4" s="331">
        <f ca="1">сбережения!AD22+сбережения!AD27</f>
        <v>5471.5795810364816</v>
      </c>
      <c r="AH4" s="331">
        <f ca="1">сбережения!AE22+сбережения!AE27</f>
        <v>5693.3577208811248</v>
      </c>
      <c r="AI4" s="331">
        <f ca="1">сбережения!AF22+сбережения!AF27</f>
        <v>5926.856370651647</v>
      </c>
      <c r="AJ4" s="332"/>
      <c r="AO4" s="439">
        <f>I4/H4</f>
        <v>1.3610760238461954</v>
      </c>
      <c r="AP4" s="439">
        <f>O4/N4</f>
        <v>1.5783549576997531</v>
      </c>
      <c r="AQ4" s="439">
        <f>P4/O4</f>
        <v>0.99198766295764729</v>
      </c>
      <c r="AR4" s="439">
        <f>Q4/P4</f>
        <v>0.98240130990851326</v>
      </c>
      <c r="AS4" s="439">
        <f>R4/Q4</f>
        <v>1.142991691330997</v>
      </c>
    </row>
    <row r="5" spans="1:45" s="392" customFormat="1" ht="27.75" customHeight="1">
      <c r="A5" s="511" t="s">
        <v>430</v>
      </c>
      <c r="B5" s="510">
        <f>B7+B15+B28</f>
        <v>6530.743974</v>
      </c>
      <c r="C5" s="510">
        <f>C7+C15+C28</f>
        <v>8265.77</v>
      </c>
      <c r="D5" s="510">
        <f>D7+D15+D28</f>
        <v>10261.480895000001</v>
      </c>
      <c r="E5" s="510">
        <f>E7+E15+E28</f>
        <v>13023.968475000001</v>
      </c>
      <c r="F5" s="510">
        <f>F7+F15+F28</f>
        <v>15976.112700000001</v>
      </c>
      <c r="G5" s="510">
        <f>G7+G15+G28+G26+G24</f>
        <v>19768.843661000003</v>
      </c>
      <c r="H5" s="510">
        <f>H7+H15+H28+H26+H24</f>
        <v>23964.324236</v>
      </c>
      <c r="I5" s="510">
        <f>I7+I15+I28+I26+I24</f>
        <v>26954.732930000002</v>
      </c>
      <c r="J5" s="509">
        <f t="shared" ref="J5:O5" si="3">J7+J15+J24+J26+J28</f>
        <v>30675.207744317413</v>
      </c>
      <c r="K5" s="509">
        <f t="shared" si="3"/>
        <v>33677.057736557646</v>
      </c>
      <c r="L5" s="671">
        <f t="shared" si="3"/>
        <v>37784.024190272408</v>
      </c>
      <c r="M5" s="670">
        <f t="shared" si="3"/>
        <v>42350.337123688936</v>
      </c>
      <c r="N5" s="670">
        <f t="shared" si="3"/>
        <v>45406.291116929046</v>
      </c>
      <c r="O5" s="670">
        <f t="shared" si="3"/>
        <v>49210.044682614738</v>
      </c>
      <c r="P5" s="670">
        <f t="shared" ref="P5:AI5" si="4">P7+P15+P24+P26+P28</f>
        <v>53228.796070571261</v>
      </c>
      <c r="Q5" s="670">
        <f t="shared" si="4"/>
        <v>57522.318521814603</v>
      </c>
      <c r="R5" s="670">
        <f t="shared" ca="1" si="4"/>
        <v>61943.277564142692</v>
      </c>
      <c r="S5" s="670">
        <f t="shared" ca="1" si="4"/>
        <v>65835.601768914217</v>
      </c>
      <c r="T5" s="670">
        <f t="shared" ca="1" si="4"/>
        <v>69429.92766703479</v>
      </c>
      <c r="U5" s="670">
        <f t="shared" ca="1" si="4"/>
        <v>73123.012383466557</v>
      </c>
      <c r="V5" s="670">
        <f t="shared" ca="1" si="4"/>
        <v>76966.47164163363</v>
      </c>
      <c r="W5" s="670">
        <f t="shared" ca="1" si="4"/>
        <v>81034.358781220333</v>
      </c>
      <c r="X5" s="670">
        <f t="shared" ca="1" si="4"/>
        <v>85354.755744995433</v>
      </c>
      <c r="Y5" s="670">
        <f t="shared" ca="1" si="4"/>
        <v>89985.322722149722</v>
      </c>
      <c r="Z5" s="670">
        <f t="shared" ca="1" si="4"/>
        <v>94882.233217005778</v>
      </c>
      <c r="AA5" s="670">
        <f t="shared" ca="1" si="4"/>
        <v>99962.861598027768</v>
      </c>
      <c r="AB5" s="670">
        <f t="shared" ca="1" si="4"/>
        <v>105282.41917802405</v>
      </c>
      <c r="AC5" s="670">
        <f t="shared" ca="1" si="4"/>
        <v>111015.14144411433</v>
      </c>
      <c r="AD5" s="670">
        <f t="shared" ca="1" si="4"/>
        <v>116868.9776103145</v>
      </c>
      <c r="AE5" s="670">
        <f t="shared" ca="1" si="4"/>
        <v>122854.11858446419</v>
      </c>
      <c r="AF5" s="670">
        <f t="shared" ca="1" si="4"/>
        <v>129338.42887799835</v>
      </c>
      <c r="AG5" s="670">
        <f t="shared" ca="1" si="4"/>
        <v>136093.87542885781</v>
      </c>
      <c r="AH5" s="670">
        <f t="shared" ca="1" si="4"/>
        <v>143121.85503931099</v>
      </c>
      <c r="AI5" s="670">
        <f t="shared" ca="1" si="4"/>
        <v>150535.67587385149</v>
      </c>
      <c r="AJ5" s="509"/>
      <c r="AK5" s="594"/>
      <c r="AL5" s="594"/>
      <c r="AO5" s="508">
        <f>H2-H49</f>
        <v>22406.400081</v>
      </c>
      <c r="AP5" s="508">
        <f>I2-I49</f>
        <v>25848.377230000002</v>
      </c>
    </row>
    <row r="6" spans="1:45" s="422" customFormat="1" ht="11.25">
      <c r="A6" s="363" t="s">
        <v>525</v>
      </c>
      <c r="B6" s="491"/>
      <c r="C6" s="397">
        <f t="shared" ref="C6:AD6" si="5">C5/B5*100</f>
        <v>126.56705013865852</v>
      </c>
      <c r="D6" s="397">
        <f t="shared" si="5"/>
        <v>124.14428292826925</v>
      </c>
      <c r="E6" s="397">
        <f t="shared" si="5"/>
        <v>126.92094453292846</v>
      </c>
      <c r="F6" s="397">
        <f t="shared" si="5"/>
        <v>122.66700991074073</v>
      </c>
      <c r="G6" s="397">
        <f t="shared" si="5"/>
        <v>123.74001130450213</v>
      </c>
      <c r="H6" s="397">
        <f t="shared" si="5"/>
        <v>121.22269085104278</v>
      </c>
      <c r="I6" s="397">
        <f t="shared" si="5"/>
        <v>112.4785855196689</v>
      </c>
      <c r="J6" s="397">
        <f t="shared" si="5"/>
        <v>113.80267734048519</v>
      </c>
      <c r="K6" s="397">
        <f t="shared" si="5"/>
        <v>109.78591577035472</v>
      </c>
      <c r="L6" s="396">
        <f t="shared" si="5"/>
        <v>112.1951462798263</v>
      </c>
      <c r="M6" s="395">
        <f t="shared" si="5"/>
        <v>112.08530068269471</v>
      </c>
      <c r="N6" s="395">
        <f t="shared" si="5"/>
        <v>107.215890594483</v>
      </c>
      <c r="O6" s="395">
        <f t="shared" si="5"/>
        <v>108.37715098969518</v>
      </c>
      <c r="P6" s="394">
        <f t="shared" si="5"/>
        <v>108.16652659812824</v>
      </c>
      <c r="Q6" s="394">
        <f t="shared" si="5"/>
        <v>108.0661648735225</v>
      </c>
      <c r="R6" s="396">
        <f t="shared" ca="1" si="5"/>
        <v>107.68564125357969</v>
      </c>
      <c r="S6" s="356">
        <f t="shared" ca="1" si="5"/>
        <v>106.28369107647073</v>
      </c>
      <c r="T6" s="356">
        <f t="shared" ca="1" si="5"/>
        <v>105.45954742046229</v>
      </c>
      <c r="U6" s="358">
        <f t="shared" ca="1" si="5"/>
        <v>105.31915391607882</v>
      </c>
      <c r="V6" s="356">
        <f t="shared" ca="1" si="5"/>
        <v>105.25615552872942</v>
      </c>
      <c r="W6" s="356">
        <f t="shared" ca="1" si="5"/>
        <v>105.28527169405315</v>
      </c>
      <c r="X6" s="356">
        <f t="shared" ca="1" si="5"/>
        <v>105.33156185691487</v>
      </c>
      <c r="Y6" s="357">
        <f t="shared" ca="1" si="5"/>
        <v>105.42508374224455</v>
      </c>
      <c r="Z6" s="356">
        <f t="shared" ca="1" si="5"/>
        <v>105.44189913056866</v>
      </c>
      <c r="AA6" s="356">
        <f t="shared" ca="1" si="5"/>
        <v>105.35466779054626</v>
      </c>
      <c r="AB6" s="356">
        <f t="shared" ca="1" si="5"/>
        <v>105.32153391265184</v>
      </c>
      <c r="AC6" s="356">
        <f t="shared" ca="1" si="5"/>
        <v>105.44508979832304</v>
      </c>
      <c r="AD6" s="356">
        <f t="shared" ca="1" si="5"/>
        <v>105.27300698810262</v>
      </c>
      <c r="AE6" s="356">
        <f ca="1">AE5/AD5*100</f>
        <v>105.12124012422393</v>
      </c>
      <c r="AF6" s="356">
        <f ca="1">AF5/AE5*100</f>
        <v>105.27805690867098</v>
      </c>
      <c r="AG6" s="356">
        <f ca="1">AG5/AF5*100</f>
        <v>105.22307763397349</v>
      </c>
      <c r="AH6" s="356">
        <f ca="1">AH5/AG5*100</f>
        <v>105.16406751465242</v>
      </c>
      <c r="AI6" s="356">
        <f ca="1">AI5/AH5*100</f>
        <v>105.18007597966374</v>
      </c>
      <c r="AJ6" s="356"/>
      <c r="AP6" s="422">
        <f>AP5/AO5</f>
        <v>1.1536158033667667</v>
      </c>
    </row>
    <row r="7" spans="1:45" s="527" customFormat="1">
      <c r="A7" s="518" t="s">
        <v>554</v>
      </c>
      <c r="B7" s="519">
        <f t="shared" ref="B7:G7" si="6">B8+B13</f>
        <v>2931.7543660000001</v>
      </c>
      <c r="C7" s="519">
        <f t="shared" si="6"/>
        <v>3658.4859999999999</v>
      </c>
      <c r="D7" s="519">
        <f t="shared" si="6"/>
        <v>4422.2917010000001</v>
      </c>
      <c r="E7" s="519">
        <f t="shared" si="6"/>
        <v>5468.8767040000002</v>
      </c>
      <c r="F7" s="519">
        <f t="shared" si="6"/>
        <v>6826.1072000000004</v>
      </c>
      <c r="G7" s="519">
        <f t="shared" si="6"/>
        <v>8816.7255480000003</v>
      </c>
      <c r="H7" s="519">
        <f t="shared" ref="H7:M7" si="7">H8+H13</f>
        <v>11266.067956999999</v>
      </c>
      <c r="I7" s="519">
        <f t="shared" si="7"/>
        <v>11717.662</v>
      </c>
      <c r="J7" s="519">
        <f t="shared" si="7"/>
        <v>13086.306999999999</v>
      </c>
      <c r="K7" s="519">
        <f t="shared" si="7"/>
        <v>14275.469000000001</v>
      </c>
      <c r="L7" s="519">
        <f t="shared" si="7"/>
        <v>16464.176898601436</v>
      </c>
      <c r="M7" s="519">
        <f t="shared" si="7"/>
        <v>18487.527973</v>
      </c>
      <c r="N7" s="520">
        <f t="shared" ref="N7:AI7" si="8">N8+N13</f>
        <v>19742.533554458987</v>
      </c>
      <c r="O7" s="520">
        <f t="shared" si="8"/>
        <v>20479.023288956465</v>
      </c>
      <c r="P7" s="521">
        <f t="shared" si="8"/>
        <v>21920.122039095706</v>
      </c>
      <c r="Q7" s="521">
        <f t="shared" si="8"/>
        <v>23804.609514098785</v>
      </c>
      <c r="R7" s="522">
        <f t="shared" si="8"/>
        <v>25740.181197377417</v>
      </c>
      <c r="S7" s="523">
        <f t="shared" si="8"/>
        <v>27300.144556931245</v>
      </c>
      <c r="T7" s="523">
        <f t="shared" si="8"/>
        <v>28627.887226178078</v>
      </c>
      <c r="U7" s="524">
        <f t="shared" si="8"/>
        <v>29952.841025323476</v>
      </c>
      <c r="V7" s="523">
        <f t="shared" si="8"/>
        <v>31352.350039100926</v>
      </c>
      <c r="W7" s="523">
        <f t="shared" si="8"/>
        <v>32883.686546152909</v>
      </c>
      <c r="X7" s="523">
        <f t="shared" si="8"/>
        <v>34539.445464424658</v>
      </c>
      <c r="Y7" s="525">
        <f t="shared" si="8"/>
        <v>36330.65651926968</v>
      </c>
      <c r="Z7" s="523">
        <f t="shared" si="8"/>
        <v>38236.578913685778</v>
      </c>
      <c r="AA7" s="523">
        <f t="shared" si="8"/>
        <v>40241.003268283828</v>
      </c>
      <c r="AB7" s="523">
        <f t="shared" si="8"/>
        <v>42315.754807895093</v>
      </c>
      <c r="AC7" s="523">
        <f t="shared" si="8"/>
        <v>44604.424957292402</v>
      </c>
      <c r="AD7" s="523">
        <f t="shared" si="8"/>
        <v>46862.350767691205</v>
      </c>
      <c r="AE7" s="523">
        <f t="shared" si="8"/>
        <v>49255.905098008538</v>
      </c>
      <c r="AF7" s="523">
        <f t="shared" si="8"/>
        <v>51887.297579851103</v>
      </c>
      <c r="AG7" s="523">
        <f t="shared" si="8"/>
        <v>54640.961564662568</v>
      </c>
      <c r="AH7" s="523">
        <f t="shared" si="8"/>
        <v>57471.864129962254</v>
      </c>
      <c r="AI7" s="523">
        <f t="shared" si="8"/>
        <v>60479.373437355272</v>
      </c>
      <c r="AJ7" s="523"/>
      <c r="AN7" s="527">
        <v>3902.0576246033806</v>
      </c>
      <c r="AO7" s="527">
        <v>4481.6962367057113</v>
      </c>
      <c r="AP7" s="527">
        <v>4777.5554460155035</v>
      </c>
      <c r="AQ7" s="527">
        <v>5207.5554460155035</v>
      </c>
    </row>
    <row r="8" spans="1:45" s="527" customFormat="1">
      <c r="A8" s="528" t="s">
        <v>553</v>
      </c>
      <c r="B8" s="519">
        <v>2793.6779999999999</v>
      </c>
      <c r="C8" s="519">
        <v>3507.2</v>
      </c>
      <c r="D8" s="519">
        <v>4240.1758310000005</v>
      </c>
      <c r="E8" s="519">
        <v>5262.6321980000002</v>
      </c>
      <c r="F8" s="519">
        <v>6571.1879000000008</v>
      </c>
      <c r="G8" s="519">
        <f ca="1">номинал!L7/1000</f>
        <v>8501.614759</v>
      </c>
      <c r="H8" s="519">
        <f ca="1">номинал!M7/1000</f>
        <v>10880.359557</v>
      </c>
      <c r="I8" s="519">
        <f ca="1">номинал!N7/1000</f>
        <v>11316.762000000001</v>
      </c>
      <c r="J8" s="519">
        <f ca="1">номинал!O7/1000</f>
        <v>12638.050999999999</v>
      </c>
      <c r="K8" s="519">
        <f ca="1">номинал!P7/1000</f>
        <v>13795.179</v>
      </c>
      <c r="L8" s="519">
        <f ca="1">номинал!Q7/1000</f>
        <v>15958.611937601436</v>
      </c>
      <c r="M8" s="519">
        <f ca="1">номинал!R7/1000</f>
        <v>17958.581587000001</v>
      </c>
      <c r="N8" s="519">
        <v>19169.565846075198</v>
      </c>
      <c r="O8" s="520">
        <v>19893.098260292638</v>
      </c>
      <c r="P8" s="521">
        <v>21292.96575567091</v>
      </c>
      <c r="Q8" s="521">
        <v>23123.536187745325</v>
      </c>
      <c r="R8" s="522">
        <v>25003.729258577263</v>
      </c>
      <c r="S8" s="523">
        <v>26562.998271395485</v>
      </c>
      <c r="T8" s="523">
        <v>27854.765175765813</v>
      </c>
      <c r="U8" s="524">
        <v>29143.824283994734</v>
      </c>
      <c r="V8" s="523">
        <v>30505.335273832447</v>
      </c>
      <c r="W8" s="523">
        <v>31995.060709154313</v>
      </c>
      <c r="X8" s="523">
        <v>33605.80518068291</v>
      </c>
      <c r="Y8" s="525">
        <v>35348.299695110516</v>
      </c>
      <c r="Z8" s="523">
        <v>37202.367613283655</v>
      </c>
      <c r="AA8" s="523">
        <v>39152.199156739749</v>
      </c>
      <c r="AB8" s="523">
        <v>41170.476421695879</v>
      </c>
      <c r="AC8" s="523">
        <v>43396.729458922673</v>
      </c>
      <c r="AD8" s="523">
        <v>45593.254864082533</v>
      </c>
      <c r="AE8" s="526">
        <v>47921.62871452028</v>
      </c>
      <c r="AF8" s="526">
        <v>50481.188625335955</v>
      </c>
      <c r="AG8" s="526">
        <v>53159.655330891073</v>
      </c>
      <c r="AH8" s="526">
        <v>55913.242880155027</v>
      </c>
      <c r="AI8" s="527">
        <v>58838.584397403647</v>
      </c>
      <c r="AO8" s="529">
        <f>(AO4*100-100)*AO3</f>
        <v>46.109408245159166</v>
      </c>
    </row>
    <row r="9" spans="1:45" s="439" customFormat="1">
      <c r="A9" s="363" t="s">
        <v>525</v>
      </c>
      <c r="B9" s="454"/>
      <c r="C9" s="507"/>
      <c r="D9" s="507"/>
      <c r="E9" s="507"/>
      <c r="F9" s="452">
        <f t="shared" ref="F9:AD9" si="9">F8/E8</f>
        <v>1.2486504191756553</v>
      </c>
      <c r="G9" s="452">
        <f t="shared" si="9"/>
        <v>1.2937713680352982</v>
      </c>
      <c r="H9" s="452">
        <f t="shared" si="9"/>
        <v>1.2797991752662996</v>
      </c>
      <c r="I9" s="452">
        <f t="shared" si="9"/>
        <v>1.0401091931487905</v>
      </c>
      <c r="J9" s="452">
        <f t="shared" si="9"/>
        <v>1.1167550400017248</v>
      </c>
      <c r="K9" s="452">
        <f t="shared" si="9"/>
        <v>1.0915590544776248</v>
      </c>
      <c r="L9" s="449">
        <f t="shared" si="9"/>
        <v>1.1568252892986337</v>
      </c>
      <c r="M9" s="451">
        <f t="shared" si="9"/>
        <v>1.1253222809864978</v>
      </c>
      <c r="N9" s="451">
        <f t="shared" si="9"/>
        <v>1.0674320660130427</v>
      </c>
      <c r="O9" s="451">
        <f t="shared" si="9"/>
        <v>1.0377438080771964</v>
      </c>
      <c r="P9" s="450">
        <f t="shared" si="9"/>
        <v>1.0703695058990614</v>
      </c>
      <c r="Q9" s="450">
        <f t="shared" si="9"/>
        <v>1.0859706652929211</v>
      </c>
      <c r="R9" s="449">
        <f t="shared" si="9"/>
        <v>1.0813107932785979</v>
      </c>
      <c r="S9" s="449">
        <f t="shared" si="9"/>
        <v>1.0623614580326386</v>
      </c>
      <c r="T9" s="449">
        <f t="shared" si="9"/>
        <v>1.0486303124057113</v>
      </c>
      <c r="U9" s="449">
        <f t="shared" si="9"/>
        <v>1.0462778666448938</v>
      </c>
      <c r="V9" s="449">
        <f t="shared" si="9"/>
        <v>1.0467169639979415</v>
      </c>
      <c r="W9" s="449">
        <f t="shared" si="9"/>
        <v>1.048834914350204</v>
      </c>
      <c r="X9" s="449">
        <f t="shared" si="9"/>
        <v>1.0503435354028798</v>
      </c>
      <c r="Y9" s="449">
        <f t="shared" si="9"/>
        <v>1.0518509973220107</v>
      </c>
      <c r="Z9" s="449">
        <f t="shared" si="9"/>
        <v>1.0524514031555978</v>
      </c>
      <c r="AA9" s="449">
        <f t="shared" si="9"/>
        <v>1.0524114906804984</v>
      </c>
      <c r="AB9" s="449">
        <f t="shared" si="9"/>
        <v>1.0515495248907034</v>
      </c>
      <c r="AC9" s="449">
        <f t="shared" si="9"/>
        <v>1.0540740168858869</v>
      </c>
      <c r="AD9" s="449">
        <f t="shared" si="9"/>
        <v>1.050614998700282</v>
      </c>
      <c r="AE9" s="449">
        <f>AE8/AD8</f>
        <v>1.0510683840708199</v>
      </c>
      <c r="AF9" s="449">
        <f>AF8/AE8</f>
        <v>1.0534113714302895</v>
      </c>
      <c r="AG9" s="449">
        <f>AG8/AF8</f>
        <v>1.053058709164602</v>
      </c>
      <c r="AH9" s="449">
        <f>AH8/AG8</f>
        <v>1.0517984462488388</v>
      </c>
      <c r="AI9" s="449">
        <f>AI8/AH8</f>
        <v>1.0523192962268137</v>
      </c>
      <c r="AJ9" s="452"/>
      <c r="AN9" s="439">
        <v>19740.758029453256</v>
      </c>
      <c r="AO9" s="439">
        <v>21564.875227130389</v>
      </c>
      <c r="AP9" s="439">
        <v>23512.045488139323</v>
      </c>
    </row>
    <row r="10" spans="1:45" s="338" customFormat="1">
      <c r="A10" s="496" t="s">
        <v>552</v>
      </c>
      <c r="B10" s="463"/>
      <c r="C10" s="463">
        <v>3291</v>
      </c>
      <c r="D10" s="463">
        <v>3973</v>
      </c>
      <c r="E10" s="463">
        <v>4948</v>
      </c>
      <c r="F10" s="463">
        <v>6137</v>
      </c>
      <c r="G10" s="463">
        <v>7983.5016736678899</v>
      </c>
      <c r="H10" s="463">
        <v>10241.875281390163</v>
      </c>
      <c r="I10" s="463">
        <v>10607.173963264002</v>
      </c>
      <c r="J10" s="463">
        <v>11746.41597912619</v>
      </c>
      <c r="K10" s="463">
        <v>12864.0060085</v>
      </c>
      <c r="L10" s="460">
        <v>14666.669642700001</v>
      </c>
      <c r="M10" s="462">
        <v>16379.2510719</v>
      </c>
      <c r="N10" s="462">
        <v>17877.299902055714</v>
      </c>
      <c r="O10" s="462">
        <v>18778.291718818473</v>
      </c>
      <c r="P10" s="461">
        <v>20049.67929123855</v>
      </c>
      <c r="Q10" s="461">
        <v>21781.977812114503</v>
      </c>
      <c r="R10" s="460">
        <v>23559.169188101132</v>
      </c>
      <c r="S10" s="461">
        <v>25027.303448383751</v>
      </c>
      <c r="T10" s="461">
        <v>26248.738599071134</v>
      </c>
      <c r="U10" s="461">
        <v>27467.421158259076</v>
      </c>
      <c r="V10" s="460">
        <v>28757.515260663131</v>
      </c>
      <c r="W10" s="462">
        <v>30170.278153777588</v>
      </c>
      <c r="X10" s="461">
        <v>31698.591109167675</v>
      </c>
      <c r="Y10" s="461">
        <v>33352.596106420075</v>
      </c>
      <c r="Z10" s="460">
        <v>35113.139078085769</v>
      </c>
      <c r="AA10" s="462">
        <v>36966.652929216609</v>
      </c>
      <c r="AB10" s="461">
        <v>38884.045496411163</v>
      </c>
      <c r="AC10" s="461">
        <v>41003.206967228136</v>
      </c>
      <c r="AD10" s="460">
        <v>43087.849600477006</v>
      </c>
      <c r="AE10" s="462">
        <v>45300.831854972042</v>
      </c>
      <c r="AF10" s="461">
        <v>47739.663316031409</v>
      </c>
      <c r="AG10" s="461">
        <v>50292.732039797076</v>
      </c>
      <c r="AH10" s="460">
        <v>52917.701337494291</v>
      </c>
      <c r="AI10" s="462">
        <v>55707.43013078587</v>
      </c>
      <c r="AJ10" s="463"/>
      <c r="AM10" s="498">
        <f>19022-O10</f>
        <v>243.70828118152713</v>
      </c>
      <c r="AN10" s="338">
        <v>108.32161989334648</v>
      </c>
      <c r="AO10" s="338">
        <v>109.24036045097938</v>
      </c>
      <c r="AP10" s="338">
        <v>109.02936020032814</v>
      </c>
    </row>
    <row r="11" spans="1:45" s="338" customFormat="1">
      <c r="A11" s="363" t="s">
        <v>525</v>
      </c>
      <c r="B11" s="452"/>
      <c r="C11" s="452"/>
      <c r="D11" s="452"/>
      <c r="E11" s="452"/>
      <c r="F11" s="452"/>
      <c r="G11" s="452"/>
      <c r="H11" s="452"/>
      <c r="I11" s="452"/>
      <c r="J11" s="452">
        <f t="shared" ref="J11:AD11" si="10">J10/I10*100</f>
        <v>110.74029727246619</v>
      </c>
      <c r="K11" s="452">
        <f t="shared" si="10"/>
        <v>109.51430658815258</v>
      </c>
      <c r="L11" s="449">
        <f t="shared" si="10"/>
        <v>114.01323687977816</v>
      </c>
      <c r="M11" s="451">
        <f t="shared" si="10"/>
        <v>111.67668919339435</v>
      </c>
      <c r="N11" s="451">
        <f t="shared" si="10"/>
        <v>109.14601542878688</v>
      </c>
      <c r="O11" s="451">
        <f>O10/N10*1.0078*100</f>
        <v>105.85917615024792</v>
      </c>
      <c r="P11" s="450">
        <f>P10/O10*0.99769*100</f>
        <v>106.52387784576605</v>
      </c>
      <c r="Q11" s="450">
        <f>Q10/P10*1.00015*100</f>
        <v>108.65632707804056</v>
      </c>
      <c r="R11" s="450">
        <f>R10/Q10*100</f>
        <v>108.15899911071531</v>
      </c>
      <c r="S11" s="450">
        <f>S10/R10*100</f>
        <v>106.23168944779309</v>
      </c>
      <c r="T11" s="450">
        <f>T10/S10*100</f>
        <v>104.88041052127916</v>
      </c>
      <c r="U11" s="450">
        <f>U10/T10*100</f>
        <v>104.64282332877919</v>
      </c>
      <c r="V11" s="450">
        <f t="shared" si="10"/>
        <v>104.69681552909871</v>
      </c>
      <c r="W11" s="450">
        <f t="shared" si="10"/>
        <v>104.91267371436277</v>
      </c>
      <c r="X11" s="450">
        <f t="shared" si="10"/>
        <v>105.06562434592182</v>
      </c>
      <c r="Y11" s="450">
        <f t="shared" si="10"/>
        <v>105.2179132869222</v>
      </c>
      <c r="Z11" s="450">
        <f t="shared" si="10"/>
        <v>105.27857851319349</v>
      </c>
      <c r="AA11" s="450">
        <f t="shared" si="10"/>
        <v>105.27869025611447</v>
      </c>
      <c r="AB11" s="450">
        <f t="shared" si="10"/>
        <v>105.18681680720718</v>
      </c>
      <c r="AC11" s="450">
        <f t="shared" si="10"/>
        <v>105.44995111430102</v>
      </c>
      <c r="AD11" s="450">
        <f t="shared" si="10"/>
        <v>105.0840965559475</v>
      </c>
      <c r="AE11" s="450">
        <f>AE10/AD10*100</f>
        <v>105.135977485566</v>
      </c>
      <c r="AF11" s="450">
        <f>AF10/AE10*100</f>
        <v>105.38363504861708</v>
      </c>
      <c r="AG11" s="450">
        <f>AG10/AF10*100</f>
        <v>105.34789846938095</v>
      </c>
      <c r="AH11" s="450">
        <f>AH10/AG10*100</f>
        <v>105.2193809944945</v>
      </c>
      <c r="AI11" s="450">
        <f>AI10/AH10*100</f>
        <v>105.27182534913879</v>
      </c>
      <c r="AJ11" s="452"/>
    </row>
    <row r="12" spans="1:45" s="439" customFormat="1">
      <c r="A12" s="363" t="s">
        <v>550</v>
      </c>
      <c r="B12" s="452"/>
      <c r="C12" s="452">
        <f>C10/C8</f>
        <v>0.93835538321167888</v>
      </c>
      <c r="D12" s="452">
        <f>D10/D8</f>
        <v>0.93698944533227291</v>
      </c>
      <c r="E12" s="452">
        <f>E10/E8</f>
        <v>0.94021391080312011</v>
      </c>
      <c r="F12" s="452">
        <f>F10/F8</f>
        <v>0.933925508354433</v>
      </c>
      <c r="G12" s="452">
        <v>0.93911571228841662</v>
      </c>
      <c r="H12" s="452">
        <v>0.94131772279537762</v>
      </c>
      <c r="I12" s="452">
        <v>0.93513379090374049</v>
      </c>
      <c r="J12" s="452">
        <f t="shared" ref="J12:O12" si="11">J10/J8</f>
        <v>0.92944837610848308</v>
      </c>
      <c r="K12" s="452">
        <f t="shared" si="11"/>
        <v>0.93250011533014543</v>
      </c>
      <c r="L12" s="449">
        <f t="shared" si="11"/>
        <v>0.9190441938213072</v>
      </c>
      <c r="M12" s="451">
        <f t="shared" si="11"/>
        <v>0.91205705709835916</v>
      </c>
      <c r="N12" s="451">
        <f t="shared" si="11"/>
        <v>0.93258762590681921</v>
      </c>
      <c r="O12" s="451">
        <f t="shared" si="11"/>
        <v>0.94396013497307452</v>
      </c>
      <c r="P12" s="450">
        <f t="shared" ref="P12:AD12" si="12">O12</f>
        <v>0.94396013497307452</v>
      </c>
      <c r="Q12" s="450">
        <f>P12</f>
        <v>0.94396013497307452</v>
      </c>
      <c r="R12" s="449">
        <f t="shared" si="12"/>
        <v>0.94396013497307452</v>
      </c>
      <c r="S12" s="449">
        <f t="shared" si="12"/>
        <v>0.94396013497307452</v>
      </c>
      <c r="T12" s="449">
        <f t="shared" si="12"/>
        <v>0.94396013497307452</v>
      </c>
      <c r="U12" s="449">
        <f t="shared" si="12"/>
        <v>0.94396013497307452</v>
      </c>
      <c r="V12" s="449">
        <f t="shared" si="12"/>
        <v>0.94396013497307452</v>
      </c>
      <c r="W12" s="449">
        <f t="shared" si="12"/>
        <v>0.94396013497307452</v>
      </c>
      <c r="X12" s="449">
        <f t="shared" si="12"/>
        <v>0.94396013497307452</v>
      </c>
      <c r="Y12" s="449">
        <f t="shared" si="12"/>
        <v>0.94396013497307452</v>
      </c>
      <c r="Z12" s="449">
        <f t="shared" si="12"/>
        <v>0.94396013497307452</v>
      </c>
      <c r="AA12" s="449">
        <f t="shared" si="12"/>
        <v>0.94396013497307452</v>
      </c>
      <c r="AB12" s="449">
        <f t="shared" si="12"/>
        <v>0.94396013497307452</v>
      </c>
      <c r="AC12" s="449">
        <f t="shared" si="12"/>
        <v>0.94396013497307452</v>
      </c>
      <c r="AD12" s="449">
        <f t="shared" si="12"/>
        <v>0.94396013497307452</v>
      </c>
      <c r="AE12" s="449">
        <f>AD12</f>
        <v>0.94396013497307452</v>
      </c>
      <c r="AF12" s="449">
        <f>AE12</f>
        <v>0.94396013497307452</v>
      </c>
      <c r="AG12" s="449">
        <f>AF12</f>
        <v>0.94396013497307452</v>
      </c>
      <c r="AH12" s="449">
        <f>AG12</f>
        <v>0.94396013497307452</v>
      </c>
      <c r="AI12" s="449">
        <f>AH12</f>
        <v>0.94396013497307452</v>
      </c>
      <c r="AJ12" s="452"/>
      <c r="AO12" s="439">
        <f>36*0.06</f>
        <v>2.16</v>
      </c>
    </row>
    <row r="13" spans="1:45" s="527" customFormat="1">
      <c r="A13" s="530" t="s">
        <v>551</v>
      </c>
      <c r="B13" s="519">
        <v>138.07636600000001</v>
      </c>
      <c r="C13" s="519">
        <v>151.286</v>
      </c>
      <c r="D13" s="519">
        <v>182.11587</v>
      </c>
      <c r="E13" s="519">
        <v>206.244506</v>
      </c>
      <c r="F13" s="519">
        <v>254.91929999999999</v>
      </c>
      <c r="G13" s="519">
        <f ca="1">номинал!L8/1000</f>
        <v>315.11078900000001</v>
      </c>
      <c r="H13" s="519">
        <f ca="1">номинал!M8/1000</f>
        <v>385.70840000000004</v>
      </c>
      <c r="I13" s="519">
        <f ca="1">номинал!N8/1000</f>
        <v>400.9</v>
      </c>
      <c r="J13" s="519">
        <f ca="1">номинал!O8/1000</f>
        <v>448.25599999999997</v>
      </c>
      <c r="K13" s="519">
        <f ca="1">номинал!P8/1000</f>
        <v>480.29</v>
      </c>
      <c r="L13" s="519">
        <f ca="1">номинал!Q8/1000</f>
        <v>505.56496099999998</v>
      </c>
      <c r="M13" s="519">
        <f ca="1">номинал!R8/1000</f>
        <v>528.94638600000008</v>
      </c>
      <c r="N13" s="519">
        <f ca="1">номинал!S8/1000</f>
        <v>572.96770838378905</v>
      </c>
      <c r="O13" s="520">
        <f>O14*O8</f>
        <v>585.92502866382858</v>
      </c>
      <c r="P13" s="521">
        <f>P14*P8</f>
        <v>627.15628342479556</v>
      </c>
      <c r="Q13" s="521">
        <f>Q8*Q14</f>
        <v>681.07332635346108</v>
      </c>
      <c r="R13" s="519">
        <f>R8*R14</f>
        <v>736.45193880015438</v>
      </c>
      <c r="S13" s="523">
        <f t="shared" ref="S13:AI13" si="13">S10*S14</f>
        <v>737.14628553575892</v>
      </c>
      <c r="T13" s="523">
        <f t="shared" si="13"/>
        <v>773.12205041226457</v>
      </c>
      <c r="U13" s="524">
        <f t="shared" si="13"/>
        <v>809.0167413287412</v>
      </c>
      <c r="V13" s="523">
        <f t="shared" si="13"/>
        <v>847.01476526847773</v>
      </c>
      <c r="W13" s="523">
        <f t="shared" si="13"/>
        <v>888.62583699859374</v>
      </c>
      <c r="X13" s="523">
        <f t="shared" si="13"/>
        <v>933.64028374174598</v>
      </c>
      <c r="Y13" s="525">
        <f t="shared" si="13"/>
        <v>982.3568241591646</v>
      </c>
      <c r="Z13" s="523">
        <f t="shared" si="13"/>
        <v>1034.2113004021201</v>
      </c>
      <c r="AA13" s="523">
        <f t="shared" si="13"/>
        <v>1088.8041115440817</v>
      </c>
      <c r="AB13" s="523">
        <f t="shared" si="13"/>
        <v>1145.2783861992129</v>
      </c>
      <c r="AC13" s="523">
        <f t="shared" si="13"/>
        <v>1207.6954983697258</v>
      </c>
      <c r="AD13" s="523">
        <f t="shared" si="13"/>
        <v>1269.0959036086738</v>
      </c>
      <c r="AE13" s="523">
        <f t="shared" si="13"/>
        <v>1334.2763834882558</v>
      </c>
      <c r="AF13" s="523">
        <f t="shared" si="13"/>
        <v>1406.1089545151499</v>
      </c>
      <c r="AG13" s="523">
        <f t="shared" si="13"/>
        <v>1481.3062337714941</v>
      </c>
      <c r="AH13" s="523">
        <f t="shared" si="13"/>
        <v>1558.6212498072259</v>
      </c>
      <c r="AI13" s="523">
        <f t="shared" si="13"/>
        <v>1640.789039951627</v>
      </c>
      <c r="AJ13" s="523"/>
      <c r="AO13" s="527">
        <f>AO4/I102*100</f>
        <v>1.2189900790441288</v>
      </c>
    </row>
    <row r="14" spans="1:45" s="439" customFormat="1">
      <c r="A14" s="363" t="s">
        <v>550</v>
      </c>
      <c r="B14" s="452">
        <f>B13/B7</f>
        <v>4.7096839899444701E-2</v>
      </c>
      <c r="C14" s="452">
        <f>C13/C7</f>
        <v>4.1352078428071065E-2</v>
      </c>
      <c r="D14" s="452">
        <f>D13/D7</f>
        <v>4.1181333641744769E-2</v>
      </c>
      <c r="E14" s="452">
        <f>E13/E7</f>
        <v>3.7712407348505471E-2</v>
      </c>
      <c r="F14" s="452">
        <f>F13/F7</f>
        <v>3.7344754855300248E-2</v>
      </c>
      <c r="G14" s="452">
        <v>3.5740115452667143E-2</v>
      </c>
      <c r="H14" s="452">
        <v>3.4236292686335698E-2</v>
      </c>
      <c r="I14" s="452">
        <v>3.779882514723408E-2</v>
      </c>
      <c r="J14" s="452">
        <f>J13/J8</f>
        <v>3.5468760175125104E-2</v>
      </c>
      <c r="K14" s="452">
        <f>K13/K8</f>
        <v>3.481578600756105E-2</v>
      </c>
      <c r="L14" s="449">
        <f>L13/L8</f>
        <v>3.1679757799536162E-2</v>
      </c>
      <c r="M14" s="451">
        <f>M13/M8</f>
        <v>2.9453683935868183E-2</v>
      </c>
      <c r="N14" s="451">
        <f>M14</f>
        <v>2.9453683935868183E-2</v>
      </c>
      <c r="O14" s="451">
        <f>N14</f>
        <v>2.9453683935868183E-2</v>
      </c>
      <c r="P14" s="450">
        <f>O14</f>
        <v>2.9453683935868183E-2</v>
      </c>
      <c r="Q14" s="450">
        <f>P14</f>
        <v>2.9453683935868183E-2</v>
      </c>
      <c r="R14" s="449">
        <f>Q14</f>
        <v>2.9453683935868183E-2</v>
      </c>
      <c r="S14" s="449">
        <f t="shared" ref="S14:AI14" si="14">R14</f>
        <v>2.9453683935868183E-2</v>
      </c>
      <c r="T14" s="449">
        <f t="shared" si="14"/>
        <v>2.9453683935868183E-2</v>
      </c>
      <c r="U14" s="449">
        <f t="shared" si="14"/>
        <v>2.9453683935868183E-2</v>
      </c>
      <c r="V14" s="449">
        <f t="shared" si="14"/>
        <v>2.9453683935868183E-2</v>
      </c>
      <c r="W14" s="449">
        <f t="shared" si="14"/>
        <v>2.9453683935868183E-2</v>
      </c>
      <c r="X14" s="449">
        <f t="shared" si="14"/>
        <v>2.9453683935868183E-2</v>
      </c>
      <c r="Y14" s="449">
        <f t="shared" si="14"/>
        <v>2.9453683935868183E-2</v>
      </c>
      <c r="Z14" s="449">
        <f t="shared" si="14"/>
        <v>2.9453683935868183E-2</v>
      </c>
      <c r="AA14" s="449">
        <f t="shared" si="14"/>
        <v>2.9453683935868183E-2</v>
      </c>
      <c r="AB14" s="449">
        <f t="shared" si="14"/>
        <v>2.9453683935868183E-2</v>
      </c>
      <c r="AC14" s="449">
        <f t="shared" si="14"/>
        <v>2.9453683935868183E-2</v>
      </c>
      <c r="AD14" s="449">
        <f t="shared" si="14"/>
        <v>2.9453683935868183E-2</v>
      </c>
      <c r="AE14" s="449">
        <f t="shared" si="14"/>
        <v>2.9453683935868183E-2</v>
      </c>
      <c r="AF14" s="449">
        <f t="shared" si="14"/>
        <v>2.9453683935868183E-2</v>
      </c>
      <c r="AG14" s="449">
        <f t="shared" si="14"/>
        <v>2.9453683935868183E-2</v>
      </c>
      <c r="AH14" s="449">
        <f t="shared" si="14"/>
        <v>2.9453683935868183E-2</v>
      </c>
      <c r="AI14" s="449">
        <f t="shared" si="14"/>
        <v>2.9453683935868183E-2</v>
      </c>
      <c r="AJ14" s="452"/>
      <c r="AO14" s="439">
        <f>AO13*100-100</f>
        <v>21.899007904412883</v>
      </c>
    </row>
    <row r="15" spans="1:45" s="505" customFormat="1">
      <c r="A15" s="438" t="s">
        <v>549</v>
      </c>
      <c r="B15" s="473">
        <v>1040.5</v>
      </c>
      <c r="C15" s="473">
        <v>1253.402</v>
      </c>
      <c r="D15" s="473">
        <v>1407.3749769999999</v>
      </c>
      <c r="E15" s="473">
        <v>1755.5745649999999</v>
      </c>
      <c r="F15" s="473">
        <v>2080.3227999999999</v>
      </c>
      <c r="G15" s="473">
        <v>2477.672</v>
      </c>
      <c r="H15" s="473">
        <v>3334.000442</v>
      </c>
      <c r="I15" s="473">
        <v>4247.69157</v>
      </c>
      <c r="J15" s="473">
        <v>5761.8465630000001</v>
      </c>
      <c r="K15" s="473">
        <v>6513.817352</v>
      </c>
      <c r="L15" s="470">
        <v>7319.3469999999998</v>
      </c>
      <c r="M15" s="472">
        <f t="shared" ref="M15:AI15" si="15">M18+M22</f>
        <v>8295.7276789999996</v>
      </c>
      <c r="N15" s="472">
        <f t="shared" si="15"/>
        <v>8718.7005607269839</v>
      </c>
      <c r="O15" s="472">
        <f t="shared" si="15"/>
        <v>9586.9562926346498</v>
      </c>
      <c r="P15" s="471">
        <f t="shared" si="15"/>
        <v>10419.515483906955</v>
      </c>
      <c r="Q15" s="471">
        <f t="shared" si="15"/>
        <v>11135.508814793549</v>
      </c>
      <c r="R15" s="471">
        <f t="shared" ca="1" si="15"/>
        <v>11987.012741648008</v>
      </c>
      <c r="S15" s="471">
        <f t="shared" ca="1" si="15"/>
        <v>12923.200572639302</v>
      </c>
      <c r="T15" s="471">
        <f t="shared" ca="1" si="15"/>
        <v>13718.75527494714</v>
      </c>
      <c r="U15" s="471">
        <f t="shared" ca="1" si="15"/>
        <v>14460.989669450824</v>
      </c>
      <c r="V15" s="471">
        <f t="shared" ca="1" si="15"/>
        <v>15176.285086288715</v>
      </c>
      <c r="W15" s="471">
        <f t="shared" ca="1" si="15"/>
        <v>15909.572017879975</v>
      </c>
      <c r="X15" s="471">
        <f t="shared" ca="1" si="15"/>
        <v>16679.58784097217</v>
      </c>
      <c r="Y15" s="471">
        <f t="shared" ca="1" si="15"/>
        <v>17495.690164226093</v>
      </c>
      <c r="Z15" s="471">
        <f t="shared" ca="1" si="15"/>
        <v>18350.841139900087</v>
      </c>
      <c r="AA15" s="471">
        <f t="shared" ca="1" si="15"/>
        <v>19227.665820317874</v>
      </c>
      <c r="AB15" s="471">
        <f t="shared" ca="1" si="15"/>
        <v>20157.797919716952</v>
      </c>
      <c r="AC15" s="471">
        <f t="shared" ca="1" si="15"/>
        <v>21119.852928435037</v>
      </c>
      <c r="AD15" s="471">
        <f t="shared" ca="1" si="15"/>
        <v>22216.817576088324</v>
      </c>
      <c r="AE15" s="471">
        <f t="shared" ca="1" si="15"/>
        <v>23199.877637894351</v>
      </c>
      <c r="AF15" s="471">
        <f t="shared" ca="1" si="15"/>
        <v>24261.708552432829</v>
      </c>
      <c r="AG15" s="471">
        <f t="shared" ca="1" si="15"/>
        <v>25325.079288301808</v>
      </c>
      <c r="AH15" s="471">
        <f t="shared" ca="1" si="15"/>
        <v>26427.575168825286</v>
      </c>
      <c r="AI15" s="471">
        <f t="shared" ca="1" si="15"/>
        <v>27560.447167567927</v>
      </c>
      <c r="AJ15" s="473"/>
      <c r="AO15" s="506">
        <f>AO14*AO3</f>
        <v>27.965033093935251</v>
      </c>
    </row>
    <row r="16" spans="1:45" s="499" customFormat="1" ht="11.25">
      <c r="A16" s="413"/>
      <c r="B16" s="504"/>
      <c r="C16" s="504"/>
      <c r="D16" s="504"/>
      <c r="E16" s="504"/>
      <c r="F16" s="504"/>
      <c r="G16" s="504"/>
      <c r="H16" s="504"/>
      <c r="I16" s="504"/>
      <c r="J16" s="504"/>
      <c r="K16" s="446">
        <v>6513.817352</v>
      </c>
      <c r="L16" s="443">
        <v>7319</v>
      </c>
      <c r="M16" s="445">
        <v>8295.7276789999996</v>
      </c>
      <c r="N16" s="445">
        <v>8552.4263573390945</v>
      </c>
      <c r="O16" s="445">
        <v>9714.8122314672837</v>
      </c>
      <c r="P16" s="444">
        <v>10261.448301950953</v>
      </c>
      <c r="Q16" s="444">
        <v>10746.45174491344</v>
      </c>
      <c r="R16" s="443">
        <v>11944.365738652734</v>
      </c>
      <c r="S16" s="501">
        <v>12923.200572639302</v>
      </c>
      <c r="T16" s="501">
        <v>13718.75527494714</v>
      </c>
      <c r="U16" s="503">
        <v>14460.989669450824</v>
      </c>
      <c r="V16" s="501">
        <v>15176.285086288715</v>
      </c>
      <c r="W16" s="501">
        <v>15909.572017879975</v>
      </c>
      <c r="X16" s="501">
        <v>16679.58784097217</v>
      </c>
      <c r="Y16" s="502">
        <v>17495.690164226093</v>
      </c>
      <c r="Z16" s="501">
        <v>18350.841139900087</v>
      </c>
      <c r="AA16" s="501">
        <v>19227.665820317874</v>
      </c>
      <c r="AB16" s="501">
        <v>20157.797919716952</v>
      </c>
      <c r="AC16" s="501">
        <v>21119.852928435037</v>
      </c>
      <c r="AD16" s="501">
        <v>22216.817576088324</v>
      </c>
      <c r="AE16" s="500">
        <v>23199.877637894351</v>
      </c>
      <c r="AF16" s="500">
        <v>24261.708552432829</v>
      </c>
      <c r="AG16" s="500">
        <v>25325.079288301808</v>
      </c>
      <c r="AH16" s="500">
        <v>26427.575168825286</v>
      </c>
      <c r="AI16" s="501">
        <v>27560.447167567927</v>
      </c>
      <c r="AJ16" s="501"/>
      <c r="AM16" s="499">
        <v>18209.589833995873</v>
      </c>
      <c r="AN16" s="499">
        <v>19627.607023786528</v>
      </c>
      <c r="AO16" s="499">
        <v>21324.44930279626</v>
      </c>
      <c r="AP16" s="499">
        <v>23263.25644117613</v>
      </c>
    </row>
    <row r="17" spans="1:43" s="287" customFormat="1">
      <c r="A17" s="363" t="s">
        <v>525</v>
      </c>
      <c r="B17" s="492"/>
      <c r="C17" s="492"/>
      <c r="D17" s="492"/>
      <c r="E17" s="492"/>
      <c r="F17" s="492"/>
      <c r="G17" s="492">
        <f t="shared" ref="G17:AD17" si="16">G15/F15*100</f>
        <v>119.10036269371274</v>
      </c>
      <c r="H17" s="492">
        <f t="shared" si="16"/>
        <v>134.56181617260071</v>
      </c>
      <c r="I17" s="492">
        <f t="shared" si="16"/>
        <v>127.4052491562327</v>
      </c>
      <c r="J17" s="397">
        <f t="shared" si="16"/>
        <v>135.64653807950563</v>
      </c>
      <c r="K17" s="397">
        <f t="shared" si="16"/>
        <v>113.05086452368968</v>
      </c>
      <c r="L17" s="396">
        <f t="shared" si="16"/>
        <v>112.36647582316182</v>
      </c>
      <c r="M17" s="395">
        <f t="shared" si="16"/>
        <v>113.33972387154209</v>
      </c>
      <c r="N17" s="395">
        <f t="shared" si="16"/>
        <v>105.09868329932897</v>
      </c>
      <c r="O17" s="395">
        <f t="shared" si="16"/>
        <v>109.95854515085296</v>
      </c>
      <c r="P17" s="394">
        <f t="shared" si="16"/>
        <v>108.68429109155254</v>
      </c>
      <c r="Q17" s="394">
        <f t="shared" si="16"/>
        <v>106.87165667148778</v>
      </c>
      <c r="R17" s="396">
        <f ca="1">R15/Q15*100</f>
        <v>107.64674467073505</v>
      </c>
      <c r="S17" s="493">
        <f t="shared" ca="1" si="16"/>
        <v>107.810017818189</v>
      </c>
      <c r="T17" s="493">
        <f t="shared" ca="1" si="16"/>
        <v>106.15601915203705</v>
      </c>
      <c r="U17" s="495">
        <f t="shared" ca="1" si="16"/>
        <v>105.41036252654156</v>
      </c>
      <c r="V17" s="493">
        <f t="shared" ca="1" si="16"/>
        <v>104.94637941930745</v>
      </c>
      <c r="W17" s="493">
        <f t="shared" ca="1" si="16"/>
        <v>104.83179465476542</v>
      </c>
      <c r="X17" s="493">
        <f t="shared" ca="1" si="16"/>
        <v>104.83995309381555</v>
      </c>
      <c r="Y17" s="494">
        <f t="shared" ca="1" si="16"/>
        <v>104.89282068019227</v>
      </c>
      <c r="Z17" s="493">
        <f t="shared" ca="1" si="16"/>
        <v>104.8877807485557</v>
      </c>
      <c r="AA17" s="493">
        <f t="shared" ca="1" si="16"/>
        <v>104.77811711045395</v>
      </c>
      <c r="AB17" s="493">
        <f t="shared" ca="1" si="16"/>
        <v>104.83746757454151</v>
      </c>
      <c r="AC17" s="493">
        <f t="shared" ca="1" si="16"/>
        <v>104.77261957159057</v>
      </c>
      <c r="AD17" s="493">
        <f t="shared" ca="1" si="16"/>
        <v>105.19399756887688</v>
      </c>
      <c r="AE17" s="493">
        <f ca="1">AE15/AD15*100</f>
        <v>104.42484644094159</v>
      </c>
      <c r="AF17" s="493">
        <f ca="1">AF15/AE15*100</f>
        <v>104.57688152977194</v>
      </c>
      <c r="AG17" s="493">
        <f ca="1">AG15/AF15*100</f>
        <v>104.38291777172614</v>
      </c>
      <c r="AH17" s="493">
        <f ca="1">AH15/AG15*100</f>
        <v>104.35337582944013</v>
      </c>
      <c r="AI17" s="493">
        <f ca="1">AI15/AH15*100</f>
        <v>104.28670429089919</v>
      </c>
      <c r="AJ17" s="493"/>
      <c r="AM17" s="617">
        <f>O10/N10</f>
        <v>1.0503986520167485</v>
      </c>
      <c r="AN17" s="617">
        <f>AN16/AM16</f>
        <v>1.0778720005622162</v>
      </c>
      <c r="AO17" s="617">
        <f>AO16/AN16</f>
        <v>1.0864518164111063</v>
      </c>
      <c r="AP17" s="617">
        <f>AP16/AO16</f>
        <v>1.0909194470089145</v>
      </c>
    </row>
    <row r="18" spans="1:43" s="527" customFormat="1">
      <c r="A18" s="528" t="s">
        <v>548</v>
      </c>
      <c r="B18" s="519"/>
      <c r="C18" s="519"/>
      <c r="D18" s="519"/>
      <c r="E18" s="519"/>
      <c r="F18" s="519"/>
      <c r="G18" s="519">
        <f ca="1">номинал!L11/1000</f>
        <v>1669.0329999999999</v>
      </c>
      <c r="H18" s="519">
        <f ca="1">номинал!M11/1000</f>
        <v>2282.3380000000002</v>
      </c>
      <c r="I18" s="519">
        <f ca="1">номинал!N11/1000</f>
        <v>2825.8470000000002</v>
      </c>
      <c r="J18" s="519">
        <f ca="1">номинал!O11/1000</f>
        <v>3987.2190000000001</v>
      </c>
      <c r="K18" s="519">
        <f ca="1">номинал!P11/1000</f>
        <v>4415.5469999999996</v>
      </c>
      <c r="L18" s="519">
        <f ca="1">номинал!Q11/1000</f>
        <v>5078.6770130000004</v>
      </c>
      <c r="M18" s="519">
        <f ca="1">номинал!R11/1000</f>
        <v>5849.6815059999999</v>
      </c>
      <c r="N18" s="519">
        <f ca="1">номинал!S11/1000</f>
        <v>6184.5987015344199</v>
      </c>
      <c r="O18" s="520">
        <f ca="1">'расчет пенс выплат'!G10</f>
        <v>6799.4442475228288</v>
      </c>
      <c r="P18" s="520">
        <f ca="1">'расчет пенс выплат'!H10</f>
        <v>7450.815155862867</v>
      </c>
      <c r="Q18" s="520">
        <f ca="1">'расчет пенс выплат'!I10</f>
        <v>8033.2169719874764</v>
      </c>
      <c r="R18" s="520">
        <f ca="1">'расчет пенс выплат'!J10</f>
        <v>8647.4965626815138</v>
      </c>
      <c r="S18" s="520">
        <f ca="1">'расчет пенс выплат'!K10</f>
        <v>9358.8709149300703</v>
      </c>
      <c r="T18" s="520">
        <f ca="1">'расчет пенс выплат'!L10</f>
        <v>9935.0048008675913</v>
      </c>
      <c r="U18" s="520">
        <f ca="1">'расчет пенс выплат'!M10</f>
        <v>10472.524577623837</v>
      </c>
      <c r="V18" s="520">
        <f ca="1">'расчет пенс выплат'!N10</f>
        <v>10990.535378013337</v>
      </c>
      <c r="W18" s="520">
        <f ca="1">'расчет пенс выплат'!O10</f>
        <v>11521.575478938288</v>
      </c>
      <c r="X18" s="520">
        <f ca="1">'расчет пенс выплат'!P10</f>
        <v>12079.214327787455</v>
      </c>
      <c r="Y18" s="520">
        <f ca="1">'расчет пенс выплат'!Q10</f>
        <v>12670.228624422189</v>
      </c>
      <c r="Z18" s="520">
        <f ca="1">'расчет пенс выплат'!R10</f>
        <v>13289.521619924688</v>
      </c>
      <c r="AA18" s="520">
        <f ca="1">'расчет пенс выплат'!S10</f>
        <v>13924.510526343785</v>
      </c>
      <c r="AB18" s="520">
        <f ca="1">'расчет пенс выплат'!T10</f>
        <v>14598.104207969285</v>
      </c>
      <c r="AC18" s="520">
        <f ca="1">'расчет пенс выплат'!U10</f>
        <v>15294.816186480013</v>
      </c>
      <c r="AD18" s="520">
        <f ca="1">'расчет пенс выплат'!V10</f>
        <v>16089.22856736997</v>
      </c>
      <c r="AE18" s="520">
        <f ca="1">'расчет пенс выплат'!W10</f>
        <v>16801.152225008194</v>
      </c>
      <c r="AF18" s="520">
        <f ca="1">'расчет пенс выплат'!X10</f>
        <v>17570.121057983462</v>
      </c>
      <c r="AG18" s="520">
        <f ca="1">'расчет пенс выплат'!Y10</f>
        <v>18340.205016347616</v>
      </c>
      <c r="AH18" s="520">
        <f ca="1">'расчет пенс выплат'!Z10</f>
        <v>19138.623068599059</v>
      </c>
      <c r="AI18" s="520">
        <f ca="1">'расчет пенс выплат'!AA10</f>
        <v>19959.039244899715</v>
      </c>
      <c r="AJ18" s="519"/>
      <c r="AK18" s="519"/>
      <c r="AL18" s="519"/>
      <c r="AM18" s="287">
        <v>18351.601817988038</v>
      </c>
      <c r="AN18" s="287">
        <v>19735.047307613546</v>
      </c>
      <c r="AO18" s="287">
        <v>21444.45121208654</v>
      </c>
      <c r="AP18" s="287">
        <v>23396.699963680247</v>
      </c>
    </row>
    <row r="19" spans="1:43" s="338" customFormat="1">
      <c r="A19" s="496"/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0"/>
      <c r="M19" s="462"/>
      <c r="N19" s="462"/>
      <c r="O19" s="462"/>
      <c r="P19" s="461"/>
      <c r="Q19" s="461"/>
      <c r="R19" s="460"/>
      <c r="S19" s="460"/>
      <c r="T19" s="460"/>
      <c r="U19" s="460"/>
      <c r="V19" s="460"/>
      <c r="W19" s="460"/>
      <c r="X19" s="460"/>
      <c r="Y19" s="460"/>
      <c r="Z19" s="460"/>
      <c r="AA19" s="460"/>
      <c r="AB19" s="460"/>
      <c r="AC19" s="460"/>
      <c r="AD19" s="460"/>
      <c r="AE19" s="460"/>
      <c r="AF19" s="460"/>
      <c r="AG19" s="460"/>
      <c r="AH19" s="460"/>
      <c r="AI19" s="460"/>
      <c r="AJ19" s="463"/>
      <c r="AM19" s="617">
        <f>AM18/N10</f>
        <v>1.0265309592908816</v>
      </c>
      <c r="AN19" s="617">
        <f>AN18/AM18</f>
        <v>1.0753855441800981</v>
      </c>
      <c r="AO19" s="617">
        <f>AO18/AN18</f>
        <v>1.0866176745273637</v>
      </c>
      <c r="AP19" s="617">
        <f>AP18/AO18</f>
        <v>1.0910374778205272</v>
      </c>
    </row>
    <row r="20" spans="1:43" s="439" customFormat="1">
      <c r="A20" s="363" t="s">
        <v>525</v>
      </c>
      <c r="B20" s="492"/>
      <c r="C20" s="492"/>
      <c r="D20" s="492"/>
      <c r="E20" s="492"/>
      <c r="F20" s="492"/>
      <c r="G20" s="492"/>
      <c r="H20" s="492"/>
      <c r="I20" s="492">
        <f t="shared" ref="I20:AD20" si="17">I18/H18*100</f>
        <v>123.81369455356743</v>
      </c>
      <c r="J20" s="397">
        <f t="shared" si="17"/>
        <v>141.09819109102509</v>
      </c>
      <c r="K20" s="397">
        <f t="shared" si="17"/>
        <v>110.74252505317614</v>
      </c>
      <c r="L20" s="396">
        <f t="shared" si="17"/>
        <v>115.01807166813083</v>
      </c>
      <c r="M20" s="395">
        <f t="shared" si="17"/>
        <v>115.18120744883839</v>
      </c>
      <c r="N20" s="395">
        <f t="shared" si="17"/>
        <v>105.72539197545878</v>
      </c>
      <c r="O20" s="395">
        <f>O18/N18*100</f>
        <v>109.94155927749789</v>
      </c>
      <c r="P20" s="394">
        <f>P18/O18*100</f>
        <v>109.57976688429125</v>
      </c>
      <c r="Q20" s="394">
        <f t="shared" si="17"/>
        <v>107.81661877179079</v>
      </c>
      <c r="R20" s="396">
        <f>R18/Q18*100</f>
        <v>107.64674467073507</v>
      </c>
      <c r="S20" s="493">
        <f t="shared" si="17"/>
        <v>108.22636178103279</v>
      </c>
      <c r="T20" s="493">
        <f t="shared" si="17"/>
        <v>106.15601915203705</v>
      </c>
      <c r="U20" s="495">
        <f t="shared" si="17"/>
        <v>105.41036252654156</v>
      </c>
      <c r="V20" s="493">
        <f t="shared" si="17"/>
        <v>104.94637941930745</v>
      </c>
      <c r="W20" s="493">
        <f t="shared" si="17"/>
        <v>104.83179465476542</v>
      </c>
      <c r="X20" s="493">
        <f t="shared" si="17"/>
        <v>104.83995309381555</v>
      </c>
      <c r="Y20" s="494">
        <f t="shared" si="17"/>
        <v>104.89282068019227</v>
      </c>
      <c r="Z20" s="493">
        <f t="shared" si="17"/>
        <v>104.8877807485557</v>
      </c>
      <c r="AA20" s="493">
        <f t="shared" si="17"/>
        <v>104.77811711045395</v>
      </c>
      <c r="AB20" s="493">
        <f t="shared" si="17"/>
        <v>104.83746757454151</v>
      </c>
      <c r="AC20" s="493">
        <f t="shared" si="17"/>
        <v>104.77261957159057</v>
      </c>
      <c r="AD20" s="493">
        <f t="shared" si="17"/>
        <v>105.19399756887687</v>
      </c>
      <c r="AE20" s="493">
        <f>AE18/AD18*100</f>
        <v>104.42484644094156</v>
      </c>
      <c r="AF20" s="493">
        <f>AF18/AE18*100</f>
        <v>104.57688152977194</v>
      </c>
      <c r="AG20" s="493">
        <f>AG18/AF18*100</f>
        <v>104.38291777172614</v>
      </c>
      <c r="AH20" s="493">
        <f>AH18/AG18*100</f>
        <v>104.35337582944013</v>
      </c>
      <c r="AI20" s="493">
        <f>AI18/AH18*100</f>
        <v>104.28670429089917</v>
      </c>
      <c r="AJ20" s="493"/>
      <c r="AM20" s="616">
        <f>AM19/AM17</f>
        <v>0.97727749109346118</v>
      </c>
      <c r="AN20" s="616">
        <f>AN19/AN17</f>
        <v>0.9976931802840957</v>
      </c>
      <c r="AO20" s="616">
        <f>AO19/AO17</f>
        <v>1.0001526603515702</v>
      </c>
      <c r="AP20" s="616">
        <f>AP19/AP17</f>
        <v>1.0001081938835505</v>
      </c>
    </row>
    <row r="21" spans="1:43" s="439" customFormat="1">
      <c r="A21" s="497" t="s">
        <v>547</v>
      </c>
      <c r="B21" s="452"/>
      <c r="C21" s="452">
        <f>C18/C15</f>
        <v>0</v>
      </c>
      <c r="D21" s="452">
        <f>D18/D15</f>
        <v>0</v>
      </c>
      <c r="E21" s="452">
        <f>E18/E15</f>
        <v>0</v>
      </c>
      <c r="F21" s="452">
        <f>F18/F15</f>
        <v>0</v>
      </c>
      <c r="G21" s="452">
        <v>0.55374561281719292</v>
      </c>
      <c r="H21" s="452">
        <v>0.55668858846540004</v>
      </c>
      <c r="I21" s="452">
        <v>0.5559117230577032</v>
      </c>
      <c r="J21" s="452">
        <f>J18/J15</f>
        <v>0.69200367562790299</v>
      </c>
      <c r="K21" s="452">
        <f>K18/K15</f>
        <v>0.67787393495831616</v>
      </c>
      <c r="L21" s="449">
        <f>L18/L15</f>
        <v>0.6938702336424275</v>
      </c>
      <c r="M21" s="451">
        <f>L21</f>
        <v>0.6938702336424275</v>
      </c>
      <c r="N21" s="451">
        <f>M21</f>
        <v>0.6938702336424275</v>
      </c>
      <c r="O21" s="451">
        <f>O18/O16</f>
        <v>0.69990485513438172</v>
      </c>
      <c r="P21" s="450">
        <f>P18/P16</f>
        <v>0.72609781159705145</v>
      </c>
      <c r="Q21" s="450">
        <f>Q18/Q16</f>
        <v>0.74752273240232947</v>
      </c>
      <c r="R21" s="450">
        <f>R18/R16</f>
        <v>0.72398122695604172</v>
      </c>
      <c r="S21" s="449">
        <f>R21</f>
        <v>0.72398122695604172</v>
      </c>
      <c r="T21" s="449">
        <f>S21-0.001</f>
        <v>0.72298122695604172</v>
      </c>
      <c r="U21" s="449">
        <f t="shared" ref="U21:AD21" si="18">T21</f>
        <v>0.72298122695604172</v>
      </c>
      <c r="V21" s="449">
        <f t="shared" si="18"/>
        <v>0.72298122695604172</v>
      </c>
      <c r="W21" s="449">
        <f t="shared" si="18"/>
        <v>0.72298122695604172</v>
      </c>
      <c r="X21" s="449">
        <f t="shared" si="18"/>
        <v>0.72298122695604172</v>
      </c>
      <c r="Y21" s="449">
        <f t="shared" si="18"/>
        <v>0.72298122695604172</v>
      </c>
      <c r="Z21" s="449">
        <f t="shared" si="18"/>
        <v>0.72298122695604172</v>
      </c>
      <c r="AA21" s="449">
        <f t="shared" si="18"/>
        <v>0.72298122695604172</v>
      </c>
      <c r="AB21" s="449">
        <f t="shared" si="18"/>
        <v>0.72298122695604172</v>
      </c>
      <c r="AC21" s="449">
        <f t="shared" si="18"/>
        <v>0.72298122695604172</v>
      </c>
      <c r="AD21" s="449">
        <f t="shared" si="18"/>
        <v>0.72298122695604172</v>
      </c>
      <c r="AE21" s="449">
        <f>AD21</f>
        <v>0.72298122695604172</v>
      </c>
      <c r="AF21" s="449">
        <f>AE21</f>
        <v>0.72298122695604172</v>
      </c>
      <c r="AG21" s="449">
        <f>AF21</f>
        <v>0.72298122695604172</v>
      </c>
      <c r="AH21" s="449">
        <f>AG21</f>
        <v>0.72298122695604172</v>
      </c>
      <c r="AI21" s="449">
        <f>AH21</f>
        <v>0.72298122695604172</v>
      </c>
      <c r="AJ21" s="452"/>
      <c r="AM21" s="527"/>
      <c r="AN21" s="527">
        <f>(N18*1.121)</f>
        <v>6932.9351444200847</v>
      </c>
      <c r="AO21" s="527"/>
      <c r="AP21" s="527"/>
    </row>
    <row r="22" spans="1:43" s="527" customFormat="1">
      <c r="A22" s="528" t="s">
        <v>546</v>
      </c>
      <c r="B22" s="519"/>
      <c r="C22" s="519"/>
      <c r="D22" s="519"/>
      <c r="E22" s="519"/>
      <c r="F22" s="519"/>
      <c r="G22" s="519">
        <f ca="1">(номинал!L12+номинал!L13+номинал!L14+номинал!L15)/1000</f>
        <v>808.01178100000004</v>
      </c>
      <c r="H22" s="519">
        <f ca="1">(номинал!M12+номинал!M13+номинал!M14+номинал!M15)/1000</f>
        <v>1050.9646430000003</v>
      </c>
      <c r="I22" s="519">
        <f ca="1">(номинал!N12+номинал!N13+номинал!N14+номинал!N15)/1000</f>
        <v>1421.845</v>
      </c>
      <c r="J22" s="519">
        <f ca="1">(номинал!O12+номинал!O13+номинал!O14+номинал!O15)/1000</f>
        <v>1774.6279999999999</v>
      </c>
      <c r="K22" s="519">
        <f ca="1">(номинал!P12+номинал!P13+номинал!P14+номинал!P15)/1000</f>
        <v>2098.4929999999999</v>
      </c>
      <c r="L22" s="519">
        <f ca="1">(номинал!Q12+номинал!Q13+номинал!Q14+номинал!Q15)/1000</f>
        <v>2242.3151531305703</v>
      </c>
      <c r="M22" s="519">
        <f ca="1">(номинал!R12+номинал!R13+номинал!R14+номинал!R15)/1000</f>
        <v>2446.0461729999997</v>
      </c>
      <c r="N22" s="519">
        <f ca="1">(номинал!S12+номинал!S13+номинал!S14+номинал!S15)/1000</f>
        <v>2534.101859192564</v>
      </c>
      <c r="O22" s="520">
        <f>N22*1.1</f>
        <v>2787.5120451118205</v>
      </c>
      <c r="P22" s="521">
        <f>O22*1.065</f>
        <v>2968.7003280440886</v>
      </c>
      <c r="Q22" s="521">
        <f>P22*1.045</f>
        <v>3102.2918428060725</v>
      </c>
      <c r="R22" s="522">
        <f ca="1">Q22*R17/100</f>
        <v>3339.516178966494</v>
      </c>
      <c r="S22" s="522">
        <f ca="1">R22*S17/100*0.99</f>
        <v>3564.329657709231</v>
      </c>
      <c r="T22" s="522">
        <f t="shared" ref="T22:AI22" ca="1" si="19">S22*T17/100</f>
        <v>3783.7504740795475</v>
      </c>
      <c r="U22" s="522">
        <f t="shared" ca="1" si="19"/>
        <v>3988.4650918269863</v>
      </c>
      <c r="V22" s="522">
        <f t="shared" ca="1" si="19"/>
        <v>4185.749708275378</v>
      </c>
      <c r="W22" s="522">
        <f t="shared" ca="1" si="19"/>
        <v>4387.9965389416866</v>
      </c>
      <c r="X22" s="522">
        <f t="shared" ca="1" si="19"/>
        <v>4600.3735131847143</v>
      </c>
      <c r="Y22" s="522">
        <f t="shared" ca="1" si="19"/>
        <v>4825.4615398039041</v>
      </c>
      <c r="Z22" s="522">
        <f t="shared" ca="1" si="19"/>
        <v>5061.3195199753982</v>
      </c>
      <c r="AA22" s="522">
        <f t="shared" ca="1" si="19"/>
        <v>5303.1552939740886</v>
      </c>
      <c r="AB22" s="522">
        <f t="shared" ca="1" si="19"/>
        <v>5559.6937117476664</v>
      </c>
      <c r="AC22" s="522">
        <f t="shared" ca="1" si="19"/>
        <v>5825.0367419550257</v>
      </c>
      <c r="AD22" s="522">
        <f t="shared" ca="1" si="19"/>
        <v>6127.5890087183552</v>
      </c>
      <c r="AE22" s="522">
        <f t="shared" ca="1" si="19"/>
        <v>6398.7254128861578</v>
      </c>
      <c r="AF22" s="522">
        <f t="shared" ca="1" si="19"/>
        <v>6691.5874944493671</v>
      </c>
      <c r="AG22" s="522">
        <f t="shared" ca="1" si="19"/>
        <v>6984.8742719541924</v>
      </c>
      <c r="AH22" s="522">
        <f t="shared" ca="1" si="19"/>
        <v>7288.9521002262281</v>
      </c>
      <c r="AI22" s="522">
        <f t="shared" ca="1" si="19"/>
        <v>7601.4079226682124</v>
      </c>
      <c r="AJ22" s="519"/>
      <c r="AM22" s="338"/>
      <c r="AN22" s="338"/>
      <c r="AO22" s="338"/>
      <c r="AP22" s="338"/>
      <c r="AQ22" s="527">
        <v>3320.3272276097978</v>
      </c>
    </row>
    <row r="23" spans="1:43" s="439" customFormat="1">
      <c r="A23" s="363" t="s">
        <v>525</v>
      </c>
      <c r="B23" s="492"/>
      <c r="C23" s="492"/>
      <c r="D23" s="492"/>
      <c r="E23" s="492"/>
      <c r="F23" s="492"/>
      <c r="G23" s="492"/>
      <c r="H23" s="492"/>
      <c r="I23" s="492">
        <f ca="1">I21/H21*100</f>
        <v>99.8604488355261</v>
      </c>
      <c r="J23" s="397"/>
      <c r="K23" s="397"/>
      <c r="L23" s="396">
        <f t="shared" ref="L23:Q23" si="20">L22/K22*100</f>
        <v>106.85359222692523</v>
      </c>
      <c r="M23" s="395">
        <f t="shared" si="20"/>
        <v>109.08574424005448</v>
      </c>
      <c r="N23" s="395">
        <f t="shared" si="20"/>
        <v>103.59991921512122</v>
      </c>
      <c r="O23" s="395">
        <f>O22/N22*100</f>
        <v>110.00000000000001</v>
      </c>
      <c r="P23" s="394">
        <f>P22/O22*100*0.98</f>
        <v>104.37</v>
      </c>
      <c r="Q23" s="394">
        <f t="shared" si="20"/>
        <v>104.5</v>
      </c>
      <c r="R23" s="396">
        <f ca="1">R22/Q22*100*0.99</f>
        <v>106.57027722402769</v>
      </c>
      <c r="S23" s="396">
        <f ca="1">S22/R22*100*1.01</f>
        <v>107.79923681640719</v>
      </c>
      <c r="T23" s="396">
        <f ca="1">T22/S22*100</f>
        <v>106.15601915203703</v>
      </c>
      <c r="U23" s="396">
        <f t="shared" ref="U23:AI23" ca="1" si="21">U22/T22*100</f>
        <v>105.41036252654156</v>
      </c>
      <c r="V23" s="396">
        <f ca="1">V22/U22*100*1.01</f>
        <v>105.99584321350052</v>
      </c>
      <c r="W23" s="396">
        <f t="shared" ca="1" si="21"/>
        <v>104.83179465476542</v>
      </c>
      <c r="X23" s="396">
        <f t="shared" ca="1" si="21"/>
        <v>104.83995309381555</v>
      </c>
      <c r="Y23" s="396">
        <f t="shared" ca="1" si="21"/>
        <v>104.89282068019227</v>
      </c>
      <c r="Z23" s="396">
        <f t="shared" ca="1" si="21"/>
        <v>104.8877807485557</v>
      </c>
      <c r="AA23" s="396">
        <f t="shared" ca="1" si="21"/>
        <v>104.77811711045395</v>
      </c>
      <c r="AB23" s="396">
        <f t="shared" ca="1" si="21"/>
        <v>104.83746757454151</v>
      </c>
      <c r="AC23" s="396">
        <f t="shared" ca="1" si="21"/>
        <v>104.77261957159057</v>
      </c>
      <c r="AD23" s="396">
        <f t="shared" ca="1" si="21"/>
        <v>105.19399756887688</v>
      </c>
      <c r="AE23" s="396">
        <f t="shared" ca="1" si="21"/>
        <v>104.42484644094159</v>
      </c>
      <c r="AF23" s="396">
        <f t="shared" ca="1" si="21"/>
        <v>104.57688152977194</v>
      </c>
      <c r="AG23" s="396">
        <f t="shared" ca="1" si="21"/>
        <v>104.38291777172614</v>
      </c>
      <c r="AH23" s="396">
        <f t="shared" ca="1" si="21"/>
        <v>104.35337582944013</v>
      </c>
      <c r="AI23" s="396">
        <f t="shared" ca="1" si="21"/>
        <v>104.28670429089919</v>
      </c>
      <c r="AJ23" s="397"/>
      <c r="AN23" s="439">
        <v>7422.3199719247887</v>
      </c>
      <c r="AO23" s="439">
        <v>8091.767123536185</v>
      </c>
      <c r="AP23" s="439">
        <v>8864.15422778625</v>
      </c>
      <c r="AQ23" s="439">
        <v>104.4</v>
      </c>
    </row>
    <row r="24" spans="1:43" s="527" customFormat="1">
      <c r="A24" s="528" t="s">
        <v>545</v>
      </c>
      <c r="B24" s="519"/>
      <c r="C24" s="519"/>
      <c r="D24" s="519"/>
      <c r="E24" s="519"/>
      <c r="F24" s="519"/>
      <c r="G24" s="519">
        <f ca="1">номинал!L6/1000</f>
        <v>2133.84836</v>
      </c>
      <c r="H24" s="519">
        <f ca="1">номинал!M6/1000</f>
        <v>2583.58</v>
      </c>
      <c r="I24" s="519">
        <f ca="1">номинал!N6/1000</f>
        <v>2734.6959999999999</v>
      </c>
      <c r="J24" s="519">
        <f ca="1">номинал!O6/1000</f>
        <v>2873.3440000000001</v>
      </c>
      <c r="K24" s="519">
        <f ca="1">номинал!P6/1000</f>
        <v>3187.375</v>
      </c>
      <c r="L24" s="519">
        <f ca="1">номинал!Q6/1000</f>
        <v>3745.1032419999997</v>
      </c>
      <c r="M24" s="519">
        <f ca="1">номинал!R6/1000</f>
        <v>3848.3100180000001</v>
      </c>
      <c r="N24" s="519">
        <f ca="1">номинал!S6/1000</f>
        <v>3730.6504095328451</v>
      </c>
      <c r="O24" s="520">
        <f>N24*O25/100</f>
        <v>4044.0174475031758</v>
      </c>
      <c r="P24" s="521">
        <f>O24*P25/100</f>
        <v>4198.6557347571634</v>
      </c>
      <c r="Q24" s="521">
        <f>P24*Q25/100</f>
        <v>4478.131993343507</v>
      </c>
      <c r="R24" s="519">
        <f>Q24*R25/100</f>
        <v>4828.7249072790282</v>
      </c>
      <c r="S24" s="519">
        <f>R24*S25/100</f>
        <v>5078.3396873110032</v>
      </c>
      <c r="T24" s="519">
        <f t="shared" ref="T24:AI24" si="22">S24*T25/100</f>
        <v>5326.1835117168248</v>
      </c>
      <c r="U24" s="519">
        <f t="shared" si="22"/>
        <v>5629.2034903557287</v>
      </c>
      <c r="V24" s="519">
        <f t="shared" si="22"/>
        <v>5952.5327619958762</v>
      </c>
      <c r="W24" s="519">
        <f t="shared" si="22"/>
        <v>6276.1860807049461</v>
      </c>
      <c r="X24" s="519">
        <f t="shared" si="22"/>
        <v>6594.1140908044927</v>
      </c>
      <c r="Y24" s="519">
        <f t="shared" si="22"/>
        <v>6938.1892461033885</v>
      </c>
      <c r="Z24" s="519">
        <f t="shared" si="22"/>
        <v>7304.4270128529042</v>
      </c>
      <c r="AA24" s="519">
        <f t="shared" si="22"/>
        <v>7690.0050898453637</v>
      </c>
      <c r="AB24" s="519">
        <f t="shared" si="22"/>
        <v>8088.8715663205503</v>
      </c>
      <c r="AC24" s="519">
        <f t="shared" si="22"/>
        <v>8529.7111123836148</v>
      </c>
      <c r="AD24" s="519">
        <f t="shared" si="22"/>
        <v>8963.3698612805802</v>
      </c>
      <c r="AE24" s="519">
        <f t="shared" si="22"/>
        <v>9423.7265193039602</v>
      </c>
      <c r="AF24" s="519">
        <f t="shared" si="22"/>
        <v>9931.0655630830297</v>
      </c>
      <c r="AG24" s="519">
        <f t="shared" si="22"/>
        <v>10462.168866324366</v>
      </c>
      <c r="AH24" s="519">
        <f t="shared" si="22"/>
        <v>11008.22931974522</v>
      </c>
      <c r="AI24" s="519">
        <f t="shared" si="22"/>
        <v>11588.563943514877</v>
      </c>
      <c r="AJ24" s="519"/>
      <c r="AM24" s="439"/>
      <c r="AN24" s="439"/>
      <c r="AO24" s="439"/>
      <c r="AP24" s="439"/>
      <c r="AQ24" s="527">
        <v>4761.7257456303769</v>
      </c>
    </row>
    <row r="25" spans="1:43" s="439" customFormat="1">
      <c r="A25" s="363" t="s">
        <v>525</v>
      </c>
      <c r="B25" s="492"/>
      <c r="C25" s="492"/>
      <c r="D25" s="492"/>
      <c r="E25" s="492"/>
      <c r="F25" s="492"/>
      <c r="G25" s="492"/>
      <c r="H25" s="397">
        <f ca="1">H24/G24*100</f>
        <v>121.07608246351676</v>
      </c>
      <c r="I25" s="397">
        <f ca="1">I24/H24*100</f>
        <v>105.84909311885058</v>
      </c>
      <c r="J25" s="397">
        <f ca="1">J24/I24*100</f>
        <v>105.06996024420997</v>
      </c>
      <c r="K25" s="397">
        <f ca="1">K24/J24*100</f>
        <v>110.92911256013898</v>
      </c>
      <c r="L25" s="396">
        <f ca="1">L24/K24*100</f>
        <v>117.49804280952193</v>
      </c>
      <c r="M25" s="395">
        <v>109.01339145658901</v>
      </c>
      <c r="N25" s="395">
        <f ca="1">N11-9.59</f>
        <v>99.556015428786878</v>
      </c>
      <c r="O25" s="395">
        <f>O11*1.024</f>
        <v>108.39979637785387</v>
      </c>
      <c r="P25" s="394">
        <f>P11-2.7</f>
        <v>103.82387784576605</v>
      </c>
      <c r="Q25" s="394">
        <f>Q11-2</f>
        <v>106.65632707804056</v>
      </c>
      <c r="R25" s="396">
        <f>R11-0.33</f>
        <v>107.82899911071532</v>
      </c>
      <c r="S25" s="396">
        <f>S11*0.99</f>
        <v>105.16937255331516</v>
      </c>
      <c r="T25" s="396">
        <f t="shared" ref="T25:AI25" si="23">T11</f>
        <v>104.88041052127916</v>
      </c>
      <c r="U25" s="396">
        <f>U11*1.01</f>
        <v>105.68925156206699</v>
      </c>
      <c r="V25" s="396">
        <f>V11*1.01</f>
        <v>105.7437836843897</v>
      </c>
      <c r="W25" s="396">
        <f>W11*1.005</f>
        <v>105.43723708293457</v>
      </c>
      <c r="X25" s="396">
        <f t="shared" si="23"/>
        <v>105.06562434592182</v>
      </c>
      <c r="Y25" s="396">
        <f t="shared" si="23"/>
        <v>105.2179132869222</v>
      </c>
      <c r="Z25" s="396">
        <f>Z11</f>
        <v>105.27857851319349</v>
      </c>
      <c r="AA25" s="396">
        <f t="shared" si="23"/>
        <v>105.27869025611447</v>
      </c>
      <c r="AB25" s="396">
        <f t="shared" si="23"/>
        <v>105.18681680720718</v>
      </c>
      <c r="AC25" s="396">
        <f t="shared" si="23"/>
        <v>105.44995111430102</v>
      </c>
      <c r="AD25" s="396">
        <f t="shared" si="23"/>
        <v>105.0840965559475</v>
      </c>
      <c r="AE25" s="396">
        <f t="shared" si="23"/>
        <v>105.135977485566</v>
      </c>
      <c r="AF25" s="396">
        <f t="shared" si="23"/>
        <v>105.38363504861708</v>
      </c>
      <c r="AG25" s="396">
        <f t="shared" si="23"/>
        <v>105.34789846938095</v>
      </c>
      <c r="AH25" s="396">
        <f t="shared" si="23"/>
        <v>105.2193809944945</v>
      </c>
      <c r="AI25" s="396">
        <f t="shared" si="23"/>
        <v>105.27182534913879</v>
      </c>
      <c r="AJ25" s="397"/>
      <c r="AM25" s="527"/>
      <c r="AN25" s="527">
        <v>2831.10276155366</v>
      </c>
      <c r="AO25" s="527">
        <v>3043.4354686701845</v>
      </c>
      <c r="AP25" s="527">
        <v>3180.3900647603427</v>
      </c>
      <c r="AQ25" s="439">
        <v>108.22936020032814</v>
      </c>
    </row>
    <row r="26" spans="1:43" s="527" customFormat="1">
      <c r="A26" s="528" t="s">
        <v>544</v>
      </c>
      <c r="B26" s="519"/>
      <c r="C26" s="519"/>
      <c r="D26" s="519"/>
      <c r="E26" s="519"/>
      <c r="F26" s="519"/>
      <c r="G26" s="519">
        <f ca="1">(номинал!L18-номинал!L24)/1000</f>
        <v>1341.5077530000001</v>
      </c>
      <c r="H26" s="519">
        <f ca="1">(номинал!M18-номинал!M24)/1000</f>
        <v>1565.665837</v>
      </c>
      <c r="I26" s="519">
        <f ca="1">(номинал!N18-номинал!N24)/1000</f>
        <v>1847.41166</v>
      </c>
      <c r="J26" s="519">
        <f ca="1">(номинал!O18-номинал!O24)/1000</f>
        <v>2022.819</v>
      </c>
      <c r="K26" s="519">
        <f ca="1">(номинал!P18-номинал!P24)/1000</f>
        <v>1846.3589999999999</v>
      </c>
      <c r="L26" s="519">
        <f ca="1">(номинал!Q18-номинал!Q24)/1000</f>
        <v>2046.1563680401036</v>
      </c>
      <c r="M26" s="519">
        <f ca="1">(номинал!R18-номинал!R24)/1000</f>
        <v>2473.7580510000003</v>
      </c>
      <c r="N26" s="519">
        <f ca="1">(номинал!S18-номинал!S24)/1000</f>
        <v>2520.878535921403</v>
      </c>
      <c r="O26" s="520">
        <f t="shared" ref="O26:AI26" si="24">N26*O27/100</f>
        <v>2535.1521873810871</v>
      </c>
      <c r="P26" s="521">
        <f t="shared" si="24"/>
        <v>2632.0933102308059</v>
      </c>
      <c r="Q26" s="521">
        <f t="shared" si="24"/>
        <v>2807.2940499589931</v>
      </c>
      <c r="R26" s="519">
        <f t="shared" si="24"/>
        <v>2991.4244417309674</v>
      </c>
      <c r="S26" s="519">
        <f t="shared" si="24"/>
        <v>3130.1731121599441</v>
      </c>
      <c r="T26" s="519">
        <f t="shared" si="24"/>
        <v>3282.9384100600496</v>
      </c>
      <c r="U26" s="519">
        <f t="shared" si="24"/>
        <v>3469.7130348360884</v>
      </c>
      <c r="V26" s="519">
        <f t="shared" si="24"/>
        <v>3669.0058460261462</v>
      </c>
      <c r="W26" s="519">
        <f t="shared" si="24"/>
        <v>3868.4983924613171</v>
      </c>
      <c r="X26" s="519">
        <f t="shared" si="24"/>
        <v>4064.4619888514317</v>
      </c>
      <c r="Y26" s="519">
        <f t="shared" si="24"/>
        <v>4276.5420910096127</v>
      </c>
      <c r="Z26" s="519">
        <f t="shared" si="24"/>
        <v>4502.2827229333225</v>
      </c>
      <c r="AA26" s="519">
        <f t="shared" si="24"/>
        <v>4739.9442823315294</v>
      </c>
      <c r="AB26" s="519">
        <f t="shared" si="24"/>
        <v>4985.7965090197567</v>
      </c>
      <c r="AC26" s="519">
        <f t="shared" si="24"/>
        <v>5257.5199814198595</v>
      </c>
      <c r="AD26" s="519">
        <f t="shared" si="24"/>
        <v>5524.8173737234783</v>
      </c>
      <c r="AE26" s="519">
        <f t="shared" si="24"/>
        <v>5808.5707501565548</v>
      </c>
      <c r="AF26" s="519">
        <f t="shared" si="24"/>
        <v>6121.2830008857036</v>
      </c>
      <c r="AG26" s="519">
        <f t="shared" si="24"/>
        <v>6448.6430007965464</v>
      </c>
      <c r="AH26" s="519">
        <f t="shared" si="24"/>
        <v>6785.2222479829215</v>
      </c>
      <c r="AI26" s="519">
        <f t="shared" si="24"/>
        <v>7142.9273144474901</v>
      </c>
      <c r="AJ26" s="519"/>
      <c r="AM26" s="439"/>
      <c r="AN26" s="439">
        <v>110.00000000000001</v>
      </c>
      <c r="AO26" s="439">
        <v>107.5</v>
      </c>
      <c r="AP26" s="439">
        <v>104.5</v>
      </c>
      <c r="AQ26" s="527">
        <v>3001.2704958514928</v>
      </c>
    </row>
    <row r="27" spans="1:43" s="439" customFormat="1">
      <c r="A27" s="363" t="s">
        <v>525</v>
      </c>
      <c r="B27" s="492"/>
      <c r="C27" s="492"/>
      <c r="D27" s="492"/>
      <c r="E27" s="492"/>
      <c r="F27" s="492"/>
      <c r="G27" s="492"/>
      <c r="H27" s="397">
        <f t="shared" ref="H27:M27" si="25">H26/G26*100</f>
        <v>116.70941397831787</v>
      </c>
      <c r="I27" s="397">
        <f t="shared" si="25"/>
        <v>117.99527180971504</v>
      </c>
      <c r="J27" s="397">
        <f t="shared" si="25"/>
        <v>109.49476198499255</v>
      </c>
      <c r="K27" s="397">
        <f t="shared" si="25"/>
        <v>91.276530426103378</v>
      </c>
      <c r="L27" s="396">
        <f t="shared" si="25"/>
        <v>110.82115493466351</v>
      </c>
      <c r="M27" s="395">
        <f t="shared" si="25"/>
        <v>120.8978008542657</v>
      </c>
      <c r="N27" s="395">
        <f ca="1">N11-12.08</f>
        <v>97.066015428786883</v>
      </c>
      <c r="O27" s="395">
        <f>O11*0.95</f>
        <v>100.56621734273551</v>
      </c>
      <c r="P27" s="394">
        <f>P11-2.7</f>
        <v>103.82387784576605</v>
      </c>
      <c r="Q27" s="394">
        <f>Q11-2</f>
        <v>106.65632707804056</v>
      </c>
      <c r="R27" s="394">
        <f>R11-1.6</f>
        <v>106.55899911071532</v>
      </c>
      <c r="S27" s="394">
        <f>S11*0.985</f>
        <v>104.63821410607619</v>
      </c>
      <c r="T27" s="394">
        <f t="shared" ref="T27:AI27" si="26">T11</f>
        <v>104.88041052127916</v>
      </c>
      <c r="U27" s="394">
        <f>U11*1.01</f>
        <v>105.68925156206699</v>
      </c>
      <c r="V27" s="394">
        <f>V11*1.01</f>
        <v>105.7437836843897</v>
      </c>
      <c r="W27" s="394">
        <f>W11*1.005</f>
        <v>105.43723708293457</v>
      </c>
      <c r="X27" s="394">
        <f t="shared" si="26"/>
        <v>105.06562434592182</v>
      </c>
      <c r="Y27" s="394">
        <f t="shared" si="26"/>
        <v>105.2179132869222</v>
      </c>
      <c r="Z27" s="394">
        <f t="shared" si="26"/>
        <v>105.27857851319349</v>
      </c>
      <c r="AA27" s="394">
        <f t="shared" si="26"/>
        <v>105.27869025611447</v>
      </c>
      <c r="AB27" s="394">
        <f t="shared" si="26"/>
        <v>105.18681680720718</v>
      </c>
      <c r="AC27" s="394">
        <f t="shared" si="26"/>
        <v>105.44995111430102</v>
      </c>
      <c r="AD27" s="394">
        <f t="shared" si="26"/>
        <v>105.0840965559475</v>
      </c>
      <c r="AE27" s="394">
        <f t="shared" si="26"/>
        <v>105.135977485566</v>
      </c>
      <c r="AF27" s="394">
        <f t="shared" si="26"/>
        <v>105.38363504861708</v>
      </c>
      <c r="AG27" s="394">
        <f t="shared" si="26"/>
        <v>105.34789846938095</v>
      </c>
      <c r="AH27" s="394">
        <f t="shared" si="26"/>
        <v>105.2193809944945</v>
      </c>
      <c r="AI27" s="394">
        <f t="shared" si="26"/>
        <v>105.27182534913879</v>
      </c>
      <c r="AJ27" s="397"/>
      <c r="AK27" s="397"/>
      <c r="AL27" s="397"/>
      <c r="AM27" s="527"/>
      <c r="AN27" s="527">
        <v>3980.6938295253117</v>
      </c>
      <c r="AO27" s="527">
        <v>4178.5987958472078</v>
      </c>
      <c r="AP27" s="527">
        <v>4399.6617339478089</v>
      </c>
      <c r="AQ27" s="439">
        <v>108.12936020032814</v>
      </c>
    </row>
    <row r="28" spans="1:43" s="527" customFormat="1" ht="25.5">
      <c r="A28" s="535" t="s">
        <v>543</v>
      </c>
      <c r="B28" s="519">
        <v>2558.4896079999999</v>
      </c>
      <c r="C28" s="519">
        <v>3353.8820000000001</v>
      </c>
      <c r="D28" s="519">
        <v>4431.8142170000001</v>
      </c>
      <c r="E28" s="519">
        <v>5799.5172060000004</v>
      </c>
      <c r="F28" s="519">
        <v>7069.6827000000003</v>
      </c>
      <c r="G28" s="519">
        <f ca="1">номинал!L35/1000</f>
        <v>4999.09</v>
      </c>
      <c r="H28" s="519">
        <f ca="1">(номинал!M35-номинал!M25)/1000</f>
        <v>5215.01</v>
      </c>
      <c r="I28" s="519">
        <f ca="1">(номинал!N35-номинал!N25)/1000</f>
        <v>6407.2717000000002</v>
      </c>
      <c r="J28" s="519">
        <f ca="1">(номинал!O35-номинал!O25)/1000</f>
        <v>6930.8911813174118</v>
      </c>
      <c r="K28" s="519">
        <f ca="1">(номинал!P35-номинал!P25)/1000</f>
        <v>7854.0373845576432</v>
      </c>
      <c r="L28" s="519">
        <f ca="1">(номинал!Q35-номинал!Q25)/1000</f>
        <v>8209.240681630863</v>
      </c>
      <c r="M28" s="519">
        <f ca="1">(номинал!R35-номинал!R25)/1000</f>
        <v>9245.0134026889391</v>
      </c>
      <c r="N28" s="519">
        <f ca="1">(номинал!S35-номинал!S25)/1000</f>
        <v>10693.528056288818</v>
      </c>
      <c r="O28" s="661">
        <f>N28*O29</f>
        <v>12564.895466139362</v>
      </c>
      <c r="P28" s="662">
        <f t="shared" ref="P28:AI28" si="27">O28*P29</f>
        <v>14058.409502580633</v>
      </c>
      <c r="Q28" s="662">
        <f t="shared" si="27"/>
        <v>15296.774149619761</v>
      </c>
      <c r="R28" s="663">
        <f t="shared" si="27"/>
        <v>16395.934276107269</v>
      </c>
      <c r="S28" s="663">
        <f>R28*S29</f>
        <v>17403.743839872728</v>
      </c>
      <c r="T28" s="663">
        <f t="shared" si="27"/>
        <v>18474.163244132702</v>
      </c>
      <c r="U28" s="663">
        <f t="shared" si="27"/>
        <v>19610.265163500448</v>
      </c>
      <c r="V28" s="663">
        <f t="shared" si="27"/>
        <v>20816.297908221972</v>
      </c>
      <c r="W28" s="663">
        <f t="shared" si="27"/>
        <v>22096.415744021178</v>
      </c>
      <c r="X28" s="663">
        <f t="shared" si="27"/>
        <v>23477.146359942686</v>
      </c>
      <c r="Y28" s="663">
        <f t="shared" si="27"/>
        <v>24944.244701540942</v>
      </c>
      <c r="Z28" s="663">
        <f t="shared" si="27"/>
        <v>26488.103427633687</v>
      </c>
      <c r="AA28" s="663">
        <f t="shared" si="27"/>
        <v>28064.24313724917</v>
      </c>
      <c r="AB28" s="663">
        <f t="shared" si="27"/>
        <v>29734.198375071701</v>
      </c>
      <c r="AC28" s="663">
        <f t="shared" si="27"/>
        <v>31503.632464583425</v>
      </c>
      <c r="AD28" s="663">
        <f t="shared" si="27"/>
        <v>33301.622031530911</v>
      </c>
      <c r="AE28" s="663">
        <f t="shared" si="27"/>
        <v>35166.038579100779</v>
      </c>
      <c r="AF28" s="663">
        <f t="shared" si="27"/>
        <v>37137.074181745687</v>
      </c>
      <c r="AG28" s="663">
        <f t="shared" si="27"/>
        <v>39217.022708772492</v>
      </c>
      <c r="AH28" s="663">
        <f t="shared" si="27"/>
        <v>41428.96417279532</v>
      </c>
      <c r="AI28" s="663">
        <f t="shared" si="27"/>
        <v>43764.364010965939</v>
      </c>
      <c r="AJ28" s="672"/>
      <c r="AK28" s="595"/>
      <c r="AL28" s="595"/>
      <c r="AM28" s="439"/>
      <c r="AN28" s="439">
        <v>104.78854625935253</v>
      </c>
      <c r="AO28" s="439">
        <v>104.97161989334649</v>
      </c>
      <c r="AP28" s="439">
        <v>105.29036045097938</v>
      </c>
      <c r="AQ28" s="527">
        <v>14952.784678782113</v>
      </c>
    </row>
    <row r="29" spans="1:43" s="439" customFormat="1">
      <c r="A29" s="363" t="s">
        <v>525</v>
      </c>
      <c r="B29" s="491"/>
      <c r="C29" s="491"/>
      <c r="D29" s="491"/>
      <c r="E29" s="491"/>
      <c r="F29" s="452">
        <f>F28/E28</f>
        <v>1.219012281347476</v>
      </c>
      <c r="G29" s="452">
        <v>1.1986138820629104</v>
      </c>
      <c r="H29" s="452">
        <v>1.1275667260098292</v>
      </c>
      <c r="I29" s="452">
        <f>I28/H28</f>
        <v>1.2286211723467453</v>
      </c>
      <c r="J29" s="452">
        <f>J28/I28</f>
        <v>1.0817226903796529</v>
      </c>
      <c r="K29" s="452">
        <f>K28/J28</f>
        <v>1.133193002038269</v>
      </c>
      <c r="L29" s="449">
        <f>L28/K28</f>
        <v>1.0452255673969173</v>
      </c>
      <c r="M29" s="490">
        <f>M28/L28</f>
        <v>1.1261715621733126</v>
      </c>
      <c r="N29" s="490">
        <f>(N11+7.11)/100</f>
        <v>1.1625601542878687</v>
      </c>
      <c r="O29" s="435">
        <v>1.175</v>
      </c>
      <c r="P29" s="490">
        <v>1.118864024015646</v>
      </c>
      <c r="Q29" s="490">
        <v>1.0880871087737065</v>
      </c>
      <c r="R29" s="490">
        <f>(R11*0.991)/100</f>
        <v>1.0718556811871887</v>
      </c>
      <c r="S29" s="784">
        <f>(S11*0.9992)/100</f>
        <v>1.0614670409623486</v>
      </c>
      <c r="T29" s="784">
        <f>(T11*1.01211)/100</f>
        <v>1.0615051229269186</v>
      </c>
      <c r="U29" s="784">
        <f>(U11*1.0144)/100</f>
        <v>1.0614967998471361</v>
      </c>
      <c r="V29" s="784">
        <f>(V11*1.01388)/100</f>
        <v>1.0615000732864259</v>
      </c>
      <c r="W29" s="784">
        <f>(W11*1.01179)/100</f>
        <v>1.0614959413745511</v>
      </c>
      <c r="X29" s="784">
        <f>(X11*1.01126)/100</f>
        <v>1.0624866327605691</v>
      </c>
      <c r="Y29" s="784">
        <f>(Y11*1.0098)/100</f>
        <v>1.0624904883713404</v>
      </c>
      <c r="Z29" s="784">
        <f>(Z11*1.00865)/100</f>
        <v>1.0618923821733264</v>
      </c>
      <c r="AA29" s="784">
        <f>(AA11*1.00638)/100</f>
        <v>1.0595036829994848</v>
      </c>
      <c r="AB29" s="784">
        <f>(AB11*1.00726)/100</f>
        <v>1.0595047309722752</v>
      </c>
      <c r="AC29" s="784">
        <f>(AC11*1.00475)/100</f>
        <v>1.0595083838209396</v>
      </c>
      <c r="AD29" s="784">
        <f>(AD11*1.00593)/100</f>
        <v>1.0570724524852426</v>
      </c>
      <c r="AE29" s="784">
        <f>(AE11*1.0044)/100</f>
        <v>1.0559857578650249</v>
      </c>
      <c r="AF29" s="784">
        <f>(AF11*1.0021)/100</f>
        <v>1.0560494068221917</v>
      </c>
      <c r="AG29" s="784">
        <f>(AG11*1.0024)/100</f>
        <v>1.0560073342570746</v>
      </c>
      <c r="AH29" s="784">
        <f>(AH11*1.004)/100</f>
        <v>1.0564025851847247</v>
      </c>
      <c r="AI29" s="784">
        <f>(AI11*1.00347)/100</f>
        <v>1.0563711858310032</v>
      </c>
      <c r="AJ29" s="436"/>
      <c r="AK29" s="436"/>
      <c r="AL29" s="436"/>
      <c r="AM29" s="527"/>
      <c r="AN29" s="527">
        <v>2506.5374353575544</v>
      </c>
      <c r="AO29" s="527">
        <v>2637.4192927163613</v>
      </c>
      <c r="AP29" s="527">
        <v>2775.6295702583698</v>
      </c>
      <c r="AQ29" s="439">
        <v>1.0632936020032815</v>
      </c>
    </row>
    <row r="30" spans="1:43" s="484" customFormat="1" ht="14.25" customHeight="1">
      <c r="A30" s="489"/>
      <c r="B30" s="488"/>
      <c r="C30" s="488"/>
      <c r="D30" s="488"/>
      <c r="E30" s="488"/>
      <c r="F30" s="488"/>
      <c r="G30" s="488"/>
      <c r="H30" s="488"/>
      <c r="I30" s="488"/>
      <c r="J30" s="487"/>
      <c r="K30" s="487"/>
      <c r="L30" s="486"/>
      <c r="M30" s="485">
        <f t="shared" ref="M30:R30" si="28">M33+M56</f>
        <v>42454.903449372228</v>
      </c>
      <c r="N30" s="485">
        <f t="shared" si="28"/>
        <v>45406.291116929046</v>
      </c>
      <c r="O30" s="485">
        <f t="shared" ca="1" si="28"/>
        <v>49210.044682614738</v>
      </c>
      <c r="P30" s="485">
        <f t="shared" ca="1" si="28"/>
        <v>53228.796070571261</v>
      </c>
      <c r="Q30" s="485">
        <f t="shared" ca="1" si="28"/>
        <v>57522.318521814603</v>
      </c>
      <c r="R30" s="485">
        <f t="shared" ca="1" si="28"/>
        <v>61943.277564142692</v>
      </c>
      <c r="S30" s="485">
        <f t="shared" ref="S30:AI30" ca="1" si="29">S33+S56</f>
        <v>65835.601768914217</v>
      </c>
      <c r="T30" s="485">
        <f t="shared" ca="1" si="29"/>
        <v>69429.92766703479</v>
      </c>
      <c r="U30" s="485">
        <f t="shared" ca="1" si="29"/>
        <v>73123.012383466557</v>
      </c>
      <c r="V30" s="485">
        <f t="shared" ca="1" si="29"/>
        <v>76966.47164163363</v>
      </c>
      <c r="W30" s="485">
        <f t="shared" ca="1" si="29"/>
        <v>81034.358781220333</v>
      </c>
      <c r="X30" s="485">
        <f t="shared" ca="1" si="29"/>
        <v>85354.755744995433</v>
      </c>
      <c r="Y30" s="485">
        <f t="shared" ca="1" si="29"/>
        <v>89985.322722149722</v>
      </c>
      <c r="Z30" s="485">
        <f t="shared" ca="1" si="29"/>
        <v>94882.233217005778</v>
      </c>
      <c r="AA30" s="485">
        <f t="shared" ca="1" si="29"/>
        <v>99962.861598027768</v>
      </c>
      <c r="AB30" s="485">
        <f t="shared" ca="1" si="29"/>
        <v>105282.41917802405</v>
      </c>
      <c r="AC30" s="485">
        <f t="shared" ca="1" si="29"/>
        <v>111015.14144411433</v>
      </c>
      <c r="AD30" s="485">
        <f t="shared" ca="1" si="29"/>
        <v>116868.9776103145</v>
      </c>
      <c r="AE30" s="485">
        <f t="shared" ca="1" si="29"/>
        <v>122854.11858446419</v>
      </c>
      <c r="AF30" s="485">
        <f t="shared" ca="1" si="29"/>
        <v>129338.42887799835</v>
      </c>
      <c r="AG30" s="485">
        <f t="shared" ca="1" si="29"/>
        <v>136093.87542885781</v>
      </c>
      <c r="AH30" s="485">
        <f t="shared" ca="1" si="29"/>
        <v>143121.85503931099</v>
      </c>
      <c r="AI30" s="485">
        <f t="shared" ca="1" si="29"/>
        <v>150535.67587385146</v>
      </c>
      <c r="AJ30" s="673"/>
      <c r="AM30" s="439"/>
      <c r="AN30" s="439">
        <v>105.30221560376111</v>
      </c>
      <c r="AO30" s="439">
        <v>105.22161989334649</v>
      </c>
      <c r="AP30" s="439">
        <v>105.24036045097938</v>
      </c>
    </row>
    <row r="31" spans="1:43" s="484" customFormat="1" ht="14.25" customHeight="1" thickBot="1">
      <c r="A31" s="673"/>
      <c r="B31" s="673"/>
      <c r="C31" s="488"/>
      <c r="D31" s="488"/>
      <c r="E31" s="488"/>
      <c r="F31" s="488"/>
      <c r="G31" s="488"/>
      <c r="H31" s="488"/>
      <c r="I31" s="488"/>
      <c r="J31" s="487"/>
      <c r="K31" s="487"/>
      <c r="L31" s="487"/>
      <c r="M31" s="673"/>
      <c r="N31" s="673"/>
      <c r="O31" s="800">
        <f ca="1">O80</f>
        <v>80.783248289621042</v>
      </c>
      <c r="P31" s="800">
        <f ca="1">P80</f>
        <v>-182.03598730801878</v>
      </c>
      <c r="Q31" s="800">
        <f ca="1">Q80</f>
        <v>-194.84045840327963</v>
      </c>
      <c r="R31" s="800">
        <f t="shared" ref="R31:AI31" ca="1" si="30">R80</f>
        <v>150.18821587550883</v>
      </c>
      <c r="S31" s="800">
        <f t="shared" ca="1" si="30"/>
        <v>416.68834670660181</v>
      </c>
      <c r="T31" s="800">
        <f t="shared" ca="1" si="30"/>
        <v>693.25583962625024</v>
      </c>
      <c r="U31" s="800">
        <f t="shared" ca="1" si="30"/>
        <v>56.492496826126626</v>
      </c>
      <c r="V31" s="800">
        <f t="shared" ca="1" si="30"/>
        <v>96.017556932531079</v>
      </c>
      <c r="W31" s="800">
        <f t="shared" ca="1" si="30"/>
        <v>73.142888696213049</v>
      </c>
      <c r="X31" s="800">
        <f t="shared" ca="1" si="30"/>
        <v>99.21049964519807</v>
      </c>
      <c r="Y31" s="800">
        <f t="shared" ca="1" si="30"/>
        <v>81.608092766531627</v>
      </c>
      <c r="Z31" s="800">
        <f t="shared" ca="1" si="30"/>
        <v>138.68527963552697</v>
      </c>
      <c r="AA31" s="800">
        <f t="shared" ca="1" si="30"/>
        <v>189.03940281847463</v>
      </c>
      <c r="AB31" s="800">
        <f t="shared" ca="1" si="30"/>
        <v>274.35436047490293</v>
      </c>
      <c r="AC31" s="800">
        <f t="shared" ca="1" si="30"/>
        <v>334.21302487090543</v>
      </c>
      <c r="AD31" s="800">
        <f t="shared" ca="1" si="30"/>
        <v>353.92992436374516</v>
      </c>
      <c r="AE31" s="800">
        <f t="shared" ca="1" si="30"/>
        <v>-101.03718403014318</v>
      </c>
      <c r="AF31" s="800">
        <f t="shared" ca="1" si="30"/>
        <v>-122.82322881841174</v>
      </c>
      <c r="AG31" s="800">
        <f t="shared" ca="1" si="30"/>
        <v>-172.82563215822483</v>
      </c>
      <c r="AH31" s="800">
        <f t="shared" ca="1" si="30"/>
        <v>-147.30343832431754</v>
      </c>
      <c r="AI31" s="800">
        <f t="shared" ca="1" si="30"/>
        <v>-17.231637657045212</v>
      </c>
      <c r="AJ31" s="673"/>
      <c r="AM31" s="439"/>
      <c r="AN31" s="439"/>
      <c r="AO31" s="439"/>
      <c r="AP31" s="439"/>
    </row>
    <row r="32" spans="1:43" ht="32.25" customHeight="1" thickBot="1">
      <c r="A32" s="483" t="str">
        <f>A1</f>
        <v xml:space="preserve">вариант 1 </v>
      </c>
      <c r="B32" s="481">
        <v>2002</v>
      </c>
      <c r="C32" s="481">
        <v>2003</v>
      </c>
      <c r="D32" s="481">
        <v>2004</v>
      </c>
      <c r="E32" s="481">
        <v>2005</v>
      </c>
      <c r="F32" s="481">
        <v>2006</v>
      </c>
      <c r="G32" s="481">
        <v>2007</v>
      </c>
      <c r="H32" s="481">
        <v>2008</v>
      </c>
      <c r="I32" s="481">
        <v>2009</v>
      </c>
      <c r="J32" s="481">
        <v>2010</v>
      </c>
      <c r="K32" s="481">
        <v>2011</v>
      </c>
      <c r="L32" s="478">
        <v>2012</v>
      </c>
      <c r="M32" s="478">
        <v>2013</v>
      </c>
      <c r="N32" s="478">
        <v>2014</v>
      </c>
      <c r="O32" s="478">
        <v>2015</v>
      </c>
      <c r="P32" s="478">
        <v>2016</v>
      </c>
      <c r="Q32" s="478">
        <v>2017</v>
      </c>
      <c r="R32" s="478">
        <v>2018</v>
      </c>
      <c r="S32" s="478">
        <v>2019</v>
      </c>
      <c r="T32" s="478">
        <v>2020</v>
      </c>
      <c r="U32" s="478">
        <v>2021</v>
      </c>
      <c r="V32" s="478">
        <v>2022</v>
      </c>
      <c r="W32" s="478">
        <v>2023</v>
      </c>
      <c r="X32" s="479">
        <v>2024</v>
      </c>
      <c r="Y32" s="478">
        <v>2025</v>
      </c>
      <c r="Z32" s="478">
        <v>2026</v>
      </c>
      <c r="AA32" s="478">
        <v>2027</v>
      </c>
      <c r="AB32" s="478">
        <v>2028</v>
      </c>
      <c r="AC32" s="478">
        <v>2029</v>
      </c>
      <c r="AD32" s="478">
        <v>2030</v>
      </c>
      <c r="AE32" s="478">
        <v>2031</v>
      </c>
      <c r="AF32" s="478">
        <v>2032</v>
      </c>
      <c r="AG32" s="478">
        <v>2033</v>
      </c>
      <c r="AH32" s="478">
        <v>2034</v>
      </c>
      <c r="AI32" s="478">
        <v>2035</v>
      </c>
      <c r="AJ32" s="286"/>
      <c r="AM32" s="439"/>
      <c r="AN32" s="439">
        <v>1.1243386888171818</v>
      </c>
      <c r="AO32" s="439">
        <v>1.0792161989334648</v>
      </c>
      <c r="AP32" s="439">
        <v>1.0644036045097938</v>
      </c>
    </row>
    <row r="33" spans="1:42" s="392" customFormat="1">
      <c r="A33" s="477" t="s">
        <v>542</v>
      </c>
      <c r="B33" s="476">
        <f t="shared" ref="B33:J33" si="31">B34+B49</f>
        <v>5586.8470000000007</v>
      </c>
      <c r="C33" s="476">
        <f t="shared" si="31"/>
        <v>6880.759</v>
      </c>
      <c r="D33" s="476">
        <f t="shared" si="31"/>
        <v>8646.126796999999</v>
      </c>
      <c r="E33" s="476">
        <f t="shared" si="31"/>
        <v>10764.957673999999</v>
      </c>
      <c r="F33" s="476">
        <f t="shared" si="31"/>
        <v>13452.48833</v>
      </c>
      <c r="G33" s="476">
        <f t="shared" si="31"/>
        <v>16876.25129</v>
      </c>
      <c r="H33" s="476">
        <f t="shared" si="31"/>
        <v>21554.099402999997</v>
      </c>
      <c r="I33" s="476">
        <f t="shared" si="31"/>
        <v>22883.952999999998</v>
      </c>
      <c r="J33" s="476">
        <f t="shared" si="31"/>
        <v>25724.472000000002</v>
      </c>
      <c r="K33" s="474">
        <f>K34+K49+K52</f>
        <v>29901.494000000006</v>
      </c>
      <c r="L33" s="474">
        <f>L34+L49+L52</f>
        <v>34129.230437999999</v>
      </c>
      <c r="M33" s="474">
        <f>M34+M49+M52</f>
        <v>38194.798229</v>
      </c>
      <c r="N33" s="474">
        <f t="shared" ref="N33:S33" si="32">N34+N49</f>
        <v>41658.677327066696</v>
      </c>
      <c r="O33" s="474">
        <f t="shared" ca="1" si="32"/>
        <v>44172.789786518726</v>
      </c>
      <c r="P33" s="474">
        <f t="shared" ca="1" si="32"/>
        <v>48090.319897984453</v>
      </c>
      <c r="Q33" s="474">
        <f t="shared" ca="1" si="32"/>
        <v>52132.160504380925</v>
      </c>
      <c r="R33" s="474">
        <f t="shared" ca="1" si="32"/>
        <v>56345.257469270742</v>
      </c>
      <c r="S33" s="474">
        <f t="shared" ca="1" si="32"/>
        <v>59892.706864538995</v>
      </c>
      <c r="T33" s="474">
        <f t="shared" ref="T33:AI33" ca="1" si="33">T34+T49</f>
        <v>63400.83125161162</v>
      </c>
      <c r="U33" s="474">
        <f t="shared" ca="1" si="33"/>
        <v>66790.310038102587</v>
      </c>
      <c r="V33" s="474">
        <f t="shared" ca="1" si="33"/>
        <v>70311.571051999534</v>
      </c>
      <c r="W33" s="474">
        <f t="shared" ca="1" si="33"/>
        <v>74143.617503141475</v>
      </c>
      <c r="X33" s="474">
        <f t="shared" ca="1" si="33"/>
        <v>78165.579888105785</v>
      </c>
      <c r="Y33" s="474">
        <f t="shared" ca="1" si="33"/>
        <v>82426.428381203674</v>
      </c>
      <c r="Z33" s="474">
        <f t="shared" ca="1" si="33"/>
        <v>86810.292511530919</v>
      </c>
      <c r="AA33" s="474">
        <f t="shared" ca="1" si="33"/>
        <v>91400.239397637604</v>
      </c>
      <c r="AB33" s="474">
        <f t="shared" ca="1" si="33"/>
        <v>96135.484852240916</v>
      </c>
      <c r="AC33" s="474">
        <f t="shared" ca="1" si="33"/>
        <v>101169.12213804996</v>
      </c>
      <c r="AD33" s="474">
        <f t="shared" ca="1" si="33"/>
        <v>106439.34928372696</v>
      </c>
      <c r="AE33" s="474">
        <f t="shared" ca="1" si="33"/>
        <v>111872.92783793629</v>
      </c>
      <c r="AF33" s="474">
        <f t="shared" ca="1" si="33"/>
        <v>117763.08542818014</v>
      </c>
      <c r="AG33" s="474">
        <f t="shared" ca="1" si="33"/>
        <v>123959.54656685388</v>
      </c>
      <c r="AH33" s="474">
        <f t="shared" ca="1" si="33"/>
        <v>130369.32710418645</v>
      </c>
      <c r="AI33" s="474">
        <f t="shared" ca="1" si="33"/>
        <v>137101.26091075511</v>
      </c>
      <c r="AJ33" s="474"/>
      <c r="AK33" s="474"/>
      <c r="AL33" s="474"/>
      <c r="AM33" s="484"/>
      <c r="AN33" s="484"/>
      <c r="AO33" s="484"/>
      <c r="AP33" s="484"/>
    </row>
    <row r="34" spans="1:42" s="527" customFormat="1">
      <c r="A34" s="518" t="s">
        <v>561</v>
      </c>
      <c r="B34" s="537">
        <v>5001.7740000000003</v>
      </c>
      <c r="C34" s="537">
        <v>6147.2569999999996</v>
      </c>
      <c r="D34" s="537">
        <v>7670.6809999999996</v>
      </c>
      <c r="E34" s="537">
        <v>9613.84</v>
      </c>
      <c r="F34" s="537">
        <v>11927.592000000001</v>
      </c>
      <c r="G34" s="537">
        <f>G38+G41+G44+G52</f>
        <v>14831.380583999999</v>
      </c>
      <c r="H34" s="537">
        <f>H38+H41+H44+H52</f>
        <v>18715.754999999997</v>
      </c>
      <c r="I34" s="537">
        <f>I38+I41+I44+I52</f>
        <v>20034.847999999998</v>
      </c>
      <c r="J34" s="537">
        <f>J38+J41+J44+J52</f>
        <v>22699.393</v>
      </c>
      <c r="K34" s="537">
        <f t="shared" ref="K34:Q34" si="34">K38+K41+K44+K52</f>
        <v>26275.788000000004</v>
      </c>
      <c r="L34" s="537">
        <f t="shared" si="34"/>
        <v>29712.987733999998</v>
      </c>
      <c r="M34" s="519">
        <f t="shared" si="34"/>
        <v>32952.272173999998</v>
      </c>
      <c r="N34" s="519">
        <f>N38+N41+N44+N52</f>
        <v>36064.328555144115</v>
      </c>
      <c r="O34" s="519">
        <f ca="1">O38+O41+O44+O52</f>
        <v>37775.684631129829</v>
      </c>
      <c r="P34" s="519">
        <f ca="1">P38+P41+P44+P52</f>
        <v>41041.109267424108</v>
      </c>
      <c r="Q34" s="519">
        <f t="shared" ca="1" si="34"/>
        <v>44843.496625806511</v>
      </c>
      <c r="R34" s="519">
        <f ca="1">R38+R41+R44+R52</f>
        <v>48574.56009266356</v>
      </c>
      <c r="S34" s="519">
        <f ca="1">S38+S41+S44+S52</f>
        <v>51661.54692199202</v>
      </c>
      <c r="T34" s="519">
        <f t="shared" ref="T34:AI34" ca="1" si="35">T38+T41+T44+T52</f>
        <v>54803.672481940688</v>
      </c>
      <c r="U34" s="519">
        <f t="shared" ca="1" si="35"/>
        <v>57774.823262582358</v>
      </c>
      <c r="V34" s="519">
        <f t="shared" ca="1" si="35"/>
        <v>60851.989501878197</v>
      </c>
      <c r="W34" s="519">
        <f t="shared" ca="1" si="35"/>
        <v>64178.357666700118</v>
      </c>
      <c r="X34" s="519">
        <f t="shared" ca="1" si="35"/>
        <v>67636.6517306694</v>
      </c>
      <c r="Y34" s="519">
        <f t="shared" ca="1" si="35"/>
        <v>71347.999350169819</v>
      </c>
      <c r="Z34" s="519">
        <f ca="1">Z38+Z41+Z44+Z52</f>
        <v>75204.321652095081</v>
      </c>
      <c r="AA34" s="519">
        <f t="shared" ca="1" si="35"/>
        <v>79249.325433535065</v>
      </c>
      <c r="AB34" s="519">
        <f t="shared" ca="1" si="35"/>
        <v>83486.678748198217</v>
      </c>
      <c r="AC34" s="519">
        <f t="shared" ca="1" si="35"/>
        <v>87943.26517537421</v>
      </c>
      <c r="AD34" s="519">
        <f t="shared" ca="1" si="35"/>
        <v>92655.097677860758</v>
      </c>
      <c r="AE34" s="519">
        <f t="shared" si="35"/>
        <v>97577.594539092854</v>
      </c>
      <c r="AF34" s="519">
        <f t="shared" si="35"/>
        <v>102770.52092027795</v>
      </c>
      <c r="AG34" s="519">
        <f t="shared" si="35"/>
        <v>108203.67103965557</v>
      </c>
      <c r="AH34" s="519">
        <f t="shared" si="35"/>
        <v>113725.60767888377</v>
      </c>
      <c r="AI34" s="519">
        <f t="shared" si="35"/>
        <v>119518.79748031126</v>
      </c>
      <c r="AJ34" s="537"/>
      <c r="AM34" s="280"/>
      <c r="AN34" s="280"/>
      <c r="AO34" s="280"/>
      <c r="AP34" s="280"/>
    </row>
    <row r="35" spans="1:42" s="598" customFormat="1">
      <c r="A35" s="596"/>
      <c r="B35" s="597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674">
        <f ca="1">S34/R34</f>
        <v>1.0635515138673319</v>
      </c>
      <c r="T35" s="674">
        <f ca="1">T34/S34</f>
        <v>1.0608213603184051</v>
      </c>
      <c r="U35" s="674">
        <f ca="1">U34/T34</f>
        <v>1.054214446698271</v>
      </c>
      <c r="V35" s="674">
        <f t="shared" ref="V35:AI35" ca="1" si="36">V34/U34</f>
        <v>1.0532613700142421</v>
      </c>
      <c r="W35" s="674">
        <f t="shared" ca="1" si="36"/>
        <v>1.0546632606764526</v>
      </c>
      <c r="X35" s="674">
        <f t="shared" ca="1" si="36"/>
        <v>1.0538856740761329</v>
      </c>
      <c r="Y35" s="674">
        <f t="shared" ca="1" si="36"/>
        <v>1.054871841295147</v>
      </c>
      <c r="Z35" s="674">
        <f t="shared" ca="1" si="36"/>
        <v>1.0540494805327163</v>
      </c>
      <c r="AA35" s="674">
        <f t="shared" ca="1" si="36"/>
        <v>1.0537868528374299</v>
      </c>
      <c r="AB35" s="674">
        <f t="shared" ca="1" si="36"/>
        <v>1.0534686357452587</v>
      </c>
      <c r="AC35" s="674">
        <f t="shared" ca="1" si="36"/>
        <v>1.0533808086990426</v>
      </c>
      <c r="AD35" s="674">
        <f t="shared" ca="1" si="36"/>
        <v>1.0535780937072365</v>
      </c>
      <c r="AE35" s="674">
        <f t="shared" ca="1" si="36"/>
        <v>1.0531271023894058</v>
      </c>
      <c r="AF35" s="674">
        <f t="shared" si="36"/>
        <v>1.0532184299655454</v>
      </c>
      <c r="AG35" s="674">
        <f t="shared" si="36"/>
        <v>1.0528668150236611</v>
      </c>
      <c r="AH35" s="674">
        <f t="shared" si="36"/>
        <v>1.0510328031033667</v>
      </c>
      <c r="AI35" s="674">
        <f t="shared" si="36"/>
        <v>1.0509400645964027</v>
      </c>
      <c r="AJ35" s="674"/>
      <c r="AM35" s="280"/>
      <c r="AN35" s="280"/>
      <c r="AO35" s="280"/>
      <c r="AP35" s="280"/>
    </row>
    <row r="36" spans="1:42" s="286" customFormat="1">
      <c r="A36" s="438"/>
      <c r="B36" s="437"/>
      <c r="C36" s="437"/>
      <c r="D36" s="437"/>
      <c r="E36" s="437"/>
      <c r="F36" s="437"/>
      <c r="G36" s="437"/>
      <c r="H36" s="469">
        <f t="shared" ref="H36:AI36" si="37">H38+H41+H44+H52</f>
        <v>18715.754999999997</v>
      </c>
      <c r="I36" s="469">
        <f t="shared" si="37"/>
        <v>20034.847999999998</v>
      </c>
      <c r="J36" s="469">
        <f t="shared" si="37"/>
        <v>22699.393</v>
      </c>
      <c r="K36" s="469">
        <f t="shared" si="37"/>
        <v>26275.788000000004</v>
      </c>
      <c r="L36" s="468">
        <f t="shared" si="37"/>
        <v>29712.987733999998</v>
      </c>
      <c r="M36" s="675">
        <f t="shared" si="37"/>
        <v>32952.272173999998</v>
      </c>
      <c r="N36" s="675">
        <f t="shared" si="37"/>
        <v>36064.328555144115</v>
      </c>
      <c r="O36" s="675">
        <f ca="1">O38+O41+O44+O52</f>
        <v>37775.684631129829</v>
      </c>
      <c r="P36" s="675">
        <f t="shared" ca="1" si="37"/>
        <v>41041.109267424108</v>
      </c>
      <c r="Q36" s="675">
        <f t="shared" ca="1" si="37"/>
        <v>44843.496625806511</v>
      </c>
      <c r="R36" s="675">
        <f t="shared" ca="1" si="37"/>
        <v>48574.56009266356</v>
      </c>
      <c r="S36" s="675">
        <f ca="1">S38+S41+S44+S52</f>
        <v>51661.54692199202</v>
      </c>
      <c r="T36" s="675">
        <f t="shared" ca="1" si="37"/>
        <v>54803.672481940688</v>
      </c>
      <c r="U36" s="675">
        <f t="shared" ca="1" si="37"/>
        <v>57774.823262582358</v>
      </c>
      <c r="V36" s="675">
        <f t="shared" ca="1" si="37"/>
        <v>60851.989501878197</v>
      </c>
      <c r="W36" s="675">
        <f t="shared" ca="1" si="37"/>
        <v>64178.357666700118</v>
      </c>
      <c r="X36" s="675">
        <f t="shared" ca="1" si="37"/>
        <v>67636.6517306694</v>
      </c>
      <c r="Y36" s="675">
        <f t="shared" ca="1" si="37"/>
        <v>71347.999350169819</v>
      </c>
      <c r="Z36" s="675">
        <f t="shared" ca="1" si="37"/>
        <v>75204.321652095081</v>
      </c>
      <c r="AA36" s="675">
        <f t="shared" ca="1" si="37"/>
        <v>79249.325433535065</v>
      </c>
      <c r="AB36" s="675">
        <f t="shared" ca="1" si="37"/>
        <v>83486.678748198217</v>
      </c>
      <c r="AC36" s="675">
        <f t="shared" ca="1" si="37"/>
        <v>87943.26517537421</v>
      </c>
      <c r="AD36" s="675">
        <f t="shared" ca="1" si="37"/>
        <v>92655.097677860758</v>
      </c>
      <c r="AE36" s="675">
        <f t="shared" si="37"/>
        <v>97577.594539092854</v>
      </c>
      <c r="AF36" s="675">
        <f t="shared" si="37"/>
        <v>102770.52092027795</v>
      </c>
      <c r="AG36" s="675">
        <f t="shared" si="37"/>
        <v>108203.67103965557</v>
      </c>
      <c r="AH36" s="675">
        <f t="shared" si="37"/>
        <v>113725.60767888377</v>
      </c>
      <c r="AI36" s="675">
        <f t="shared" si="37"/>
        <v>119518.79748031126</v>
      </c>
      <c r="AJ36" s="675"/>
      <c r="AM36" s="392"/>
      <c r="AN36" s="392"/>
      <c r="AO36" s="392"/>
      <c r="AP36" s="392"/>
    </row>
    <row r="37" spans="1:42" s="286" customFormat="1">
      <c r="A37" s="467" t="s">
        <v>541</v>
      </c>
      <c r="B37" s="447">
        <v>4999.9984999999997</v>
      </c>
      <c r="C37" s="447">
        <v>6132.3379999999997</v>
      </c>
      <c r="D37" s="447">
        <v>7670.7256129999996</v>
      </c>
      <c r="E37" s="447">
        <v>9613.8403920000001</v>
      </c>
      <c r="F37" s="447">
        <v>11927.592002699999</v>
      </c>
      <c r="G37" s="447">
        <f>G54-G56</f>
        <v>14831.904689047313</v>
      </c>
      <c r="H37" s="466">
        <f>H54-H56</f>
        <v>18716.350573248023</v>
      </c>
      <c r="I37" s="466">
        <f>I38+I41+I44</f>
        <v>20034.847999999998</v>
      </c>
      <c r="J37" s="466">
        <f>J38+J41+J44</f>
        <v>22614.427</v>
      </c>
      <c r="K37" s="466">
        <f>K38+K41+K44</f>
        <v>26185.911000000004</v>
      </c>
      <c r="L37" s="465">
        <f>L38+L41+L44</f>
        <v>29611.177829999997</v>
      </c>
      <c r="M37" s="466">
        <f>M54-M56</f>
        <v>32952.553937316705</v>
      </c>
      <c r="N37" s="466"/>
      <c r="O37" s="680">
        <f>O38/N38*100/O104*100</f>
        <v>91.694384350923769</v>
      </c>
      <c r="P37" s="680">
        <f>P38/O38*100/P104*100</f>
        <v>101</v>
      </c>
      <c r="Q37" s="447"/>
      <c r="R37" s="448">
        <f t="shared" ref="R37:AI37" ca="1" si="38">R34/Q34*100</f>
        <v>108.32018853924494</v>
      </c>
      <c r="S37" s="448">
        <f t="shared" ca="1" si="38"/>
        <v>106.3551513867332</v>
      </c>
      <c r="T37" s="448">
        <f t="shared" ca="1" si="38"/>
        <v>106.08213603184052</v>
      </c>
      <c r="U37" s="448">
        <f t="shared" ca="1" si="38"/>
        <v>105.4214446698271</v>
      </c>
      <c r="V37" s="448">
        <f t="shared" ca="1" si="38"/>
        <v>105.32613700142421</v>
      </c>
      <c r="W37" s="448">
        <f t="shared" ca="1" si="38"/>
        <v>105.46632606764526</v>
      </c>
      <c r="X37" s="448">
        <f t="shared" ca="1" si="38"/>
        <v>105.38856740761329</v>
      </c>
      <c r="Y37" s="448">
        <f t="shared" ca="1" si="38"/>
        <v>105.4871841295147</v>
      </c>
      <c r="Z37" s="448">
        <f t="shared" ca="1" si="38"/>
        <v>105.40494805327162</v>
      </c>
      <c r="AA37" s="448">
        <f t="shared" ca="1" si="38"/>
        <v>105.378685283743</v>
      </c>
      <c r="AB37" s="448">
        <f t="shared" ca="1" si="38"/>
        <v>105.34686357452587</v>
      </c>
      <c r="AC37" s="448">
        <f t="shared" ca="1" si="38"/>
        <v>105.33808086990426</v>
      </c>
      <c r="AD37" s="448">
        <f t="shared" ca="1" si="38"/>
        <v>105.35780937072366</v>
      </c>
      <c r="AE37" s="448">
        <f t="shared" ca="1" si="38"/>
        <v>105.31271023894058</v>
      </c>
      <c r="AF37" s="448">
        <f t="shared" si="38"/>
        <v>105.32184299655454</v>
      </c>
      <c r="AG37" s="448">
        <f t="shared" si="38"/>
        <v>105.28668150236611</v>
      </c>
      <c r="AH37" s="448">
        <f t="shared" si="38"/>
        <v>105.10328031033667</v>
      </c>
      <c r="AI37" s="448">
        <f t="shared" si="38"/>
        <v>105.09400645964027</v>
      </c>
      <c r="AJ37" s="448"/>
      <c r="AM37" s="527"/>
      <c r="AN37" s="527"/>
      <c r="AO37" s="527"/>
      <c r="AP37" s="527"/>
    </row>
    <row r="38" spans="1:42" s="527" customFormat="1">
      <c r="A38" s="530" t="s">
        <v>540</v>
      </c>
      <c r="B38" s="537">
        <v>3765.4</v>
      </c>
      <c r="C38" s="537">
        <v>4529.3</v>
      </c>
      <c r="D38" s="537">
        <v>5641.8</v>
      </c>
      <c r="E38" s="537">
        <v>7041</v>
      </c>
      <c r="F38" s="537">
        <v>8720</v>
      </c>
      <c r="G38" s="537">
        <v>10869</v>
      </c>
      <c r="H38" s="537">
        <v>13944</v>
      </c>
      <c r="I38" s="537">
        <v>14599</v>
      </c>
      <c r="J38" s="537">
        <v>16512</v>
      </c>
      <c r="K38" s="519">
        <v>19104.3</v>
      </c>
      <c r="L38" s="520">
        <v>21394.5</v>
      </c>
      <c r="M38" s="519">
        <v>23686</v>
      </c>
      <c r="N38" s="519">
        <v>26356.2</v>
      </c>
      <c r="O38" s="519">
        <v>27799.969097702073</v>
      </c>
      <c r="P38" s="519">
        <f t="shared" ref="P38:AI38" si="39">O38*P39*P104/10000</f>
        <v>30092.401452624934</v>
      </c>
      <c r="Q38" s="519">
        <f t="shared" si="39"/>
        <v>32737.158761398758</v>
      </c>
      <c r="R38" s="519">
        <f t="shared" si="39"/>
        <v>35293.277349575255</v>
      </c>
      <c r="S38" s="519">
        <f t="shared" si="39"/>
        <v>37391.492133037988</v>
      </c>
      <c r="T38" s="519">
        <f t="shared" si="39"/>
        <v>39484.264929825134</v>
      </c>
      <c r="U38" s="519">
        <f t="shared" si="39"/>
        <v>41509.850765225267</v>
      </c>
      <c r="V38" s="519">
        <f t="shared" si="39"/>
        <v>43648.844363289405</v>
      </c>
      <c r="W38" s="519">
        <f t="shared" si="39"/>
        <v>45932.983400800906</v>
      </c>
      <c r="X38" s="519">
        <f t="shared" si="39"/>
        <v>48353.436442399696</v>
      </c>
      <c r="Y38" s="519">
        <f t="shared" si="39"/>
        <v>50963.568100154465</v>
      </c>
      <c r="Z38" s="519">
        <f t="shared" si="39"/>
        <v>53714.734987986492</v>
      </c>
      <c r="AA38" s="519">
        <f t="shared" si="39"/>
        <v>56591.503721053901</v>
      </c>
      <c r="AB38" s="519">
        <f t="shared" si="39"/>
        <v>59602.483894371893</v>
      </c>
      <c r="AC38" s="519">
        <f t="shared" si="39"/>
        <v>62721.433489613162</v>
      </c>
      <c r="AD38" s="519">
        <f t="shared" si="39"/>
        <v>66051.801435927991</v>
      </c>
      <c r="AE38" s="519">
        <f t="shared" si="39"/>
        <v>69565.769676357886</v>
      </c>
      <c r="AF38" s="519">
        <f t="shared" si="39"/>
        <v>73266.681687075834</v>
      </c>
      <c r="AG38" s="519">
        <f t="shared" si="39"/>
        <v>77110.938362444751</v>
      </c>
      <c r="AH38" s="519">
        <f t="shared" si="39"/>
        <v>80957.436836175912</v>
      </c>
      <c r="AI38" s="519">
        <f t="shared" si="39"/>
        <v>85001.978026211669</v>
      </c>
      <c r="AJ38" s="519"/>
      <c r="AK38" s="527">
        <f>27768.6833971795-130</f>
        <v>27638.683397179499</v>
      </c>
      <c r="AL38" s="523">
        <f>P38-110</f>
        <v>29982.401452624934</v>
      </c>
      <c r="AM38" s="598"/>
      <c r="AN38" s="598"/>
      <c r="AO38" s="598"/>
      <c r="AP38" s="598"/>
    </row>
    <row r="39" spans="1:42" s="458" customFormat="1">
      <c r="A39" s="363" t="s">
        <v>538</v>
      </c>
      <c r="B39" s="397"/>
      <c r="C39" s="397">
        <f t="shared" ref="C39:K39" si="40">C38/B38*100/C104*100</f>
        <v>108.75890892336437</v>
      </c>
      <c r="D39" s="397">
        <f t="shared" si="40"/>
        <v>113.34148716494745</v>
      </c>
      <c r="E39" s="397">
        <f t="shared" si="40"/>
        <v>112.83959815064217</v>
      </c>
      <c r="F39" s="397">
        <f t="shared" si="40"/>
        <v>114.24911863093918</v>
      </c>
      <c r="G39" s="397">
        <f t="shared" si="40"/>
        <v>116.056327200041</v>
      </c>
      <c r="H39" s="397">
        <f t="shared" si="40"/>
        <v>113.69895686657662</v>
      </c>
      <c r="I39" s="397">
        <f t="shared" si="40"/>
        <v>95.062851252846073</v>
      </c>
      <c r="J39" s="397">
        <f t="shared" si="40"/>
        <v>106.52681553994445</v>
      </c>
      <c r="K39" s="397">
        <f t="shared" si="40"/>
        <v>106.8462292215028</v>
      </c>
      <c r="L39" s="395">
        <v>106.3</v>
      </c>
      <c r="M39" s="397">
        <v>103.9</v>
      </c>
      <c r="N39" s="397">
        <v>102.7</v>
      </c>
      <c r="O39" s="397">
        <v>91.5</v>
      </c>
      <c r="P39" s="397">
        <v>101</v>
      </c>
      <c r="Q39" s="397">
        <v>102.8</v>
      </c>
      <c r="R39" s="397">
        <v>103.9</v>
      </c>
      <c r="S39" s="397">
        <v>103.9151476897781</v>
      </c>
      <c r="T39" s="397">
        <v>103.58954224455249</v>
      </c>
      <c r="U39" s="397">
        <v>103.11030850758722</v>
      </c>
      <c r="V39" s="397">
        <v>102.45030653285143</v>
      </c>
      <c r="W39" s="397">
        <v>102.40660640209997</v>
      </c>
      <c r="X39" s="397">
        <v>102.35645625204997</v>
      </c>
      <c r="Y39" s="397">
        <v>102.40030638325022</v>
      </c>
      <c r="Z39" s="397">
        <v>102.4493065298594</v>
      </c>
      <c r="AA39" s="397">
        <v>102.4493065298594</v>
      </c>
      <c r="AB39" s="397">
        <v>102.4493065298594</v>
      </c>
      <c r="AC39" s="397">
        <v>102.35155523738605</v>
      </c>
      <c r="AD39" s="397">
        <v>102.42262645003218</v>
      </c>
      <c r="AE39" s="397">
        <v>102.42262645003218</v>
      </c>
      <c r="AF39" s="397">
        <v>102.42262645003218</v>
      </c>
      <c r="AG39" s="397">
        <v>102.35155523738605</v>
      </c>
      <c r="AH39" s="397">
        <v>102.1</v>
      </c>
      <c r="AI39" s="397">
        <v>102.10741060690168</v>
      </c>
      <c r="AJ39" s="397">
        <v>1.0009999999999999</v>
      </c>
      <c r="AK39" s="458">
        <f>AK38/N38/O104*10000</f>
        <v>91.162405593607531</v>
      </c>
      <c r="AL39" s="458">
        <f>AL38/O38/P104*10000</f>
        <v>100.63080380881233</v>
      </c>
      <c r="AM39" s="286"/>
      <c r="AN39" s="286"/>
      <c r="AO39" s="286"/>
      <c r="AP39" s="286"/>
    </row>
    <row r="40" spans="1:42" s="456" customFormat="1">
      <c r="A40" s="457" t="s">
        <v>537</v>
      </c>
      <c r="B40" s="397">
        <f t="shared" ref="B40:J40" si="41">B38/B34*100</f>
        <v>75.281290198237656</v>
      </c>
      <c r="C40" s="397">
        <f t="shared" si="41"/>
        <v>73.680016957156667</v>
      </c>
      <c r="D40" s="397">
        <f t="shared" si="41"/>
        <v>73.55018413619338</v>
      </c>
      <c r="E40" s="397">
        <f t="shared" si="41"/>
        <v>73.238164978822198</v>
      </c>
      <c r="F40" s="397">
        <f t="shared" si="41"/>
        <v>73.107799126596547</v>
      </c>
      <c r="G40" s="397">
        <f t="shared" si="41"/>
        <v>73.28380482478758</v>
      </c>
      <c r="H40" s="397">
        <f t="shared" si="41"/>
        <v>74.504074241194132</v>
      </c>
      <c r="I40" s="397">
        <f t="shared" si="41"/>
        <v>72.868034736275519</v>
      </c>
      <c r="J40" s="397">
        <f t="shared" si="41"/>
        <v>72.742033234104539</v>
      </c>
      <c r="K40" s="397">
        <f t="shared" ref="K40:AI40" si="42">K38/K33*100</f>
        <v>63.890787530549467</v>
      </c>
      <c r="L40" s="395">
        <f t="shared" si="42"/>
        <v>62.686734290319777</v>
      </c>
      <c r="M40" s="397">
        <f t="shared" si="42"/>
        <v>62.013680129918924</v>
      </c>
      <c r="N40" s="397">
        <f t="shared" si="42"/>
        <v>63.267011079287705</v>
      </c>
      <c r="O40" s="397">
        <f t="shared" ca="1" si="42"/>
        <v>62.934601215036814</v>
      </c>
      <c r="P40" s="397">
        <f t="shared" ca="1" si="42"/>
        <v>62.57475832238363</v>
      </c>
      <c r="Q40" s="397">
        <f t="shared" ca="1" si="42"/>
        <v>62.796474277423606</v>
      </c>
      <c r="R40" s="397">
        <f t="shared" ca="1" si="42"/>
        <v>62.637529642709154</v>
      </c>
      <c r="S40" s="397">
        <f t="shared" ca="1" si="42"/>
        <v>62.430793481428992</v>
      </c>
      <c r="T40" s="397">
        <f t="shared" ca="1" si="42"/>
        <v>62.277203863666166</v>
      </c>
      <c r="U40" s="397">
        <f t="shared" ca="1" si="42"/>
        <v>62.149510522626251</v>
      </c>
      <c r="V40" s="397">
        <f t="shared" ca="1" si="42"/>
        <v>62.07917659955077</v>
      </c>
      <c r="W40" s="397">
        <f t="shared" ca="1" si="42"/>
        <v>61.951365400878529</v>
      </c>
      <c r="X40" s="397">
        <f t="shared" ca="1" si="42"/>
        <v>61.860267027530227</v>
      </c>
      <c r="Y40" s="397">
        <f t="shared" ca="1" si="42"/>
        <v>61.829159774410499</v>
      </c>
      <c r="Z40" s="397">
        <f t="shared" ca="1" si="42"/>
        <v>61.875998149472458</v>
      </c>
      <c r="AA40" s="397">
        <f t="shared" ca="1" si="42"/>
        <v>61.916143867908303</v>
      </c>
      <c r="AB40" s="397">
        <f t="shared" ca="1" si="42"/>
        <v>61.998422316151206</v>
      </c>
      <c r="AC40" s="397">
        <f t="shared" ca="1" si="42"/>
        <v>61.996617311779033</v>
      </c>
      <c r="AD40" s="397">
        <f t="shared" ca="1" si="42"/>
        <v>62.055811013893859</v>
      </c>
      <c r="AE40" s="397">
        <f t="shared" ca="1" si="42"/>
        <v>62.182845323520731</v>
      </c>
      <c r="AF40" s="397">
        <f t="shared" ca="1" si="42"/>
        <v>62.215321058107634</v>
      </c>
      <c r="AG40" s="397">
        <f t="shared" ca="1" si="42"/>
        <v>62.206534710787494</v>
      </c>
      <c r="AH40" s="397">
        <f t="shared" ca="1" si="42"/>
        <v>62.098530869517845</v>
      </c>
      <c r="AI40" s="397">
        <f t="shared" ca="1" si="42"/>
        <v>61.999413762899657</v>
      </c>
      <c r="AJ40" s="397"/>
      <c r="AK40" s="464"/>
      <c r="AM40" s="286"/>
      <c r="AN40" s="286"/>
      <c r="AO40" s="286"/>
      <c r="AP40" s="286"/>
    </row>
    <row r="41" spans="1:42" s="527" customFormat="1">
      <c r="A41" s="530" t="s">
        <v>539</v>
      </c>
      <c r="B41" s="537">
        <v>1088.0554999999999</v>
      </c>
      <c r="C41" s="537">
        <v>1430.6990000000001</v>
      </c>
      <c r="D41" s="537">
        <v>1789.778613</v>
      </c>
      <c r="E41" s="537">
        <v>2271.7330000000002</v>
      </c>
      <c r="F41" s="537">
        <v>2798.9009027000002</v>
      </c>
      <c r="G41" s="537">
        <f ca="1">номинал!L41/1000</f>
        <v>3429.8959759999998</v>
      </c>
      <c r="H41" s="537">
        <f ca="1">номинал!M41/1000</f>
        <v>4073.067</v>
      </c>
      <c r="I41" s="537">
        <f ca="1">номинал!N41/1000</f>
        <v>4496.0429999999997</v>
      </c>
      <c r="J41" s="537">
        <f ca="1">номинал!O41/1000</f>
        <v>4943.482</v>
      </c>
      <c r="K41" s="537">
        <f ca="1">номинал!P41/1000</f>
        <v>5540.1679999999997</v>
      </c>
      <c r="L41" s="537">
        <f ca="1">номинал!Q41/1000</f>
        <v>6316.8555999999999</v>
      </c>
      <c r="M41" s="537">
        <v>6927</v>
      </c>
      <c r="N41" s="681">
        <v>7302.3</v>
      </c>
      <c r="O41" s="519">
        <v>7770.0511569801465</v>
      </c>
      <c r="P41" s="519">
        <f t="shared" ref="P41:AI41" si="43">O41*P105*P42/10000</f>
        <v>8378.5580082507804</v>
      </c>
      <c r="Q41" s="519">
        <f t="shared" si="43"/>
        <v>9224.2753452072466</v>
      </c>
      <c r="R41" s="519">
        <f t="shared" si="43"/>
        <v>10018.021364214192</v>
      </c>
      <c r="S41" s="519">
        <f t="shared" si="43"/>
        <v>10540.877648798838</v>
      </c>
      <c r="T41" s="519">
        <f t="shared" si="43"/>
        <v>11123.710687902021</v>
      </c>
      <c r="U41" s="519">
        <f t="shared" si="43"/>
        <v>11714.895438105408</v>
      </c>
      <c r="V41" s="519">
        <f t="shared" si="43"/>
        <v>12371.083987688682</v>
      </c>
      <c r="W41" s="519">
        <f t="shared" si="43"/>
        <v>13117.861258564533</v>
      </c>
      <c r="X41" s="519">
        <f t="shared" si="43"/>
        <v>13898.633734398332</v>
      </c>
      <c r="Y41" s="519">
        <f t="shared" si="43"/>
        <v>14688.736047542092</v>
      </c>
      <c r="Z41" s="519">
        <f t="shared" si="43"/>
        <v>15510.372719987041</v>
      </c>
      <c r="AA41" s="519">
        <f t="shared" si="43"/>
        <v>16371.355402390012</v>
      </c>
      <c r="AB41" s="519">
        <f t="shared" si="43"/>
        <v>17299.524956061945</v>
      </c>
      <c r="AC41" s="519">
        <f t="shared" si="43"/>
        <v>18273.809739133561</v>
      </c>
      <c r="AD41" s="519">
        <f t="shared" si="43"/>
        <v>19275.219599924811</v>
      </c>
      <c r="AE41" s="519">
        <f t="shared" si="43"/>
        <v>20345.447682163947</v>
      </c>
      <c r="AF41" s="519">
        <f t="shared" si="43"/>
        <v>21475.098597023771</v>
      </c>
      <c r="AG41" s="519">
        <f t="shared" si="43"/>
        <v>22667.471709467005</v>
      </c>
      <c r="AH41" s="519">
        <f t="shared" si="43"/>
        <v>23926.049576819936</v>
      </c>
      <c r="AI41" s="519">
        <f t="shared" si="43"/>
        <v>25254.508120257669</v>
      </c>
      <c r="AJ41" s="519"/>
      <c r="AK41" s="519">
        <f>7723.33657146931-37</f>
        <v>7686.33657146931</v>
      </c>
      <c r="AL41" s="519">
        <f>P41-31</f>
        <v>8347.5580082507804</v>
      </c>
      <c r="AM41" s="523">
        <f>Q38-140</f>
        <v>32597.158761398758</v>
      </c>
      <c r="AN41" s="523">
        <f>R38-110</f>
        <v>35183.277349575255</v>
      </c>
    </row>
    <row r="42" spans="1:42" s="458" customFormat="1">
      <c r="A42" s="363" t="s">
        <v>538</v>
      </c>
      <c r="B42" s="397"/>
      <c r="C42" s="397">
        <f t="shared" ref="C42:K42" si="44">C41/B41*100/C105*100</f>
        <v>106.64344066763122</v>
      </c>
      <c r="D42" s="397">
        <f t="shared" si="44"/>
        <v>108.40398108268931</v>
      </c>
      <c r="E42" s="397">
        <f t="shared" si="44"/>
        <v>107.93210591903079</v>
      </c>
      <c r="F42" s="397">
        <f t="shared" si="44"/>
        <v>107.60309142209472</v>
      </c>
      <c r="G42" s="397">
        <f t="shared" si="44"/>
        <v>107.7787051783351</v>
      </c>
      <c r="H42" s="397">
        <f t="shared" si="44"/>
        <v>104.077046897315</v>
      </c>
      <c r="I42" s="397">
        <f t="shared" si="44"/>
        <v>97.60925890741629</v>
      </c>
      <c r="J42" s="397">
        <f t="shared" si="44"/>
        <v>101.6891711117684</v>
      </c>
      <c r="K42" s="397">
        <f t="shared" si="44"/>
        <v>103.24453555797494</v>
      </c>
      <c r="L42" s="395">
        <v>103.5</v>
      </c>
      <c r="M42" s="397">
        <v>102</v>
      </c>
      <c r="N42" s="397">
        <v>101.3</v>
      </c>
      <c r="O42" s="397">
        <v>97.1</v>
      </c>
      <c r="P42" s="397">
        <v>99.9</v>
      </c>
      <c r="Q42" s="397">
        <v>101.5</v>
      </c>
      <c r="R42" s="397">
        <v>103</v>
      </c>
      <c r="S42" s="397">
        <v>102.84</v>
      </c>
      <c r="T42" s="397">
        <v>103.15885865284997</v>
      </c>
      <c r="U42" s="397">
        <v>103.00840820269995</v>
      </c>
      <c r="V42" s="397">
        <v>102.60720700229997</v>
      </c>
      <c r="W42" s="397">
        <v>102.90810790259997</v>
      </c>
      <c r="X42" s="397">
        <v>102.74030740053834</v>
      </c>
      <c r="Y42" s="397">
        <v>102.40030638325022</v>
      </c>
      <c r="Z42" s="397">
        <v>102.40030638325022</v>
      </c>
      <c r="AA42" s="397">
        <v>102.40030638325022</v>
      </c>
      <c r="AB42" s="397">
        <v>102.54930682906179</v>
      </c>
      <c r="AC42" s="397">
        <v>102.50030668245263</v>
      </c>
      <c r="AD42" s="397">
        <v>102.34930623065702</v>
      </c>
      <c r="AE42" s="397">
        <v>102.4493065298594</v>
      </c>
      <c r="AF42" s="397">
        <v>102.4493065298594</v>
      </c>
      <c r="AG42" s="397">
        <v>102.4493065298594</v>
      </c>
      <c r="AH42" s="397">
        <v>102.4493065298594</v>
      </c>
      <c r="AI42" s="397">
        <v>102.4493065298594</v>
      </c>
      <c r="AJ42" s="397"/>
      <c r="AK42" s="458">
        <f>AK41/N41/O105*10000</f>
        <v>94.994672800009695</v>
      </c>
      <c r="AL42" s="458">
        <f>AL41/O41/P105*10000</f>
        <v>99.530377924584371</v>
      </c>
      <c r="AM42" s="458">
        <f>AM41/P38/Q104*10000</f>
        <v>102.36037724272607</v>
      </c>
      <c r="AN42" s="458">
        <f>AN41/Q38/R104*10000</f>
        <v>103.57617062346472</v>
      </c>
    </row>
    <row r="43" spans="1:42" s="456" customFormat="1">
      <c r="A43" s="457" t="s">
        <v>537</v>
      </c>
      <c r="B43" s="397">
        <f t="shared" ref="B43:J43" si="45">B41/B34*100</f>
        <v>21.753391896555101</v>
      </c>
      <c r="C43" s="397">
        <f t="shared" si="45"/>
        <v>23.273778857789747</v>
      </c>
      <c r="D43" s="397">
        <f t="shared" si="45"/>
        <v>23.33272121471353</v>
      </c>
      <c r="E43" s="397">
        <f t="shared" si="45"/>
        <v>23.629819094139286</v>
      </c>
      <c r="F43" s="397">
        <f t="shared" si="45"/>
        <v>23.465766624981807</v>
      </c>
      <c r="G43" s="397">
        <f t="shared" si="45"/>
        <v>23.125938658064985</v>
      </c>
      <c r="H43" s="397">
        <f t="shared" si="45"/>
        <v>21.762771525914935</v>
      </c>
      <c r="I43" s="397">
        <f t="shared" si="45"/>
        <v>22.441113603656991</v>
      </c>
      <c r="J43" s="397">
        <f t="shared" si="45"/>
        <v>21.778036091097238</v>
      </c>
      <c r="K43" s="397">
        <f t="shared" ref="K43:AI43" si="46">K41/K33*100</f>
        <v>18.528064183013726</v>
      </c>
      <c r="L43" s="395">
        <f t="shared" si="46"/>
        <v>18.50863766610664</v>
      </c>
      <c r="M43" s="397">
        <f t="shared" si="46"/>
        <v>18.135977466011504</v>
      </c>
      <c r="N43" s="397">
        <f t="shared" si="46"/>
        <v>17.52888106040638</v>
      </c>
      <c r="O43" s="397">
        <f t="shared" ca="1" si="46"/>
        <v>17.590130020158973</v>
      </c>
      <c r="P43" s="397">
        <f t="shared" ca="1" si="46"/>
        <v>17.422545797209263</v>
      </c>
      <c r="Q43" s="397">
        <f t="shared" ca="1" si="46"/>
        <v>17.694020842339892</v>
      </c>
      <c r="R43" s="397">
        <f t="shared" ca="1" si="46"/>
        <v>17.779706428136855</v>
      </c>
      <c r="S43" s="397">
        <f t="shared" ca="1" si="46"/>
        <v>17.599601354868526</v>
      </c>
      <c r="T43" s="397">
        <f ca="1">T41/T33*100</f>
        <v>17.545054959542444</v>
      </c>
      <c r="U43" s="397">
        <f t="shared" ca="1" si="46"/>
        <v>17.539812933077098</v>
      </c>
      <c r="V43" s="397">
        <f t="shared" ca="1" si="46"/>
        <v>17.59466301576385</v>
      </c>
      <c r="W43" s="397">
        <f t="shared" ca="1" si="46"/>
        <v>17.692502335765756</v>
      </c>
      <c r="X43" s="397">
        <f t="shared" ca="1" si="46"/>
        <v>17.78101531939539</v>
      </c>
      <c r="Y43" s="397">
        <f t="shared" ca="1" si="46"/>
        <v>17.820420387026832</v>
      </c>
      <c r="Z43" s="397">
        <f t="shared" ca="1" si="46"/>
        <v>17.866974377406706</v>
      </c>
      <c r="AA43" s="397">
        <f t="shared" ca="1" si="46"/>
        <v>17.911720483757463</v>
      </c>
      <c r="AB43" s="397">
        <f t="shared" ca="1" si="46"/>
        <v>17.994942224144506</v>
      </c>
      <c r="AC43" s="397">
        <f t="shared" ca="1" si="46"/>
        <v>18.062635469148482</v>
      </c>
      <c r="AD43" s="397">
        <f t="shared" ca="1" si="46"/>
        <v>18.109110709183671</v>
      </c>
      <c r="AE43" s="397">
        <f t="shared" ca="1" si="46"/>
        <v>18.186211870343822</v>
      </c>
      <c r="AF43" s="397">
        <f t="shared" ca="1" si="46"/>
        <v>18.235849136375364</v>
      </c>
      <c r="AG43" s="397">
        <f t="shared" ca="1" si="46"/>
        <v>18.286184757252222</v>
      </c>
      <c r="AH43" s="397">
        <f t="shared" ca="1" si="46"/>
        <v>18.352514435929475</v>
      </c>
      <c r="AI43" s="397">
        <f t="shared" ca="1" si="46"/>
        <v>18.420332499127689</v>
      </c>
      <c r="AJ43" s="397"/>
      <c r="AK43" s="464">
        <f>O42-AK42</f>
        <v>2.1053271999902989</v>
      </c>
      <c r="AM43" s="464"/>
    </row>
    <row r="44" spans="1:42" s="286" customFormat="1">
      <c r="A44" s="455" t="s">
        <v>536</v>
      </c>
      <c r="B44" s="332">
        <f>B34-B38-B41</f>
        <v>148.31850000000031</v>
      </c>
      <c r="C44" s="332">
        <f>C34-C38-C41</f>
        <v>187.25799999999936</v>
      </c>
      <c r="D44" s="332">
        <f>D34-D38-D41</f>
        <v>239.10238699999945</v>
      </c>
      <c r="E44" s="332">
        <f>E34-E38-E41</f>
        <v>301.10699999999997</v>
      </c>
      <c r="F44" s="332">
        <f>F34-F38-F41</f>
        <v>408.69109730000037</v>
      </c>
      <c r="G44" s="332">
        <f ca="1">номинал!L40/1000-БДДРН!G38+номинал!L52/1000</f>
        <v>532.48460799999884</v>
      </c>
      <c r="H44" s="332">
        <f ca="1">номинал!M40/1000-БДДРН!H38+номинал!M52/1000</f>
        <v>698.6880000000001</v>
      </c>
      <c r="I44" s="332">
        <f ca="1">номинал!N40/1000-БДДРН!I38+номинал!N52/1000</f>
        <v>939.80500000000052</v>
      </c>
      <c r="J44" s="332">
        <f ca="1">номинал!O40/1000-БДДРН!J38+номинал!O52/1000</f>
        <v>1158.9450000000006</v>
      </c>
      <c r="K44" s="332">
        <f ca="1">номинал!P40/1000-БДДРН!K38+номинал!P52/1000</f>
        <v>1541.4430000000023</v>
      </c>
      <c r="L44" s="332">
        <f ca="1">номинал!Q40/1000-БДДРН!L38+номинал!Q52/1000</f>
        <v>1899.8222299999989</v>
      </c>
      <c r="M44" s="332">
        <f ca="1">номинал!R40/1000-БДДРН!M38+номинал!R52/1000</f>
        <v>2234.4240850000019</v>
      </c>
      <c r="N44" s="454">
        <f ca="1">'saving rate'!N9/1000-БДДРН!N38+'saving rate'!N10/1000</f>
        <v>2286.8030981441116</v>
      </c>
      <c r="O44" s="454">
        <f t="shared" ref="O44:AI44" si="47">N44*O45</f>
        <v>2080.9908193111414</v>
      </c>
      <c r="P44" s="454">
        <f t="shared" si="47"/>
        <v>2434.6991553911707</v>
      </c>
      <c r="Q44" s="454">
        <f t="shared" si="47"/>
        <v>2734.0626009099619</v>
      </c>
      <c r="R44" s="454">
        <f t="shared" si="47"/>
        <v>3102.947588343874</v>
      </c>
      <c r="S44" s="454">
        <f t="shared" si="47"/>
        <v>3558.6751655429443</v>
      </c>
      <c r="T44" s="454">
        <f t="shared" si="47"/>
        <v>4014.8247275683921</v>
      </c>
      <c r="U44" s="454">
        <f t="shared" si="47"/>
        <v>4359.3990397951939</v>
      </c>
      <c r="V44" s="454">
        <f t="shared" si="47"/>
        <v>4631.2273588957642</v>
      </c>
      <c r="W44" s="454">
        <f t="shared" si="47"/>
        <v>4915.7009854053613</v>
      </c>
      <c r="X44" s="454">
        <f t="shared" si="47"/>
        <v>5161.35589836295</v>
      </c>
      <c r="Y44" s="454">
        <f t="shared" si="47"/>
        <v>5460.2207442227827</v>
      </c>
      <c r="Z44" s="454">
        <f t="shared" si="47"/>
        <v>5731.0122137239123</v>
      </c>
      <c r="AA44" s="454">
        <f t="shared" si="47"/>
        <v>6024.9145897466269</v>
      </c>
      <c r="AB44" s="454">
        <f t="shared" si="47"/>
        <v>6309.1333637562084</v>
      </c>
      <c r="AC44" s="454">
        <f t="shared" si="47"/>
        <v>6657.7770496078338</v>
      </c>
      <c r="AD44" s="454">
        <f t="shared" si="47"/>
        <v>7022.2809766977261</v>
      </c>
      <c r="AE44" s="454">
        <f t="shared" si="47"/>
        <v>7367.6577682121961</v>
      </c>
      <c r="AF44" s="454">
        <f t="shared" si="47"/>
        <v>7730.0212238195236</v>
      </c>
      <c r="AG44" s="454">
        <f t="shared" si="47"/>
        <v>8126.5415553849853</v>
      </c>
      <c r="AH44" s="454">
        <f t="shared" si="47"/>
        <v>8543.4018535291016</v>
      </c>
      <c r="AI44" s="454">
        <f t="shared" si="47"/>
        <v>8963.5919214830956</v>
      </c>
      <c r="AJ44" s="454"/>
      <c r="AK44" s="454">
        <v>2536</v>
      </c>
      <c r="AL44" s="453">
        <v>2776.2691958831401</v>
      </c>
      <c r="AM44" s="519">
        <f>Q41-31</f>
        <v>9193.2753452072466</v>
      </c>
      <c r="AN44" s="527"/>
      <c r="AO44" s="527"/>
      <c r="AP44" s="527"/>
    </row>
    <row r="45" spans="1:42" s="286" customFormat="1">
      <c r="A45" s="363" t="s">
        <v>525</v>
      </c>
      <c r="B45" s="361"/>
      <c r="C45" s="361"/>
      <c r="D45" s="361"/>
      <c r="E45" s="361"/>
      <c r="F45" s="361"/>
      <c r="G45" s="361"/>
      <c r="H45" s="361"/>
      <c r="I45" s="361"/>
      <c r="J45" s="452">
        <f>J44/I44</f>
        <v>1.2331760311979612</v>
      </c>
      <c r="K45" s="452">
        <f>K44/J44</f>
        <v>1.330039820698999</v>
      </c>
      <c r="L45" s="451">
        <f>L44/K44</f>
        <v>1.232495934004693</v>
      </c>
      <c r="M45" s="452">
        <f>M44/L44</f>
        <v>1.1761227180713656</v>
      </c>
      <c r="N45" s="452">
        <f>N44/M44</f>
        <v>1.0234418405600518</v>
      </c>
      <c r="O45" s="452">
        <f>0.91</f>
        <v>0.91</v>
      </c>
      <c r="P45" s="452">
        <f>P42*P105/10000*1.085</f>
        <v>1.1699711179874956</v>
      </c>
      <c r="Q45" s="452">
        <f>Q42*Q105/10000*1.02</f>
        <v>1.1229570581054784</v>
      </c>
      <c r="R45" s="452">
        <f>R42*R105/10000*1.045</f>
        <v>1.1349219243594271</v>
      </c>
      <c r="S45" s="452">
        <f>(R45*1.006)*1.0045</f>
        <v>1.1468692474571587</v>
      </c>
      <c r="T45" s="452">
        <f>(T42*T105/10000*1.068)*1.001</f>
        <v>1.1281796007801272</v>
      </c>
      <c r="U45" s="452">
        <f>(U42*U105/10000*1.03)*1.001</f>
        <v>1.0858254931680407</v>
      </c>
      <c r="V45" s="452">
        <f>(V42*V105/10000*1.005)*1.001</f>
        <v>1.0623545393801208</v>
      </c>
      <c r="W45" s="452">
        <f>(W42*W105/10000)*1.001</f>
        <v>1.0614251049375008</v>
      </c>
      <c r="X45" s="452">
        <f>(X42*X105/10000*0.99)*1.001</f>
        <v>1.0499735263977477</v>
      </c>
      <c r="Y45" s="452">
        <f>(Y42*Y105/10000)*1.001</f>
        <v>1.0579043281930287</v>
      </c>
      <c r="Z45" s="452">
        <f>(Z42*Z105/10000*0.993)*1.001</f>
        <v>1.0495935022018372</v>
      </c>
      <c r="AA45" s="452">
        <f>(AA42*AA105/10000*0.995)*1.001</f>
        <v>1.0512828039903517</v>
      </c>
      <c r="AB45" s="452">
        <f>(AB42*AB105/10000*0.99)*1.001</f>
        <v>1.0471739092357049</v>
      </c>
      <c r="AC45" s="452">
        <f>(AC42*AC105/10000*0.998)*1.001</f>
        <v>1.0552601547233829</v>
      </c>
      <c r="AD45" s="452">
        <f>(AD42*AD105/10000*0.993)*1.007</f>
        <v>1.0547485931676495</v>
      </c>
      <c r="AE45" s="452">
        <f>(AE42*AE105/10000*0.993)*1.001</f>
        <v>1.0491829923440184</v>
      </c>
      <c r="AF45" s="452">
        <f>(AF42*AF105/10000*0.993)*1.001</f>
        <v>1.0491829923440184</v>
      </c>
      <c r="AG45" s="452">
        <f>(AG42*AG105/10000*0.995)*1.001</f>
        <v>1.0512961504353457</v>
      </c>
      <c r="AH45" s="452">
        <f>(AH42*AH105/10000*0.995)*1.001</f>
        <v>1.0512961504353457</v>
      </c>
      <c r="AI45" s="452">
        <f>(AI42*AI105/10000*0.993)*1.001</f>
        <v>1.0491829923440184</v>
      </c>
      <c r="AJ45" s="452"/>
      <c r="AM45" s="459">
        <f>100-O42</f>
        <v>2.9000000000000057</v>
      </c>
      <c r="AN45" s="458"/>
      <c r="AO45" s="458"/>
      <c r="AP45" s="458"/>
    </row>
    <row r="46" spans="1:42" s="286" customFormat="1" ht="15" customHeight="1">
      <c r="A46" s="610" t="s">
        <v>602</v>
      </c>
      <c r="B46" s="604"/>
      <c r="C46" s="604"/>
      <c r="D46" s="604"/>
      <c r="E46" s="604"/>
      <c r="F46" s="604"/>
      <c r="G46" s="604"/>
      <c r="H46" s="604"/>
      <c r="I46" s="604"/>
      <c r="J46" s="605"/>
      <c r="K46" s="605"/>
      <c r="L46" s="609"/>
      <c r="M46" s="608"/>
      <c r="N46" s="608"/>
      <c r="O46" s="608"/>
      <c r="P46" s="608"/>
      <c r="Q46" s="608"/>
      <c r="R46" s="608"/>
      <c r="S46" s="608"/>
      <c r="T46" s="608"/>
      <c r="U46" s="608"/>
      <c r="V46" s="608"/>
      <c r="W46" s="608"/>
      <c r="X46" s="608"/>
      <c r="Y46" s="608"/>
      <c r="Z46" s="608"/>
      <c r="AA46" s="608"/>
      <c r="AB46" s="608"/>
      <c r="AC46" s="608"/>
      <c r="AD46" s="608"/>
      <c r="AE46" s="608"/>
      <c r="AF46" s="608"/>
      <c r="AG46" s="608"/>
      <c r="AH46" s="608"/>
      <c r="AI46" s="608"/>
      <c r="AJ46" s="608"/>
      <c r="AM46" s="456"/>
      <c r="AN46" s="456"/>
      <c r="AO46" s="456"/>
      <c r="AP46" s="456"/>
    </row>
    <row r="47" spans="1:42" s="286" customFormat="1" ht="14.25">
      <c r="A47" s="603" t="s">
        <v>538</v>
      </c>
      <c r="B47" s="604"/>
      <c r="C47" s="604"/>
      <c r="D47" s="604"/>
      <c r="E47" s="604"/>
      <c r="F47" s="604"/>
      <c r="G47" s="606" t="e">
        <f t="shared" ref="G47:P47" si="48">G39*F38/F34+G42*F41/F34+G45*10000/G103*F44/F34</f>
        <v>#DIV/0!</v>
      </c>
      <c r="H47" s="606" t="e">
        <f t="shared" si="48"/>
        <v>#DIV/0!</v>
      </c>
      <c r="I47" s="606" t="e">
        <f t="shared" si="48"/>
        <v>#DIV/0!</v>
      </c>
      <c r="J47" s="607" t="e">
        <f t="shared" si="48"/>
        <v>#DIV/0!</v>
      </c>
      <c r="K47" s="607" t="e">
        <f t="shared" si="48"/>
        <v>#DIV/0!</v>
      </c>
      <c r="L47" s="607">
        <f t="shared" si="48"/>
        <v>105.97310104530811</v>
      </c>
      <c r="M47" s="666">
        <f t="shared" si="48"/>
        <v>103.54225836567859</v>
      </c>
      <c r="N47" s="666">
        <f t="shared" si="48"/>
        <v>101.55970700808328</v>
      </c>
      <c r="O47" s="666">
        <f t="shared" si="48"/>
        <v>91.586753160503861</v>
      </c>
      <c r="P47" s="666">
        <f t="shared" ca="1" si="48"/>
        <v>100.88087353616686</v>
      </c>
      <c r="Q47" s="666">
        <f t="shared" ref="Q47:AI47" ca="1" si="49">Q39*P38/P34+Q42*P41/P34+Q45*10000/Q103*P44/P34+P52/P34*Q53/Q103*100</f>
        <v>102.67606712636743</v>
      </c>
      <c r="R47" s="666">
        <f t="shared" ca="1" si="49"/>
        <v>104.0118492854667</v>
      </c>
      <c r="S47" s="666">
        <f t="shared" ca="1" si="49"/>
        <v>104.22977059812288</v>
      </c>
      <c r="T47" s="666">
        <f t="shared" ca="1" si="49"/>
        <v>103.97823411090467</v>
      </c>
      <c r="U47" s="666">
        <f t="shared" ca="1" si="49"/>
        <v>103.32695596617569</v>
      </c>
      <c r="V47" s="666">
        <f t="shared" ca="1" si="49"/>
        <v>102.54845233838419</v>
      </c>
      <c r="W47" s="666">
        <f t="shared" ca="1" si="49"/>
        <v>102.56241949346763</v>
      </c>
      <c r="X47" s="666">
        <f t="shared" ca="1" si="49"/>
        <v>102.40051744070529</v>
      </c>
      <c r="Y47" s="666">
        <f t="shared" ca="1" si="49"/>
        <v>102.41489427029543</v>
      </c>
      <c r="Z47" s="666">
        <f t="shared" ca="1" si="49"/>
        <v>102.39270395105231</v>
      </c>
      <c r="AA47" s="666">
        <f t="shared" ca="1" si="49"/>
        <v>102.40867533527131</v>
      </c>
      <c r="AB47" s="666">
        <f t="shared" ca="1" si="49"/>
        <v>102.41181376861475</v>
      </c>
      <c r="AC47" s="666">
        <f t="shared" ca="1" si="49"/>
        <v>102.39057176972921</v>
      </c>
      <c r="AD47" s="666">
        <f t="shared" ca="1" si="49"/>
        <v>102.40598929823054</v>
      </c>
      <c r="AE47" s="666">
        <f t="shared" ca="1" si="49"/>
        <v>102.36177071428574</v>
      </c>
      <c r="AF47" s="666">
        <f t="shared" si="49"/>
        <v>102.37101307881359</v>
      </c>
      <c r="AG47" s="666">
        <f t="shared" si="49"/>
        <v>102.33715275275843</v>
      </c>
      <c r="AH47" s="666">
        <f t="shared" si="49"/>
        <v>102.15908464038171</v>
      </c>
      <c r="AI47" s="666">
        <f t="shared" si="49"/>
        <v>102.15024863575442</v>
      </c>
      <c r="AJ47" s="666"/>
    </row>
    <row r="48" spans="1:42" s="374" customFormat="1">
      <c r="A48" s="380"/>
      <c r="B48" s="361"/>
      <c r="C48" s="361"/>
      <c r="D48" s="361"/>
      <c r="E48" s="361"/>
      <c r="F48" s="361"/>
      <c r="G48" s="361"/>
      <c r="H48" s="361"/>
      <c r="I48" s="361"/>
      <c r="J48" s="447">
        <f>J34-J38-J41</f>
        <v>1243.9110000000001</v>
      </c>
      <c r="K48" s="446">
        <f>K34-K38-K41</f>
        <v>1631.3200000000052</v>
      </c>
      <c r="L48" s="445">
        <f>L34-L38-L41</f>
        <v>2001.6321339999986</v>
      </c>
      <c r="M48" s="446">
        <f t="shared" ref="M48:T48" si="50">M34-M38-M41-M52</f>
        <v>2234.4240849999978</v>
      </c>
      <c r="N48" s="446">
        <f t="shared" si="50"/>
        <v>2286.8030981441138</v>
      </c>
      <c r="O48" s="446">
        <f t="shared" ca="1" si="50"/>
        <v>2080.9908193111414</v>
      </c>
      <c r="P48" s="446">
        <f t="shared" ca="1" si="50"/>
        <v>2434.6991553911766</v>
      </c>
      <c r="Q48" s="446">
        <f t="shared" ca="1" si="50"/>
        <v>2734.0626009099647</v>
      </c>
      <c r="R48" s="446">
        <f t="shared" ca="1" si="50"/>
        <v>3102.9475883438695</v>
      </c>
      <c r="S48" s="446">
        <f t="shared" ca="1" si="50"/>
        <v>3558.6751655429434</v>
      </c>
      <c r="T48" s="446">
        <f t="shared" ca="1" si="50"/>
        <v>4014.8247275683907</v>
      </c>
      <c r="U48" s="446">
        <f t="shared" ref="U48:AI48" ca="1" si="51">U34-U38-U41-U52</f>
        <v>4359.399039795192</v>
      </c>
      <c r="V48" s="446">
        <f t="shared" ca="1" si="51"/>
        <v>4631.2273588957632</v>
      </c>
      <c r="W48" s="446">
        <f t="shared" ca="1" si="51"/>
        <v>4915.7009854053576</v>
      </c>
      <c r="X48" s="446">
        <f t="shared" ca="1" si="51"/>
        <v>5161.3558983629609</v>
      </c>
      <c r="Y48" s="446">
        <f t="shared" ca="1" si="51"/>
        <v>5460.2207442227882</v>
      </c>
      <c r="Z48" s="446">
        <f t="shared" ca="1" si="51"/>
        <v>5731.0122137239123</v>
      </c>
      <c r="AA48" s="446">
        <f t="shared" ca="1" si="51"/>
        <v>6024.9145897466233</v>
      </c>
      <c r="AB48" s="446">
        <f t="shared" ca="1" si="51"/>
        <v>6309.1333637562038</v>
      </c>
      <c r="AC48" s="446">
        <f t="shared" ca="1" si="51"/>
        <v>6657.7770496078238</v>
      </c>
      <c r="AD48" s="446">
        <f t="shared" ca="1" si="51"/>
        <v>7022.2809766977261</v>
      </c>
      <c r="AE48" s="446">
        <f t="shared" si="51"/>
        <v>7367.6577682121997</v>
      </c>
      <c r="AF48" s="446">
        <f t="shared" si="51"/>
        <v>7730.0212238195263</v>
      </c>
      <c r="AG48" s="446">
        <f t="shared" si="51"/>
        <v>8126.5415553849953</v>
      </c>
      <c r="AH48" s="446">
        <f t="shared" si="51"/>
        <v>8543.4018535290979</v>
      </c>
      <c r="AI48" s="446">
        <f t="shared" si="51"/>
        <v>8963.5919214830992</v>
      </c>
      <c r="AJ48" s="446"/>
      <c r="AM48" s="286">
        <f ca="1">O48/N44</f>
        <v>0.90999999999999992</v>
      </c>
      <c r="AN48" s="286">
        <f ca="1">P48/O44</f>
        <v>1.1699711179874985</v>
      </c>
      <c r="AO48" s="286">
        <f ca="1">Q48/P44</f>
        <v>1.1229570581054795</v>
      </c>
      <c r="AP48" s="286">
        <f ca="1">R48/Q44</f>
        <v>1.1349219243594253</v>
      </c>
    </row>
    <row r="49" spans="1:42" s="527" customFormat="1">
      <c r="A49" s="538" t="s">
        <v>535</v>
      </c>
      <c r="B49" s="537">
        <v>585.07299999999998</v>
      </c>
      <c r="C49" s="537">
        <v>733.50199999999995</v>
      </c>
      <c r="D49" s="537">
        <v>975.44579699999997</v>
      </c>
      <c r="E49" s="537">
        <v>1151.1176739999999</v>
      </c>
      <c r="F49" s="537">
        <v>1524.89633</v>
      </c>
      <c r="G49" s="537">
        <f ca="1">номинал!L53/1000</f>
        <v>2044.8707059999999</v>
      </c>
      <c r="H49" s="537">
        <f ca="1">номинал!M53/1000</f>
        <v>2838.3444030000001</v>
      </c>
      <c r="I49" s="537">
        <f ca="1">номинал!N53/1000</f>
        <v>2849.105</v>
      </c>
      <c r="J49" s="537">
        <f ca="1">номинал!O53/1000</f>
        <v>3025.0790000000002</v>
      </c>
      <c r="K49" s="537">
        <f ca="1">номинал!P53/1000</f>
        <v>3535.8290000000002</v>
      </c>
      <c r="L49" s="537">
        <f ca="1">номинал!Q53/1000</f>
        <v>4314.4327999999996</v>
      </c>
      <c r="M49" s="537">
        <f ca="1">номинал!R53/1000</f>
        <v>5137.6779660000002</v>
      </c>
      <c r="N49" s="537">
        <f ca="1">номинал!S53/1000</f>
        <v>5594.3487719225795</v>
      </c>
      <c r="O49" s="537">
        <f t="shared" ref="O49:T49" si="52">O106</f>
        <v>6397.105155388901</v>
      </c>
      <c r="P49" s="537">
        <f t="shared" si="52"/>
        <v>7049.2106305603429</v>
      </c>
      <c r="Q49" s="537">
        <f t="shared" si="52"/>
        <v>7288.6638785744162</v>
      </c>
      <c r="R49" s="537">
        <f t="shared" ca="1" si="52"/>
        <v>7770.6973766071806</v>
      </c>
      <c r="S49" s="537">
        <f t="shared" ca="1" si="52"/>
        <v>8231.1599425469794</v>
      </c>
      <c r="T49" s="537">
        <f t="shared" ca="1" si="52"/>
        <v>8597.1587696709321</v>
      </c>
      <c r="U49" s="537">
        <f t="shared" ref="U49:AI49" ca="1" si="53">U106</f>
        <v>9015.4867755202249</v>
      </c>
      <c r="V49" s="537">
        <f t="shared" ca="1" si="53"/>
        <v>9459.5815501213419</v>
      </c>
      <c r="W49" s="537">
        <f t="shared" ca="1" si="53"/>
        <v>9965.2598364413552</v>
      </c>
      <c r="X49" s="537">
        <f t="shared" ca="1" si="53"/>
        <v>10528.928157436379</v>
      </c>
      <c r="Y49" s="537">
        <f t="shared" ca="1" si="53"/>
        <v>11078.429031033855</v>
      </c>
      <c r="Z49" s="537">
        <f t="shared" ca="1" si="53"/>
        <v>11605.970859435838</v>
      </c>
      <c r="AA49" s="537">
        <f t="shared" ca="1" si="53"/>
        <v>12150.913964102536</v>
      </c>
      <c r="AB49" s="537">
        <f t="shared" ca="1" si="53"/>
        <v>12648.806104042702</v>
      </c>
      <c r="AC49" s="537">
        <f t="shared" ca="1" si="53"/>
        <v>13225.856962675749</v>
      </c>
      <c r="AD49" s="537">
        <f t="shared" ca="1" si="53"/>
        <v>13784.251605866197</v>
      </c>
      <c r="AE49" s="537">
        <f t="shared" ca="1" si="53"/>
        <v>14295.333298843443</v>
      </c>
      <c r="AF49" s="537">
        <f t="shared" ca="1" si="53"/>
        <v>14992.564507902196</v>
      </c>
      <c r="AG49" s="537">
        <f t="shared" ca="1" si="53"/>
        <v>15755.875527198315</v>
      </c>
      <c r="AH49" s="537">
        <f t="shared" ca="1" si="53"/>
        <v>16643.719425302683</v>
      </c>
      <c r="AI49" s="537">
        <f t="shared" ca="1" si="53"/>
        <v>17582.463430443859</v>
      </c>
      <c r="AJ49" s="537"/>
      <c r="AM49" s="286"/>
      <c r="AN49" s="286"/>
      <c r="AO49" s="286"/>
      <c r="AP49" s="286"/>
    </row>
    <row r="50" spans="1:42" s="286" customFormat="1" ht="12.75" customHeight="1">
      <c r="A50" s="442" t="s">
        <v>534</v>
      </c>
      <c r="B50" s="397">
        <f t="shared" ref="B50:AI50" si="54">B49/B5*100</f>
        <v>8.9587496053937326</v>
      </c>
      <c r="C50" s="397">
        <f t="shared" si="54"/>
        <v>8.8739706040695534</v>
      </c>
      <c r="D50" s="397">
        <f t="shared" si="54"/>
        <v>9.5058969263909532</v>
      </c>
      <c r="E50" s="397">
        <f t="shared" si="54"/>
        <v>8.8384556228741928</v>
      </c>
      <c r="F50" s="397">
        <f t="shared" si="54"/>
        <v>9.5448521091116234</v>
      </c>
      <c r="G50" s="397">
        <f t="shared" si="54"/>
        <v>10.343906507966995</v>
      </c>
      <c r="H50" s="397">
        <f t="shared" si="54"/>
        <v>11.844041063073856</v>
      </c>
      <c r="I50" s="397">
        <f t="shared" si="54"/>
        <v>10.569961896483905</v>
      </c>
      <c r="J50" s="397">
        <f t="shared" si="54"/>
        <v>9.8616414441737454</v>
      </c>
      <c r="K50" s="397">
        <f t="shared" si="54"/>
        <v>10.499221837190758</v>
      </c>
      <c r="L50" s="395">
        <f t="shared" si="54"/>
        <v>11.418669378024486</v>
      </c>
      <c r="M50" s="397">
        <f t="shared" si="54"/>
        <v>12.131374423289316</v>
      </c>
      <c r="N50" s="397">
        <f t="shared" si="54"/>
        <v>12.320646840580229</v>
      </c>
      <c r="O50" s="397">
        <f t="shared" si="54"/>
        <v>12.999592251231817</v>
      </c>
      <c r="P50" s="397">
        <f t="shared" si="54"/>
        <v>13.243227634182125</v>
      </c>
      <c r="Q50" s="397">
        <f t="shared" si="54"/>
        <v>12.671018946863702</v>
      </c>
      <c r="R50" s="397">
        <f t="shared" ca="1" si="54"/>
        <v>12.544859881785509</v>
      </c>
      <c r="S50" s="356">
        <f t="shared" ca="1" si="54"/>
        <v>12.502596955730279</v>
      </c>
      <c r="T50" s="356">
        <f t="shared" ca="1" si="54"/>
        <v>12.382497085263202</v>
      </c>
      <c r="U50" s="356">
        <f t="shared" ca="1" si="54"/>
        <v>12.329205925272667</v>
      </c>
      <c r="V50" s="356">
        <f t="shared" ca="1" si="54"/>
        <v>12.290522546189257</v>
      </c>
      <c r="W50" s="356">
        <f t="shared" ca="1" si="54"/>
        <v>12.297573506253002</v>
      </c>
      <c r="X50" s="356">
        <f t="shared" ca="1" si="54"/>
        <v>12.335490934907533</v>
      </c>
      <c r="Y50" s="356">
        <f t="shared" ca="1" si="54"/>
        <v>12.31137333945119</v>
      </c>
      <c r="Z50" s="356">
        <f t="shared" ca="1" si="54"/>
        <v>12.231974802797639</v>
      </c>
      <c r="AA50" s="356">
        <f t="shared" ca="1" si="54"/>
        <v>12.155428295924523</v>
      </c>
      <c r="AB50" s="356">
        <f t="shared" ca="1" si="54"/>
        <v>12.014167420160241</v>
      </c>
      <c r="AC50" s="356">
        <f t="shared" ca="1" si="54"/>
        <v>11.913561331031337</v>
      </c>
      <c r="AD50" s="356">
        <f t="shared" ca="1" si="54"/>
        <v>11.79461982787949</v>
      </c>
      <c r="AE50" s="356">
        <f t="shared" ca="1" si="54"/>
        <v>11.636022840386236</v>
      </c>
      <c r="AF50" s="356">
        <f t="shared" ca="1" si="54"/>
        <v>11.591732355156642</v>
      </c>
      <c r="AG50" s="356">
        <f t="shared" ca="1" si="54"/>
        <v>11.577211301793369</v>
      </c>
      <c r="AH50" s="356">
        <f t="shared" ca="1" si="54"/>
        <v>11.629055129792153</v>
      </c>
      <c r="AI50" s="356">
        <f t="shared" ca="1" si="54"/>
        <v>11.679931237813632</v>
      </c>
      <c r="AJ50" s="356"/>
    </row>
    <row r="51" spans="1:42" s="439" customFormat="1" ht="12.75" customHeight="1">
      <c r="A51" s="441" t="s">
        <v>533</v>
      </c>
      <c r="B51" s="361"/>
      <c r="C51" s="361">
        <v>0.222881191127317</v>
      </c>
      <c r="D51" s="361">
        <v>0.24551870047822802</v>
      </c>
      <c r="E51" s="361">
        <v>0.2326430222312045</v>
      </c>
      <c r="F51" s="361">
        <v>0.24847585628157082</v>
      </c>
      <c r="G51" s="361">
        <v>0.25613706661384295</v>
      </c>
      <c r="H51" s="361">
        <f t="shared" ref="H51:Q51" si="55">H49/H10</f>
        <v>0.27713131873001506</v>
      </c>
      <c r="I51" s="361">
        <f t="shared" si="55"/>
        <v>0.26860170389090926</v>
      </c>
      <c r="J51" s="361">
        <f t="shared" si="55"/>
        <v>0.25753208513777104</v>
      </c>
      <c r="K51" s="361">
        <f t="shared" si="55"/>
        <v>0.27486220059782868</v>
      </c>
      <c r="L51" s="360">
        <f t="shared" si="55"/>
        <v>0.29416581303768641</v>
      </c>
      <c r="M51" s="361">
        <f t="shared" si="55"/>
        <v>0.31366989512811877</v>
      </c>
      <c r="N51" s="361">
        <f t="shared" si="55"/>
        <v>0.31293029722454252</v>
      </c>
      <c r="O51" s="361">
        <f t="shared" si="55"/>
        <v>0.34066491516787478</v>
      </c>
      <c r="P51" s="361">
        <f t="shared" si="55"/>
        <v>0.35158720137936356</v>
      </c>
      <c r="Q51" s="682">
        <f t="shared" si="55"/>
        <v>0.33461901125069887</v>
      </c>
      <c r="R51" s="682">
        <f>Q51+0.001</f>
        <v>0.33561901125069887</v>
      </c>
      <c r="S51" s="440">
        <v>0.31890483833053446</v>
      </c>
      <c r="T51" s="440">
        <v>0.31890483833053446</v>
      </c>
      <c r="U51" s="440">
        <v>0.31890483833053446</v>
      </c>
      <c r="V51" s="440">
        <v>0.31890483833053446</v>
      </c>
      <c r="W51" s="440">
        <v>0.31890483833053446</v>
      </c>
      <c r="X51" s="440">
        <v>0.31890483833053446</v>
      </c>
      <c r="Y51" s="440">
        <v>0.31890483833053446</v>
      </c>
      <c r="Z51" s="440">
        <v>0.31890483833053446</v>
      </c>
      <c r="AA51" s="440">
        <v>0.31890483833053446</v>
      </c>
      <c r="AB51" s="440">
        <v>0.31890483833053446</v>
      </c>
      <c r="AC51" s="440">
        <v>0.31890483833053446</v>
      </c>
      <c r="AD51" s="440">
        <v>0.31890483833053446</v>
      </c>
      <c r="AE51" s="440">
        <v>0.31890483833053446</v>
      </c>
      <c r="AF51" s="440">
        <v>0.31890483833053446</v>
      </c>
      <c r="AG51" s="440">
        <v>0.31890483833053446</v>
      </c>
      <c r="AH51" s="440">
        <v>0.31890483833053446</v>
      </c>
      <c r="AI51" s="440">
        <v>0.31890483833053446</v>
      </c>
      <c r="AJ51" s="440"/>
      <c r="AM51" s="374"/>
      <c r="AN51" s="374"/>
      <c r="AO51" s="374"/>
      <c r="AP51" s="374"/>
    </row>
    <row r="52" spans="1:42" s="527" customFormat="1" ht="12.75" customHeight="1">
      <c r="A52" s="518" t="s">
        <v>532</v>
      </c>
      <c r="B52" s="539"/>
      <c r="C52" s="539"/>
      <c r="D52" s="539"/>
      <c r="E52" s="539"/>
      <c r="F52" s="539"/>
      <c r="G52" s="539">
        <f ca="1">номинал!L72/1000</f>
        <v>0</v>
      </c>
      <c r="H52" s="539">
        <f ca="1">номинал!M72/1000</f>
        <v>0</v>
      </c>
      <c r="I52" s="539">
        <f ca="1">номинал!N72/1000</f>
        <v>0</v>
      </c>
      <c r="J52" s="539">
        <f ca="1">номинал!O72/1000</f>
        <v>84.965999999999994</v>
      </c>
      <c r="K52" s="539">
        <f ca="1">номинал!P72/1000</f>
        <v>89.876999999999995</v>
      </c>
      <c r="L52" s="539">
        <f ca="1">номинал!Q72/1000</f>
        <v>101.80990399999999</v>
      </c>
      <c r="M52" s="539">
        <f ca="1">номинал!R72/1000</f>
        <v>104.848089</v>
      </c>
      <c r="N52" s="539">
        <f ca="1">номинал!S72/1000</f>
        <v>119.02545699999999</v>
      </c>
      <c r="O52" s="537">
        <f ca="1">N52*O34/N34</f>
        <v>124.67355713646772</v>
      </c>
      <c r="P52" s="537">
        <f ca="1">O52*P34/O34</f>
        <v>135.4506511572171</v>
      </c>
      <c r="Q52" s="537">
        <f ca="1">P52*Q34/P34</f>
        <v>147.99991829054164</v>
      </c>
      <c r="R52" s="537">
        <f t="shared" ref="R52:AD52" ca="1" si="56">Q52*R34/Q34</f>
        <v>160.31379053024318</v>
      </c>
      <c r="S52" s="537">
        <f t="shared" ca="1" si="56"/>
        <v>170.50197461225048</v>
      </c>
      <c r="T52" s="537">
        <f t="shared" ca="1" si="56"/>
        <v>180.87213664514172</v>
      </c>
      <c r="U52" s="537">
        <f t="shared" ca="1" si="56"/>
        <v>190.67801945649214</v>
      </c>
      <c r="V52" s="537">
        <f t="shared" ca="1" si="56"/>
        <v>200.8337920043472</v>
      </c>
      <c r="W52" s="537">
        <f t="shared" ca="1" si="56"/>
        <v>211.81202192932128</v>
      </c>
      <c r="X52" s="537">
        <f t="shared" ca="1" si="56"/>
        <v>223.22565550841139</v>
      </c>
      <c r="Y52" s="537">
        <f ca="1">X52*Y34/X34</f>
        <v>235.47445825047407</v>
      </c>
      <c r="Z52" s="537">
        <f t="shared" ca="1" si="56"/>
        <v>248.20173039763498</v>
      </c>
      <c r="AA52" s="537">
        <f t="shared" ca="1" si="56"/>
        <v>261.55172034452801</v>
      </c>
      <c r="AB52" s="537">
        <f t="shared" ca="1" si="56"/>
        <v>275.53653400817535</v>
      </c>
      <c r="AC52" s="537">
        <f t="shared" ca="1" si="56"/>
        <v>290.24489701966303</v>
      </c>
      <c r="AD52" s="537">
        <f t="shared" ca="1" si="56"/>
        <v>305.79566531022971</v>
      </c>
      <c r="AE52" s="537">
        <v>298.7194123588207</v>
      </c>
      <c r="AF52" s="537">
        <v>298.7194123588207</v>
      </c>
      <c r="AG52" s="537">
        <v>298.7194123588207</v>
      </c>
      <c r="AH52" s="537">
        <v>298.7194123588207</v>
      </c>
      <c r="AI52" s="537">
        <v>298.7194123588207</v>
      </c>
      <c r="AJ52" s="537"/>
    </row>
    <row r="53" spans="1:42" s="527" customFormat="1" ht="12.75" customHeight="1">
      <c r="A53" s="518"/>
      <c r="B53" s="539"/>
      <c r="C53" s="539"/>
      <c r="D53" s="539"/>
      <c r="E53" s="539"/>
      <c r="F53" s="539"/>
      <c r="G53" s="539"/>
      <c r="H53" s="539"/>
      <c r="I53" s="539"/>
      <c r="J53" s="539"/>
      <c r="K53" s="539"/>
      <c r="L53" s="539"/>
      <c r="M53" s="539"/>
      <c r="N53" s="537"/>
      <c r="O53" s="537"/>
      <c r="P53" s="537"/>
      <c r="Q53" s="537">
        <f t="shared" ref="Q53:AI53" ca="1" si="57">Q52/P52/Q103*10000</f>
        <v>102.68645633469636</v>
      </c>
      <c r="R53" s="537">
        <f t="shared" ca="1" si="57"/>
        <v>104.02116172660538</v>
      </c>
      <c r="S53" s="537">
        <f t="shared" ca="1" si="57"/>
        <v>104.23641776047138</v>
      </c>
      <c r="T53" s="537">
        <f t="shared" ca="1" si="57"/>
        <v>103.98481453325745</v>
      </c>
      <c r="U53" s="537">
        <f t="shared" ca="1" si="57"/>
        <v>103.33358728836615</v>
      </c>
      <c r="V53" s="537">
        <f t="shared" ca="1" si="57"/>
        <v>102.55722993277691</v>
      </c>
      <c r="W53" s="537">
        <f t="shared" ca="1" si="57"/>
        <v>102.57159020914371</v>
      </c>
      <c r="X53" s="537">
        <f t="shared" ca="1" si="57"/>
        <v>102.40994929867333</v>
      </c>
      <c r="Y53" s="537">
        <f t="shared" ca="1" si="57"/>
        <v>102.42458769538572</v>
      </c>
      <c r="Z53" s="537">
        <f t="shared" ca="1" si="57"/>
        <v>102.40224268792925</v>
      </c>
      <c r="AA53" s="537">
        <f t="shared" ca="1" si="57"/>
        <v>102.4180827161688</v>
      </c>
      <c r="AB53" s="537">
        <f t="shared" ca="1" si="57"/>
        <v>102.42111220307743</v>
      </c>
      <c r="AC53" s="537">
        <f t="shared" ca="1" si="57"/>
        <v>102.399908760225</v>
      </c>
      <c r="AD53" s="537">
        <f t="shared" ca="1" si="57"/>
        <v>102.41533965309456</v>
      </c>
      <c r="AE53" s="537">
        <f t="shared" ca="1" si="57"/>
        <v>94.956785288811389</v>
      </c>
      <c r="AF53" s="537">
        <f t="shared" si="57"/>
        <v>97.206108272890461</v>
      </c>
      <c r="AG53" s="537">
        <f t="shared" si="57"/>
        <v>97.20601220664301</v>
      </c>
      <c r="AH53" s="537">
        <f t="shared" si="57"/>
        <v>97.205834158863212</v>
      </c>
      <c r="AI53" s="537">
        <f t="shared" si="57"/>
        <v>97.205658014309876</v>
      </c>
      <c r="AJ53" s="537"/>
    </row>
    <row r="54" spans="1:42" s="392" customFormat="1">
      <c r="A54" s="406" t="s">
        <v>476</v>
      </c>
      <c r="B54" s="404">
        <f t="shared" ref="B54:AI54" si="58">B5-B49</f>
        <v>5945.6709739999997</v>
      </c>
      <c r="C54" s="404">
        <f t="shared" si="58"/>
        <v>7532.268</v>
      </c>
      <c r="D54" s="404">
        <f t="shared" si="58"/>
        <v>9286.0350980000003</v>
      </c>
      <c r="E54" s="404">
        <f t="shared" si="58"/>
        <v>11872.850801000002</v>
      </c>
      <c r="F54" s="404">
        <f t="shared" si="58"/>
        <v>14451.216370000002</v>
      </c>
      <c r="G54" s="404">
        <f t="shared" si="58"/>
        <v>17723.972955000001</v>
      </c>
      <c r="H54" s="404">
        <f t="shared" si="58"/>
        <v>21125.979833000001</v>
      </c>
      <c r="I54" s="404">
        <f t="shared" si="58"/>
        <v>24105.627930000002</v>
      </c>
      <c r="J54" s="404">
        <f t="shared" si="58"/>
        <v>27650.128744317411</v>
      </c>
      <c r="K54" s="404">
        <f t="shared" si="58"/>
        <v>30141.228736557645</v>
      </c>
      <c r="L54" s="669">
        <f t="shared" si="58"/>
        <v>33469.591390272406</v>
      </c>
      <c r="M54" s="669">
        <f t="shared" si="58"/>
        <v>37212.659157688933</v>
      </c>
      <c r="N54" s="669">
        <f t="shared" si="58"/>
        <v>39811.942345006464</v>
      </c>
      <c r="O54" s="669">
        <f t="shared" si="58"/>
        <v>42812.939527225841</v>
      </c>
      <c r="P54" s="669">
        <f t="shared" si="58"/>
        <v>46179.585440010916</v>
      </c>
      <c r="Q54" s="669">
        <f t="shared" si="58"/>
        <v>50233.654643240188</v>
      </c>
      <c r="R54" s="669">
        <f t="shared" ca="1" si="58"/>
        <v>54172.58018753551</v>
      </c>
      <c r="S54" s="669">
        <f t="shared" ca="1" si="58"/>
        <v>57604.441826367241</v>
      </c>
      <c r="T54" s="669">
        <f t="shared" ca="1" si="58"/>
        <v>60832.768897363858</v>
      </c>
      <c r="U54" s="669">
        <f t="shared" ca="1" si="58"/>
        <v>64107.525607946329</v>
      </c>
      <c r="V54" s="669">
        <f t="shared" ca="1" si="58"/>
        <v>67506.890091512294</v>
      </c>
      <c r="W54" s="669">
        <f t="shared" ca="1" si="58"/>
        <v>71069.098944778976</v>
      </c>
      <c r="X54" s="669">
        <f t="shared" ca="1" si="58"/>
        <v>74825.827587559048</v>
      </c>
      <c r="Y54" s="669">
        <f t="shared" ca="1" si="58"/>
        <v>78906.893691115867</v>
      </c>
      <c r="Z54" s="669">
        <f t="shared" ca="1" si="58"/>
        <v>83276.26235756994</v>
      </c>
      <c r="AA54" s="669">
        <f t="shared" ca="1" si="58"/>
        <v>87811.947633925229</v>
      </c>
      <c r="AB54" s="669">
        <f t="shared" ca="1" si="58"/>
        <v>92633.613073981352</v>
      </c>
      <c r="AC54" s="669">
        <f t="shared" ca="1" si="58"/>
        <v>97789.284481438575</v>
      </c>
      <c r="AD54" s="669">
        <f t="shared" ca="1" si="58"/>
        <v>103084.7260044483</v>
      </c>
      <c r="AE54" s="669">
        <f t="shared" ca="1" si="58"/>
        <v>108558.78528562075</v>
      </c>
      <c r="AF54" s="669">
        <f t="shared" ca="1" si="58"/>
        <v>114345.86437009615</v>
      </c>
      <c r="AG54" s="669">
        <f t="shared" ca="1" si="58"/>
        <v>120337.9999016595</v>
      </c>
      <c r="AH54" s="669">
        <f t="shared" ca="1" si="58"/>
        <v>126478.13561400831</v>
      </c>
      <c r="AI54" s="669">
        <f t="shared" ca="1" si="58"/>
        <v>132953.21244340762</v>
      </c>
      <c r="AJ54" s="669"/>
      <c r="AM54" s="286"/>
      <c r="AN54" s="286"/>
      <c r="AO54" s="286"/>
      <c r="AP54" s="286"/>
    </row>
    <row r="55" spans="1:42" s="286" customFormat="1">
      <c r="A55" s="363" t="s">
        <v>525</v>
      </c>
      <c r="B55" s="397"/>
      <c r="C55" s="397">
        <f t="shared" ref="C55:I55" si="59">C54/B54*100</f>
        <v>126.68491130669824</v>
      </c>
      <c r="D55" s="397">
        <f t="shared" si="59"/>
        <v>123.28338686302718</v>
      </c>
      <c r="E55" s="397">
        <f t="shared" si="59"/>
        <v>127.85705282933017</v>
      </c>
      <c r="F55" s="397">
        <f t="shared" si="59"/>
        <v>121.71648252147524</v>
      </c>
      <c r="G55" s="397">
        <f t="shared" si="59"/>
        <v>122.64692812844513</v>
      </c>
      <c r="H55" s="397">
        <f t="shared" si="59"/>
        <v>119.19438089099702</v>
      </c>
      <c r="I55" s="397">
        <f t="shared" si="59"/>
        <v>114.10418887338716</v>
      </c>
      <c r="J55" s="397">
        <v>111.71524150997152</v>
      </c>
      <c r="K55" s="397">
        <v>111.71524150997152</v>
      </c>
      <c r="L55" s="395">
        <v>111.71524150997152</v>
      </c>
      <c r="M55" s="397">
        <v>111.71524150997152</v>
      </c>
      <c r="N55" s="397">
        <f t="shared" ref="N55:AD55" si="60">N54/M54*100</f>
        <v>106.98494342020291</v>
      </c>
      <c r="O55" s="397">
        <f t="shared" si="60"/>
        <v>107.53793210141073</v>
      </c>
      <c r="P55" s="397">
        <f t="shared" si="60"/>
        <v>107.86361775192788</v>
      </c>
      <c r="Q55" s="397">
        <f t="shared" si="60"/>
        <v>108.77892073867936</v>
      </c>
      <c r="R55" s="356">
        <f t="shared" ca="1" si="60"/>
        <v>107.8412083935951</v>
      </c>
      <c r="S55" s="356">
        <f t="shared" ca="1" si="60"/>
        <v>106.33505294920651</v>
      </c>
      <c r="T55" s="356">
        <f t="shared" ca="1" si="60"/>
        <v>105.60430232225411</v>
      </c>
      <c r="U55" s="356">
        <f t="shared" ca="1" si="60"/>
        <v>105.38321166361438</v>
      </c>
      <c r="V55" s="356">
        <f t="shared" ca="1" si="60"/>
        <v>105.30259817600043</v>
      </c>
      <c r="W55" s="356">
        <f t="shared" ca="1" si="60"/>
        <v>105.27680781685804</v>
      </c>
      <c r="X55" s="356">
        <f t="shared" ca="1" si="60"/>
        <v>105.28602261539726</v>
      </c>
      <c r="Y55" s="356">
        <f t="shared" ca="1" si="60"/>
        <v>105.45408749242536</v>
      </c>
      <c r="Z55" s="356">
        <f t="shared" ca="1" si="60"/>
        <v>105.5373725438466</v>
      </c>
      <c r="AA55" s="356">
        <f t="shared" ca="1" si="60"/>
        <v>105.44655241235499</v>
      </c>
      <c r="AB55" s="356">
        <f t="shared" ca="1" si="60"/>
        <v>105.49089909741771</v>
      </c>
      <c r="AC55" s="356">
        <f t="shared" ca="1" si="60"/>
        <v>105.56565941494658</v>
      </c>
      <c r="AD55" s="356">
        <f t="shared" ca="1" si="60"/>
        <v>105.41515519935606</v>
      </c>
      <c r="AE55" s="356">
        <f ca="1">AE54/AD54*100</f>
        <v>105.31025254016413</v>
      </c>
      <c r="AF55" s="356">
        <f ca="1">AF54/AE54*100</f>
        <v>105.33082520152513</v>
      </c>
      <c r="AG55" s="356">
        <f ca="1">AG54/AF54*100</f>
        <v>105.24036051900309</v>
      </c>
      <c r="AH55" s="356">
        <f ca="1">AH54/AG54*100</f>
        <v>105.10240798198951</v>
      </c>
      <c r="AI55" s="356">
        <f ca="1">AI54/AH54*100</f>
        <v>105.11952267319961</v>
      </c>
      <c r="AJ55" s="356"/>
      <c r="AM55" s="439"/>
      <c r="AN55" s="439"/>
      <c r="AO55" s="439"/>
      <c r="AP55" s="439"/>
    </row>
    <row r="56" spans="1:42" s="541" customFormat="1">
      <c r="A56" s="590" t="s">
        <v>531</v>
      </c>
      <c r="B56" s="554">
        <f>B54-B34</f>
        <v>943.89697399999932</v>
      </c>
      <c r="C56" s="554">
        <f>C54-C34</f>
        <v>1385.0110000000004</v>
      </c>
      <c r="D56" s="554">
        <f>D54-D34</f>
        <v>1615.3540980000007</v>
      </c>
      <c r="E56" s="554">
        <f>E54-E34</f>
        <v>2259.0108010000022</v>
      </c>
      <c r="F56" s="554">
        <f>F54-F34</f>
        <v>2523.6243700000014</v>
      </c>
      <c r="G56" s="554">
        <f t="shared" ref="G56:AI56" si="61">G54*G58/100</f>
        <v>2892.0682659526883</v>
      </c>
      <c r="H56" s="554">
        <f t="shared" si="61"/>
        <v>2409.62925975198</v>
      </c>
      <c r="I56" s="553">
        <f t="shared" si="61"/>
        <v>4071.4405573770009</v>
      </c>
      <c r="J56" s="553">
        <f t="shared" si="61"/>
        <v>4950.7555516700331</v>
      </c>
      <c r="K56" s="553">
        <f t="shared" si="61"/>
        <v>3865.6125854635175</v>
      </c>
      <c r="L56" s="553">
        <f t="shared" si="61"/>
        <v>3757.9657212997859</v>
      </c>
      <c r="M56" s="553">
        <f t="shared" si="61"/>
        <v>4260.1052203722293</v>
      </c>
      <c r="N56" s="553">
        <f t="shared" si="61"/>
        <v>3747.6137898623497</v>
      </c>
      <c r="O56" s="553">
        <f t="shared" ca="1" si="61"/>
        <v>5037.2548960960121</v>
      </c>
      <c r="P56" s="553">
        <f t="shared" ca="1" si="61"/>
        <v>5138.4761725868084</v>
      </c>
      <c r="Q56" s="553">
        <f ca="1">Q54*Q58/100</f>
        <v>5390.1580174336777</v>
      </c>
      <c r="R56" s="553">
        <f t="shared" ca="1" si="61"/>
        <v>5598.0200948719503</v>
      </c>
      <c r="S56" s="553">
        <f t="shared" ca="1" si="61"/>
        <v>5942.8949043752218</v>
      </c>
      <c r="T56" s="553">
        <f t="shared" ca="1" si="61"/>
        <v>6029.0964154231697</v>
      </c>
      <c r="U56" s="553">
        <f t="shared" ca="1" si="61"/>
        <v>6332.7023453639704</v>
      </c>
      <c r="V56" s="553">
        <f t="shared" ca="1" si="61"/>
        <v>6654.9005896340959</v>
      </c>
      <c r="W56" s="553">
        <f t="shared" ca="1" si="61"/>
        <v>6890.7412780788572</v>
      </c>
      <c r="X56" s="553">
        <f t="shared" ca="1" si="61"/>
        <v>7189.1758568896485</v>
      </c>
      <c r="Y56" s="553">
        <f t="shared" ca="1" si="61"/>
        <v>7558.8943409460471</v>
      </c>
      <c r="Z56" s="553">
        <f t="shared" ca="1" si="61"/>
        <v>8071.9407054748581</v>
      </c>
      <c r="AA56" s="553">
        <f t="shared" ca="1" si="61"/>
        <v>8562.6222003901639</v>
      </c>
      <c r="AB56" s="553">
        <f t="shared" ca="1" si="61"/>
        <v>9146.9343257831351</v>
      </c>
      <c r="AC56" s="553">
        <f t="shared" ca="1" si="61"/>
        <v>9846.0193060643651</v>
      </c>
      <c r="AD56" s="553">
        <f t="shared" ca="1" si="61"/>
        <v>10429.628326587539</v>
      </c>
      <c r="AE56" s="553">
        <f t="shared" ca="1" si="61"/>
        <v>10981.190746527895</v>
      </c>
      <c r="AF56" s="553">
        <f t="shared" ca="1" si="61"/>
        <v>11575.343449818203</v>
      </c>
      <c r="AG56" s="553">
        <f t="shared" ca="1" si="61"/>
        <v>12134.328862003924</v>
      </c>
      <c r="AH56" s="553">
        <f t="shared" ca="1" si="61"/>
        <v>12752.527935124541</v>
      </c>
      <c r="AI56" s="553">
        <f t="shared" ca="1" si="61"/>
        <v>13434.414963096366</v>
      </c>
      <c r="AJ56" s="553"/>
      <c r="AM56" s="527"/>
      <c r="AN56" s="527"/>
      <c r="AO56" s="527"/>
      <c r="AP56" s="527"/>
    </row>
    <row r="57" spans="1:42" s="392" customFormat="1">
      <c r="A57" s="363" t="s">
        <v>525</v>
      </c>
      <c r="B57" s="397"/>
      <c r="C57" s="397" t="e">
        <f t="shared" ref="C57:AI57" si="62">C29/B29*100</f>
        <v>#DIV/0!</v>
      </c>
      <c r="D57" s="397" t="e">
        <f t="shared" si="62"/>
        <v>#DIV/0!</v>
      </c>
      <c r="E57" s="397" t="e">
        <f t="shared" si="62"/>
        <v>#DIV/0!</v>
      </c>
      <c r="F57" s="397" t="e">
        <f t="shared" si="62"/>
        <v>#DIV/0!</v>
      </c>
      <c r="G57" s="397">
        <f t="shared" si="62"/>
        <v>98.326645301553697</v>
      </c>
      <c r="H57" s="397">
        <f t="shared" si="62"/>
        <v>94.072556882888478</v>
      </c>
      <c r="I57" s="397">
        <f t="shared" si="62"/>
        <v>108.96216995463514</v>
      </c>
      <c r="J57" s="397">
        <f t="shared" si="62"/>
        <v>88.043630919487825</v>
      </c>
      <c r="K57" s="397">
        <f t="shared" si="62"/>
        <v>104.75817990288728</v>
      </c>
      <c r="L57" s="396">
        <f t="shared" si="62"/>
        <v>92.237206329096182</v>
      </c>
      <c r="M57" s="397">
        <f t="shared" si="62"/>
        <v>107.74435655817216</v>
      </c>
      <c r="N57" s="395">
        <f t="shared" si="62"/>
        <v>103.23117661081164</v>
      </c>
      <c r="O57" s="395">
        <f t="shared" si="62"/>
        <v>101.07003888497721</v>
      </c>
      <c r="P57" s="394">
        <f t="shared" si="62"/>
        <v>95.222470128991148</v>
      </c>
      <c r="Q57" s="394">
        <f t="shared" si="62"/>
        <v>97.249271173142205</v>
      </c>
      <c r="R57" s="356">
        <f t="shared" si="62"/>
        <v>98.508260280299538</v>
      </c>
      <c r="S57" s="356">
        <f t="shared" si="62"/>
        <v>99.030779944802489</v>
      </c>
      <c r="T57" s="356">
        <f t="shared" si="62"/>
        <v>100.00358767282454</v>
      </c>
      <c r="U57" s="356">
        <f t="shared" si="62"/>
        <v>99.999215917134762</v>
      </c>
      <c r="V57" s="356">
        <f t="shared" si="62"/>
        <v>100.00030837957216</v>
      </c>
      <c r="W57" s="356">
        <f t="shared" si="62"/>
        <v>99.999610747848365</v>
      </c>
      <c r="X57" s="356">
        <f t="shared" si="62"/>
        <v>100.09332973847597</v>
      </c>
      <c r="Y57" s="356">
        <f t="shared" si="62"/>
        <v>100.00036288557921</v>
      </c>
      <c r="Z57" s="356">
        <f t="shared" si="62"/>
        <v>99.9437071480112</v>
      </c>
      <c r="AA57" s="356">
        <f t="shared" si="62"/>
        <v>99.775052612304023</v>
      </c>
      <c r="AB57" s="356">
        <f t="shared" si="62"/>
        <v>100.00009891167036</v>
      </c>
      <c r="AC57" s="356">
        <f t="shared" si="62"/>
        <v>100.00034476945289</v>
      </c>
      <c r="AD57" s="356">
        <f t="shared" si="62"/>
        <v>99.770088526632307</v>
      </c>
      <c r="AE57" s="356">
        <f t="shared" si="62"/>
        <v>99.897197716423051</v>
      </c>
      <c r="AF57" s="356">
        <f t="shared" si="62"/>
        <v>100.00602744465942</v>
      </c>
      <c r="AG57" s="356">
        <f t="shared" si="62"/>
        <v>99.996016041972538</v>
      </c>
      <c r="AH57" s="356">
        <f t="shared" si="62"/>
        <v>100.03742880516337</v>
      </c>
      <c r="AI57" s="356">
        <f t="shared" si="62"/>
        <v>99.99702770949618</v>
      </c>
      <c r="AJ57" s="356"/>
      <c r="AK57" s="319"/>
      <c r="AL57" s="319"/>
    </row>
    <row r="58" spans="1:42" s="414" customFormat="1">
      <c r="A58" s="416" t="s">
        <v>529</v>
      </c>
      <c r="B58" s="349" t="e">
        <f>B29/B26*100</f>
        <v>#DIV/0!</v>
      </c>
      <c r="C58" s="349" t="e">
        <f>C29/C26*100</f>
        <v>#DIV/0!</v>
      </c>
      <c r="D58" s="349" t="e">
        <f>D29/D26*100</f>
        <v>#DIV/0!</v>
      </c>
      <c r="E58" s="349" t="e">
        <f>E29/E26*100</f>
        <v>#DIV/0!</v>
      </c>
      <c r="F58" s="349" t="e">
        <f>F29/F26*100</f>
        <v>#DIV/0!</v>
      </c>
      <c r="G58" s="349">
        <v>16.317268556522059</v>
      </c>
      <c r="H58" s="349">
        <v>11.406000000000001</v>
      </c>
      <c r="I58" s="349">
        <v>16.89</v>
      </c>
      <c r="J58" s="349">
        <v>17.905000000000001</v>
      </c>
      <c r="K58" s="349">
        <v>12.824999999999999</v>
      </c>
      <c r="L58" s="347">
        <v>11.228</v>
      </c>
      <c r="M58" s="347">
        <v>11.448</v>
      </c>
      <c r="N58" s="348">
        <f t="shared" ref="N58:AI58" si="63">N60/N54*100</f>
        <v>9.4132905081241418</v>
      </c>
      <c r="O58" s="348">
        <f ca="1">O60/O54*100</f>
        <v>11.765730061335063</v>
      </c>
      <c r="P58" s="348">
        <f t="shared" ca="1" si="63"/>
        <v>11.127159595795613</v>
      </c>
      <c r="Q58" s="348">
        <f t="shared" ca="1" si="63"/>
        <v>10.730172940262106</v>
      </c>
      <c r="R58" s="348">
        <f t="shared" ca="1" si="63"/>
        <v>10.333678173519951</v>
      </c>
      <c r="S58" s="348">
        <f t="shared" ca="1" si="63"/>
        <v>10.316730300570303</v>
      </c>
      <c r="T58" s="348">
        <f t="shared" ca="1" si="63"/>
        <v>9.9109353802312885</v>
      </c>
      <c r="U58" s="348">
        <f t="shared" ca="1" si="63"/>
        <v>9.8782510872311882</v>
      </c>
      <c r="V58" s="348">
        <f t="shared" ca="1" si="63"/>
        <v>9.8581057142651929</v>
      </c>
      <c r="W58" s="348">
        <f t="shared" ca="1" si="63"/>
        <v>9.6958331826227262</v>
      </c>
      <c r="X58" s="348">
        <f t="shared" ca="1" si="63"/>
        <v>9.6078801781070577</v>
      </c>
      <c r="Y58" s="348">
        <f t="shared" ca="1" si="63"/>
        <v>9.5795107212503332</v>
      </c>
      <c r="Z58" s="348">
        <f t="shared" ca="1" si="63"/>
        <v>9.6929670916493844</v>
      </c>
      <c r="AA58" s="348">
        <f t="shared" ca="1" si="63"/>
        <v>9.7510901774852385</v>
      </c>
      <c r="AB58" s="348">
        <f t="shared" ca="1" si="63"/>
        <v>9.8743145411784639</v>
      </c>
      <c r="AC58" s="348">
        <f t="shared" ca="1" si="63"/>
        <v>10.068607576255701</v>
      </c>
      <c r="AD58" s="348">
        <f t="shared" ca="1" si="63"/>
        <v>10.117530240258368</v>
      </c>
      <c r="AE58" s="348">
        <f t="shared" ca="1" si="63"/>
        <v>10.115432590403548</v>
      </c>
      <c r="AF58" s="348">
        <f t="shared" ca="1" si="63"/>
        <v>10.123097598311915</v>
      </c>
      <c r="AG58" s="348">
        <f t="shared" ca="1" si="63"/>
        <v>10.083538759095321</v>
      </c>
      <c r="AH58" s="348">
        <f t="shared" ca="1" si="63"/>
        <v>10.082792470979555</v>
      </c>
      <c r="AI58" s="348">
        <f t="shared" ca="1" si="63"/>
        <v>10.104618546779989</v>
      </c>
      <c r="AJ58" s="676"/>
      <c r="AK58" s="434"/>
      <c r="AL58" s="434">
        <f>Q61/Q54*100</f>
        <v>11.118041312147525</v>
      </c>
      <c r="AM58" s="286"/>
      <c r="AN58" s="286"/>
      <c r="AO58" s="286"/>
      <c r="AP58" s="286"/>
    </row>
    <row r="59" spans="1:42" s="414" customFormat="1">
      <c r="A59" s="416" t="s">
        <v>528</v>
      </c>
      <c r="B59" s="349"/>
      <c r="C59" s="349" t="e">
        <f>(C56-B56)/(C52-B52)*100</f>
        <v>#DIV/0!</v>
      </c>
      <c r="D59" s="349" t="e">
        <f>(D56-C56)/(D52-C52)*100</f>
        <v>#DIV/0!</v>
      </c>
      <c r="E59" s="349" t="e">
        <f>(E56-D56)/(E52-D52)*100</f>
        <v>#DIV/0!</v>
      </c>
      <c r="F59" s="349" t="e">
        <f>(F56-E56)/(F52-E52)*100</f>
        <v>#DIV/0!</v>
      </c>
      <c r="G59" s="550">
        <f t="shared" ref="G59:AI59" si="64">(G62-F62)/(G54-F54)*100</f>
        <v>214.21400296309656</v>
      </c>
      <c r="H59" s="550">
        <f t="shared" si="64"/>
        <v>-16.450779380229104</v>
      </c>
      <c r="I59" s="550">
        <f t="shared" si="64"/>
        <v>2.3717863217187931</v>
      </c>
      <c r="J59" s="550">
        <f t="shared" si="64"/>
        <v>54.128058697791104</v>
      </c>
      <c r="K59" s="550">
        <f t="shared" si="64"/>
        <v>-1.8918869939614711</v>
      </c>
      <c r="L59" s="551">
        <f t="shared" si="64"/>
        <v>18.634070333445294</v>
      </c>
      <c r="M59" s="551">
        <f t="shared" si="64"/>
        <v>13.293626009592433</v>
      </c>
      <c r="N59" s="552">
        <f t="shared" si="64"/>
        <v>-56.037048765186896</v>
      </c>
      <c r="O59" s="552">
        <f t="shared" si="64"/>
        <v>-26.102720400703266</v>
      </c>
      <c r="P59" s="415">
        <f t="shared" si="64"/>
        <v>59.353518023072681</v>
      </c>
      <c r="Q59" s="415">
        <f t="shared" si="64"/>
        <v>15.549333135114532</v>
      </c>
      <c r="R59" s="415">
        <f t="shared" ca="1" si="64"/>
        <v>3.1802004813033227</v>
      </c>
      <c r="S59" s="415">
        <f t="shared" ca="1" si="64"/>
        <v>23.718751924888672</v>
      </c>
      <c r="T59" s="415">
        <f t="shared" ca="1" si="64"/>
        <v>0.75608714864352256</v>
      </c>
      <c r="U59" s="415">
        <f t="shared" ca="1" si="64"/>
        <v>23.459922246732177</v>
      </c>
      <c r="V59" s="415">
        <f t="shared" ca="1" si="64"/>
        <v>16.591315753477868</v>
      </c>
      <c r="W59" s="415">
        <f t="shared" ca="1" si="64"/>
        <v>14.469642078943377</v>
      </c>
      <c r="X59" s="415">
        <f t="shared" ca="1" si="64"/>
        <v>15.163996875314981</v>
      </c>
      <c r="Y59" s="415">
        <f t="shared" ca="1" si="64"/>
        <v>17.648471605914793</v>
      </c>
      <c r="Z59" s="415">
        <f t="shared" ca="1" si="64"/>
        <v>19.925660180807682</v>
      </c>
      <c r="AA59" s="415">
        <f t="shared" ca="1" si="64"/>
        <v>16.106819646668129</v>
      </c>
      <c r="AB59" s="415">
        <f t="shared" ca="1" si="64"/>
        <v>17.924189060791782</v>
      </c>
      <c r="AC59" s="415">
        <f t="shared" ca="1" si="64"/>
        <v>17.434041154984627</v>
      </c>
      <c r="AD59" s="415">
        <f t="shared" ca="1" si="64"/>
        <v>18.4232164950187</v>
      </c>
      <c r="AE59" s="415">
        <f t="shared" ca="1" si="64"/>
        <v>12.236872492772848</v>
      </c>
      <c r="AF59" s="415">
        <f t="shared" ca="1" si="64"/>
        <v>16.05659974569917</v>
      </c>
      <c r="AG59" s="415">
        <f t="shared" ca="1" si="64"/>
        <v>16.365786827657278</v>
      </c>
      <c r="AH59" s="415">
        <f t="shared" ca="1" si="64"/>
        <v>12.562744780401056</v>
      </c>
      <c r="AI59" s="415">
        <f t="shared" ca="1" si="64"/>
        <v>11.713384416746496</v>
      </c>
      <c r="AJ59" s="676"/>
      <c r="AK59" s="434"/>
      <c r="AL59" s="434"/>
      <c r="AM59" s="541"/>
      <c r="AN59" s="541"/>
      <c r="AO59" s="541"/>
      <c r="AP59" s="541"/>
    </row>
    <row r="60" spans="1:42" s="414" customFormat="1">
      <c r="A60" s="612"/>
      <c r="B60" s="613"/>
      <c r="C60" s="613"/>
      <c r="D60" s="613"/>
      <c r="E60" s="613"/>
      <c r="F60" s="613"/>
      <c r="G60" s="613"/>
      <c r="H60" s="613"/>
      <c r="I60" s="613"/>
      <c r="J60" s="613"/>
      <c r="K60" s="613"/>
      <c r="L60" s="614">
        <f t="shared" ref="L60:AI60" si="65">L54-L34</f>
        <v>3756.6036562724075</v>
      </c>
      <c r="M60" s="614">
        <f t="shared" si="65"/>
        <v>4260.3869836889353</v>
      </c>
      <c r="N60" s="614">
        <f t="shared" si="65"/>
        <v>3747.6137898623492</v>
      </c>
      <c r="O60" s="614">
        <f ca="1">O54-O34</f>
        <v>5037.2548960960121</v>
      </c>
      <c r="P60" s="614">
        <f ca="1">P54-P34</f>
        <v>5138.4761725868084</v>
      </c>
      <c r="Q60" s="614">
        <f t="shared" ca="1" si="65"/>
        <v>5390.1580174336777</v>
      </c>
      <c r="R60" s="614">
        <f t="shared" ca="1" si="65"/>
        <v>5598.0200948719503</v>
      </c>
      <c r="S60" s="614">
        <f t="shared" ca="1" si="65"/>
        <v>5942.8949043752218</v>
      </c>
      <c r="T60" s="614">
        <f t="shared" ca="1" si="65"/>
        <v>6029.0964154231697</v>
      </c>
      <c r="U60" s="614">
        <f t="shared" ca="1" si="65"/>
        <v>6332.7023453639704</v>
      </c>
      <c r="V60" s="614">
        <f t="shared" ca="1" si="65"/>
        <v>6654.9005896340968</v>
      </c>
      <c r="W60" s="614">
        <f t="shared" ca="1" si="65"/>
        <v>6890.7412780788582</v>
      </c>
      <c r="X60" s="614">
        <f t="shared" ca="1" si="65"/>
        <v>7189.1758568896475</v>
      </c>
      <c r="Y60" s="614">
        <f t="shared" ca="1" si="65"/>
        <v>7558.894340946048</v>
      </c>
      <c r="Z60" s="614">
        <f t="shared" ca="1" si="65"/>
        <v>8071.940705474859</v>
      </c>
      <c r="AA60" s="614">
        <f t="shared" ca="1" si="65"/>
        <v>8562.6222003901639</v>
      </c>
      <c r="AB60" s="614">
        <f t="shared" ca="1" si="65"/>
        <v>9146.9343257831351</v>
      </c>
      <c r="AC60" s="614">
        <f t="shared" ca="1" si="65"/>
        <v>9846.0193060643651</v>
      </c>
      <c r="AD60" s="614">
        <f t="shared" ca="1" si="65"/>
        <v>10429.628326587539</v>
      </c>
      <c r="AE60" s="614">
        <f t="shared" ca="1" si="65"/>
        <v>10981.190746527893</v>
      </c>
      <c r="AF60" s="614">
        <f t="shared" ca="1" si="65"/>
        <v>11575.343449818203</v>
      </c>
      <c r="AG60" s="614">
        <f t="shared" ca="1" si="65"/>
        <v>12134.328862003924</v>
      </c>
      <c r="AH60" s="614">
        <f t="shared" ca="1" si="65"/>
        <v>12752.527935124541</v>
      </c>
      <c r="AI60" s="614">
        <f t="shared" ca="1" si="65"/>
        <v>13434.414963096366</v>
      </c>
      <c r="AJ60" s="614"/>
      <c r="AK60" s="434"/>
      <c r="AL60" s="434"/>
      <c r="AM60" s="319"/>
      <c r="AN60" s="319"/>
      <c r="AO60" s="319"/>
      <c r="AP60" s="319"/>
    </row>
    <row r="61" spans="1:42" s="544" customFormat="1">
      <c r="A61" s="615"/>
      <c r="B61" s="576"/>
      <c r="C61" s="576"/>
      <c r="D61" s="576"/>
      <c r="E61" s="576"/>
      <c r="F61" s="576"/>
      <c r="G61" s="576">
        <f t="shared" ref="G61:AI61" si="66">G62+G77</f>
        <v>2891.9657590000002</v>
      </c>
      <c r="H61" s="611">
        <f t="shared" si="66"/>
        <v>2409.5270129999999</v>
      </c>
      <c r="I61" s="576">
        <f t="shared" si="66"/>
        <v>4070.7827000000007</v>
      </c>
      <c r="J61" s="576">
        <f t="shared" si="66"/>
        <v>4950.7351813174118</v>
      </c>
      <c r="K61" s="576">
        <f t="shared" si="66"/>
        <v>3865.6663845576431</v>
      </c>
      <c r="L61" s="576">
        <f t="shared" si="66"/>
        <v>3758.248822402978</v>
      </c>
      <c r="M61" s="576">
        <f>M62+M77</f>
        <v>4259.9051696889328</v>
      </c>
      <c r="N61" s="576">
        <f>N62+N77</f>
        <v>3747.5786654665035</v>
      </c>
      <c r="O61" s="576">
        <f>O62+O77</f>
        <v>4956.471647806391</v>
      </c>
      <c r="P61" s="576">
        <f>P62+P77</f>
        <v>5320.5121598948272</v>
      </c>
      <c r="Q61" s="576">
        <f>Q62+Q77</f>
        <v>5584.9984758369574</v>
      </c>
      <c r="R61" s="576">
        <f t="shared" ca="1" si="66"/>
        <v>5447.8318789964414</v>
      </c>
      <c r="S61" s="576">
        <f ca="1">S62+S77</f>
        <v>5526.20655766862</v>
      </c>
      <c r="T61" s="576">
        <f ca="1">T62+T77</f>
        <v>5335.8405757969194</v>
      </c>
      <c r="U61" s="576">
        <f ca="1">U62+U77</f>
        <v>6276.2098485378438</v>
      </c>
      <c r="V61" s="576">
        <f t="shared" ca="1" si="66"/>
        <v>6558.8830327015658</v>
      </c>
      <c r="W61" s="576">
        <f t="shared" ca="1" si="66"/>
        <v>6817.5983893826451</v>
      </c>
      <c r="X61" s="576">
        <f t="shared" ca="1" si="66"/>
        <v>7089.9653572444495</v>
      </c>
      <c r="Y61" s="576">
        <f ca="1">Y62+Y77</f>
        <v>7477.2862481795164</v>
      </c>
      <c r="Z61" s="576">
        <f t="shared" ca="1" si="66"/>
        <v>7933.255425839332</v>
      </c>
      <c r="AA61" s="576">
        <f t="shared" ca="1" si="66"/>
        <v>8373.5827975716893</v>
      </c>
      <c r="AB61" s="576">
        <f ca="1">AB62+AB77</f>
        <v>8872.5799653082322</v>
      </c>
      <c r="AC61" s="576">
        <f t="shared" ca="1" si="66"/>
        <v>9511.8062811934597</v>
      </c>
      <c r="AD61" s="576">
        <f t="shared" ca="1" si="66"/>
        <v>10075.698402223794</v>
      </c>
      <c r="AE61" s="576">
        <f t="shared" ca="1" si="66"/>
        <v>11082.227930558036</v>
      </c>
      <c r="AF61" s="576">
        <f t="shared" ca="1" si="66"/>
        <v>11698.166678636615</v>
      </c>
      <c r="AG61" s="576">
        <f t="shared" ca="1" si="66"/>
        <v>12307.154494162149</v>
      </c>
      <c r="AH61" s="576">
        <f t="shared" ca="1" si="66"/>
        <v>12899.831373448858</v>
      </c>
      <c r="AI61" s="576">
        <f t="shared" ca="1" si="66"/>
        <v>13451.646600753411</v>
      </c>
      <c r="AJ61" s="576"/>
      <c r="AK61" s="543"/>
      <c r="AL61" s="543"/>
      <c r="AM61" s="434">
        <f ca="1">R61/R54*100</f>
        <v>10.056437888202941</v>
      </c>
      <c r="AN61" s="434"/>
      <c r="AO61" s="434"/>
      <c r="AP61" s="434"/>
    </row>
    <row r="62" spans="1:42" s="548" customFormat="1">
      <c r="A62" s="545" t="s">
        <v>530</v>
      </c>
      <c r="B62" s="546">
        <f t="shared" ref="B62:AI62" si="67">B66+B70+B71+B72+B74+B75</f>
        <v>-1563.033627</v>
      </c>
      <c r="C62" s="546">
        <f t="shared" si="67"/>
        <v>-1869.7114300606145</v>
      </c>
      <c r="D62" s="546">
        <f t="shared" si="67"/>
        <v>-2086.8099697741577</v>
      </c>
      <c r="E62" s="546">
        <f t="shared" si="67"/>
        <v>-2581.9689237381408</v>
      </c>
      <c r="F62" s="546">
        <f t="shared" si="67"/>
        <v>-2943.3704279668355</v>
      </c>
      <c r="G62" s="547">
        <f t="shared" si="67"/>
        <v>4067.3324600000001</v>
      </c>
      <c r="H62" s="547">
        <f t="shared" si="67"/>
        <v>3507.6758140000002</v>
      </c>
      <c r="I62" s="547">
        <f t="shared" si="67"/>
        <v>3578.3467000000005</v>
      </c>
      <c r="J62" s="547">
        <f t="shared" si="67"/>
        <v>5496.9161813174114</v>
      </c>
      <c r="K62" s="547">
        <f t="shared" si="67"/>
        <v>5449.7873845576432</v>
      </c>
      <c r="L62" s="547">
        <f t="shared" si="67"/>
        <v>6069.9968224029781</v>
      </c>
      <c r="M62" s="547">
        <f t="shared" si="67"/>
        <v>6567.5862526889323</v>
      </c>
      <c r="N62" s="547">
        <f t="shared" si="67"/>
        <v>5111.0246654665034</v>
      </c>
      <c r="O62" s="547">
        <f>O66+O70+O71+O72+O74+O75</f>
        <v>4327.682761758796</v>
      </c>
      <c r="P62" s="547">
        <f t="shared" si="67"/>
        <v>6325.9055503767258</v>
      </c>
      <c r="Q62" s="547">
        <f t="shared" si="67"/>
        <v>6956.2862763149287</v>
      </c>
      <c r="R62" s="547">
        <f t="shared" ca="1" si="67"/>
        <v>7081.5520054327881</v>
      </c>
      <c r="S62" s="547">
        <f t="shared" ca="1" si="67"/>
        <v>7895.5467539527053</v>
      </c>
      <c r="T62" s="547">
        <f ca="1">T66+T70+T71+T72+T74+T75</f>
        <v>7919.9557200526906</v>
      </c>
      <c r="U62" s="547">
        <f t="shared" ca="1" si="67"/>
        <v>8688.2110981249825</v>
      </c>
      <c r="V62" s="547">
        <f ca="1">V66+V70+V71+V72+V74+V75</f>
        <v>9252.210393204994</v>
      </c>
      <c r="W62" s="547">
        <f t="shared" ca="1" si="67"/>
        <v>9767.6492643771162</v>
      </c>
      <c r="X62" s="547">
        <f t="shared" ca="1" si="67"/>
        <v>10337.319478382349</v>
      </c>
      <c r="Y62" s="547">
        <f t="shared" ca="1" si="67"/>
        <v>11057.565270887188</v>
      </c>
      <c r="Z62" s="547">
        <f t="shared" ca="1" si="67"/>
        <v>11928.190823411514</v>
      </c>
      <c r="AA62" s="547">
        <f t="shared" ca="1" si="67"/>
        <v>12658.745470614542</v>
      </c>
      <c r="AB62" s="547">
        <f t="shared" ca="1" si="67"/>
        <v>13522.989899969059</v>
      </c>
      <c r="AC62" s="547">
        <f t="shared" ca="1" si="67"/>
        <v>14421.831774960927</v>
      </c>
      <c r="AD62" s="547">
        <f t="shared" ca="1" si="67"/>
        <v>15397.422431112123</v>
      </c>
      <c r="AE62" s="547">
        <f t="shared" ca="1" si="67"/>
        <v>16067.276085527994</v>
      </c>
      <c r="AF62" s="547">
        <f t="shared" ca="1" si="67"/>
        <v>16996.484211089282</v>
      </c>
      <c r="AG62" s="547">
        <f t="shared" ca="1" si="67"/>
        <v>17977.144338609247</v>
      </c>
      <c r="AH62" s="547">
        <f t="shared" ca="1" si="67"/>
        <v>18748.513917321889</v>
      </c>
      <c r="AI62" s="547">
        <f t="shared" ca="1" si="67"/>
        <v>19506.964557629111</v>
      </c>
      <c r="AJ62" s="547"/>
      <c r="AK62" s="549"/>
      <c r="AL62" s="549"/>
      <c r="AM62" s="434"/>
      <c r="AN62" s="434"/>
      <c r="AO62" s="434"/>
      <c r="AP62" s="434"/>
    </row>
    <row r="63" spans="1:42" s="392" customFormat="1">
      <c r="A63" s="423" t="s">
        <v>525</v>
      </c>
      <c r="B63" s="422"/>
      <c r="C63" s="422">
        <f t="shared" ref="C63:L63" si="68">C62/B62*100</f>
        <v>119.62067851663785</v>
      </c>
      <c r="D63" s="422">
        <f t="shared" si="68"/>
        <v>111.61133938762437</v>
      </c>
      <c r="E63" s="422">
        <f t="shared" si="68"/>
        <v>123.72803279340145</v>
      </c>
      <c r="F63" s="422">
        <f t="shared" si="68"/>
        <v>113.99712835061788</v>
      </c>
      <c r="G63" s="491">
        <f t="shared" si="68"/>
        <v>-138.18622424665568</v>
      </c>
      <c r="H63" s="491">
        <f t="shared" si="68"/>
        <v>86.240204077145933</v>
      </c>
      <c r="I63" s="491">
        <f t="shared" si="68"/>
        <v>102.01474964470592</v>
      </c>
      <c r="J63" s="397">
        <f t="shared" si="68"/>
        <v>153.61608704146556</v>
      </c>
      <c r="K63" s="397">
        <f t="shared" si="68"/>
        <v>99.142632064866717</v>
      </c>
      <c r="L63" s="397">
        <f t="shared" si="68"/>
        <v>111.38043365880183</v>
      </c>
      <c r="M63" s="397">
        <f>M62/L61*100</f>
        <v>174.75123556320835</v>
      </c>
      <c r="N63" s="397">
        <f>N62/L62*100</f>
        <v>84.201438897016772</v>
      </c>
      <c r="O63" s="397">
        <f>O62/N62*100</f>
        <v>84.673486140646347</v>
      </c>
      <c r="P63" s="397">
        <f>P62/O62*100</f>
        <v>146.17304221730524</v>
      </c>
      <c r="Q63" s="397">
        <f>Q62/N62*100</f>
        <v>136.10355518955416</v>
      </c>
      <c r="R63" s="397">
        <f ca="1">R62/P62*100</f>
        <v>111.94526932212987</v>
      </c>
      <c r="S63" s="397">
        <f ca="1">S62/Q62*100</f>
        <v>113.50232638981251</v>
      </c>
      <c r="T63" s="397">
        <f ca="1">T62/R62*100</f>
        <v>111.83926509297257</v>
      </c>
      <c r="U63" s="397">
        <f t="shared" ref="U63:AI63" ca="1" si="69">U62/S62*100</f>
        <v>110.03938509737088</v>
      </c>
      <c r="V63" s="397">
        <f t="shared" ca="1" si="69"/>
        <v>116.82149143560414</v>
      </c>
      <c r="W63" s="397">
        <f t="shared" ca="1" si="69"/>
        <v>112.42417056930269</v>
      </c>
      <c r="X63" s="397">
        <f t="shared" ca="1" si="69"/>
        <v>111.72810646388112</v>
      </c>
      <c r="Y63" s="397">
        <f t="shared" ca="1" si="69"/>
        <v>113.20600250476265</v>
      </c>
      <c r="Z63" s="397">
        <f t="shared" ca="1" si="69"/>
        <v>115.38959251821552</v>
      </c>
      <c r="AA63" s="397">
        <f t="shared" ca="1" si="69"/>
        <v>114.48040468676236</v>
      </c>
      <c r="AB63" s="397">
        <f t="shared" ca="1" si="69"/>
        <v>113.36999969372911</v>
      </c>
      <c r="AC63" s="397">
        <f t="shared" ca="1" si="69"/>
        <v>113.92781226575049</v>
      </c>
      <c r="AD63" s="397">
        <f t="shared" ca="1" si="69"/>
        <v>113.86108061167266</v>
      </c>
      <c r="AE63" s="397">
        <f t="shared" ca="1" si="69"/>
        <v>111.40939886307559</v>
      </c>
      <c r="AF63" s="397">
        <f t="shared" ca="1" si="69"/>
        <v>110.38525627994777</v>
      </c>
      <c r="AG63" s="397">
        <f t="shared" ca="1" si="69"/>
        <v>111.88669593349117</v>
      </c>
      <c r="AH63" s="397">
        <f t="shared" ca="1" si="69"/>
        <v>110.30818894350811</v>
      </c>
      <c r="AI63" s="397">
        <f t="shared" ca="1" si="69"/>
        <v>108.50980662003305</v>
      </c>
      <c r="AJ63" s="397"/>
      <c r="AK63" s="319"/>
      <c r="AL63" s="319"/>
      <c r="AM63" s="434"/>
      <c r="AN63" s="434"/>
      <c r="AO63" s="434"/>
      <c r="AP63" s="434"/>
    </row>
    <row r="64" spans="1:42" s="429" customFormat="1" ht="14.25" hidden="1" customHeight="1">
      <c r="A64" s="432"/>
      <c r="B64" s="431"/>
      <c r="C64" s="431"/>
      <c r="D64" s="431"/>
      <c r="E64" s="431"/>
      <c r="F64" s="431"/>
      <c r="G64" s="418">
        <f>SUM(G66:G75)+G77</f>
        <v>2891.9657590000002</v>
      </c>
      <c r="H64" s="418">
        <f>SUM(H66:H75)+H77</f>
        <v>2409.5270129999999</v>
      </c>
      <c r="I64" s="418">
        <f>SUM(I66:I75)+I77</f>
        <v>4070.7827000000007</v>
      </c>
      <c r="J64" s="418">
        <f t="shared" ref="J64:R64" si="70">SUM(J66:J75)+J77</f>
        <v>4950.7351813174118</v>
      </c>
      <c r="K64" s="418">
        <f t="shared" si="70"/>
        <v>3865.6663845576431</v>
      </c>
      <c r="L64" s="418">
        <f t="shared" si="70"/>
        <v>3758.248822402978</v>
      </c>
      <c r="M64" s="418">
        <f t="shared" si="70"/>
        <v>4259.9051696889328</v>
      </c>
      <c r="N64" s="418">
        <f t="shared" si="70"/>
        <v>3747.5786654665035</v>
      </c>
      <c r="O64" s="418">
        <f t="shared" ca="1" si="70"/>
        <v>5037.2548960960121</v>
      </c>
      <c r="P64" s="418">
        <f t="shared" ca="1" si="70"/>
        <v>5138.4761725868093</v>
      </c>
      <c r="Q64" s="418">
        <f t="shared" ca="1" si="70"/>
        <v>5390.1580174336777</v>
      </c>
      <c r="R64" s="418">
        <f t="shared" ca="1" si="70"/>
        <v>5598.0200948719503</v>
      </c>
      <c r="S64" s="418">
        <f ca="1">SUM(S66:S75)-S77-S69</f>
        <v>10378.572338975297</v>
      </c>
      <c r="T64" s="418">
        <f ca="1">SUM(T66:T75)-T77-T69</f>
        <v>10620.525826079516</v>
      </c>
      <c r="U64" s="418">
        <f t="shared" ref="U64:AI64" ca="1" si="71">SUM(U66:U75)-U77-U69</f>
        <v>11217.297385229122</v>
      </c>
      <c r="V64" s="418">
        <f t="shared" ca="1" si="71"/>
        <v>12058.075718663073</v>
      </c>
      <c r="W64" s="418">
        <f t="shared" ca="1" si="71"/>
        <v>12829.889107511141</v>
      </c>
      <c r="X64" s="418">
        <f t="shared" ca="1" si="71"/>
        <v>13696.759102042633</v>
      </c>
      <c r="Y64" s="418">
        <f t="shared" ca="1" si="71"/>
        <v>14751.224848937618</v>
      </c>
      <c r="Z64" s="418">
        <f t="shared" ca="1" si="71"/>
        <v>16040.302692325025</v>
      </c>
      <c r="AA64" s="418">
        <f t="shared" ca="1" si="71"/>
        <v>17061.263274185247</v>
      </c>
      <c r="AB64" s="418">
        <f t="shared" ca="1" si="71"/>
        <v>18291.969892109231</v>
      </c>
      <c r="AC64" s="418">
        <f t="shared" ca="1" si="71"/>
        <v>19450.459106190996</v>
      </c>
      <c r="AD64" s="418">
        <f t="shared" ca="1" si="71"/>
        <v>20837.712983201302</v>
      </c>
      <c r="AE64" s="418">
        <f t="shared" ca="1" si="71"/>
        <v>21169.515810256675</v>
      </c>
      <c r="AF64" s="418">
        <f t="shared" ca="1" si="71"/>
        <v>22411.732616874804</v>
      </c>
      <c r="AG64" s="418">
        <f t="shared" ca="1" si="71"/>
        <v>23763.871166861754</v>
      </c>
      <c r="AH64" s="418">
        <f t="shared" ca="1" si="71"/>
        <v>24713.703048184852</v>
      </c>
      <c r="AI64" s="418">
        <f t="shared" ca="1" si="71"/>
        <v>25678.555379444715</v>
      </c>
      <c r="AJ64" s="418"/>
      <c r="AK64" s="430"/>
      <c r="AL64" s="430"/>
      <c r="AM64" s="542"/>
      <c r="AN64" s="542"/>
      <c r="AO64" s="542"/>
      <c r="AP64" s="542"/>
    </row>
    <row r="65" spans="1:42" s="392" customFormat="1">
      <c r="A65" s="428"/>
      <c r="B65" s="356"/>
      <c r="C65" s="356">
        <f t="shared" ref="C65:J65" si="72">C66/B66*100</f>
        <v>149.51646284101599</v>
      </c>
      <c r="D65" s="356">
        <f t="shared" si="72"/>
        <v>135.64398751698798</v>
      </c>
      <c r="E65" s="356">
        <f t="shared" si="72"/>
        <v>126.34031471489338</v>
      </c>
      <c r="F65" s="356">
        <f t="shared" si="72"/>
        <v>114.6491998838536</v>
      </c>
      <c r="G65" s="397">
        <f t="shared" si="72"/>
        <v>1789.2621616629815</v>
      </c>
      <c r="H65" s="397">
        <f t="shared" si="72"/>
        <v>3.9360702272417166E-3</v>
      </c>
      <c r="I65" s="397">
        <f t="shared" si="72"/>
        <v>2308868.5182153839</v>
      </c>
      <c r="J65" s="397">
        <f t="shared" si="72"/>
        <v>194.85741339284516</v>
      </c>
      <c r="K65" s="397">
        <v>87.462519421502193</v>
      </c>
      <c r="L65" s="397">
        <f>L66/K66*100</f>
        <v>131.92796199280562</v>
      </c>
      <c r="M65" s="397">
        <f>M66/L65*100</f>
        <v>2128.3408601075189</v>
      </c>
      <c r="N65" s="397">
        <f>N66/L66*100</f>
        <v>15.337036347048175</v>
      </c>
      <c r="O65" s="397">
        <f>O66/N66*100</f>
        <v>342.38520033710176</v>
      </c>
      <c r="P65" s="397">
        <f>P66/O66*100</f>
        <v>124.91098655555419</v>
      </c>
      <c r="Q65" s="397">
        <f>Q66/N66*100</f>
        <v>533.09432981211535</v>
      </c>
      <c r="R65" s="397">
        <f>R66/P66*100</f>
        <v>121.17043645348065</v>
      </c>
      <c r="S65" s="397">
        <f>S66/Q66*100</f>
        <v>102.60672198949567</v>
      </c>
      <c r="T65" s="397">
        <f>T66/R66*100</f>
        <v>91.426141093389262</v>
      </c>
      <c r="U65" s="397">
        <f t="shared" ref="U65:AI65" si="73">U66/S66*100</f>
        <v>125.18702760815844</v>
      </c>
      <c r="V65" s="397">
        <f t="shared" si="73"/>
        <v>162.11251899498183</v>
      </c>
      <c r="W65" s="397">
        <f t="shared" si="73"/>
        <v>122.44131131731311</v>
      </c>
      <c r="X65" s="397">
        <f t="shared" si="73"/>
        <v>119.85515723618431</v>
      </c>
      <c r="Y65" s="397">
        <f t="shared" si="73"/>
        <v>120.71550911890758</v>
      </c>
      <c r="Z65" s="397">
        <f t="shared" si="73"/>
        <v>122.57343133919582</v>
      </c>
      <c r="AA65" s="397">
        <f t="shared" si="73"/>
        <v>118.4834752177205</v>
      </c>
      <c r="AB65" s="397">
        <f t="shared" si="73"/>
        <v>114.62751750002494</v>
      </c>
      <c r="AC65" s="397">
        <f t="shared" si="73"/>
        <v>112.69289620765231</v>
      </c>
      <c r="AD65" s="397">
        <f t="shared" si="73"/>
        <v>112.68742764604912</v>
      </c>
      <c r="AE65" s="397">
        <f t="shared" si="73"/>
        <v>109.44403342710618</v>
      </c>
      <c r="AF65" s="397">
        <f t="shared" si="73"/>
        <v>107.49889693931773</v>
      </c>
      <c r="AG65" s="397">
        <f t="shared" si="73"/>
        <v>113.07051266731807</v>
      </c>
      <c r="AH65" s="397">
        <f t="shared" si="73"/>
        <v>109.57180837990373</v>
      </c>
      <c r="AI65" s="397">
        <f t="shared" si="73"/>
        <v>105.8414841042773</v>
      </c>
      <c r="AJ65" s="397"/>
      <c r="AK65" s="319"/>
      <c r="AL65" s="319"/>
      <c r="AM65" s="549" t="e">
        <f>#REF!/#REF!*100</f>
        <v>#REF!</v>
      </c>
      <c r="AN65" s="549" t="e">
        <f>#REF!/#REF!*100</f>
        <v>#REF!</v>
      </c>
      <c r="AO65" s="549" t="e">
        <f>#REF!/#REF!*100</f>
        <v>#REF!</v>
      </c>
      <c r="AP65" s="549" t="e">
        <f>#REF!/#REF!*100</f>
        <v>#REF!</v>
      </c>
    </row>
    <row r="66" spans="1:42" s="392" customFormat="1">
      <c r="A66" s="427" t="s">
        <v>527</v>
      </c>
      <c r="B66" s="329">
        <f>[10]принт!B63/1000</f>
        <v>26.574999999999999</v>
      </c>
      <c r="C66" s="329">
        <f>[10]принт!D63/1000</f>
        <v>39.734000000000002</v>
      </c>
      <c r="D66" s="329">
        <f>[10]принт!F63/1000</f>
        <v>53.896782000000002</v>
      </c>
      <c r="E66" s="329">
        <f>[10]принт!H63/1000</f>
        <v>68.093364000000008</v>
      </c>
      <c r="F66" s="329">
        <f>[10]принт!J63/1000</f>
        <v>78.068497000000022</v>
      </c>
      <c r="G66" s="325">
        <f ca="1">номинал!L61/1000</f>
        <v>1396.8500770000001</v>
      </c>
      <c r="H66" s="325">
        <f ca="1">номинал!M61/1000</f>
        <v>5.4981000000000002E-2</v>
      </c>
      <c r="I66" s="325">
        <f ca="1">номинал!N61/1000</f>
        <v>1269.4390000000001</v>
      </c>
      <c r="J66" s="325">
        <f ca="1">номинал!O61/1000</f>
        <v>2473.596</v>
      </c>
      <c r="K66" s="325">
        <f ca="1">номинал!P61/1000</f>
        <v>1870.067</v>
      </c>
      <c r="L66" s="325">
        <f ca="1">номинал!Q61/1000</f>
        <v>2467.1412810000002</v>
      </c>
      <c r="M66" s="325">
        <f ca="1">номинал!R61/1000</f>
        <v>2807.8767210000001</v>
      </c>
      <c r="N66" s="325">
        <f ca="1">номинал!S61/1000</f>
        <v>378.38635499999998</v>
      </c>
      <c r="O66" s="454">
        <f ca="1">сбережения!L4</f>
        <v>1295.5388796150069</v>
      </c>
      <c r="P66" s="454">
        <f ca="1">сбережения!M4</f>
        <v>1618.2703957378787</v>
      </c>
      <c r="Q66" s="454">
        <f ca="1">сбережения!N4</f>
        <v>2017.1562032877416</v>
      </c>
      <c r="R66" s="750">
        <f ca="1">сбережения!O4</f>
        <v>1960.8653015130562</v>
      </c>
      <c r="S66" s="454">
        <f ca="1">сбережения!P4</f>
        <v>2069.7378576013193</v>
      </c>
      <c r="T66" s="454">
        <f ca="1">сбережения!Q4</f>
        <v>1792.7434772126396</v>
      </c>
      <c r="U66" s="454">
        <f ca="1">сбережения!R4</f>
        <v>2591.0433032118708</v>
      </c>
      <c r="V66" s="454">
        <f ca="1">сбережения!S4</f>
        <v>2906.2616100276382</v>
      </c>
      <c r="W66" s="454">
        <f ca="1">сбережения!T4</f>
        <v>3172.5073972520395</v>
      </c>
      <c r="X66" s="454">
        <f ca="1">сбережения!U4</f>
        <v>3483.3044223934876</v>
      </c>
      <c r="Y66" s="454">
        <f ca="1">сбережения!V4</f>
        <v>3829.7084564278034</v>
      </c>
      <c r="Z66" s="454">
        <f ca="1">сбережения!W4</f>
        <v>4269.6057545176536</v>
      </c>
      <c r="AA66" s="454">
        <f ca="1">сбережения!X4</f>
        <v>4537.5716698825827</v>
      </c>
      <c r="AB66" s="454">
        <f ca="1">сбережения!Y4</f>
        <v>4894.1430834417952</v>
      </c>
      <c r="AC66" s="454">
        <f ca="1">сбережения!Z4</f>
        <v>5113.5209322886149</v>
      </c>
      <c r="AD66" s="454">
        <f ca="1">сбережения!AA4</f>
        <v>5515.08394604759</v>
      </c>
      <c r="AE66" s="454">
        <f ca="1">сбережения!AB4</f>
        <v>5596.4435584360235</v>
      </c>
      <c r="AF66" s="454">
        <f ca="1">сбережения!AC4</f>
        <v>5928.6544072785564</v>
      </c>
      <c r="AG66" s="454">
        <f ca="1">сбережения!AD4</f>
        <v>6327.9274226607104</v>
      </c>
      <c r="AH66" s="454">
        <f ca="1">сбережения!AE4</f>
        <v>6496.1338466499765</v>
      </c>
      <c r="AI66" s="454">
        <f ca="1">сбережения!AF4</f>
        <v>6697.5722971856403</v>
      </c>
      <c r="AJ66" s="454"/>
      <c r="AK66" s="319">
        <f>O66+O77</f>
        <v>1924.3277656626021</v>
      </c>
      <c r="AL66" s="319">
        <f>P66+P77</f>
        <v>612.87700525597973</v>
      </c>
      <c r="AM66" s="319"/>
      <c r="AN66" s="319"/>
      <c r="AO66" s="319"/>
      <c r="AP66" s="319"/>
    </row>
    <row r="67" spans="1:42" s="392" customFormat="1" hidden="1">
      <c r="A67" s="389"/>
      <c r="B67" s="329"/>
      <c r="C67" s="329"/>
      <c r="D67" s="329"/>
      <c r="E67" s="329"/>
      <c r="F67" s="329"/>
      <c r="G67" s="325"/>
      <c r="H67" s="325"/>
      <c r="I67" s="325"/>
      <c r="J67" s="325"/>
      <c r="K67" s="325"/>
      <c r="L67" s="325"/>
      <c r="M67" s="325"/>
      <c r="N67" s="454"/>
      <c r="O67" s="553">
        <f ca="1">O56-O61</f>
        <v>80.783248289621042</v>
      </c>
      <c r="P67" s="454">
        <f ca="1">P56-P61</f>
        <v>-182.03598730801878</v>
      </c>
      <c r="Q67" s="454">
        <f ca="1">Q56-Q61</f>
        <v>-194.84045840327963</v>
      </c>
      <c r="R67" s="454">
        <f ca="1">R56-R61</f>
        <v>150.18821587550883</v>
      </c>
      <c r="S67" s="454"/>
      <c r="T67" s="454"/>
      <c r="U67" s="454"/>
      <c r="V67" s="454"/>
      <c r="W67" s="454"/>
      <c r="X67" s="454"/>
      <c r="Y67" s="454"/>
      <c r="Z67" s="454"/>
      <c r="AA67" s="454"/>
      <c r="AB67" s="454"/>
      <c r="AC67" s="454"/>
      <c r="AD67" s="454"/>
      <c r="AE67" s="454"/>
      <c r="AF67" s="454"/>
      <c r="AG67" s="454"/>
      <c r="AH67" s="454"/>
      <c r="AI67" s="454"/>
      <c r="AJ67" s="454"/>
      <c r="AK67" s="319"/>
      <c r="AL67" s="319"/>
      <c r="AM67" s="430"/>
      <c r="AN67" s="430"/>
      <c r="AO67" s="430"/>
      <c r="AP67" s="430"/>
    </row>
    <row r="68" spans="1:42" s="392" customFormat="1" hidden="1">
      <c r="A68" s="389"/>
      <c r="B68" s="329"/>
      <c r="C68" s="329"/>
      <c r="D68" s="329"/>
      <c r="E68" s="329"/>
      <c r="F68" s="329"/>
      <c r="G68" s="325"/>
      <c r="H68" s="325"/>
      <c r="I68" s="325"/>
      <c r="J68" s="325"/>
      <c r="K68" s="325"/>
      <c r="L68" s="325"/>
      <c r="M68" s="325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454"/>
      <c r="AG68" s="454"/>
      <c r="AH68" s="454"/>
      <c r="AI68" s="454"/>
      <c r="AJ68" s="454"/>
      <c r="AK68" s="319"/>
      <c r="AL68" s="319"/>
      <c r="AM68" s="319"/>
      <c r="AN68" s="319"/>
      <c r="AO68" s="319"/>
      <c r="AP68" s="319"/>
    </row>
    <row r="69" spans="1:42" s="417" customFormat="1" ht="7.5" hidden="1" customHeight="1">
      <c r="A69" s="389"/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454"/>
      <c r="O69" s="325"/>
      <c r="P69" s="325"/>
      <c r="Q69" s="454"/>
      <c r="R69" s="325"/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5"/>
      <c r="AK69" s="288"/>
      <c r="AL69" s="288"/>
      <c r="AM69" s="319">
        <f>Q66+Q77</f>
        <v>645.86840280977026</v>
      </c>
      <c r="AN69" s="319" t="e">
        <f>#REF!/#REF!*100</f>
        <v>#REF!</v>
      </c>
      <c r="AO69" s="319" t="e">
        <f>#REF!/#REF!*100</f>
        <v>#REF!</v>
      </c>
      <c r="AP69" s="319" t="e">
        <f>#REF!/#REF!*100</f>
        <v>#REF!</v>
      </c>
    </row>
    <row r="70" spans="1:42" s="392" customFormat="1">
      <c r="A70" s="427" t="s">
        <v>360</v>
      </c>
      <c r="B70" s="329">
        <f>([10]принт!B69-[10]принт!B21)/1000</f>
        <v>-1040.5</v>
      </c>
      <c r="C70" s="329">
        <f>([10]принт!D69-[10]принт!D21)/1000</f>
        <v>-1253.402</v>
      </c>
      <c r="D70" s="329">
        <f>([10]принт!F69-[10]принт!F21)/1000</f>
        <v>-1407.2419922505378</v>
      </c>
      <c r="E70" s="329">
        <f>([10]принт!H69-[10]принт!H21)/1000</f>
        <v>-1755.4565556059833</v>
      </c>
      <c r="F70" s="329">
        <f>([10]принт!J69-[10]принт!J21)/1000</f>
        <v>-2080.1903290663636</v>
      </c>
      <c r="G70" s="325">
        <f ca="1">номинал!L67/1000-номинал!L24/1000</f>
        <v>282.90469599999994</v>
      </c>
      <c r="H70" s="325">
        <f ca="1">номинал!M67/1000-номинал!M25/1000</f>
        <v>628.71738100000005</v>
      </c>
      <c r="I70" s="325">
        <f ca="1">номинал!N67/1000-номинал!N25/1000</f>
        <v>152.35970000000009</v>
      </c>
      <c r="J70" s="325">
        <f ca="1">номинал!O67/1000-номинал!O25/1000</f>
        <v>259.39118131741122</v>
      </c>
      <c r="K70" s="325">
        <f ca="1">номинал!P67/1000-номинал!P25/1000</f>
        <v>422.6783845576432</v>
      </c>
      <c r="L70" s="325">
        <f ca="1">номинал!Q67/1000-номинал!Q25/1000</f>
        <v>557.56171240297908</v>
      </c>
      <c r="M70" s="325">
        <f ca="1">номинал!R67/1000-номинал!R25/1000</f>
        <v>542.93123168893248</v>
      </c>
      <c r="N70" s="325">
        <f ca="1">номинал!S67/1000-номинал!S25/1000</f>
        <v>903.90662846650389</v>
      </c>
      <c r="O70" s="454">
        <f ca="1">сбережения!L16</f>
        <v>621.01076919226193</v>
      </c>
      <c r="P70" s="454">
        <f ca="1">сбережения!M16</f>
        <v>1237.9293611805688</v>
      </c>
      <c r="Q70" s="454">
        <f ca="1">сбережения!N16</f>
        <v>1271.5329563011992</v>
      </c>
      <c r="R70" s="454">
        <f ca="1">сбережения!O16</f>
        <v>1369.9791522694629</v>
      </c>
      <c r="S70" s="454">
        <f ca="1">сбережения!P16</f>
        <v>1598.9674234168519</v>
      </c>
      <c r="T70" s="454">
        <f ca="1">сбережения!Q16</f>
        <v>1692.838875440211</v>
      </c>
      <c r="U70" s="454">
        <f ca="1">сбережения!R16</f>
        <v>1770.3775323069019</v>
      </c>
      <c r="V70" s="454">
        <f ca="1">сбережения!S16</f>
        <v>1846.2422500770197</v>
      </c>
      <c r="W70" s="454">
        <f ca="1">сбережения!T16</f>
        <v>1924.6924654683855</v>
      </c>
      <c r="X70" s="454">
        <f ca="1">сбережения!U16</f>
        <v>2008.3114848440327</v>
      </c>
      <c r="Y70" s="454">
        <f ca="1">сбережения!V16</f>
        <v>2100.525336266292</v>
      </c>
      <c r="Z70" s="454">
        <f ca="1">сбережения!W16</f>
        <v>2206.5729907301447</v>
      </c>
      <c r="AA70" s="454">
        <f ca="1">сбережения!X16</f>
        <v>2312.8058340934926</v>
      </c>
      <c r="AB70" s="454">
        <f ca="1">сбережения!Y16</f>
        <v>2426.5831918880986</v>
      </c>
      <c r="AC70" s="454">
        <f ca="1">сбережения!Z16</f>
        <v>2549.305897096127</v>
      </c>
      <c r="AD70" s="454">
        <f ca="1">сбережения!AA16</f>
        <v>2676.5139593628696</v>
      </c>
      <c r="AE70" s="454">
        <f ca="1">сбережения!AB16</f>
        <v>2801.1735120603698</v>
      </c>
      <c r="AF70" s="454">
        <f ca="1">сбережения!AC16</f>
        <v>2942.9790623272611</v>
      </c>
      <c r="AG70" s="454">
        <f ca="1">сбережения!AD16</f>
        <v>3090.4120268807565</v>
      </c>
      <c r="AH70" s="454">
        <f ca="1">сбережения!AE16</f>
        <v>3245.4631221014852</v>
      </c>
      <c r="AI70" s="454">
        <f ca="1">сбережения!AF16</f>
        <v>3391.9735492221585</v>
      </c>
      <c r="AJ70" s="454"/>
      <c r="AK70" s="319"/>
      <c r="AL70" s="319"/>
      <c r="AM70" s="319"/>
      <c r="AN70" s="319"/>
      <c r="AO70" s="319"/>
      <c r="AP70" s="319"/>
    </row>
    <row r="71" spans="1:42" s="392" customFormat="1">
      <c r="A71" s="427" t="s">
        <v>361</v>
      </c>
      <c r="B71" s="329">
        <f>([10]принт!B71-[10]принт!B22)/1000</f>
        <v>-573.04062699999997</v>
      </c>
      <c r="C71" s="329">
        <f>([10]принт!D71-[10]принт!D22)/1000</f>
        <v>-696.03</v>
      </c>
      <c r="D71" s="329">
        <f>([10]принт!F71-[10]принт!F22)/1000</f>
        <v>-803.64034200000015</v>
      </c>
      <c r="E71" s="329">
        <f>([10]принт!H71-[10]принт!H22)/1000</f>
        <v>-1037.0178429999999</v>
      </c>
      <c r="F71" s="329">
        <f>([10]принт!J71-[10]принт!J22)/1000</f>
        <v>-1191.3781999999999</v>
      </c>
      <c r="G71" s="325">
        <f ca="1">номинал!L68/1000-номинал!L28/1000</f>
        <v>113.12960900000007</v>
      </c>
      <c r="H71" s="325">
        <f ca="1">номинал!M68/1000-номинал!M28/1000</f>
        <v>1289.7309529999998</v>
      </c>
      <c r="I71" s="325">
        <f ca="1">номинал!N68/1000-номинал!N28/1000</f>
        <v>504.8090000000002</v>
      </c>
      <c r="J71" s="325">
        <f ca="1">номинал!O68/1000-номинал!O28/1000</f>
        <v>195.36400000000003</v>
      </c>
      <c r="K71" s="325">
        <f ca="1">номинал!P68/1000-номинал!P28/1000</f>
        <v>549.548</v>
      </c>
      <c r="L71" s="325">
        <f ca="1">номинал!Q68/1000-номинал!Q28/1000</f>
        <v>919.60139799999979</v>
      </c>
      <c r="M71" s="325">
        <f ca="1">номинал!R68/1000-номинал!R28/1000</f>
        <v>782.53478000000018</v>
      </c>
      <c r="N71" s="325">
        <f ca="1">номинал!S68/1000-номинал!S28/1000</f>
        <v>1614.2978090000001</v>
      </c>
      <c r="O71" s="454">
        <f ca="1">сбережения!L17</f>
        <v>345.35687623311151</v>
      </c>
      <c r="P71" s="454">
        <f ca="1">сбережения!M17</f>
        <v>803.1058026287742</v>
      </c>
      <c r="Q71" s="454">
        <f ca="1">сбережения!N17</f>
        <v>953.13380332800625</v>
      </c>
      <c r="R71" s="454">
        <f ca="1">сбережения!O17</f>
        <v>927.84550823777545</v>
      </c>
      <c r="S71" s="454">
        <f ca="1">сбережения!P17</f>
        <v>1068.6796687875535</v>
      </c>
      <c r="T71" s="454">
        <f ca="1">сбережения!Q17</f>
        <v>1180.1231289003426</v>
      </c>
      <c r="U71" s="454">
        <f ca="1">сбережения!R17</f>
        <v>1119.5254556703694</v>
      </c>
      <c r="V71" s="454">
        <f ca="1">сбережения!S17</f>
        <v>1148.7001210888779</v>
      </c>
      <c r="W71" s="454">
        <f ca="1">сбережения!T17</f>
        <v>1241.6379112474242</v>
      </c>
      <c r="X71" s="454">
        <f ca="1">сбережения!U17*0.99</f>
        <v>1295.1370957739866</v>
      </c>
      <c r="Y71" s="454">
        <f ca="1">сбережения!V17</f>
        <v>1383.9215473295365</v>
      </c>
      <c r="Z71" s="454">
        <f ca="1">сбережения!W17</f>
        <v>1501.9421784715</v>
      </c>
      <c r="AA71" s="454">
        <f ca="1">сбережения!X17</f>
        <v>1643.6850647049546</v>
      </c>
      <c r="AB71" s="454">
        <f ca="1">сбережения!Y17*0.95</f>
        <v>1768.1144709135026</v>
      </c>
      <c r="AC71" s="454">
        <f ca="1">сбережения!Z17</f>
        <v>2078.5542776742896</v>
      </c>
      <c r="AD71" s="454">
        <f ca="1">сбережения!AA17</f>
        <v>2272.5672695007806</v>
      </c>
      <c r="AE71" s="454">
        <f ca="1">сбережения!AB17</f>
        <v>2475.2143931350652</v>
      </c>
      <c r="AF71" s="454">
        <f ca="1">сбережения!AC17</f>
        <v>2653.8360842422917</v>
      </c>
      <c r="AG71" s="454">
        <f ca="1">сбережения!AD17</f>
        <v>2801.283600683505</v>
      </c>
      <c r="AH71" s="454">
        <f ca="1">сбережения!AE17</f>
        <v>2955.5607084822414</v>
      </c>
      <c r="AI71" s="454">
        <f ca="1">сбережения!AF17</f>
        <v>3056.1940318524612</v>
      </c>
      <c r="AJ71" s="454"/>
      <c r="AK71" s="454"/>
      <c r="AL71" s="454"/>
      <c r="AM71" s="319"/>
      <c r="AN71" s="319"/>
      <c r="AO71" s="319"/>
      <c r="AP71" s="319"/>
    </row>
    <row r="72" spans="1:42" s="286" customFormat="1">
      <c r="A72" s="427" t="s">
        <v>362</v>
      </c>
      <c r="B72" s="329">
        <f>[10]принт!B73/1000</f>
        <v>23.931999999999999</v>
      </c>
      <c r="C72" s="329">
        <f>[10]принт!D73/1000</f>
        <v>39.79</v>
      </c>
      <c r="D72" s="329">
        <f>[10]принт!F73/1000</f>
        <v>70.079685999999995</v>
      </c>
      <c r="E72" s="329">
        <f>[10]принт!H73/1000</f>
        <v>142.26572300000001</v>
      </c>
      <c r="F72" s="329">
        <f>[10]принт!J73/1000</f>
        <v>249.959</v>
      </c>
      <c r="G72" s="325">
        <f ca="1">номинал!L69/1000</f>
        <v>996.38361800000007</v>
      </c>
      <c r="H72" s="325">
        <f ca="1">номинал!M69/1000</f>
        <v>1247.553269</v>
      </c>
      <c r="I72" s="325">
        <f ca="1">номинал!N69/1000</f>
        <v>1396.5070000000001</v>
      </c>
      <c r="J72" s="325">
        <f ca="1">номинал!O69/1000</f>
        <v>1693.4069999999999</v>
      </c>
      <c r="K72" s="325">
        <f ca="1">номинал!P69/1000</f>
        <v>1884.0360000000001</v>
      </c>
      <c r="L72" s="325">
        <f ca="1">номинал!Q69/1000</f>
        <v>1997.1882309999999</v>
      </c>
      <c r="M72" s="325">
        <f ca="1">номинал!R69/1000</f>
        <v>2027.5000049999999</v>
      </c>
      <c r="N72" s="325">
        <f ca="1">номинал!S69/1000</f>
        <v>2022.284854</v>
      </c>
      <c r="O72" s="454">
        <f ca="1">сбережения!L35*0.9</f>
        <v>1858.9222559232344</v>
      </c>
      <c r="P72" s="454">
        <f ca="1">сбережения!M35</f>
        <v>2338.5314002416562</v>
      </c>
      <c r="Q72" s="454">
        <f ca="1">сбережения!N35</f>
        <v>2426.9092940247506</v>
      </c>
      <c r="R72" s="454">
        <f ca="1">сбережения!O35</f>
        <v>2543.7918559150762</v>
      </c>
      <c r="S72" s="454">
        <f ca="1">сбережения!P35</f>
        <v>2759.0412652429973</v>
      </c>
      <c r="T72" s="454">
        <f ca="1">сбережения!Q35</f>
        <v>2826.2562905746709</v>
      </c>
      <c r="U72" s="454">
        <f ca="1">сбережения!R35</f>
        <v>2978.3996488525213</v>
      </c>
      <c r="V72" s="454">
        <f ca="1">сбережения!S35</f>
        <v>3104.968892163512</v>
      </c>
      <c r="W72" s="454">
        <f ca="1">сбережения!T35</f>
        <v>3170.7477693749202</v>
      </c>
      <c r="X72" s="454">
        <f ca="1">сбережения!U35</f>
        <v>3338.3542135412827</v>
      </c>
      <c r="Y72" s="454">
        <f ca="1">сбережения!V35</f>
        <v>3520.4309731548929</v>
      </c>
      <c r="Z72" s="454">
        <f ca="1">сбережения!W35</f>
        <v>3715.370351287444</v>
      </c>
      <c r="AA72" s="454">
        <f ca="1">сбережения!X35</f>
        <v>3917.7299447834116</v>
      </c>
      <c r="AB72" s="454">
        <f ca="1">сбережения!Y35</f>
        <v>4174.1770283903961</v>
      </c>
      <c r="AC72" s="454">
        <f ca="1">сбережения!Z35</f>
        <v>4406.4975051675428</v>
      </c>
      <c r="AD72" s="454">
        <f ca="1">сбережения!AA35</f>
        <v>4645.1161839281185</v>
      </c>
      <c r="AE72" s="454">
        <f ca="1">сбережения!AB35</f>
        <v>4891.7835840787366</v>
      </c>
      <c r="AF72" s="454">
        <f ca="1">сбережения!AC35</f>
        <v>5152.5560161828744</v>
      </c>
      <c r="AG72" s="454">
        <f ca="1">сбережения!AD35</f>
        <v>5422.5685273744402</v>
      </c>
      <c r="AH72" s="454">
        <f ca="1">сбережения!AE35</f>
        <v>5699.2500967440455</v>
      </c>
      <c r="AI72" s="454">
        <f ca="1">сбережения!AF35</f>
        <v>5991.0244976492077</v>
      </c>
      <c r="AJ72" s="454"/>
      <c r="AK72" s="319"/>
      <c r="AL72" s="319"/>
      <c r="AM72" s="288"/>
      <c r="AN72" s="288"/>
      <c r="AO72" s="288"/>
      <c r="AP72" s="288"/>
    </row>
    <row r="73" spans="1:42" s="287" customFormat="1" ht="6" hidden="1" customHeight="1">
      <c r="A73" s="389"/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454"/>
      <c r="O73" s="325"/>
      <c r="P73" s="325"/>
      <c r="Q73" s="454"/>
      <c r="R73" s="325"/>
      <c r="S73" s="325">
        <f ca="1">S72/Q72*100</f>
        <v>113.68538873850716</v>
      </c>
      <c r="T73" s="325">
        <f ca="1">T72/Q72*100</f>
        <v>116.45496177105363</v>
      </c>
      <c r="U73" s="325">
        <f t="shared" ref="U73:AI73" ca="1" si="74">U72/R72*100</f>
        <v>117.08503751699857</v>
      </c>
      <c r="V73" s="325">
        <f t="shared" ca="1" si="74"/>
        <v>112.53796495465058</v>
      </c>
      <c r="W73" s="325">
        <f t="shared" ca="1" si="74"/>
        <v>112.18896813955266</v>
      </c>
      <c r="X73" s="325">
        <f t="shared" ca="1" si="74"/>
        <v>112.08550252238445</v>
      </c>
      <c r="Y73" s="325">
        <f t="shared" ca="1" si="74"/>
        <v>113.3805553427587</v>
      </c>
      <c r="Z73" s="325">
        <f t="shared" ca="1" si="74"/>
        <v>117.17647134132937</v>
      </c>
      <c r="AA73" s="325">
        <f t="shared" ca="1" si="74"/>
        <v>117.35513052785176</v>
      </c>
      <c r="AB73" s="325">
        <f t="shared" ca="1" si="74"/>
        <v>118.5700574793443</v>
      </c>
      <c r="AC73" s="325">
        <f t="shared" ca="1" si="74"/>
        <v>118.60183746259941</v>
      </c>
      <c r="AD73" s="325">
        <f t="shared" ca="1" si="74"/>
        <v>118.56652320084609</v>
      </c>
      <c r="AE73" s="325">
        <f t="shared" ca="1" si="74"/>
        <v>117.19156975872336</v>
      </c>
      <c r="AF73" s="325">
        <f t="shared" ca="1" si="74"/>
        <v>116.93087333285499</v>
      </c>
      <c r="AG73" s="325">
        <f t="shared" ca="1" si="74"/>
        <v>116.73698380540556</v>
      </c>
      <c r="AH73" s="325">
        <f t="shared" ca="1" si="74"/>
        <v>116.50658698993483</v>
      </c>
      <c r="AI73" s="325">
        <f t="shared" ca="1" si="74"/>
        <v>116.27286493990393</v>
      </c>
      <c r="AJ73" s="325"/>
      <c r="AK73" s="288"/>
      <c r="AL73" s="288"/>
      <c r="AM73" s="319" t="e">
        <f>#REF!/#REF!*100</f>
        <v>#REF!</v>
      </c>
      <c r="AN73" s="319" t="e">
        <f>#REF!/#REF!*100</f>
        <v>#REF!</v>
      </c>
      <c r="AO73" s="319" t="e">
        <f>#REF!/#REF!*100</f>
        <v>#REF!</v>
      </c>
      <c r="AP73" s="319" t="e">
        <f>#REF!/#REF!*100</f>
        <v>#REF!</v>
      </c>
    </row>
    <row r="74" spans="1:42" s="286" customFormat="1">
      <c r="A74" s="427" t="s">
        <v>363</v>
      </c>
      <c r="B74" s="329">
        <f>[10]принт!B77/1000</f>
        <v>0</v>
      </c>
      <c r="C74" s="329">
        <f>[10]принт!D77/1000</f>
        <v>0</v>
      </c>
      <c r="D74" s="329">
        <f>[10]принт!F77/1000</f>
        <v>0</v>
      </c>
      <c r="E74" s="329">
        <f>[10]принт!H77/1000</f>
        <v>0</v>
      </c>
      <c r="F74" s="329">
        <f>[10]принт!J77/1000</f>
        <v>0</v>
      </c>
      <c r="G74" s="325">
        <f ca="1">номинал!L71/1000</f>
        <v>459.07126199999999</v>
      </c>
      <c r="H74" s="325">
        <f ca="1">номинал!M71/1000</f>
        <v>256.48923000000002</v>
      </c>
      <c r="I74" s="325">
        <f ca="1">номинал!N71/1000</f>
        <v>153.70500000000001</v>
      </c>
      <c r="J74" s="325">
        <f ca="1">номинал!O71/1000</f>
        <v>139.81899999999999</v>
      </c>
      <c r="K74" s="325">
        <f ca="1">номинал!P71/1000</f>
        <v>141.887</v>
      </c>
      <c r="L74" s="325">
        <f ca="1">номинал!Q71/1000</f>
        <v>125.42880000000001</v>
      </c>
      <c r="M74" s="325">
        <f ca="1">номинал!R71/1000</f>
        <v>74.957098000000002</v>
      </c>
      <c r="N74" s="325">
        <f ca="1">номинал!S71/1000</f>
        <v>77.420318999999992</v>
      </c>
      <c r="O74" s="454">
        <f ca="1">сбережения!L36</f>
        <v>87.559764732312601</v>
      </c>
      <c r="P74" s="454">
        <f ca="1">сбережения!M36*1.45</f>
        <v>136.48670054268268</v>
      </c>
      <c r="Q74" s="454">
        <f ca="1">сбережения!N36*1.1</f>
        <v>111.19810453610165</v>
      </c>
      <c r="R74" s="454">
        <f ca="1">сбережения!O36*1.1</f>
        <v>120.20418180626687</v>
      </c>
      <c r="S74" s="454">
        <f ca="1">сбережения!P36*1.4</f>
        <v>162.65419126481763</v>
      </c>
      <c r="T74" s="454">
        <f ca="1">сбережения!Q36*1.6</f>
        <v>196.21850566384569</v>
      </c>
      <c r="U74" s="454">
        <f ca="1">сбережения!R36*1.2</f>
        <v>154.15954317395909</v>
      </c>
      <c r="V74" s="454">
        <f ca="1">сбережения!S36*1.25</f>
        <v>158.04321200122428</v>
      </c>
      <c r="W74" s="454">
        <f ca="1">сбережения!T36*1.2</f>
        <v>165.88155996555429</v>
      </c>
      <c r="X74" s="454">
        <f ca="1">сбережения!U36*1</f>
        <v>147.76578038979568</v>
      </c>
      <c r="Y74" s="454">
        <f ca="1">сбережения!V36*1</f>
        <v>155.26275160662954</v>
      </c>
      <c r="Z74" s="454">
        <f ca="1">сбережения!W36*1</f>
        <v>163.42393049379001</v>
      </c>
      <c r="AA74" s="454">
        <f ca="1">сбережения!X36*1</f>
        <v>171.95611657049545</v>
      </c>
      <c r="AB74" s="454">
        <f ca="1">сбережения!Y36*1</f>
        <v>181.02150954223666</v>
      </c>
      <c r="AC74" s="454">
        <f ca="1">сбережения!Z36*1</f>
        <v>190.75666284640482</v>
      </c>
      <c r="AD74" s="454">
        <f ca="1">сбережения!AA36*1</f>
        <v>200.63586354371034</v>
      </c>
      <c r="AE74" s="454">
        <f ca="1">сбережения!AB36*1</f>
        <v>210.74627856637429</v>
      </c>
      <c r="AF74" s="454">
        <f ca="1">сбережения!AC36*1</f>
        <v>221.74632706025108</v>
      </c>
      <c r="AG74" s="454">
        <f ca="1">сбережения!AD36*1</f>
        <v>233.23136795972269</v>
      </c>
      <c r="AH74" s="454">
        <f ca="1">сбережения!AE36*1</f>
        <v>245.17546065776389</v>
      </c>
      <c r="AI74" s="454">
        <f ca="1">сбережения!AF36*1</f>
        <v>257.77454271790526</v>
      </c>
      <c r="AJ74" s="454"/>
      <c r="AK74" s="319"/>
      <c r="AL74" s="319"/>
      <c r="AM74" s="319" t="e">
        <f>#REF!/#REF!*100</f>
        <v>#REF!</v>
      </c>
      <c r="AN74" s="319" t="e">
        <f>#REF!/#REF!*100</f>
        <v>#REF!</v>
      </c>
      <c r="AO74" s="319" t="e">
        <f>#REF!/#REF!*100</f>
        <v>#REF!</v>
      </c>
      <c r="AP74" s="319" t="e">
        <f>#REF!/#REF!*100</f>
        <v>#REF!</v>
      </c>
    </row>
    <row r="75" spans="1:42" s="286" customFormat="1">
      <c r="A75" s="427" t="s">
        <v>364</v>
      </c>
      <c r="B75" s="329">
        <f>[10]принт!B83/1000</f>
        <v>0</v>
      </c>
      <c r="C75" s="329">
        <f>[10]принт!D83/1000</f>
        <v>0.19656993938566497</v>
      </c>
      <c r="D75" s="329">
        <f>[10]принт!F83/1000</f>
        <v>9.5896476380164464E-2</v>
      </c>
      <c r="E75" s="329">
        <f>[10]принт!H83/1000</f>
        <v>0.14638786784241944</v>
      </c>
      <c r="F75" s="329">
        <f>[10]принт!J83/1000</f>
        <v>0.17060409952837749</v>
      </c>
      <c r="G75" s="325">
        <f ca="1">номинал!L74/1000</f>
        <v>818.99319800000001</v>
      </c>
      <c r="H75" s="325">
        <f ca="1">номинал!M74/1000</f>
        <v>85.13</v>
      </c>
      <c r="I75" s="325">
        <f ca="1">номинал!N74/1000</f>
        <v>101.527</v>
      </c>
      <c r="J75" s="325">
        <f ca="1">номинал!O74/1000</f>
        <v>735.33900000000006</v>
      </c>
      <c r="K75" s="325">
        <f ca="1">номинал!P74/1000</f>
        <v>581.57100000000003</v>
      </c>
      <c r="L75" s="325">
        <f ca="1">номинал!Q74/1000</f>
        <v>3.0753999999999797</v>
      </c>
      <c r="M75" s="325">
        <f ca="1">номинал!R74/1000</f>
        <v>331.78641700000003</v>
      </c>
      <c r="N75" s="325">
        <f ca="1">номинал!S74/1000</f>
        <v>114.72870000000002</v>
      </c>
      <c r="O75" s="454">
        <f ca="1">сбережения!L38</f>
        <v>119.29421606286786</v>
      </c>
      <c r="P75" s="454">
        <f ca="1">сбережения!M38*1.4</f>
        <v>191.5818900451662</v>
      </c>
      <c r="Q75" s="454">
        <f ca="1">сбережения!N38*1.2</f>
        <v>176.35591483712918</v>
      </c>
      <c r="R75" s="454">
        <f ca="1">сбережения!O38*1</f>
        <v>158.86600569114921</v>
      </c>
      <c r="S75" s="454">
        <f ca="1">сбережения!P38*1.4</f>
        <v>236.46634763916728</v>
      </c>
      <c r="T75" s="454">
        <f ca="1">сбережения!Q38*1.3</f>
        <v>231.7754422609803</v>
      </c>
      <c r="U75" s="454">
        <f ca="1">сбережения!R38*0.4</f>
        <v>74.70561490936015</v>
      </c>
      <c r="V75" s="454">
        <f ca="1">сбережения!S38*0.45</f>
        <v>87.994307846723032</v>
      </c>
      <c r="W75" s="454">
        <f ca="1">сбережения!T38*0.45</f>
        <v>92.182161068793775</v>
      </c>
      <c r="X75" s="454">
        <f ca="1">сбережения!U38*0.3</f>
        <v>64.446481439763929</v>
      </c>
      <c r="Y75" s="454">
        <f ca="1">сбережения!V38*0.3</f>
        <v>67.716206102034207</v>
      </c>
      <c r="Z75" s="454">
        <f ca="1">сбережения!W38*0.3</f>
        <v>71.275617910983044</v>
      </c>
      <c r="AA75" s="454">
        <f ca="1">сбережения!X38*0.3</f>
        <v>74.996840579604239</v>
      </c>
      <c r="AB75" s="454">
        <f ca="1">сбережения!Y38*0.3</f>
        <v>78.950615793028632</v>
      </c>
      <c r="AC75" s="454">
        <f ca="1">сбережения!Z38*0.3</f>
        <v>83.196499887947652</v>
      </c>
      <c r="AD75" s="454">
        <f ca="1">сбережения!AA38*0.3</f>
        <v>87.505208729054758</v>
      </c>
      <c r="AE75" s="454">
        <f ca="1">сбережения!AB38*0.3</f>
        <v>91.91475925142602</v>
      </c>
      <c r="AF75" s="454">
        <f ca="1">сбережения!AC38*0.3</f>
        <v>96.712313998046426</v>
      </c>
      <c r="AG75" s="454">
        <f ca="1">сбережения!AD38*0.3</f>
        <v>101.72139305011254</v>
      </c>
      <c r="AH75" s="454">
        <f ca="1">сбережения!AE38*0.3</f>
        <v>106.93068268637727</v>
      </c>
      <c r="AI75" s="454">
        <f ca="1">сбережения!AF38*0.3</f>
        <v>112.42563900173697</v>
      </c>
      <c r="AJ75" s="454"/>
      <c r="AK75" s="319"/>
      <c r="AL75" s="319"/>
      <c r="AM75" s="319" t="e">
        <f>#REF!/#REF!*100</f>
        <v>#REF!</v>
      </c>
      <c r="AN75" s="319" t="e">
        <f>#REF!/#REF!*100</f>
        <v>#REF!</v>
      </c>
      <c r="AO75" s="319" t="e">
        <f>#REF!/#REF!*100</f>
        <v>#REF!</v>
      </c>
      <c r="AP75" s="319" t="e">
        <f>#REF!/#REF!*100</f>
        <v>#REF!</v>
      </c>
    </row>
    <row r="76" spans="1:42" s="287" customFormat="1" ht="11.25" customHeight="1">
      <c r="A76" s="433"/>
      <c r="C76" s="287">
        <f>C77/C37</f>
        <v>-7.4881717217805017E-4</v>
      </c>
      <c r="D76" s="287">
        <f>D77/D37</f>
        <v>-6.3895910860030402E-4</v>
      </c>
      <c r="E76" s="287">
        <f>E77/E37</f>
        <v>-3.4666364991593881E-4</v>
      </c>
      <c r="F76" s="287">
        <f>F77/F37</f>
        <v>-2.9419182004261066E-4</v>
      </c>
      <c r="J76" s="426"/>
      <c r="K76" s="426"/>
      <c r="L76" s="426"/>
      <c r="M76" s="426"/>
      <c r="N76" s="540"/>
      <c r="O76" s="426"/>
      <c r="P76" s="426"/>
      <c r="Q76" s="540"/>
      <c r="R76" s="426"/>
      <c r="S76" s="426"/>
      <c r="T76" s="426"/>
      <c r="U76" s="540"/>
      <c r="V76" s="426"/>
      <c r="W76" s="493">
        <v>3.1</v>
      </c>
      <c r="X76" s="493">
        <v>2.9</v>
      </c>
      <c r="Y76" s="493">
        <v>2.72</v>
      </c>
      <c r="Z76" s="493">
        <f ca="1">Y76-0.175</f>
        <v>2.5450000000000004</v>
      </c>
      <c r="AA76" s="493">
        <f t="shared" ref="AA76:AI76" si="75">Z76</f>
        <v>2.5450000000000004</v>
      </c>
      <c r="AB76" s="493">
        <f t="shared" si="75"/>
        <v>2.5450000000000004</v>
      </c>
      <c r="AC76" s="493">
        <f t="shared" si="75"/>
        <v>2.5450000000000004</v>
      </c>
      <c r="AD76" s="493">
        <f t="shared" si="75"/>
        <v>2.5450000000000004</v>
      </c>
      <c r="AE76" s="493">
        <f t="shared" si="75"/>
        <v>2.5450000000000004</v>
      </c>
      <c r="AF76" s="493">
        <f t="shared" si="75"/>
        <v>2.5450000000000004</v>
      </c>
      <c r="AG76" s="493">
        <f t="shared" si="75"/>
        <v>2.5450000000000004</v>
      </c>
      <c r="AH76" s="493">
        <f t="shared" si="75"/>
        <v>2.5450000000000004</v>
      </c>
      <c r="AI76" s="493">
        <f t="shared" si="75"/>
        <v>2.5450000000000004</v>
      </c>
      <c r="AJ76" s="493"/>
      <c r="AK76" s="288"/>
      <c r="AL76" s="288"/>
      <c r="AM76" s="288"/>
      <c r="AN76" s="288"/>
      <c r="AO76" s="288"/>
      <c r="AP76" s="288"/>
    </row>
    <row r="77" spans="1:42" s="286" customFormat="1">
      <c r="A77" s="425" t="s">
        <v>526</v>
      </c>
      <c r="B77" s="424">
        <f>-[10]принт!B75/1000</f>
        <v>-4.1719999999999997</v>
      </c>
      <c r="C77" s="424">
        <f>-[10]принт!D75/1000</f>
        <v>-4.5919999999999996</v>
      </c>
      <c r="D77" s="424">
        <f>-[10]принт!F75/1000</f>
        <v>-4.9012800000000007</v>
      </c>
      <c r="E77" s="424">
        <f>-[10]принт!H75/1000</f>
        <v>-3.3327689999999999</v>
      </c>
      <c r="F77" s="424">
        <f>-[10]принт!J75/1000</f>
        <v>-3.5089999999999999</v>
      </c>
      <c r="G77" s="418">
        <f ca="1">номинал!L70/1000</f>
        <v>-1175.3667009999999</v>
      </c>
      <c r="H77" s="418">
        <f ca="1">номинал!M70/1000</f>
        <v>-1098.148801</v>
      </c>
      <c r="I77" s="418">
        <f ca="1">номинал!N70/1000</f>
        <v>492.43599999999998</v>
      </c>
      <c r="J77" s="418">
        <f ca="1">номинал!O70/1000</f>
        <v>-546.18100000000004</v>
      </c>
      <c r="K77" s="418">
        <f ca="1">номинал!P70/1000</f>
        <v>-1584.1210000000001</v>
      </c>
      <c r="L77" s="418">
        <f ca="1">номинал!Q70/1000</f>
        <v>-2311.748</v>
      </c>
      <c r="M77" s="418">
        <f ca="1">номинал!R70/1000</f>
        <v>-2307.6810829999999</v>
      </c>
      <c r="N77" s="418">
        <f ca="1">номинал!S70/1000</f>
        <v>-1363.4459999999999</v>
      </c>
      <c r="O77" s="418">
        <f ca="1">сбережения!L40</f>
        <v>628.78888604759527</v>
      </c>
      <c r="P77" s="418">
        <f ca="1">сбережения!M40*0.95</f>
        <v>-1005.393390481899</v>
      </c>
      <c r="Q77" s="418">
        <f ca="1">сбережения!N40*0.98</f>
        <v>-1371.2878004779714</v>
      </c>
      <c r="R77" s="418">
        <f ca="1">сбережения!O40</f>
        <v>-1633.7201264363462</v>
      </c>
      <c r="S77" s="418">
        <f ca="1">сбережения!P40</f>
        <v>-2369.3401962840849</v>
      </c>
      <c r="T77" s="418">
        <f ca="1">сбережения!Q40</f>
        <v>-2584.1151442557712</v>
      </c>
      <c r="U77" s="418">
        <f ca="1">сбережения!R40</f>
        <v>-2412.0012495871388</v>
      </c>
      <c r="V77" s="418">
        <f ca="1">сбережения!S40</f>
        <v>-2693.3273605034278</v>
      </c>
      <c r="W77" s="418">
        <f ca="1">сбережения!T40</f>
        <v>-2950.0508749944706</v>
      </c>
      <c r="X77" s="418">
        <f ca="1">сбережения!U40</f>
        <v>-3247.3541211378993</v>
      </c>
      <c r="Y77" s="418">
        <f ca="1">сбережения!V40</f>
        <v>-3580.2790227076712</v>
      </c>
      <c r="Z77" s="418">
        <f ca="1">сбережения!W40</f>
        <v>-3994.9353975721824</v>
      </c>
      <c r="AA77" s="418">
        <f ca="1">сбережения!X40</f>
        <v>-4285.1626730428516</v>
      </c>
      <c r="AB77" s="418">
        <f ca="1">сбережения!Y40</f>
        <v>-4650.4099346608282</v>
      </c>
      <c r="AC77" s="418">
        <f ca="1">сбережения!Z40</f>
        <v>-4910.0254937674672</v>
      </c>
      <c r="AD77" s="418">
        <f ca="1">сбережения!AA40</f>
        <v>-5321.7240288883295</v>
      </c>
      <c r="AE77" s="418">
        <f ca="1">сбережения!AB40</f>
        <v>-4985.048154969958</v>
      </c>
      <c r="AF77" s="418">
        <f ca="1">сбережения!AC40</f>
        <v>-5298.3175324526665</v>
      </c>
      <c r="AG77" s="418">
        <f ca="1">сбережения!AD40</f>
        <v>-5669.9898444470982</v>
      </c>
      <c r="AH77" s="418">
        <f ca="1">сбережения!AE40</f>
        <v>-5848.6825438730293</v>
      </c>
      <c r="AI77" s="418">
        <f ca="1">сбережения!AF40</f>
        <v>-6055.3179568756996</v>
      </c>
      <c r="AJ77" s="418"/>
      <c r="AK77" s="319"/>
      <c r="AL77" s="319"/>
      <c r="AM77" s="319" t="e">
        <f>#REF!/#REF!*100</f>
        <v>#REF!</v>
      </c>
      <c r="AN77" s="319" t="e">
        <f>#REF!/#REF!*100</f>
        <v>#REF!</v>
      </c>
      <c r="AO77" s="319" t="e">
        <f>#REF!/#REF!*100</f>
        <v>#REF!</v>
      </c>
      <c r="AP77" s="319" t="e">
        <f>#REF!/#REF!*100</f>
        <v>#REF!</v>
      </c>
    </row>
    <row r="78" spans="1:42" s="286" customFormat="1">
      <c r="A78" s="423" t="s">
        <v>525</v>
      </c>
      <c r="B78" s="422"/>
      <c r="C78" s="422">
        <f t="shared" ref="C78:M78" si="76">C77/B77*100</f>
        <v>110.06711409395973</v>
      </c>
      <c r="D78" s="422">
        <f t="shared" si="76"/>
        <v>106.73519163763068</v>
      </c>
      <c r="E78" s="422">
        <f t="shared" si="76"/>
        <v>67.997931152678476</v>
      </c>
      <c r="F78" s="422">
        <f t="shared" si="76"/>
        <v>105.28782522881124</v>
      </c>
      <c r="G78" s="491">
        <f t="shared" si="76"/>
        <v>33495.773753206035</v>
      </c>
      <c r="H78" s="491">
        <f t="shared" si="76"/>
        <v>93.430314136490082</v>
      </c>
      <c r="I78" s="491">
        <f t="shared" si="76"/>
        <v>-44.842374690167325</v>
      </c>
      <c r="J78" s="397">
        <f t="shared" si="76"/>
        <v>-110.91410863543689</v>
      </c>
      <c r="K78" s="397">
        <f t="shared" si="76"/>
        <v>290.0359038487241</v>
      </c>
      <c r="L78" s="397">
        <f t="shared" si="76"/>
        <v>145.93253924416126</v>
      </c>
      <c r="M78" s="397">
        <f t="shared" si="76"/>
        <v>99.824076110371891</v>
      </c>
      <c r="N78" s="397">
        <f>N77/L77*100</f>
        <v>58.979006362285155</v>
      </c>
      <c r="O78" s="397">
        <f>O77/N77*100</f>
        <v>-46.117622996994037</v>
      </c>
      <c r="P78" s="397">
        <f>P77/N77*100</f>
        <v>73.739142619648973</v>
      </c>
      <c r="Q78" s="397">
        <f>Q77/P77*100</f>
        <v>136.39315848502784</v>
      </c>
      <c r="R78" s="397">
        <f t="shared" ref="R78:AI78" si="77">R77/Q77*100</f>
        <v>119.13765482832287</v>
      </c>
      <c r="S78" s="397">
        <f t="shared" si="77"/>
        <v>145.0273004503137</v>
      </c>
      <c r="T78" s="397">
        <f t="shared" si="77"/>
        <v>109.06475770379134</v>
      </c>
      <c r="U78" s="397">
        <f t="shared" si="77"/>
        <v>93.339542355485818</v>
      </c>
      <c r="V78" s="397">
        <f t="shared" si="77"/>
        <v>111.66359722924868</v>
      </c>
      <c r="W78" s="397">
        <f t="shared" si="77"/>
        <v>109.53183479497484</v>
      </c>
      <c r="X78" s="397">
        <f t="shared" si="77"/>
        <v>110.07790233936173</v>
      </c>
      <c r="Y78" s="397">
        <f t="shared" si="77"/>
        <v>110.25218960268836</v>
      </c>
      <c r="Z78" s="397">
        <f t="shared" si="77"/>
        <v>111.58167763558599</v>
      </c>
      <c r="AA78" s="397">
        <f t="shared" si="77"/>
        <v>107.26488031939259</v>
      </c>
      <c r="AB78" s="397">
        <f t="shared" si="77"/>
        <v>108.52353316516263</v>
      </c>
      <c r="AC78" s="397">
        <f t="shared" si="77"/>
        <v>105.58263814920166</v>
      </c>
      <c r="AD78" s="397">
        <f t="shared" si="77"/>
        <v>108.3848553463409</v>
      </c>
      <c r="AE78" s="397">
        <f t="shared" si="77"/>
        <v>93.673556312000244</v>
      </c>
      <c r="AF78" s="397">
        <f t="shared" si="77"/>
        <v>106.28417956545491</v>
      </c>
      <c r="AG78" s="397">
        <f t="shared" si="77"/>
        <v>107.0149119926827</v>
      </c>
      <c r="AH78" s="397">
        <f t="shared" si="77"/>
        <v>103.15155237184301</v>
      </c>
      <c r="AI78" s="397">
        <f t="shared" si="77"/>
        <v>103.53302494113204</v>
      </c>
      <c r="AJ78" s="397"/>
      <c r="AM78" s="319" t="e">
        <f>#REF!/#REF!*100</f>
        <v>#REF!</v>
      </c>
      <c r="AN78" s="319" t="e">
        <f>#REF!/#REF!*100</f>
        <v>#REF!</v>
      </c>
      <c r="AO78" s="319" t="e">
        <f>#REF!/#REF!*100</f>
        <v>#REF!</v>
      </c>
      <c r="AP78" s="319" t="e">
        <f>#REF!/#REF!*100</f>
        <v>#REF!</v>
      </c>
    </row>
    <row r="79" spans="1:42" s="286" customFormat="1" hidden="1">
      <c r="A79" s="423"/>
      <c r="B79" s="422"/>
      <c r="C79" s="422"/>
      <c r="D79" s="422"/>
      <c r="E79" s="422"/>
      <c r="F79" s="422"/>
      <c r="G79" s="491"/>
      <c r="H79" s="491"/>
      <c r="I79" s="491"/>
      <c r="J79" s="397">
        <f>J80/J37</f>
        <v>0</v>
      </c>
      <c r="K79" s="397">
        <v>6.3252077173622773E-2</v>
      </c>
      <c r="L79" s="397">
        <v>4.7903678953929288E-2</v>
      </c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421"/>
      <c r="X79" s="421"/>
      <c r="Y79" s="421"/>
      <c r="Z79" s="421"/>
      <c r="AA79" s="421"/>
      <c r="AB79" s="421"/>
      <c r="AC79" s="421"/>
      <c r="AD79" s="421"/>
      <c r="AE79" s="421"/>
      <c r="AF79" s="421"/>
      <c r="AG79" s="421"/>
      <c r="AH79" s="421"/>
      <c r="AI79" s="421"/>
      <c r="AJ79" s="421"/>
      <c r="AM79" s="288"/>
      <c r="AN79" s="288"/>
      <c r="AO79" s="288"/>
      <c r="AP79" s="288"/>
    </row>
    <row r="80" spans="1:42" s="392" customFormat="1">
      <c r="A80" s="393"/>
      <c r="G80" s="417"/>
      <c r="H80" s="417"/>
      <c r="I80" s="417"/>
      <c r="J80" s="420"/>
      <c r="K80" s="420"/>
      <c r="L80" s="420"/>
      <c r="M80" s="420"/>
      <c r="N80" s="436"/>
      <c r="O80" s="799">
        <f ca="1">O60-O61</f>
        <v>80.783248289621042</v>
      </c>
      <c r="P80" s="799">
        <f t="shared" ref="P80:AI80" ca="1" si="78">P60-P61</f>
        <v>-182.03598730801878</v>
      </c>
      <c r="Q80" s="799">
        <f t="shared" ca="1" si="78"/>
        <v>-194.84045840327963</v>
      </c>
      <c r="R80" s="799">
        <f t="shared" ca="1" si="78"/>
        <v>150.18821587550883</v>
      </c>
      <c r="S80" s="799">
        <f t="shared" ca="1" si="78"/>
        <v>416.68834670660181</v>
      </c>
      <c r="T80" s="799">
        <f t="shared" ca="1" si="78"/>
        <v>693.25583962625024</v>
      </c>
      <c r="U80" s="799">
        <f t="shared" ca="1" si="78"/>
        <v>56.492496826126626</v>
      </c>
      <c r="V80" s="799">
        <f t="shared" ca="1" si="78"/>
        <v>96.017556932531079</v>
      </c>
      <c r="W80" s="799">
        <f t="shared" ca="1" si="78"/>
        <v>73.142888696213049</v>
      </c>
      <c r="X80" s="799">
        <f t="shared" ca="1" si="78"/>
        <v>99.21049964519807</v>
      </c>
      <c r="Y80" s="799">
        <f t="shared" ca="1" si="78"/>
        <v>81.608092766531627</v>
      </c>
      <c r="Z80" s="799">
        <f t="shared" ca="1" si="78"/>
        <v>138.68527963552697</v>
      </c>
      <c r="AA80" s="799">
        <f t="shared" ca="1" si="78"/>
        <v>189.03940281847463</v>
      </c>
      <c r="AB80" s="799">
        <f t="shared" ca="1" si="78"/>
        <v>274.35436047490293</v>
      </c>
      <c r="AC80" s="799">
        <f t="shared" ca="1" si="78"/>
        <v>334.21302487090543</v>
      </c>
      <c r="AD80" s="799">
        <f t="shared" ca="1" si="78"/>
        <v>353.92992436374516</v>
      </c>
      <c r="AE80" s="799">
        <f t="shared" ca="1" si="78"/>
        <v>-101.03718403014318</v>
      </c>
      <c r="AF80" s="799">
        <f t="shared" ca="1" si="78"/>
        <v>-122.82322881841174</v>
      </c>
      <c r="AG80" s="799">
        <f t="shared" ca="1" si="78"/>
        <v>-172.82563215822483</v>
      </c>
      <c r="AH80" s="799">
        <f t="shared" ca="1" si="78"/>
        <v>-147.30343832431754</v>
      </c>
      <c r="AI80" s="799">
        <f t="shared" ca="1" si="78"/>
        <v>-17.231637657045212</v>
      </c>
      <c r="AJ80" s="419"/>
      <c r="AM80" s="319" t="e">
        <f>#REF!/#REF!*100</f>
        <v>#REF!</v>
      </c>
      <c r="AN80" s="319" t="e">
        <f>#REF!/#REF!*100</f>
        <v>#REF!</v>
      </c>
      <c r="AO80" s="319" t="e">
        <f>#REF!/#REF!*100</f>
        <v>#REF!</v>
      </c>
      <c r="AP80" s="319" t="e">
        <f>#REF!/#REF!*100</f>
        <v>#REF!</v>
      </c>
    </row>
    <row r="81" spans="1:42" s="407" customFormat="1" hidden="1">
      <c r="A81" s="413"/>
      <c r="B81" s="361"/>
      <c r="C81" s="361">
        <f t="shared" ref="C81:M81" si="79">C82-C95</f>
        <v>1385.04</v>
      </c>
      <c r="D81" s="361">
        <f t="shared" si="79"/>
        <v>1615.3089139999997</v>
      </c>
      <c r="E81" s="361">
        <f t="shared" si="79"/>
        <v>2259.0117150000005</v>
      </c>
      <c r="F81" s="361">
        <f t="shared" si="79"/>
        <v>2523.7515070999998</v>
      </c>
      <c r="G81" s="361">
        <f t="shared" si="79"/>
        <v>2891.9664889999995</v>
      </c>
      <c r="H81" s="361">
        <f t="shared" si="79"/>
        <v>2409.5269239999998</v>
      </c>
      <c r="I81" s="361">
        <f t="shared" si="79"/>
        <v>4070.7808720000003</v>
      </c>
      <c r="J81" s="361">
        <f t="shared" si="79"/>
        <v>4950.7339233174116</v>
      </c>
      <c r="K81" s="361">
        <f t="shared" si="79"/>
        <v>3660.4492683777735</v>
      </c>
      <c r="L81" s="362">
        <f t="shared" si="79"/>
        <v>3360.2285000000002</v>
      </c>
      <c r="M81" s="361">
        <f t="shared" si="79"/>
        <v>3879.8521580000001</v>
      </c>
      <c r="N81" s="360"/>
      <c r="O81" s="360"/>
      <c r="P81" s="359"/>
      <c r="Q81" s="359"/>
      <c r="R81" s="412"/>
      <c r="S81" s="411"/>
      <c r="T81" s="411"/>
      <c r="U81" s="410"/>
      <c r="Y81" s="409"/>
      <c r="AE81" s="408"/>
      <c r="AF81" s="408"/>
      <c r="AG81" s="408"/>
      <c r="AH81" s="408"/>
      <c r="AM81" s="286"/>
      <c r="AN81" s="286"/>
      <c r="AO81" s="286"/>
      <c r="AP81" s="286"/>
    </row>
    <row r="82" spans="1:42" s="392" customFormat="1" hidden="1">
      <c r="A82" s="406" t="s">
        <v>530</v>
      </c>
      <c r="B82" s="404">
        <f t="shared" ref="B82:M82" si="80">B86+B88+B89+B90+B92+B93</f>
        <v>991.1277</v>
      </c>
      <c r="C82" s="404">
        <f t="shared" si="80"/>
        <v>1541.848</v>
      </c>
      <c r="D82" s="404">
        <f t="shared" si="80"/>
        <v>1934.4148639999999</v>
      </c>
      <c r="E82" s="404">
        <f t="shared" si="80"/>
        <v>2817.0719960000006</v>
      </c>
      <c r="F82" s="404">
        <f t="shared" si="80"/>
        <v>3408.4796741</v>
      </c>
      <c r="G82" s="404">
        <f t="shared" si="80"/>
        <v>4067.3332099999993</v>
      </c>
      <c r="H82" s="404">
        <f t="shared" si="80"/>
        <v>3507.6757350000003</v>
      </c>
      <c r="I82" s="404">
        <f t="shared" si="80"/>
        <v>3578.3458720000003</v>
      </c>
      <c r="J82" s="404">
        <f t="shared" si="80"/>
        <v>5496.9149263174113</v>
      </c>
      <c r="K82" s="404">
        <f t="shared" si="80"/>
        <v>5244.5700333777731</v>
      </c>
      <c r="L82" s="405">
        <f t="shared" si="80"/>
        <v>5671.9762000000001</v>
      </c>
      <c r="M82" s="404">
        <f t="shared" si="80"/>
        <v>6187.5332410000001</v>
      </c>
      <c r="N82" s="403"/>
      <c r="O82" s="403"/>
      <c r="P82" s="402"/>
      <c r="Q82" s="402"/>
      <c r="R82" s="400">
        <f t="shared" ref="R82:AD82" si="81">R86+R88+R89+R90+R92+R93</f>
        <v>11142.679833458227</v>
      </c>
      <c r="S82" s="399">
        <f t="shared" si="81"/>
        <v>12436.253971459886</v>
      </c>
      <c r="T82" s="399">
        <f t="shared" si="81"/>
        <v>13915.410564599542</v>
      </c>
      <c r="U82" s="401">
        <f t="shared" si="81"/>
        <v>15642.158383231781</v>
      </c>
      <c r="V82" s="400">
        <f t="shared" si="81"/>
        <v>17444.36193879323</v>
      </c>
      <c r="W82" s="400">
        <f t="shared" si="81"/>
        <v>19473.450911266707</v>
      </c>
      <c r="X82" s="400">
        <f t="shared" si="81"/>
        <v>21572.752623913322</v>
      </c>
      <c r="Y82" s="399">
        <f t="shared" si="81"/>
        <v>23759.710320661656</v>
      </c>
      <c r="Z82" s="400">
        <f t="shared" si="81"/>
        <v>26208.302195795957</v>
      </c>
      <c r="AA82" s="400">
        <f t="shared" si="81"/>
        <v>28762.824861720048</v>
      </c>
      <c r="AB82" s="400">
        <f t="shared" si="81"/>
        <v>31411.356567395731</v>
      </c>
      <c r="AC82" s="400">
        <f t="shared" si="81"/>
        <v>33654.966857794396</v>
      </c>
      <c r="AD82" s="399">
        <f t="shared" si="81"/>
        <v>34947.561528383427</v>
      </c>
      <c r="AE82" s="399">
        <f>AE86+AE88+AE89+AE90+AE92+AE93</f>
        <v>0</v>
      </c>
      <c r="AF82" s="399">
        <f>AF86+AF88+AF89+AF90+AF92+AF93</f>
        <v>0</v>
      </c>
      <c r="AG82" s="399">
        <f>AG86+AG88+AG89+AG90+AG92+AG93</f>
        <v>0</v>
      </c>
      <c r="AH82" s="399">
        <f>AH86+AH88+AH89+AH90+AH92+AH93</f>
        <v>0</v>
      </c>
      <c r="AI82" s="399">
        <f>AI86+AI88+AI89+AI90+AI92+AI93</f>
        <v>0</v>
      </c>
      <c r="AJ82" s="400"/>
      <c r="AM82" s="286"/>
      <c r="AN82" s="286"/>
      <c r="AO82" s="286"/>
      <c r="AP82" s="286"/>
    </row>
    <row r="83" spans="1:42" s="392" customFormat="1" hidden="1">
      <c r="A83" s="363" t="s">
        <v>525</v>
      </c>
      <c r="B83" s="361"/>
      <c r="C83" s="397">
        <f t="shared" ref="C83:L83" si="82">C82/B82*100</f>
        <v>155.56501952271137</v>
      </c>
      <c r="D83" s="397">
        <f t="shared" si="82"/>
        <v>125.46080184298323</v>
      </c>
      <c r="E83" s="397">
        <f t="shared" si="82"/>
        <v>145.62915372635396</v>
      </c>
      <c r="F83" s="397">
        <f t="shared" si="82"/>
        <v>120.99370122381492</v>
      </c>
      <c r="G83" s="397">
        <f t="shared" si="82"/>
        <v>119.32983614091721</v>
      </c>
      <c r="H83" s="397">
        <f t="shared" si="82"/>
        <v>86.24018623249215</v>
      </c>
      <c r="I83" s="397">
        <f t="shared" si="82"/>
        <v>102.01472833691112</v>
      </c>
      <c r="J83" s="397">
        <f t="shared" si="82"/>
        <v>153.6160875149022</v>
      </c>
      <c r="K83" s="397">
        <f t="shared" si="82"/>
        <v>95.40933603080714</v>
      </c>
      <c r="L83" s="396">
        <f t="shared" si="82"/>
        <v>108.14949869869419</v>
      </c>
      <c r="M83" s="397">
        <f>M82/L81*100</f>
        <v>184.14025239652599</v>
      </c>
      <c r="N83" s="395"/>
      <c r="O83" s="395"/>
      <c r="P83" s="394"/>
      <c r="Q83" s="394"/>
      <c r="R83" s="356" t="e">
        <f t="shared" ref="R83:AD83" si="83">R82/Q82*100</f>
        <v>#DIV/0!</v>
      </c>
      <c r="S83" s="357">
        <f t="shared" si="83"/>
        <v>111.60918340413437</v>
      </c>
      <c r="T83" s="357">
        <f t="shared" si="83"/>
        <v>111.89390789649514</v>
      </c>
      <c r="U83" s="358">
        <f t="shared" si="83"/>
        <v>112.4088887684352</v>
      </c>
      <c r="V83" s="356">
        <f t="shared" si="83"/>
        <v>111.52145062981455</v>
      </c>
      <c r="W83" s="356">
        <f t="shared" si="83"/>
        <v>111.63177523828564</v>
      </c>
      <c r="X83" s="356">
        <f t="shared" si="83"/>
        <v>110.7803271346838</v>
      </c>
      <c r="Y83" s="357">
        <f t="shared" si="83"/>
        <v>110.13759224367176</v>
      </c>
      <c r="Z83" s="356">
        <f t="shared" si="83"/>
        <v>110.30564700532138</v>
      </c>
      <c r="AA83" s="356">
        <f t="shared" si="83"/>
        <v>109.74699790486184</v>
      </c>
      <c r="AB83" s="356">
        <f t="shared" si="83"/>
        <v>109.2081765904731</v>
      </c>
      <c r="AC83" s="356">
        <f t="shared" si="83"/>
        <v>107.142672382152</v>
      </c>
      <c r="AD83" s="356">
        <f t="shared" si="83"/>
        <v>103.84072483580435</v>
      </c>
      <c r="AE83" s="356">
        <f>AE82/AD82*100</f>
        <v>0</v>
      </c>
      <c r="AF83" s="356" t="e">
        <f>AF82/AE82*100</f>
        <v>#DIV/0!</v>
      </c>
      <c r="AG83" s="356" t="e">
        <f>AG82/AF82*100</f>
        <v>#DIV/0!</v>
      </c>
      <c r="AH83" s="356" t="e">
        <f>AH82/AG82*100</f>
        <v>#DIV/0!</v>
      </c>
      <c r="AI83" s="356" t="e">
        <f>AI82/AH82*100</f>
        <v>#DIV/0!</v>
      </c>
      <c r="AJ83" s="356"/>
    </row>
    <row r="84" spans="1:42" s="392" customFormat="1" hidden="1">
      <c r="A84" s="398" t="s">
        <v>529</v>
      </c>
      <c r="B84" s="332"/>
      <c r="C84" s="397">
        <f t="shared" ref="C84:M84" si="84">C82/C54*100</f>
        <v>20.46990361999865</v>
      </c>
      <c r="D84" s="397">
        <f t="shared" si="84"/>
        <v>20.831440368092391</v>
      </c>
      <c r="E84" s="397">
        <f t="shared" si="84"/>
        <v>23.727005781650433</v>
      </c>
      <c r="F84" s="397">
        <f t="shared" si="84"/>
        <v>23.586109202377127</v>
      </c>
      <c r="G84" s="397">
        <f t="shared" si="84"/>
        <v>22.948202529572182</v>
      </c>
      <c r="H84" s="397">
        <f t="shared" si="84"/>
        <v>16.603612058366203</v>
      </c>
      <c r="I84" s="397">
        <f t="shared" si="84"/>
        <v>14.844441648195639</v>
      </c>
      <c r="J84" s="397">
        <f t="shared" si="84"/>
        <v>19.880250747284943</v>
      </c>
      <c r="K84" s="397">
        <f t="shared" si="84"/>
        <v>17.399987502887523</v>
      </c>
      <c r="L84" s="396">
        <f t="shared" si="84"/>
        <v>16.946655051332659</v>
      </c>
      <c r="M84" s="397">
        <f t="shared" si="84"/>
        <v>16.627495537957337</v>
      </c>
      <c r="N84" s="395"/>
      <c r="O84" s="395"/>
      <c r="P84" s="394"/>
      <c r="Q84" s="394"/>
      <c r="R84" s="311">
        <f t="shared" ref="R84:AI84" ca="1" si="85">R82/R54*100</f>
        <v>20.56885567363474</v>
      </c>
      <c r="S84" s="335">
        <f t="shared" ca="1" si="85"/>
        <v>21.589053859675538</v>
      </c>
      <c r="T84" s="335">
        <f t="shared" ca="1" si="85"/>
        <v>22.874859745538487</v>
      </c>
      <c r="U84" s="336">
        <f t="shared" ca="1" si="85"/>
        <v>24.399878539833843</v>
      </c>
      <c r="V84" s="311">
        <f t="shared" ca="1" si="85"/>
        <v>25.840861451543191</v>
      </c>
      <c r="W84" s="311">
        <f t="shared" ca="1" si="85"/>
        <v>27.400728587255159</v>
      </c>
      <c r="X84" s="311">
        <f t="shared" ca="1" si="85"/>
        <v>28.830623488486651</v>
      </c>
      <c r="Y84" s="335">
        <f t="shared" ca="1" si="85"/>
        <v>30.111070413784091</v>
      </c>
      <c r="Z84" s="311">
        <f t="shared" ca="1" si="85"/>
        <v>31.471515956447799</v>
      </c>
      <c r="AA84" s="311">
        <f t="shared" ca="1" si="85"/>
        <v>32.755024386462686</v>
      </c>
      <c r="AB84" s="311">
        <f t="shared" ca="1" si="85"/>
        <v>33.909242579482694</v>
      </c>
      <c r="AC84" s="311">
        <f t="shared" ca="1" si="85"/>
        <v>34.415802340983952</v>
      </c>
      <c r="AD84" s="311">
        <f t="shared" ca="1" si="85"/>
        <v>33.901784369951542</v>
      </c>
      <c r="AE84" s="311">
        <f t="shared" ca="1" si="85"/>
        <v>0</v>
      </c>
      <c r="AF84" s="311">
        <f t="shared" ca="1" si="85"/>
        <v>0</v>
      </c>
      <c r="AG84" s="311">
        <f t="shared" ca="1" si="85"/>
        <v>0</v>
      </c>
      <c r="AH84" s="311">
        <f t="shared" ca="1" si="85"/>
        <v>0</v>
      </c>
      <c r="AI84" s="311">
        <f t="shared" ca="1" si="85"/>
        <v>0</v>
      </c>
      <c r="AJ84" s="311"/>
      <c r="AM84" s="407"/>
      <c r="AN84" s="407"/>
      <c r="AO84" s="407"/>
      <c r="AP84" s="407"/>
    </row>
    <row r="85" spans="1:42" s="392" customFormat="1" hidden="1">
      <c r="A85" s="398" t="s">
        <v>528</v>
      </c>
      <c r="B85" s="332"/>
      <c r="C85" s="397">
        <f t="shared" ref="C85:J85" si="86">(C82-B82)/(C54-B54)*100</f>
        <v>34.710786102280252</v>
      </c>
      <c r="D85" s="397">
        <f t="shared" si="86"/>
        <v>22.384207369820313</v>
      </c>
      <c r="E85" s="397">
        <f t="shared" si="86"/>
        <v>34.121376755845375</v>
      </c>
      <c r="F85" s="397">
        <f t="shared" si="86"/>
        <v>22.937309015081699</v>
      </c>
      <c r="G85" s="397">
        <f t="shared" si="86"/>
        <v>20.131455511226157</v>
      </c>
      <c r="H85" s="397">
        <f t="shared" si="86"/>
        <v>-16.450803748198624</v>
      </c>
      <c r="I85" s="397">
        <f t="shared" si="86"/>
        <v>2.371761184522188</v>
      </c>
      <c r="J85" s="397">
        <f t="shared" si="86"/>
        <v>54.128046650960748</v>
      </c>
      <c r="K85" s="397">
        <v>2.7362436824292899</v>
      </c>
      <c r="L85" s="396">
        <f>(L82-K82)/(L54-K54)*100</f>
        <v>12.841334045891967</v>
      </c>
      <c r="M85" s="396">
        <f>(M82-L82)/(M54-L54)*100</f>
        <v>13.773649664799912</v>
      </c>
      <c r="N85" s="395"/>
      <c r="O85" s="395"/>
      <c r="P85" s="394"/>
      <c r="Q85" s="394"/>
      <c r="R85" s="311">
        <f t="shared" ref="R85:AI85" ca="1" si="87">(R82-Q82)/(R54-Q54)*100</f>
        <v>282.88627718784835</v>
      </c>
      <c r="S85" s="335">
        <f t="shared" ca="1" si="87"/>
        <v>37.693073734814533</v>
      </c>
      <c r="T85" s="335">
        <f t="shared" ca="1" si="87"/>
        <v>45.818052527218875</v>
      </c>
      <c r="U85" s="336">
        <f t="shared" ca="1" si="87"/>
        <v>52.729041307166526</v>
      </c>
      <c r="V85" s="311">
        <f t="shared" ca="1" si="87"/>
        <v>53.015896479300771</v>
      </c>
      <c r="W85" s="311">
        <f t="shared" ca="1" si="87"/>
        <v>56.961538642315276</v>
      </c>
      <c r="X85" s="311">
        <f t="shared" ca="1" si="87"/>
        <v>55.881111261022035</v>
      </c>
      <c r="Y85" s="335">
        <f t="shared" ca="1" si="87"/>
        <v>53.587901819142523</v>
      </c>
      <c r="Z85" s="311">
        <f t="shared" ca="1" si="87"/>
        <v>56.039946776142315</v>
      </c>
      <c r="AA85" s="311">
        <f t="shared" ca="1" si="87"/>
        <v>56.320544973455746</v>
      </c>
      <c r="AB85" s="311">
        <f t="shared" ca="1" si="87"/>
        <v>54.929810842389223</v>
      </c>
      <c r="AC85" s="311">
        <f t="shared" ca="1" si="87"/>
        <v>43.517325156787159</v>
      </c>
      <c r="AD85" s="311">
        <f t="shared" ca="1" si="87"/>
        <v>24.409573120059132</v>
      </c>
      <c r="AE85" s="311">
        <f t="shared" ca="1" si="87"/>
        <v>-638.42132014504352</v>
      </c>
      <c r="AF85" s="311">
        <f t="shared" ca="1" si="87"/>
        <v>0</v>
      </c>
      <c r="AG85" s="311">
        <f t="shared" ca="1" si="87"/>
        <v>0</v>
      </c>
      <c r="AH85" s="311">
        <f t="shared" ca="1" si="87"/>
        <v>0</v>
      </c>
      <c r="AI85" s="311">
        <f t="shared" ca="1" si="87"/>
        <v>0</v>
      </c>
      <c r="AJ85" s="311"/>
    </row>
    <row r="86" spans="1:42" s="390" customFormat="1" hidden="1">
      <c r="A86" s="385" t="s">
        <v>527</v>
      </c>
      <c r="B86" s="371">
        <v>249.0335</v>
      </c>
      <c r="C86" s="371">
        <v>489.52499999999998</v>
      </c>
      <c r="D86" s="371">
        <v>469.43722600000001</v>
      </c>
      <c r="E86" s="371">
        <v>687.19914599999993</v>
      </c>
      <c r="F86" s="371">
        <v>1172.389915</v>
      </c>
      <c r="G86" s="371">
        <v>1396.8500819999999</v>
      </c>
      <c r="H86" s="371">
        <v>5.5039000000222583E-2</v>
      </c>
      <c r="I86" s="371">
        <v>1269.4390000000001</v>
      </c>
      <c r="J86" s="371">
        <v>2473.5956690000003</v>
      </c>
      <c r="K86" s="371">
        <v>1870.0665120000001</v>
      </c>
      <c r="L86" s="372">
        <v>2467.1414</v>
      </c>
      <c r="M86" s="371">
        <v>2807.8767210000001</v>
      </c>
      <c r="N86" s="370"/>
      <c r="O86" s="370"/>
      <c r="P86" s="369"/>
      <c r="Q86" s="369"/>
      <c r="R86" s="383">
        <v>4591.237657478272</v>
      </c>
      <c r="S86" s="382">
        <v>5275.9541391339262</v>
      </c>
      <c r="T86" s="382">
        <v>6031.1073208501621</v>
      </c>
      <c r="U86" s="384">
        <v>6731.6554105487739</v>
      </c>
      <c r="V86" s="383">
        <v>7485.7069696279405</v>
      </c>
      <c r="W86" s="383">
        <v>8416.6101412955395</v>
      </c>
      <c r="X86" s="383">
        <v>9287.1588479549246</v>
      </c>
      <c r="Y86" s="382">
        <v>10359.689954409259</v>
      </c>
      <c r="Z86" s="383">
        <v>11241.180762560049</v>
      </c>
      <c r="AA86" s="383">
        <v>12651.808321558216</v>
      </c>
      <c r="AB86" s="383">
        <v>13806.544294398962</v>
      </c>
      <c r="AC86" s="383">
        <v>15059.411812972219</v>
      </c>
      <c r="AD86" s="382">
        <v>16258.928359359707</v>
      </c>
      <c r="AE86" s="391"/>
      <c r="AF86" s="391"/>
      <c r="AG86" s="391"/>
      <c r="AH86" s="391"/>
      <c r="AM86" s="392"/>
      <c r="AN86" s="392"/>
      <c r="AO86" s="392"/>
      <c r="AP86" s="392"/>
    </row>
    <row r="87" spans="1:42" s="392" customFormat="1" hidden="1">
      <c r="A87" s="389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3"/>
      <c r="M87" s="332"/>
      <c r="N87" s="331"/>
      <c r="O87" s="331"/>
      <c r="P87" s="342"/>
      <c r="Q87" s="342"/>
      <c r="R87" s="329"/>
      <c r="S87" s="387"/>
      <c r="T87" s="387"/>
      <c r="U87" s="388"/>
      <c r="V87" s="329"/>
      <c r="W87" s="329"/>
      <c r="X87" s="329"/>
      <c r="Y87" s="387"/>
      <c r="Z87" s="329"/>
      <c r="AA87" s="329"/>
      <c r="AB87" s="329"/>
      <c r="AC87" s="329"/>
      <c r="AD87" s="387"/>
      <c r="AE87" s="393"/>
      <c r="AF87" s="393"/>
      <c r="AG87" s="393"/>
      <c r="AH87" s="393"/>
    </row>
    <row r="88" spans="1:42" s="390" customFormat="1" hidden="1">
      <c r="A88" s="385" t="s">
        <v>360</v>
      </c>
      <c r="B88" s="371">
        <v>57.924399999999991</v>
      </c>
      <c r="C88" s="371">
        <v>87.635000000000005</v>
      </c>
      <c r="D88" s="371">
        <v>126.02172599999999</v>
      </c>
      <c r="E88" s="371">
        <v>158.589034</v>
      </c>
      <c r="F88" s="371">
        <v>212.42679999999999</v>
      </c>
      <c r="G88" s="371">
        <v>282.90440000000001</v>
      </c>
      <c r="H88" s="371">
        <v>628.71699999999998</v>
      </c>
      <c r="I88" s="371">
        <v>152.35970000000006</v>
      </c>
      <c r="J88" s="371">
        <v>259.39088831741105</v>
      </c>
      <c r="K88" s="371">
        <v>217.46246537777316</v>
      </c>
      <c r="L88" s="372">
        <v>159.542</v>
      </c>
      <c r="M88" s="371">
        <v>162.87799999999999</v>
      </c>
      <c r="N88" s="370"/>
      <c r="O88" s="370"/>
      <c r="P88" s="369"/>
      <c r="Q88" s="369"/>
      <c r="R88" s="383">
        <v>370.34560018450918</v>
      </c>
      <c r="S88" s="382">
        <v>466.88502732261492</v>
      </c>
      <c r="T88" s="382">
        <v>516.31496263655913</v>
      </c>
      <c r="U88" s="384">
        <v>571.03349535527627</v>
      </c>
      <c r="V88" s="383">
        <v>630.36250605991313</v>
      </c>
      <c r="W88" s="383">
        <v>695.26511896717159</v>
      </c>
      <c r="X88" s="383">
        <v>764.24695093853802</v>
      </c>
      <c r="Y88" s="382">
        <v>834.26573884432071</v>
      </c>
      <c r="Z88" s="383">
        <v>907.693549957095</v>
      </c>
      <c r="AA88" s="383">
        <v>988.78472055399641</v>
      </c>
      <c r="AB88" s="383">
        <v>1075.4394460273506</v>
      </c>
      <c r="AC88" s="383">
        <v>1168.6873200628308</v>
      </c>
      <c r="AD88" s="382">
        <v>1264.100288458239</v>
      </c>
      <c r="AE88" s="391"/>
      <c r="AF88" s="391"/>
      <c r="AG88" s="391"/>
      <c r="AH88" s="391"/>
      <c r="AM88" s="392"/>
      <c r="AN88" s="392"/>
      <c r="AO88" s="392"/>
      <c r="AP88" s="392"/>
    </row>
    <row r="89" spans="1:42" s="390" customFormat="1" hidden="1">
      <c r="A89" s="385" t="s">
        <v>361</v>
      </c>
      <c r="B89" s="371">
        <v>141.1</v>
      </c>
      <c r="C89" s="371">
        <v>101.408</v>
      </c>
      <c r="D89" s="371">
        <v>319.96620199999995</v>
      </c>
      <c r="E89" s="371">
        <v>571.61159600000019</v>
      </c>
      <c r="F89" s="371">
        <v>226.08002199999999</v>
      </c>
      <c r="G89" s="371">
        <v>113.1306499999999</v>
      </c>
      <c r="H89" s="371">
        <v>1289.731307</v>
      </c>
      <c r="I89" s="371">
        <v>504.80900000000003</v>
      </c>
      <c r="J89" s="371">
        <v>195.36374199999997</v>
      </c>
      <c r="K89" s="371">
        <v>549.54738500000008</v>
      </c>
      <c r="L89" s="372">
        <v>919.601</v>
      </c>
      <c r="M89" s="371">
        <v>782.53499999999997</v>
      </c>
      <c r="N89" s="370"/>
      <c r="O89" s="370"/>
      <c r="P89" s="369"/>
      <c r="Q89" s="369"/>
      <c r="R89" s="383">
        <v>478.67485753799571</v>
      </c>
      <c r="S89" s="382">
        <v>385.75398961966403</v>
      </c>
      <c r="T89" s="382">
        <v>392.60063127534312</v>
      </c>
      <c r="U89" s="384">
        <v>399.21944380349072</v>
      </c>
      <c r="V89" s="383">
        <v>405.61500884688053</v>
      </c>
      <c r="W89" s="383">
        <v>411.79182964891834</v>
      </c>
      <c r="X89" s="383">
        <v>417.75433229107864</v>
      </c>
      <c r="Y89" s="382">
        <v>423.50686691173769</v>
      </c>
      <c r="Z89" s="383">
        <v>429.0537089066724</v>
      </c>
      <c r="AA89" s="383">
        <v>434.39906011149242</v>
      </c>
      <c r="AB89" s="383">
        <v>439.54704996627163</v>
      </c>
      <c r="AC89" s="383">
        <v>444.50173666262629</v>
      </c>
      <c r="AD89" s="382">
        <v>449.26710827352025</v>
      </c>
      <c r="AE89" s="391"/>
      <c r="AF89" s="391"/>
      <c r="AG89" s="391"/>
      <c r="AH89" s="391"/>
    </row>
    <row r="90" spans="1:42" s="364" customFormat="1" hidden="1">
      <c r="A90" s="385" t="s">
        <v>362</v>
      </c>
      <c r="B90" s="371">
        <v>421.976</v>
      </c>
      <c r="C90" s="371">
        <v>618.10299999999995</v>
      </c>
      <c r="D90" s="371">
        <v>797.41689199999996</v>
      </c>
      <c r="E90" s="371">
        <v>956.48082399999998</v>
      </c>
      <c r="F90" s="371">
        <v>925.58012999999994</v>
      </c>
      <c r="G90" s="371">
        <v>996.38357799999994</v>
      </c>
      <c r="H90" s="371">
        <v>1247.5532330000001</v>
      </c>
      <c r="I90" s="371">
        <v>1396.5070000000001</v>
      </c>
      <c r="J90" s="371">
        <v>1693.406577</v>
      </c>
      <c r="K90" s="371">
        <v>1884.0357739999999</v>
      </c>
      <c r="L90" s="372">
        <v>1997.1880000000001</v>
      </c>
      <c r="M90" s="371">
        <v>2027.5000050000001</v>
      </c>
      <c r="N90" s="370"/>
      <c r="O90" s="370"/>
      <c r="P90" s="369"/>
      <c r="Q90" s="369"/>
      <c r="R90" s="383">
        <v>4736.7423541315547</v>
      </c>
      <c r="S90" s="382">
        <v>5430.8066974832109</v>
      </c>
      <c r="T90" s="382">
        <v>6263.1021826873002</v>
      </c>
      <c r="U90" s="384">
        <v>7306.9370639507179</v>
      </c>
      <c r="V90" s="383">
        <v>8165.8359951396542</v>
      </c>
      <c r="W90" s="383">
        <v>9146.4829003154864</v>
      </c>
      <c r="X90" s="383">
        <v>10215.510981545502</v>
      </c>
      <c r="Y90" s="382">
        <v>11349.570816038184</v>
      </c>
      <c r="Z90" s="383">
        <v>12558.554570753577</v>
      </c>
      <c r="AA90" s="383">
        <v>13891.06883370311</v>
      </c>
      <c r="AB90" s="383">
        <v>14896.210920575204</v>
      </c>
      <c r="AC90" s="383">
        <v>15969.61377580617</v>
      </c>
      <c r="AD90" s="382">
        <v>15994.212992141185</v>
      </c>
      <c r="AE90" s="381"/>
      <c r="AF90" s="381"/>
      <c r="AG90" s="381"/>
      <c r="AH90" s="381"/>
      <c r="AM90" s="392"/>
      <c r="AN90" s="392"/>
      <c r="AO90" s="392"/>
      <c r="AP90" s="392"/>
    </row>
    <row r="91" spans="1:42" s="286" customFormat="1" hidden="1">
      <c r="A91" s="389"/>
      <c r="B91" s="332"/>
      <c r="C91" s="332"/>
      <c r="D91" s="332"/>
      <c r="E91" s="332"/>
      <c r="F91" s="332"/>
      <c r="G91" s="332"/>
      <c r="H91" s="332"/>
      <c r="I91" s="332"/>
      <c r="J91" s="332"/>
      <c r="K91" s="332"/>
      <c r="L91" s="333"/>
      <c r="M91" s="332"/>
      <c r="N91" s="331"/>
      <c r="O91" s="331"/>
      <c r="P91" s="342"/>
      <c r="Q91" s="342"/>
      <c r="R91" s="329"/>
      <c r="S91" s="387"/>
      <c r="T91" s="387"/>
      <c r="U91" s="388"/>
      <c r="V91" s="329"/>
      <c r="W91" s="329"/>
      <c r="X91" s="329"/>
      <c r="Y91" s="387"/>
      <c r="Z91" s="329"/>
      <c r="AA91" s="329"/>
      <c r="AB91" s="329"/>
      <c r="AC91" s="329"/>
      <c r="AD91" s="387"/>
      <c r="AE91" s="386"/>
      <c r="AF91" s="386"/>
      <c r="AG91" s="386"/>
      <c r="AH91" s="386"/>
      <c r="AM91" s="390"/>
      <c r="AN91" s="390"/>
      <c r="AO91" s="390"/>
      <c r="AP91" s="390"/>
    </row>
    <row r="92" spans="1:42" s="364" customFormat="1" hidden="1">
      <c r="A92" s="385" t="s">
        <v>363</v>
      </c>
      <c r="B92" s="371">
        <v>1.8588</v>
      </c>
      <c r="C92" s="371">
        <v>3.9590000000000001</v>
      </c>
      <c r="D92" s="371">
        <v>25.459018</v>
      </c>
      <c r="E92" s="371">
        <v>238.447767</v>
      </c>
      <c r="F92" s="371">
        <v>288.1345</v>
      </c>
      <c r="G92" s="371">
        <v>459.07130000000006</v>
      </c>
      <c r="H92" s="371">
        <v>256.48915600000004</v>
      </c>
      <c r="I92" s="371">
        <v>153.70527200000001</v>
      </c>
      <c r="J92" s="371">
        <v>139.81892999999999</v>
      </c>
      <c r="K92" s="371">
        <v>141.887497</v>
      </c>
      <c r="L92" s="372">
        <v>125.4288</v>
      </c>
      <c r="M92" s="371">
        <v>74.957098000000002</v>
      </c>
      <c r="N92" s="370"/>
      <c r="O92" s="370"/>
      <c r="P92" s="369"/>
      <c r="Q92" s="369"/>
      <c r="R92" s="383">
        <v>510.79083969951597</v>
      </c>
      <c r="S92" s="382">
        <v>456.72803712425531</v>
      </c>
      <c r="T92" s="382">
        <v>334.49025786319521</v>
      </c>
      <c r="U92" s="384">
        <v>394.05415331694581</v>
      </c>
      <c r="V92" s="383">
        <v>431.48720407439657</v>
      </c>
      <c r="W92" s="383">
        <v>421.49945274822176</v>
      </c>
      <c r="X92" s="383">
        <v>472.1977470427438</v>
      </c>
      <c r="Y92" s="382">
        <v>519.87751325057843</v>
      </c>
      <c r="Z92" s="383">
        <v>568.52738833119679</v>
      </c>
      <c r="AA92" s="383">
        <v>623.05397114659638</v>
      </c>
      <c r="AB92" s="383">
        <v>705.6177037602763</v>
      </c>
      <c r="AC92" s="383">
        <v>740.00676314496241</v>
      </c>
      <c r="AD92" s="382">
        <v>851.04487346688131</v>
      </c>
      <c r="AE92" s="381"/>
      <c r="AF92" s="381"/>
      <c r="AG92" s="381"/>
      <c r="AH92" s="381"/>
      <c r="AM92" s="390"/>
      <c r="AN92" s="390"/>
      <c r="AO92" s="390"/>
      <c r="AP92" s="390"/>
    </row>
    <row r="93" spans="1:42" s="364" customFormat="1" hidden="1">
      <c r="A93" s="385" t="s">
        <v>364</v>
      </c>
      <c r="B93" s="371">
        <v>119.235</v>
      </c>
      <c r="C93" s="371">
        <v>241.21799999999999</v>
      </c>
      <c r="D93" s="371">
        <v>196.1138</v>
      </c>
      <c r="E93" s="371">
        <v>204.743629</v>
      </c>
      <c r="F93" s="371">
        <v>583.86830709999992</v>
      </c>
      <c r="G93" s="371">
        <v>818.9932</v>
      </c>
      <c r="H93" s="371">
        <v>85.13</v>
      </c>
      <c r="I93" s="371">
        <v>101.52589999999999</v>
      </c>
      <c r="J93" s="371">
        <v>735.33911999999998</v>
      </c>
      <c r="K93" s="371">
        <v>581.57040000000006</v>
      </c>
      <c r="L93" s="372">
        <v>3.0750000000000002</v>
      </c>
      <c r="M93" s="371">
        <v>331.78641699999997</v>
      </c>
      <c r="N93" s="370"/>
      <c r="O93" s="370"/>
      <c r="P93" s="369"/>
      <c r="Q93" s="369"/>
      <c r="R93" s="383">
        <v>454.88852442637977</v>
      </c>
      <c r="S93" s="382">
        <v>420.12608077621303</v>
      </c>
      <c r="T93" s="382">
        <v>377.79520928698224</v>
      </c>
      <c r="U93" s="384">
        <v>239.25881625657627</v>
      </c>
      <c r="V93" s="383">
        <v>325.35425504444208</v>
      </c>
      <c r="W93" s="383">
        <v>381.80146829136623</v>
      </c>
      <c r="X93" s="383">
        <v>415.88376414053363</v>
      </c>
      <c r="Y93" s="382">
        <v>272.79943120757366</v>
      </c>
      <c r="Z93" s="383">
        <v>503.29221528736446</v>
      </c>
      <c r="AA93" s="383">
        <v>173.70995464663946</v>
      </c>
      <c r="AB93" s="383">
        <v>487.99715266766606</v>
      </c>
      <c r="AC93" s="383">
        <v>272.74544914558743</v>
      </c>
      <c r="AD93" s="382">
        <v>130.00790668389777</v>
      </c>
      <c r="AE93" s="381"/>
      <c r="AF93" s="381"/>
      <c r="AG93" s="381"/>
      <c r="AH93" s="381"/>
    </row>
    <row r="94" spans="1:42" s="374" customFormat="1" ht="11.25" hidden="1" customHeight="1">
      <c r="A94" s="380"/>
      <c r="B94" s="332"/>
      <c r="C94" s="361">
        <f t="shared" ref="C94:M94" si="88">C93/C5*100</f>
        <v>2.9182762162508755</v>
      </c>
      <c r="D94" s="361">
        <f t="shared" si="88"/>
        <v>1.9111646945184901</v>
      </c>
      <c r="E94" s="361">
        <f t="shared" si="88"/>
        <v>1.5720525536668268</v>
      </c>
      <c r="F94" s="361">
        <f t="shared" si="88"/>
        <v>3.6546331267430272</v>
      </c>
      <c r="G94" s="361">
        <f t="shared" si="88"/>
        <v>4.1428482820960877</v>
      </c>
      <c r="H94" s="361">
        <f t="shared" si="88"/>
        <v>0.35523638873202568</v>
      </c>
      <c r="I94" s="361">
        <f t="shared" si="88"/>
        <v>0.37665333306643151</v>
      </c>
      <c r="J94" s="361">
        <f t="shared" si="88"/>
        <v>2.3971773105146181</v>
      </c>
      <c r="K94" s="361">
        <f t="shared" si="88"/>
        <v>1.7269038303446702</v>
      </c>
      <c r="L94" s="362">
        <f t="shared" si="88"/>
        <v>8.1383602353072449E-3</v>
      </c>
      <c r="M94" s="361">
        <f t="shared" si="88"/>
        <v>0.78343276472860257</v>
      </c>
      <c r="N94" s="360"/>
      <c r="O94" s="360"/>
      <c r="P94" s="359"/>
      <c r="Q94" s="359"/>
      <c r="R94" s="377">
        <v>2.9</v>
      </c>
      <c r="S94" s="378">
        <v>2.72</v>
      </c>
      <c r="T94" s="378">
        <f>S94-0.175</f>
        <v>2.5450000000000004</v>
      </c>
      <c r="U94" s="379">
        <f t="shared" ref="U94:AD94" si="89">T94</f>
        <v>2.5450000000000004</v>
      </c>
      <c r="V94" s="377">
        <f t="shared" si="89"/>
        <v>2.5450000000000004</v>
      </c>
      <c r="W94" s="377">
        <f t="shared" si="89"/>
        <v>2.5450000000000004</v>
      </c>
      <c r="X94" s="377">
        <f t="shared" si="89"/>
        <v>2.5450000000000004</v>
      </c>
      <c r="Y94" s="378">
        <f t="shared" si="89"/>
        <v>2.5450000000000004</v>
      </c>
      <c r="Z94" s="376">
        <f t="shared" si="89"/>
        <v>2.5450000000000004</v>
      </c>
      <c r="AA94" s="377">
        <f t="shared" si="89"/>
        <v>2.5450000000000004</v>
      </c>
      <c r="AB94" s="377">
        <f t="shared" si="89"/>
        <v>2.5450000000000004</v>
      </c>
      <c r="AC94" s="377">
        <f t="shared" si="89"/>
        <v>2.5450000000000004</v>
      </c>
      <c r="AD94" s="376">
        <f t="shared" si="89"/>
        <v>2.5450000000000004</v>
      </c>
      <c r="AE94" s="375"/>
      <c r="AF94" s="375"/>
      <c r="AG94" s="375"/>
      <c r="AH94" s="375"/>
      <c r="AM94" s="286"/>
      <c r="AN94" s="286"/>
      <c r="AO94" s="286"/>
      <c r="AP94" s="286"/>
    </row>
    <row r="95" spans="1:42" s="364" customFormat="1" hidden="1">
      <c r="A95" s="373" t="s">
        <v>526</v>
      </c>
      <c r="B95" s="371">
        <v>47.195599999999999</v>
      </c>
      <c r="C95" s="371">
        <v>156.80799999999999</v>
      </c>
      <c r="D95" s="371">
        <v>319.10595000000001</v>
      </c>
      <c r="E95" s="371">
        <v>558.06028099999992</v>
      </c>
      <c r="F95" s="371">
        <v>884.72816699999998</v>
      </c>
      <c r="G95" s="371">
        <v>1175.3667209999999</v>
      </c>
      <c r="H95" s="371">
        <v>1098.1488110000003</v>
      </c>
      <c r="I95" s="371">
        <v>-492.435</v>
      </c>
      <c r="J95" s="371">
        <v>546.18100300000003</v>
      </c>
      <c r="K95" s="371">
        <v>1584.1207649999999</v>
      </c>
      <c r="L95" s="372">
        <v>2311.7476999999999</v>
      </c>
      <c r="M95" s="371">
        <v>2307.6810829999999</v>
      </c>
      <c r="N95" s="370"/>
      <c r="O95" s="370"/>
      <c r="P95" s="369"/>
      <c r="Q95" s="369"/>
      <c r="R95" s="366">
        <v>3349.1050278465591</v>
      </c>
      <c r="S95" s="367">
        <v>3961.3214675100644</v>
      </c>
      <c r="T95" s="367">
        <v>4660.5713283601472</v>
      </c>
      <c r="U95" s="368">
        <v>5474.497099838758</v>
      </c>
      <c r="V95" s="366">
        <v>6389.8308686298042</v>
      </c>
      <c r="W95" s="366">
        <v>7444.3977192637903</v>
      </c>
      <c r="X95" s="366">
        <v>8607.354756681736</v>
      </c>
      <c r="Y95" s="367">
        <v>9887.326052166929</v>
      </c>
      <c r="Z95" s="366">
        <v>11401.276860112848</v>
      </c>
      <c r="AA95" s="366">
        <v>12814.969493850585</v>
      </c>
      <c r="AB95" s="366">
        <v>14244.668693791551</v>
      </c>
      <c r="AC95" s="366">
        <v>15253.356267619238</v>
      </c>
      <c r="AD95" s="366">
        <v>15319.292307584517</v>
      </c>
      <c r="AE95" s="365"/>
      <c r="AF95" s="365"/>
      <c r="AG95" s="365"/>
      <c r="AH95" s="365"/>
    </row>
    <row r="96" spans="1:42" s="286" customFormat="1" hidden="1">
      <c r="A96" s="363" t="s">
        <v>525</v>
      </c>
      <c r="B96" s="361"/>
      <c r="C96" s="361">
        <f t="shared" ref="C96:M96" si="90">C95/B95*100</f>
        <v>332.25131156294231</v>
      </c>
      <c r="D96" s="361">
        <f t="shared" si="90"/>
        <v>203.50106499668388</v>
      </c>
      <c r="E96" s="361">
        <f t="shared" si="90"/>
        <v>174.88244296290932</v>
      </c>
      <c r="F96" s="361">
        <f t="shared" si="90"/>
        <v>158.5363081949923</v>
      </c>
      <c r="G96" s="361">
        <f t="shared" si="90"/>
        <v>132.85060483442251</v>
      </c>
      <c r="H96" s="361">
        <f t="shared" si="90"/>
        <v>93.430313397481356</v>
      </c>
      <c r="I96" s="361">
        <f t="shared" si="90"/>
        <v>-44.842283219482525</v>
      </c>
      <c r="J96" s="361">
        <f t="shared" si="90"/>
        <v>-110.9143344806929</v>
      </c>
      <c r="K96" s="361">
        <f t="shared" si="90"/>
        <v>290.03585922961872</v>
      </c>
      <c r="L96" s="362">
        <f t="shared" si="90"/>
        <v>145.93254195490582</v>
      </c>
      <c r="M96" s="361">
        <f t="shared" si="90"/>
        <v>99.824089064736611</v>
      </c>
      <c r="N96" s="360"/>
      <c r="O96" s="360"/>
      <c r="P96" s="359"/>
      <c r="Q96" s="359"/>
      <c r="R96" s="356" t="e">
        <f t="shared" ref="R96:AD96" si="91">R95/Q95*100</f>
        <v>#DIV/0!</v>
      </c>
      <c r="S96" s="357">
        <f t="shared" si="91"/>
        <v>118.28000121146258</v>
      </c>
      <c r="T96" s="357">
        <f t="shared" si="91"/>
        <v>117.65193424934546</v>
      </c>
      <c r="U96" s="358">
        <f t="shared" si="91"/>
        <v>117.46407712989549</v>
      </c>
      <c r="V96" s="356">
        <f t="shared" si="91"/>
        <v>116.71996079453592</v>
      </c>
      <c r="W96" s="356">
        <f t="shared" si="91"/>
        <v>116.50383041922549</v>
      </c>
      <c r="X96" s="356">
        <f t="shared" si="91"/>
        <v>115.62190900156469</v>
      </c>
      <c r="Y96" s="357">
        <f t="shared" si="91"/>
        <v>114.87066969665185</v>
      </c>
      <c r="Z96" s="356">
        <f t="shared" si="91"/>
        <v>115.31203482071999</v>
      </c>
      <c r="AA96" s="356">
        <f t="shared" si="91"/>
        <v>112.39942377580105</v>
      </c>
      <c r="AB96" s="356">
        <f t="shared" si="91"/>
        <v>111.15647759151533</v>
      </c>
      <c r="AC96" s="356">
        <f t="shared" si="91"/>
        <v>107.0811585408604</v>
      </c>
      <c r="AD96" s="356">
        <f t="shared" si="91"/>
        <v>100.43227233933591</v>
      </c>
      <c r="AE96" s="355"/>
      <c r="AF96" s="355"/>
      <c r="AG96" s="355"/>
      <c r="AH96" s="355"/>
      <c r="AM96" s="364"/>
      <c r="AN96" s="364"/>
      <c r="AO96" s="364"/>
      <c r="AP96" s="364"/>
    </row>
    <row r="97" spans="1:43" s="354" customFormat="1">
      <c r="A97" s="346" t="s">
        <v>524</v>
      </c>
      <c r="B97" s="352"/>
      <c r="C97" s="352">
        <v>110.3</v>
      </c>
      <c r="D97" s="352">
        <v>110.6</v>
      </c>
      <c r="E97" s="352">
        <v>112.62350373163208</v>
      </c>
      <c r="F97" s="352">
        <v>113.29988902587398</v>
      </c>
      <c r="G97" s="352">
        <v>117.24597713230965</v>
      </c>
      <c r="H97" s="352">
        <v>111.48522440050044</v>
      </c>
      <c r="I97" s="352">
        <v>96.468062019452177</v>
      </c>
      <c r="J97" s="352">
        <v>104.58372310570626</v>
      </c>
      <c r="K97" s="352">
        <v>102.79894235695912</v>
      </c>
      <c r="L97" s="353">
        <v>108.41928339288962</v>
      </c>
      <c r="M97" s="352">
        <v>104.85320969523735</v>
      </c>
      <c r="N97" s="351">
        <v>101.18038403194063</v>
      </c>
      <c r="O97" s="353">
        <v>90.613626926738561</v>
      </c>
      <c r="P97" s="352">
        <v>101.74124978314714</v>
      </c>
      <c r="Q97" s="353">
        <v>103.79393893945259</v>
      </c>
      <c r="R97" s="352">
        <v>104.37681314802654</v>
      </c>
      <c r="S97" s="352">
        <v>103.72346418874383</v>
      </c>
      <c r="T97" s="352">
        <v>103.06269740979295</v>
      </c>
      <c r="U97" s="352">
        <v>103.16761974115624</v>
      </c>
      <c r="V97" s="352">
        <v>103.10715943643136</v>
      </c>
      <c r="W97" s="352">
        <v>103.12369087101305</v>
      </c>
      <c r="X97" s="352">
        <v>103.06127218227475</v>
      </c>
      <c r="Y97" s="352">
        <v>103.09695719032223</v>
      </c>
      <c r="Z97" s="352">
        <v>103.17476156737004</v>
      </c>
      <c r="AA97" s="352">
        <v>103.04485057932852</v>
      </c>
      <c r="AB97" s="352">
        <v>102.93358323679745</v>
      </c>
      <c r="AC97" s="352">
        <v>102.87034457561728</v>
      </c>
      <c r="AD97" s="352">
        <v>102.77610974486552</v>
      </c>
      <c r="AE97" s="352">
        <v>102.9890149626395</v>
      </c>
      <c r="AF97" s="352">
        <v>102.6491504398209</v>
      </c>
      <c r="AG97" s="352">
        <v>102.57682012833014</v>
      </c>
      <c r="AH97" s="352">
        <v>102.44926148479223</v>
      </c>
      <c r="AI97" s="352">
        <v>102.50016853479814</v>
      </c>
      <c r="AJ97" s="677"/>
      <c r="AM97" s="374"/>
      <c r="AN97" s="374"/>
      <c r="AO97" s="374"/>
      <c r="AP97" s="374"/>
    </row>
    <row r="98" spans="1:43" s="350" customFormat="1">
      <c r="A98" s="346" t="s">
        <v>523</v>
      </c>
      <c r="B98" s="352"/>
      <c r="C98" s="352"/>
      <c r="D98" s="352"/>
      <c r="E98" s="352"/>
      <c r="F98" s="352"/>
      <c r="G98" s="352"/>
      <c r="H98" s="352">
        <v>105.2</v>
      </c>
      <c r="I98" s="352">
        <v>92.2</v>
      </c>
      <c r="J98" s="352">
        <v>104.5</v>
      </c>
      <c r="K98" s="352">
        <v>104.3</v>
      </c>
      <c r="L98" s="353">
        <v>103.4</v>
      </c>
      <c r="M98" s="352">
        <v>101.25</v>
      </c>
      <c r="N98" s="351">
        <v>100.55</v>
      </c>
      <c r="O98" s="353">
        <v>96.375959833380932</v>
      </c>
      <c r="P98" s="352">
        <v>101.12872415217437</v>
      </c>
      <c r="Q98" s="353">
        <v>102.85407489010372</v>
      </c>
      <c r="R98" s="352">
        <v>103.12952180081024</v>
      </c>
      <c r="S98" s="352">
        <v>102.9694375216049</v>
      </c>
      <c r="T98" s="352">
        <v>102.33033316614556</v>
      </c>
      <c r="U98" s="352">
        <v>102.21052835483817</v>
      </c>
      <c r="V98" s="352">
        <v>101.86966988365963</v>
      </c>
      <c r="W98" s="352">
        <v>101.91588075325433</v>
      </c>
      <c r="X98" s="352">
        <v>101.92588063502888</v>
      </c>
      <c r="Y98" s="352">
        <v>102.01866471253716</v>
      </c>
      <c r="Z98" s="352">
        <v>101.99083378485997</v>
      </c>
      <c r="AA98" s="352">
        <v>102.0358171019454</v>
      </c>
      <c r="AB98" s="352">
        <v>102.03332462931371</v>
      </c>
      <c r="AC98" s="352">
        <v>101.98376745874975</v>
      </c>
      <c r="AD98" s="352">
        <v>101.85498208974215</v>
      </c>
      <c r="AE98" s="352">
        <v>101.83127506753868</v>
      </c>
      <c r="AF98" s="352">
        <v>101.74519336040224</v>
      </c>
      <c r="AG98" s="352">
        <v>101.76238878709718</v>
      </c>
      <c r="AH98" s="352">
        <v>101.6875252909837</v>
      </c>
      <c r="AI98" s="352">
        <v>101.34374160440881</v>
      </c>
      <c r="AJ98" s="677"/>
      <c r="AM98" s="364"/>
      <c r="AN98" s="364"/>
      <c r="AO98" s="364"/>
      <c r="AP98" s="364"/>
    </row>
    <row r="99" spans="1:43" s="338" customFormat="1">
      <c r="A99" s="346" t="s">
        <v>522</v>
      </c>
      <c r="B99" s="349">
        <v>111.1</v>
      </c>
      <c r="C99" s="349">
        <v>114.99803832140549</v>
      </c>
      <c r="D99" s="349">
        <v>110.41875839691417</v>
      </c>
      <c r="E99" s="349">
        <v>112.39492148368365</v>
      </c>
      <c r="F99" s="349">
        <v>113.47456051839747</v>
      </c>
      <c r="G99" s="348">
        <f t="shared" ref="G99:AI99" si="92">(G2-G49)/(F2-F49)*100/G102*100</f>
        <v>112.11978624551516</v>
      </c>
      <c r="H99" s="348">
        <f t="shared" si="92"/>
        <v>101.90184693434212</v>
      </c>
      <c r="I99" s="348">
        <f t="shared" si="92"/>
        <v>103.31871215825046</v>
      </c>
      <c r="J99" s="348">
        <f t="shared" si="92"/>
        <v>106.72146869388666</v>
      </c>
      <c r="K99" s="348">
        <f t="shared" si="92"/>
        <v>100.50192808947325</v>
      </c>
      <c r="L99" s="664">
        <f t="shared" si="92"/>
        <v>105.44358612981004</v>
      </c>
      <c r="M99" s="552">
        <f t="shared" si="92"/>
        <v>103.96031852632987</v>
      </c>
      <c r="N99" s="552">
        <f t="shared" si="92"/>
        <v>99.288753897105934</v>
      </c>
      <c r="O99" s="551">
        <f>(O2-O49)/(N2-N49)*100/O102*100</f>
        <v>95.962641261710544</v>
      </c>
      <c r="P99" s="550">
        <f t="shared" si="92"/>
        <v>99.791106005406462</v>
      </c>
      <c r="Q99" s="551">
        <f t="shared" si="92"/>
        <v>101.60708253298311</v>
      </c>
      <c r="R99" s="550">
        <f t="shared" ca="1" si="92"/>
        <v>103.80059208498839</v>
      </c>
      <c r="S99" s="550">
        <f t="shared" ca="1" si="92"/>
        <v>103.45852520562396</v>
      </c>
      <c r="T99" s="550">
        <f t="shared" ca="1" si="92"/>
        <v>103.03257511748718</v>
      </c>
      <c r="U99" s="550">
        <f t="shared" ca="1" si="92"/>
        <v>102.29347277332475</v>
      </c>
      <c r="V99" s="550">
        <f t="shared" ca="1" si="92"/>
        <v>102.14247779045766</v>
      </c>
      <c r="W99" s="550">
        <f t="shared" ca="1" si="92"/>
        <v>102.03771184666877</v>
      </c>
      <c r="X99" s="550">
        <f t="shared" ca="1" si="92"/>
        <v>102.03766672483536</v>
      </c>
      <c r="Y99" s="550">
        <f t="shared" ca="1" si="92"/>
        <v>102.32611677287584</v>
      </c>
      <c r="Z99" s="550">
        <f t="shared" ca="1" si="92"/>
        <v>102.65005659331162</v>
      </c>
      <c r="AA99" s="550">
        <f t="shared" ca="1" si="92"/>
        <v>102.49724680341888</v>
      </c>
      <c r="AB99" s="550">
        <f t="shared" ca="1" si="92"/>
        <v>102.66509173657666</v>
      </c>
      <c r="AC99" s="550">
        <f t="shared" ca="1" si="92"/>
        <v>102.44785277963635</v>
      </c>
      <c r="AD99" s="550">
        <f t="shared" ca="1" si="92"/>
        <v>102.53001751867403</v>
      </c>
      <c r="AE99" s="550">
        <f t="shared" ca="1" si="92"/>
        <v>102.43923786011371</v>
      </c>
      <c r="AF99" s="550">
        <f t="shared" ca="1" si="92"/>
        <v>102.49132787386921</v>
      </c>
      <c r="AG99" s="550">
        <f t="shared" ca="1" si="92"/>
        <v>102.42100506721665</v>
      </c>
      <c r="AH99" s="550">
        <f t="shared" ca="1" si="92"/>
        <v>102.29089981192345</v>
      </c>
      <c r="AI99" s="550">
        <f t="shared" ca="1" si="92"/>
        <v>102.30928249249483</v>
      </c>
      <c r="AJ99" s="676"/>
      <c r="AK99" s="339"/>
      <c r="AL99" s="339"/>
      <c r="AM99" s="286"/>
      <c r="AN99" s="286"/>
      <c r="AO99" s="286"/>
      <c r="AP99" s="286"/>
    </row>
    <row r="100" spans="1:43" s="286" customFormat="1">
      <c r="A100" s="346" t="s">
        <v>521</v>
      </c>
      <c r="B100" s="332"/>
      <c r="C100" s="332"/>
      <c r="D100" s="332"/>
      <c r="E100" s="332"/>
      <c r="F100" s="332"/>
      <c r="G100" s="332"/>
      <c r="H100" s="332"/>
      <c r="I100" s="332">
        <f t="shared" ref="I100:AI100" si="93">(I5-I49)/(H5-H49)/I102*10000</f>
        <v>102.19258276329325</v>
      </c>
      <c r="J100" s="332">
        <f t="shared" si="93"/>
        <v>107.35849437479477</v>
      </c>
      <c r="K100" s="332">
        <f t="shared" si="93"/>
        <v>100.5517924453667</v>
      </c>
      <c r="L100" s="332">
        <f t="shared" si="93"/>
        <v>105.65419406476779</v>
      </c>
      <c r="M100" s="332">
        <f t="shared" si="93"/>
        <v>104.10438959881552</v>
      </c>
      <c r="N100" s="332">
        <f t="shared" si="93"/>
        <v>99.210671138244081</v>
      </c>
      <c r="O100" s="332">
        <f t="shared" si="93"/>
        <v>93.387643566699225</v>
      </c>
      <c r="P100" s="332">
        <f t="shared" si="93"/>
        <v>100.47071326008246</v>
      </c>
      <c r="Q100" s="332">
        <f t="shared" si="93"/>
        <v>102.38042927487757</v>
      </c>
      <c r="R100" s="332">
        <f t="shared" ca="1" si="93"/>
        <v>103.36143725296587</v>
      </c>
      <c r="S100" s="332">
        <f t="shared" ca="1" si="93"/>
        <v>103.42351524759043</v>
      </c>
      <c r="T100" s="332">
        <f t="shared" ca="1" si="93"/>
        <v>102.93678912749331</v>
      </c>
      <c r="U100" s="332">
        <f t="shared" ca="1" si="93"/>
        <v>102.92264207437913</v>
      </c>
      <c r="V100" s="332">
        <f t="shared" ca="1" si="93"/>
        <v>102.75877285100614</v>
      </c>
      <c r="W100" s="332">
        <f t="shared" ca="1" si="93"/>
        <v>102.61712494369135</v>
      </c>
      <c r="X100" s="332">
        <f t="shared" ca="1" si="93"/>
        <v>102.54591265966729</v>
      </c>
      <c r="Y100" s="332">
        <f t="shared" ca="1" si="93"/>
        <v>102.71561056485818</v>
      </c>
      <c r="Z100" s="332">
        <f t="shared" ca="1" si="93"/>
        <v>102.85973206930535</v>
      </c>
      <c r="AA100" s="332">
        <f t="shared" ca="1" si="93"/>
        <v>102.64913344861968</v>
      </c>
      <c r="AB100" s="332">
        <f t="shared" ca="1" si="93"/>
        <v>102.72765615444382</v>
      </c>
      <c r="AC100" s="332">
        <f t="shared" ca="1" si="93"/>
        <v>102.52713143435007</v>
      </c>
      <c r="AD100" s="332">
        <f t="shared" ca="1" si="93"/>
        <v>102.63983974127689</v>
      </c>
      <c r="AE100" s="332">
        <f t="shared" ca="1" si="93"/>
        <v>102.53769890481431</v>
      </c>
      <c r="AF100" s="332">
        <f t="shared" ca="1" si="93"/>
        <v>102.55772993983153</v>
      </c>
      <c r="AG100" s="332">
        <f t="shared" ca="1" si="93"/>
        <v>102.46964696448755</v>
      </c>
      <c r="AH100" s="332">
        <f t="shared" ca="1" si="93"/>
        <v>102.33532637022195</v>
      </c>
      <c r="AI100" s="332">
        <f t="shared" ca="1" si="93"/>
        <v>102.3519904747305</v>
      </c>
      <c r="AJ100" s="332"/>
      <c r="AM100" s="354"/>
      <c r="AN100" s="354"/>
      <c r="AO100" s="354"/>
      <c r="AP100" s="354"/>
    </row>
    <row r="101" spans="1:43" s="286" customFormat="1">
      <c r="A101" s="345"/>
      <c r="B101" s="332"/>
      <c r="C101" s="332"/>
      <c r="D101" s="332"/>
      <c r="E101" s="332"/>
      <c r="F101" s="332"/>
      <c r="G101" s="332"/>
      <c r="H101" s="332"/>
      <c r="I101" s="332">
        <f t="shared" ref="I101:AI101" si="94">I104*(H38+H52)/H36+I105*(H41+H44)/H36</f>
        <v>110.88789869859178</v>
      </c>
      <c r="J101" s="332">
        <f t="shared" si="94"/>
        <v>106.70335923669948</v>
      </c>
      <c r="K101" s="332">
        <f t="shared" si="94"/>
        <v>108.35649621911872</v>
      </c>
      <c r="L101" s="332">
        <f t="shared" si="94"/>
        <v>105.35103100361015</v>
      </c>
      <c r="M101" s="332">
        <f t="shared" si="94"/>
        <v>106.79227486596436</v>
      </c>
      <c r="N101" s="332">
        <f t="shared" si="94"/>
        <v>107.70921436122707</v>
      </c>
      <c r="O101" s="332">
        <f t="shared" si="94"/>
        <v>113.90818479461996</v>
      </c>
      <c r="P101" s="332">
        <f t="shared" ca="1" si="94"/>
        <v>107.37390722141458</v>
      </c>
      <c r="Q101" s="332">
        <f t="shared" ca="1" si="94"/>
        <v>106.52154494930005</v>
      </c>
      <c r="R101" s="332">
        <f t="shared" ca="1" si="94"/>
        <v>104.20942321008282</v>
      </c>
      <c r="S101" s="332">
        <f t="shared" ca="1" si="94"/>
        <v>102.05069835311772</v>
      </c>
      <c r="T101" s="332">
        <f t="shared" ca="1" si="94"/>
        <v>102.03607301923614</v>
      </c>
      <c r="U101" s="332">
        <f t="shared" ca="1" si="94"/>
        <v>102.03621849772621</v>
      </c>
      <c r="V101" s="332">
        <f t="shared" ca="1" si="94"/>
        <v>102.71593437685425</v>
      </c>
      <c r="W101" s="332">
        <f t="shared" ca="1" si="94"/>
        <v>102.83819399908293</v>
      </c>
      <c r="X101" s="332">
        <f t="shared" ca="1" si="94"/>
        <v>102.92468786072229</v>
      </c>
      <c r="Y101" s="332">
        <f t="shared" ca="1" si="94"/>
        <v>103.00635691121238</v>
      </c>
      <c r="Z101" s="332">
        <f t="shared" ca="1" si="94"/>
        <v>102.94626849632762</v>
      </c>
      <c r="AA101" s="332">
        <f t="shared" ca="1" si="94"/>
        <v>102.90463970435886</v>
      </c>
      <c r="AB101" s="332">
        <f t="shared" ca="1" si="94"/>
        <v>102.87042605829589</v>
      </c>
      <c r="AC101" s="332">
        <f t="shared" ca="1" si="94"/>
        <v>102.88303150505536</v>
      </c>
      <c r="AD101" s="332">
        <f t="shared" ca="1" si="94"/>
        <v>102.88689873010529</v>
      </c>
      <c r="AE101" s="332">
        <f t="shared" ca="1" si="94"/>
        <v>102.88562390988996</v>
      </c>
      <c r="AF101" s="332">
        <f t="shared" si="94"/>
        <v>102.88566181791202</v>
      </c>
      <c r="AG101" s="332">
        <f t="shared" si="94"/>
        <v>102.88569522517469</v>
      </c>
      <c r="AH101" s="332">
        <f t="shared" si="94"/>
        <v>102.88577823858127</v>
      </c>
      <c r="AI101" s="332">
        <f t="shared" si="94"/>
        <v>102.88596101773174</v>
      </c>
      <c r="AJ101" s="332"/>
      <c r="AM101" s="350"/>
      <c r="AN101" s="350"/>
      <c r="AO101" s="350"/>
      <c r="AP101" s="350"/>
    </row>
    <row r="102" spans="1:43" s="338" customFormat="1">
      <c r="A102" s="344" t="s">
        <v>42</v>
      </c>
      <c r="B102" s="341">
        <v>115.8</v>
      </c>
      <c r="C102" s="341">
        <v>113.7</v>
      </c>
      <c r="D102" s="341">
        <v>110.9</v>
      </c>
      <c r="E102" s="341">
        <v>112.7</v>
      </c>
      <c r="F102" s="341">
        <v>109.67032967277098</v>
      </c>
      <c r="G102" s="341">
        <v>109.00374045936474</v>
      </c>
      <c r="H102" s="341">
        <v>114.12249325549936</v>
      </c>
      <c r="I102" s="341">
        <v>111.65603783366993</v>
      </c>
      <c r="J102" s="341">
        <v>106.84207074595733</v>
      </c>
      <c r="K102" s="341">
        <v>108.41115670476287</v>
      </c>
      <c r="L102" s="343">
        <v>105.1</v>
      </c>
      <c r="M102" s="341">
        <v>106.8</v>
      </c>
      <c r="N102" s="341">
        <v>107.83612507884948</v>
      </c>
      <c r="O102" s="341">
        <v>115.15220643146984</v>
      </c>
      <c r="P102" s="341">
        <v>107.35826814796054</v>
      </c>
      <c r="Q102" s="341">
        <v>106.24972126911356</v>
      </c>
      <c r="R102" s="341">
        <v>104.33408363862576</v>
      </c>
      <c r="S102" s="341">
        <v>102.81516026084205</v>
      </c>
      <c r="T102" s="341">
        <v>102.5914089776561</v>
      </c>
      <c r="U102" s="341">
        <v>102.39069804237737</v>
      </c>
      <c r="V102" s="341">
        <v>102.47553104656346</v>
      </c>
      <c r="W102" s="341">
        <v>102.59185089684215</v>
      </c>
      <c r="X102" s="341">
        <v>102.67208110461108</v>
      </c>
      <c r="Y102" s="341">
        <v>102.66607666790628</v>
      </c>
      <c r="Z102" s="341">
        <v>102.60319604248735</v>
      </c>
      <c r="AA102" s="341">
        <v>102.7252241395058</v>
      </c>
      <c r="AB102" s="341">
        <v>102.6898724709727</v>
      </c>
      <c r="AC102" s="341">
        <v>102.9636330774963</v>
      </c>
      <c r="AD102" s="341">
        <v>102.70393588403381</v>
      </c>
      <c r="AE102" s="341">
        <v>102.70393588403381</v>
      </c>
      <c r="AF102" s="341">
        <v>102.70393588403381</v>
      </c>
      <c r="AG102" s="341">
        <v>102.70393588403381</v>
      </c>
      <c r="AH102" s="341">
        <v>102.70393588403381</v>
      </c>
      <c r="AI102" s="341">
        <v>102.70393588403381</v>
      </c>
      <c r="AJ102" s="332"/>
      <c r="AK102" s="338">
        <v>102.21058265009792</v>
      </c>
      <c r="AM102" s="339"/>
      <c r="AN102" s="340">
        <f>100-O99</f>
        <v>4.0373587382894556</v>
      </c>
    </row>
    <row r="103" spans="1:43" s="598" customFormat="1">
      <c r="A103" s="600" t="s">
        <v>601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602">
        <f t="shared" ref="L103:AI103" si="95">L38/(L38+L41)*L104+L41/(L38+L41)*L105</f>
        <v>105.35121353038741</v>
      </c>
      <c r="M103" s="597">
        <f t="shared" si="95"/>
        <v>106.73556897493592</v>
      </c>
      <c r="N103" s="597">
        <f t="shared" si="95"/>
        <v>107.68226428926027</v>
      </c>
      <c r="O103" s="597">
        <f>O38/(O38+O41)*O104+O41/(O38+O41)*O105</f>
        <v>114.10872280614393</v>
      </c>
      <c r="P103" s="597">
        <f t="shared" si="95"/>
        <v>107.34102323896387</v>
      </c>
      <c r="Q103" s="597">
        <f t="shared" si="95"/>
        <v>106.40626806208196</v>
      </c>
      <c r="R103" s="597">
        <f t="shared" si="95"/>
        <v>104.13283868520766</v>
      </c>
      <c r="S103" s="597">
        <f t="shared" si="95"/>
        <v>102.03262321536272</v>
      </c>
      <c r="T103" s="597">
        <f t="shared" si="95"/>
        <v>102.01694979021411</v>
      </c>
      <c r="U103" s="597">
        <f t="shared" si="95"/>
        <v>102.02050217770386</v>
      </c>
      <c r="V103" s="597">
        <f t="shared" si="95"/>
        <v>102.69986530492507</v>
      </c>
      <c r="W103" s="597">
        <f t="shared" si="95"/>
        <v>102.8221614314443</v>
      </c>
      <c r="X103" s="597">
        <f t="shared" si="95"/>
        <v>102.90852415154799</v>
      </c>
      <c r="Y103" s="597">
        <f t="shared" si="95"/>
        <v>102.99009886496904</v>
      </c>
      <c r="Z103" s="597">
        <f t="shared" si="95"/>
        <v>102.93226523807014</v>
      </c>
      <c r="AA103" s="597">
        <f t="shared" si="95"/>
        <v>102.89070297847589</v>
      </c>
      <c r="AB103" s="597">
        <f t="shared" si="95"/>
        <v>102.85659011947396</v>
      </c>
      <c r="AC103" s="597">
        <f t="shared" si="95"/>
        <v>102.8693112574535</v>
      </c>
      <c r="AD103" s="597">
        <f t="shared" si="95"/>
        <v>102.87307519322391</v>
      </c>
      <c r="AE103" s="597">
        <f t="shared" si="95"/>
        <v>102.87411637821133</v>
      </c>
      <c r="AF103" s="597">
        <f t="shared" si="95"/>
        <v>102.87419358387041</v>
      </c>
      <c r="AG103" s="597">
        <f t="shared" si="95"/>
        <v>102.87429525183839</v>
      </c>
      <c r="AH103" s="597">
        <f t="shared" si="95"/>
        <v>102.87448368229656</v>
      </c>
      <c r="AI103" s="601">
        <f t="shared" si="95"/>
        <v>102.87467009922278</v>
      </c>
      <c r="AJ103" s="597"/>
      <c r="AM103" s="286"/>
      <c r="AN103" s="286"/>
      <c r="AO103" s="286"/>
      <c r="AP103" s="286"/>
    </row>
    <row r="104" spans="1:43" s="286" customFormat="1">
      <c r="A104" s="334" t="s">
        <v>520</v>
      </c>
      <c r="B104" s="332">
        <v>112.2</v>
      </c>
      <c r="C104" s="332">
        <v>110.6</v>
      </c>
      <c r="D104" s="332">
        <v>109.9</v>
      </c>
      <c r="E104" s="332">
        <v>110.6</v>
      </c>
      <c r="F104" s="332">
        <v>108.4</v>
      </c>
      <c r="G104" s="332">
        <v>107.4</v>
      </c>
      <c r="H104" s="332">
        <v>112.83434315676925</v>
      </c>
      <c r="I104" s="332">
        <v>110.13488391336796</v>
      </c>
      <c r="J104" s="332">
        <v>106.17386492044017</v>
      </c>
      <c r="K104" s="332">
        <v>108.28598456124574</v>
      </c>
      <c r="L104" s="331">
        <v>105.35221469288155</v>
      </c>
      <c r="M104" s="332">
        <v>106.48026464021849</v>
      </c>
      <c r="N104" s="332">
        <v>107.58652098695758</v>
      </c>
      <c r="O104" s="332">
        <v>115.0320288840537</v>
      </c>
      <c r="P104" s="332">
        <v>107.17442447175185</v>
      </c>
      <c r="Q104" s="332">
        <v>105.82566906995747</v>
      </c>
      <c r="R104" s="337">
        <v>103.76131257321639</v>
      </c>
      <c r="S104" s="337">
        <v>101.95345508804418</v>
      </c>
      <c r="T104" s="337">
        <v>101.93782123787103</v>
      </c>
      <c r="U104" s="337">
        <v>101.95887350013086</v>
      </c>
      <c r="V104" s="337">
        <v>102.63803188923681</v>
      </c>
      <c r="W104" s="337">
        <v>102.75996077752332</v>
      </c>
      <c r="X104" s="337">
        <v>102.84601028759811</v>
      </c>
      <c r="Y104" s="337">
        <v>102.92745298914328</v>
      </c>
      <c r="Z104" s="337">
        <v>102.87849154849353</v>
      </c>
      <c r="AA104" s="337">
        <v>102.83685194599474</v>
      </c>
      <c r="AB104" s="337">
        <v>102.80260081475333</v>
      </c>
      <c r="AC104" s="337">
        <v>102.81516345614367</v>
      </c>
      <c r="AD104" s="337">
        <v>102.8188596276525</v>
      </c>
      <c r="AE104" s="337">
        <v>102.82885962765251</v>
      </c>
      <c r="AF104" s="337">
        <v>102.82885962765251</v>
      </c>
      <c r="AG104" s="337">
        <v>102.82885962765251</v>
      </c>
      <c r="AH104" s="337">
        <v>102.82885962765251</v>
      </c>
      <c r="AI104" s="337">
        <v>102.82885962765251</v>
      </c>
      <c r="AJ104" s="337"/>
    </row>
    <row r="105" spans="1:43" s="286" customFormat="1">
      <c r="A105" s="334" t="s">
        <v>519</v>
      </c>
      <c r="B105" s="332">
        <v>129.30000000000001</v>
      </c>
      <c r="C105" s="332">
        <v>123.3</v>
      </c>
      <c r="D105" s="332">
        <v>115.4</v>
      </c>
      <c r="E105" s="332">
        <v>117.6</v>
      </c>
      <c r="F105" s="332">
        <v>114.5</v>
      </c>
      <c r="G105" s="332">
        <v>113.7</v>
      </c>
      <c r="H105" s="332">
        <v>114.1</v>
      </c>
      <c r="I105" s="332">
        <v>113.08835495947702</v>
      </c>
      <c r="J105" s="332">
        <v>108.12541657220072</v>
      </c>
      <c r="K105" s="332">
        <v>108.54826903152951</v>
      </c>
      <c r="L105" s="665">
        <v>105.34782270236518</v>
      </c>
      <c r="M105" s="599">
        <v>107.608549842861</v>
      </c>
      <c r="N105" s="599">
        <v>108.0278307031505</v>
      </c>
      <c r="O105" s="599">
        <v>110.8052850404152</v>
      </c>
      <c r="P105" s="599">
        <v>107.93937882467681</v>
      </c>
      <c r="Q105" s="332">
        <v>108.46682682367219</v>
      </c>
      <c r="R105" s="337">
        <v>105.44171731866282</v>
      </c>
      <c r="S105" s="337">
        <v>102.31345508804418</v>
      </c>
      <c r="T105" s="337">
        <v>102.29782123787103</v>
      </c>
      <c r="U105" s="337">
        <v>102.23887350013085</v>
      </c>
      <c r="V105" s="337">
        <v>102.9180318892368</v>
      </c>
      <c r="W105" s="337">
        <v>103.03996077752331</v>
      </c>
      <c r="X105" s="337">
        <v>103.12601028759809</v>
      </c>
      <c r="Y105" s="337">
        <v>103.20745298914326</v>
      </c>
      <c r="Z105" s="337">
        <v>103.11849154849354</v>
      </c>
      <c r="AA105" s="337">
        <v>103.07685194599475</v>
      </c>
      <c r="AB105" s="337">
        <v>103.04260081475334</v>
      </c>
      <c r="AC105" s="337">
        <v>103.05516345614367</v>
      </c>
      <c r="AD105" s="337">
        <v>103.05885962765251</v>
      </c>
      <c r="AE105" s="337">
        <v>103.02885962765251</v>
      </c>
      <c r="AF105" s="337">
        <v>103.02885962765251</v>
      </c>
      <c r="AG105" s="337">
        <v>103.02885962765251</v>
      </c>
      <c r="AH105" s="337">
        <v>103.02885962765251</v>
      </c>
      <c r="AI105" s="337">
        <v>103.02885962765251</v>
      </c>
      <c r="AJ105" s="337"/>
      <c r="AM105" s="338"/>
      <c r="AN105" s="338"/>
      <c r="AO105" s="338"/>
      <c r="AP105" s="338"/>
      <c r="AQ105" s="311" t="e">
        <f>AP44*#REF!+(1-AP44)*#REF!</f>
        <v>#REF!</v>
      </c>
    </row>
    <row r="106" spans="1:43">
      <c r="A106" s="324" t="s">
        <v>518</v>
      </c>
      <c r="B106" s="313">
        <f t="shared" ref="B106:K106" si="96">SUM(B107:B111)</f>
        <v>585.07296300000007</v>
      </c>
      <c r="C106" s="313">
        <f t="shared" si="96"/>
        <v>733.50238300000001</v>
      </c>
      <c r="D106" s="313">
        <f t="shared" si="96"/>
        <v>975.44579799999997</v>
      </c>
      <c r="E106" s="313">
        <f t="shared" si="96"/>
        <v>1151.1176829999999</v>
      </c>
      <c r="F106" s="313">
        <f t="shared" si="96"/>
        <v>1524.8963339999998</v>
      </c>
      <c r="G106" s="313">
        <f t="shared" si="96"/>
        <v>2044.8707059999997</v>
      </c>
      <c r="H106" s="313">
        <f t="shared" si="96"/>
        <v>2838.3444030000001</v>
      </c>
      <c r="I106" s="313">
        <f t="shared" si="96"/>
        <v>2849.1040000000003</v>
      </c>
      <c r="J106" s="330">
        <f t="shared" si="96"/>
        <v>3025.0794370000003</v>
      </c>
      <c r="K106" s="330">
        <f t="shared" si="96"/>
        <v>3535.8287099999998</v>
      </c>
      <c r="L106" s="325">
        <v>4081.2809999999999</v>
      </c>
      <c r="M106" s="325">
        <f>SUM(M107:M111)</f>
        <v>5137.6779659999993</v>
      </c>
      <c r="N106" s="325">
        <f t="shared" ref="N106:AI106" si="97">SUM(N107:N111)</f>
        <v>5620.6170155979662</v>
      </c>
      <c r="O106" s="325">
        <f>SUM(O107:O111)</f>
        <v>6397.105155388901</v>
      </c>
      <c r="P106" s="325">
        <f>SUM(P107:P111)</f>
        <v>7049.2106305603429</v>
      </c>
      <c r="Q106" s="330">
        <f t="shared" si="97"/>
        <v>7288.6638785744162</v>
      </c>
      <c r="R106" s="330">
        <f t="shared" ca="1" si="97"/>
        <v>7770.6973766071806</v>
      </c>
      <c r="S106" s="330">
        <f ca="1">SUM(S107:S111)</f>
        <v>8231.1599425469794</v>
      </c>
      <c r="T106" s="330">
        <f ca="1">SUM(T107:T111)</f>
        <v>8597.1587696709321</v>
      </c>
      <c r="U106" s="330">
        <f t="shared" ca="1" si="97"/>
        <v>9015.4867755202249</v>
      </c>
      <c r="V106" s="330">
        <f t="shared" ca="1" si="97"/>
        <v>9459.5815501213419</v>
      </c>
      <c r="W106" s="330">
        <f t="shared" ca="1" si="97"/>
        <v>9965.2598364413552</v>
      </c>
      <c r="X106" s="330">
        <f t="shared" ca="1" si="97"/>
        <v>10528.928157436379</v>
      </c>
      <c r="Y106" s="330">
        <f t="shared" ca="1" si="97"/>
        <v>11078.429031033855</v>
      </c>
      <c r="Z106" s="330">
        <f t="shared" ca="1" si="97"/>
        <v>11605.970859435838</v>
      </c>
      <c r="AA106" s="330">
        <f t="shared" ca="1" si="97"/>
        <v>12150.913964102536</v>
      </c>
      <c r="AB106" s="330">
        <f t="shared" ca="1" si="97"/>
        <v>12648.806104042702</v>
      </c>
      <c r="AC106" s="330">
        <f t="shared" ca="1" si="97"/>
        <v>13225.856962675749</v>
      </c>
      <c r="AD106" s="330">
        <f t="shared" ca="1" si="97"/>
        <v>13784.251605866197</v>
      </c>
      <c r="AE106" s="330">
        <f t="shared" ca="1" si="97"/>
        <v>14295.333298843443</v>
      </c>
      <c r="AF106" s="330">
        <f t="shared" ca="1" si="97"/>
        <v>14992.564507902196</v>
      </c>
      <c r="AG106" s="330">
        <f t="shared" ca="1" si="97"/>
        <v>15755.875527198315</v>
      </c>
      <c r="AH106" s="330">
        <f t="shared" ca="1" si="97"/>
        <v>16643.719425302683</v>
      </c>
      <c r="AI106" s="330">
        <f t="shared" ca="1" si="97"/>
        <v>17582.463430443859</v>
      </c>
      <c r="AJ106" s="325"/>
      <c r="AM106" s="598"/>
      <c r="AN106" s="598"/>
      <c r="AO106" s="598"/>
      <c r="AP106" s="598"/>
    </row>
    <row r="107" spans="1:43">
      <c r="A107" s="320" t="s">
        <v>512</v>
      </c>
      <c r="B107" s="329">
        <v>398.82866200000001</v>
      </c>
      <c r="C107" s="329">
        <v>493.59596399999998</v>
      </c>
      <c r="D107" s="329">
        <v>632.720778</v>
      </c>
      <c r="E107" s="329">
        <v>773.768505</v>
      </c>
      <c r="F107" s="329">
        <v>1007.752108</v>
      </c>
      <c r="G107" s="329">
        <v>1368.1425139999999</v>
      </c>
      <c r="H107" s="329">
        <v>1795.142415</v>
      </c>
      <c r="I107" s="329">
        <v>1816.1510000000001</v>
      </c>
      <c r="J107" s="325">
        <v>1981.580099</v>
      </c>
      <c r="K107" s="325">
        <v>2213.8802089999999</v>
      </c>
      <c r="L107" s="325">
        <f ca="1">номинал!Q54/1000</f>
        <v>2513.3406540242927</v>
      </c>
      <c r="M107" s="325">
        <f ca="1">номинал!R54/1000</f>
        <v>2784.3623029999999</v>
      </c>
      <c r="N107" s="325">
        <f t="shared" ref="N107:AI107" si="98">N126*N10/100</f>
        <v>3012.1462604973676</v>
      </c>
      <c r="O107" s="325">
        <f t="shared" si="98"/>
        <v>3163.9543717037245</v>
      </c>
      <c r="P107" s="325">
        <f t="shared" si="98"/>
        <v>3378.1704637807834</v>
      </c>
      <c r="Q107" s="325">
        <f t="shared" si="98"/>
        <v>3670.0454415631725</v>
      </c>
      <c r="R107" s="325">
        <f t="shared" si="98"/>
        <v>3969.48441650316</v>
      </c>
      <c r="S107" s="325">
        <f t="shared" si="98"/>
        <v>4216.8503580181787</v>
      </c>
      <c r="T107" s="325">
        <f t="shared" si="98"/>
        <v>4422.6499665574956</v>
      </c>
      <c r="U107" s="325">
        <f t="shared" si="98"/>
        <v>4627.9857909550719</v>
      </c>
      <c r="V107" s="325">
        <f t="shared" si="98"/>
        <v>4845.3537462691311</v>
      </c>
      <c r="W107" s="325">
        <f t="shared" si="98"/>
        <v>5083.390166129986</v>
      </c>
      <c r="X107" s="325">
        <f t="shared" si="98"/>
        <v>5340.8956159836616</v>
      </c>
      <c r="Y107" s="325">
        <f t="shared" si="98"/>
        <v>5619.5789179707181</v>
      </c>
      <c r="Z107" s="325">
        <f t="shared" si="98"/>
        <v>5916.2128032666715</v>
      </c>
      <c r="AA107" s="325">
        <f t="shared" si="98"/>
        <v>6228.5113520437062</v>
      </c>
      <c r="AB107" s="325">
        <f t="shared" si="98"/>
        <v>6551.5728256903167</v>
      </c>
      <c r="AC107" s="325">
        <f t="shared" si="98"/>
        <v>6908.6303419082678</v>
      </c>
      <c r="AD107" s="325">
        <f t="shared" si="98"/>
        <v>7259.8717791843701</v>
      </c>
      <c r="AE107" s="325">
        <f t="shared" si="98"/>
        <v>7632.7371592442396</v>
      </c>
      <c r="AF107" s="325">
        <f t="shared" si="98"/>
        <v>8043.6558721181318</v>
      </c>
      <c r="AG107" s="325">
        <f t="shared" si="98"/>
        <v>8473.8224213854101</v>
      </c>
      <c r="AH107" s="325">
        <f t="shared" si="98"/>
        <v>8916.1034983544141</v>
      </c>
      <c r="AI107" s="325">
        <f t="shared" si="98"/>
        <v>9386.1449027361123</v>
      </c>
      <c r="AJ107" s="325"/>
      <c r="AM107" s="311"/>
      <c r="AN107" s="311"/>
      <c r="AO107" s="311"/>
      <c r="AP107" s="311"/>
    </row>
    <row r="108" spans="1:43">
      <c r="A108" s="320" t="s">
        <v>510</v>
      </c>
      <c r="B108" s="329">
        <v>149.51361399999999</v>
      </c>
      <c r="C108" s="329">
        <v>183.91119599999999</v>
      </c>
      <c r="D108" s="329">
        <v>255.783298</v>
      </c>
      <c r="E108" s="329">
        <v>217.62224399999999</v>
      </c>
      <c r="F108" s="329">
        <v>246.94263899999999</v>
      </c>
      <c r="G108" s="329">
        <v>230.43400399999999</v>
      </c>
      <c r="H108" s="329">
        <v>277.00826599999999</v>
      </c>
      <c r="I108" s="329">
        <v>261.02800000000002</v>
      </c>
      <c r="J108" s="325">
        <v>278.66292200000004</v>
      </c>
      <c r="K108" s="325">
        <v>333.851743</v>
      </c>
      <c r="L108" s="325">
        <f ca="1">номинал!Q55/1000</f>
        <v>417.30661399999997</v>
      </c>
      <c r="M108" s="325">
        <f ca="1">номинал!R55/1000</f>
        <v>491.554213</v>
      </c>
      <c r="N108" s="325">
        <f>N5*0.01</f>
        <v>454.06291116929049</v>
      </c>
      <c r="O108" s="325">
        <f>O5*0.01</f>
        <v>492.10044682614739</v>
      </c>
      <c r="P108" s="325">
        <f>P5*0.011</f>
        <v>585.51675677628384</v>
      </c>
      <c r="Q108" s="325">
        <f t="shared" ref="Q108:AI108" si="99">Q5*0.01</f>
        <v>575.223185218146</v>
      </c>
      <c r="R108" s="325">
        <f t="shared" ca="1" si="99"/>
        <v>619.43277564142693</v>
      </c>
      <c r="S108" s="325">
        <f t="shared" ca="1" si="99"/>
        <v>658.35601768914216</v>
      </c>
      <c r="T108" s="325">
        <f t="shared" ca="1" si="99"/>
        <v>694.29927667034792</v>
      </c>
      <c r="U108" s="325">
        <f t="shared" ca="1" si="99"/>
        <v>731.23012383466562</v>
      </c>
      <c r="V108" s="325">
        <f t="shared" ca="1" si="99"/>
        <v>769.66471641633632</v>
      </c>
      <c r="W108" s="325">
        <f t="shared" ca="1" si="99"/>
        <v>810.3435878122034</v>
      </c>
      <c r="X108" s="325">
        <f t="shared" ca="1" si="99"/>
        <v>853.5475574499543</v>
      </c>
      <c r="Y108" s="325">
        <f t="shared" ca="1" si="99"/>
        <v>899.85322722149726</v>
      </c>
      <c r="Z108" s="325">
        <f t="shared" ca="1" si="99"/>
        <v>948.82233217005785</v>
      </c>
      <c r="AA108" s="325">
        <f t="shared" ca="1" si="99"/>
        <v>999.62861598027769</v>
      </c>
      <c r="AB108" s="325">
        <f t="shared" ca="1" si="99"/>
        <v>1052.8241917802404</v>
      </c>
      <c r="AC108" s="325">
        <f t="shared" ca="1" si="99"/>
        <v>1110.1514144411433</v>
      </c>
      <c r="AD108" s="325">
        <f t="shared" ca="1" si="99"/>
        <v>1168.6897761031451</v>
      </c>
      <c r="AE108" s="325">
        <f t="shared" ca="1" si="99"/>
        <v>1228.5411858446419</v>
      </c>
      <c r="AF108" s="325">
        <f t="shared" ca="1" si="99"/>
        <v>1293.3842887799835</v>
      </c>
      <c r="AG108" s="325">
        <f t="shared" ca="1" si="99"/>
        <v>1360.9387542885781</v>
      </c>
      <c r="AH108" s="325">
        <f t="shared" ca="1" si="99"/>
        <v>1431.21855039311</v>
      </c>
      <c r="AI108" s="325">
        <f t="shared" ca="1" si="99"/>
        <v>1505.3567587385148</v>
      </c>
      <c r="AJ108" s="325"/>
      <c r="AM108" s="311"/>
      <c r="AN108" s="311">
        <f>AM44*O105+(1-AM44)*O104</f>
        <v>-38742.587939344347</v>
      </c>
      <c r="AO108" s="311" t="e">
        <f>AN44*#REF!+(1-AN44)*#REF!</f>
        <v>#REF!</v>
      </c>
      <c r="AP108" s="311">
        <f>AO44*P105+(1-AO44)*P104</f>
        <v>107.17442447175185</v>
      </c>
    </row>
    <row r="109" spans="1:43">
      <c r="A109" s="328" t="s">
        <v>509</v>
      </c>
      <c r="B109" s="311">
        <v>8.4157779999999995</v>
      </c>
      <c r="C109" s="311">
        <v>11.612675999999999</v>
      </c>
      <c r="D109" s="311">
        <v>11.960756</v>
      </c>
      <c r="E109" s="311">
        <v>14.128442</v>
      </c>
      <c r="F109" s="311">
        <v>16.733738000000002</v>
      </c>
      <c r="G109" s="311">
        <v>54.036782000000002</v>
      </c>
      <c r="H109" s="311">
        <v>69.949142999999992</v>
      </c>
      <c r="I109" s="311">
        <v>90.73</v>
      </c>
      <c r="J109" s="325">
        <v>100.364051</v>
      </c>
      <c r="K109" s="325">
        <v>148.92268999999999</v>
      </c>
      <c r="L109" s="325">
        <f ca="1">номинал!Q56/1000</f>
        <v>166.74861097570741</v>
      </c>
      <c r="M109" s="325">
        <f ca="1">номинал!R56/1000</f>
        <v>186.275171</v>
      </c>
      <c r="N109" s="285">
        <f>0.036*N24</f>
        <v>134.3034147431824</v>
      </c>
      <c r="O109" s="285">
        <f>0.036*O24</f>
        <v>145.58462811011432</v>
      </c>
      <c r="P109" s="285">
        <f>0.036*P24</f>
        <v>151.15160645125786</v>
      </c>
      <c r="Q109" s="285">
        <f>0.036*Q24</f>
        <v>161.21275176036625</v>
      </c>
      <c r="R109" s="285">
        <f>0.036*R24</f>
        <v>173.834096662045</v>
      </c>
      <c r="S109" s="285">
        <f t="shared" ref="S109:AI109" si="100">0.04*S24</f>
        <v>203.13358749244014</v>
      </c>
      <c r="T109" s="285">
        <f t="shared" si="100"/>
        <v>213.04734046867299</v>
      </c>
      <c r="U109" s="285">
        <f t="shared" si="100"/>
        <v>225.16813961422915</v>
      </c>
      <c r="V109" s="285">
        <f t="shared" si="100"/>
        <v>238.10131047983506</v>
      </c>
      <c r="W109" s="285">
        <f t="shared" si="100"/>
        <v>251.04744322819786</v>
      </c>
      <c r="X109" s="285">
        <f t="shared" si="100"/>
        <v>263.76456363217972</v>
      </c>
      <c r="Y109" s="285">
        <f t="shared" si="100"/>
        <v>277.52756984413554</v>
      </c>
      <c r="Z109" s="285">
        <f t="shared" si="100"/>
        <v>292.1770805141162</v>
      </c>
      <c r="AA109" s="285">
        <f t="shared" si="100"/>
        <v>307.60020359381457</v>
      </c>
      <c r="AB109" s="285">
        <f t="shared" si="100"/>
        <v>323.55486265282201</v>
      </c>
      <c r="AC109" s="285">
        <f t="shared" si="100"/>
        <v>341.18844449534458</v>
      </c>
      <c r="AD109" s="285">
        <f t="shared" si="100"/>
        <v>358.53479445122321</v>
      </c>
      <c r="AE109" s="285">
        <f t="shared" si="100"/>
        <v>376.94906077215842</v>
      </c>
      <c r="AF109" s="285">
        <f t="shared" si="100"/>
        <v>397.24262252332119</v>
      </c>
      <c r="AG109" s="285">
        <f t="shared" si="100"/>
        <v>418.48675465297464</v>
      </c>
      <c r="AH109" s="285">
        <f t="shared" si="100"/>
        <v>440.32917278980881</v>
      </c>
      <c r="AI109" s="285">
        <f t="shared" si="100"/>
        <v>463.5425577405951</v>
      </c>
      <c r="AJ109" s="285"/>
    </row>
    <row r="110" spans="1:43">
      <c r="A110" s="328" t="s">
        <v>508</v>
      </c>
      <c r="B110" s="311">
        <v>4.1722349999999997</v>
      </c>
      <c r="C110" s="311">
        <v>4.5922539999999996</v>
      </c>
      <c r="D110" s="311">
        <v>4.9012799999999999</v>
      </c>
      <c r="E110" s="311">
        <v>3.3327689999999999</v>
      </c>
      <c r="F110" s="311">
        <v>3.5089130000000002</v>
      </c>
      <c r="G110" s="311">
        <v>3.4446790000000003</v>
      </c>
      <c r="H110" s="311">
        <v>100.237876</v>
      </c>
      <c r="I110" s="311">
        <v>46.832999999999998</v>
      </c>
      <c r="J110" s="325">
        <v>10.594063999999999</v>
      </c>
      <c r="K110" s="325">
        <v>14.462066</v>
      </c>
      <c r="L110" s="325">
        <f ca="1">номинал!Q58/1000</f>
        <v>16.592617999999998</v>
      </c>
      <c r="M110" s="325">
        <f ca="1">номинал!R58/1000</f>
        <v>14.415683000000001</v>
      </c>
      <c r="N110" s="285">
        <f>0.00035*N5</f>
        <v>15.892201890925167</v>
      </c>
      <c r="O110" s="285">
        <f>0.00035*O5</f>
        <v>17.22351563891516</v>
      </c>
      <c r="P110" s="285">
        <f t="shared" ref="P110:AI110" si="101">0.00045*P5</f>
        <v>23.952958231757066</v>
      </c>
      <c r="Q110" s="285">
        <f t="shared" si="101"/>
        <v>25.885043334816572</v>
      </c>
      <c r="R110" s="285">
        <f t="shared" ca="1" si="101"/>
        <v>27.874474903864211</v>
      </c>
      <c r="S110" s="285">
        <f t="shared" ca="1" si="101"/>
        <v>29.626020796011396</v>
      </c>
      <c r="T110" s="285">
        <f t="shared" ca="1" si="101"/>
        <v>31.243467450165653</v>
      </c>
      <c r="U110" s="285">
        <f t="shared" ca="1" si="101"/>
        <v>32.905355572559948</v>
      </c>
      <c r="V110" s="285">
        <f t="shared" ca="1" si="101"/>
        <v>34.634912238735133</v>
      </c>
      <c r="W110" s="285">
        <f t="shared" ca="1" si="101"/>
        <v>36.465461451549146</v>
      </c>
      <c r="X110" s="285">
        <f t="shared" ca="1" si="101"/>
        <v>38.409640085247943</v>
      </c>
      <c r="Y110" s="285">
        <f t="shared" ca="1" si="101"/>
        <v>40.493395224967372</v>
      </c>
      <c r="Z110" s="285">
        <f t="shared" ca="1" si="101"/>
        <v>42.697004947652601</v>
      </c>
      <c r="AA110" s="285">
        <f t="shared" ca="1" si="101"/>
        <v>44.983287719112496</v>
      </c>
      <c r="AB110" s="285">
        <f t="shared" ca="1" si="101"/>
        <v>47.377088630110819</v>
      </c>
      <c r="AC110" s="285">
        <f t="shared" ca="1" si="101"/>
        <v>49.956813649851448</v>
      </c>
      <c r="AD110" s="285">
        <f t="shared" ca="1" si="101"/>
        <v>52.591039924641521</v>
      </c>
      <c r="AE110" s="285">
        <f t="shared" ca="1" si="101"/>
        <v>55.284353363008883</v>
      </c>
      <c r="AF110" s="285">
        <f t="shared" ca="1" si="101"/>
        <v>58.202292995099256</v>
      </c>
      <c r="AG110" s="285">
        <f t="shared" ca="1" si="101"/>
        <v>61.242243942986008</v>
      </c>
      <c r="AH110" s="285">
        <f t="shared" ca="1" si="101"/>
        <v>64.404834767689948</v>
      </c>
      <c r="AI110" s="285">
        <f t="shared" ca="1" si="101"/>
        <v>67.741054143233171</v>
      </c>
      <c r="AJ110" s="285"/>
    </row>
    <row r="111" spans="1:43" ht="25.5">
      <c r="A111" s="320" t="s">
        <v>507</v>
      </c>
      <c r="B111" s="311">
        <v>24.142674</v>
      </c>
      <c r="C111" s="311">
        <v>39.790292999999998</v>
      </c>
      <c r="D111" s="311">
        <v>70.079685999999995</v>
      </c>
      <c r="E111" s="311">
        <v>142.26572300000001</v>
      </c>
      <c r="F111" s="311">
        <v>249.95893599999999</v>
      </c>
      <c r="G111" s="311">
        <v>388.812727</v>
      </c>
      <c r="H111" s="311">
        <v>596.00670300000002</v>
      </c>
      <c r="I111" s="311">
        <v>634.36199999999997</v>
      </c>
      <c r="J111" s="325">
        <v>653.87830099999996</v>
      </c>
      <c r="K111" s="325">
        <v>824.71200199999998</v>
      </c>
      <c r="L111" s="325">
        <f ca="1">номинал!Q57/1000</f>
        <v>1200.444303</v>
      </c>
      <c r="M111" s="325">
        <f ca="1">номинал!R57/1000</f>
        <v>1661.0705959999998</v>
      </c>
      <c r="N111" s="325">
        <f t="shared" ref="N111:S111" si="102">(N113+N114)</f>
        <v>2004.2122272972003</v>
      </c>
      <c r="O111" s="325">
        <f t="shared" si="102"/>
        <v>2578.2421931099998</v>
      </c>
      <c r="P111" s="325">
        <f t="shared" si="102"/>
        <v>2910.4188453202605</v>
      </c>
      <c r="Q111" s="667">
        <f t="shared" si="102"/>
        <v>2856.2974566979151</v>
      </c>
      <c r="R111" s="667">
        <f t="shared" si="102"/>
        <v>2980.0716128966842</v>
      </c>
      <c r="S111" s="667">
        <f t="shared" si="102"/>
        <v>3123.1939585512073</v>
      </c>
      <c r="T111" s="667">
        <f t="shared" ref="T111:AI111" si="103">(T113+T114)</f>
        <v>3235.918718524249</v>
      </c>
      <c r="U111" s="667">
        <f t="shared" si="103"/>
        <v>3398.1973655436977</v>
      </c>
      <c r="V111" s="667">
        <f t="shared" si="103"/>
        <v>3571.826864717304</v>
      </c>
      <c r="W111" s="667">
        <f t="shared" si="103"/>
        <v>3784.0131778194182</v>
      </c>
      <c r="X111" s="667">
        <f t="shared" si="103"/>
        <v>4032.3107802853369</v>
      </c>
      <c r="Y111" s="667">
        <f t="shared" si="103"/>
        <v>4240.9759207725374</v>
      </c>
      <c r="Z111" s="667">
        <f t="shared" si="103"/>
        <v>4406.0616385373396</v>
      </c>
      <c r="AA111" s="667">
        <f t="shared" si="103"/>
        <v>4570.1905047656246</v>
      </c>
      <c r="AB111" s="667">
        <f t="shared" si="103"/>
        <v>4673.4771352892121</v>
      </c>
      <c r="AC111" s="667">
        <f t="shared" si="103"/>
        <v>4815.9299481811422</v>
      </c>
      <c r="AD111" s="667">
        <f t="shared" si="103"/>
        <v>4944.5642162028162</v>
      </c>
      <c r="AE111" s="667">
        <f t="shared" si="103"/>
        <v>5001.8215396193937</v>
      </c>
      <c r="AF111" s="667">
        <f t="shared" si="103"/>
        <v>5200.0794314856585</v>
      </c>
      <c r="AG111" s="667">
        <f t="shared" si="103"/>
        <v>5441.385352928366</v>
      </c>
      <c r="AH111" s="667">
        <f t="shared" si="103"/>
        <v>5791.6633689976597</v>
      </c>
      <c r="AI111" s="667">
        <f t="shared" si="103"/>
        <v>6159.6781570854027</v>
      </c>
      <c r="AJ111" s="667"/>
    </row>
    <row r="112" spans="1:43">
      <c r="A112" s="327" t="s">
        <v>516</v>
      </c>
      <c r="B112" s="311"/>
      <c r="C112" s="311">
        <f t="shared" ref="C112:M112" si="104">C111/C2*100</f>
        <v>0.4470568282680748</v>
      </c>
      <c r="D112" s="311">
        <f t="shared" si="104"/>
        <v>0.63846397657033116</v>
      </c>
      <c r="E112" s="311">
        <f t="shared" si="104"/>
        <v>1.029486145267098</v>
      </c>
      <c r="F112" s="311">
        <f t="shared" si="104"/>
        <v>1.445690197913841</v>
      </c>
      <c r="G112" s="311">
        <f t="shared" si="104"/>
        <v>1.8243773280738802</v>
      </c>
      <c r="H112" s="311">
        <f t="shared" si="104"/>
        <v>2.3609139849989225</v>
      </c>
      <c r="I112" s="311">
        <f t="shared" si="104"/>
        <v>2.2105144796878577</v>
      </c>
      <c r="J112" s="285">
        <f t="shared" si="104"/>
        <v>2.0120394346735901</v>
      </c>
      <c r="K112" s="285">
        <f t="shared" si="104"/>
        <v>2.3134582765624021</v>
      </c>
      <c r="L112" s="325">
        <f t="shared" si="104"/>
        <v>3.0084795073705339</v>
      </c>
      <c r="M112" s="325">
        <f t="shared" si="104"/>
        <v>3.7201655297843432</v>
      </c>
      <c r="N112" s="285">
        <f>N111/N54*100</f>
        <v>5.0341985576309991</v>
      </c>
      <c r="O112" s="285">
        <f t="shared" ref="O112:T112" si="105">O111/O2*100</f>
        <v>4.8511957123998082</v>
      </c>
      <c r="P112" s="285">
        <f t="shared" si="105"/>
        <v>5.0940456349974665</v>
      </c>
      <c r="Q112" s="285">
        <f t="shared" si="105"/>
        <v>4.6550934556265142</v>
      </c>
      <c r="R112" s="285">
        <f t="shared" ca="1" si="105"/>
        <v>4.4929282110346911</v>
      </c>
      <c r="S112" s="285">
        <f t="shared" ca="1" si="105"/>
        <v>4.4288544035838706</v>
      </c>
      <c r="T112" s="285">
        <f t="shared" ca="1" si="105"/>
        <v>4.3471766997436418</v>
      </c>
      <c r="U112" s="285" t="s">
        <v>698</v>
      </c>
      <c r="V112" s="285">
        <f t="shared" ref="V112:AI112" ca="1" si="106">V111/V2*100</f>
        <v>4.3750406128003458</v>
      </c>
      <c r="W112" s="285">
        <f t="shared" ca="1" si="106"/>
        <v>4.4243759597509467</v>
      </c>
      <c r="X112" s="285">
        <f t="shared" ca="1" si="106"/>
        <v>4.4958291152016789</v>
      </c>
      <c r="Y112" s="285">
        <f t="shared" ca="1" si="106"/>
        <v>4.5001625216790266</v>
      </c>
      <c r="Z112" s="285">
        <f t="shared" ca="1" si="106"/>
        <v>4.4418571477204676</v>
      </c>
      <c r="AA112" s="285">
        <f t="shared" ca="1" si="106"/>
        <v>4.3787116383903824</v>
      </c>
      <c r="AB112" s="285">
        <f t="shared" ca="1" si="106"/>
        <v>4.2534331398277319</v>
      </c>
      <c r="AC112" s="285">
        <f t="shared" ca="1" si="106"/>
        <v>4.1593945202541001</v>
      </c>
      <c r="AD112" s="285">
        <f t="shared" ca="1" si="106"/>
        <v>4.0602158889375781</v>
      </c>
      <c r="AE112" s="285">
        <f t="shared" ca="1" si="106"/>
        <v>3.9101907893207688</v>
      </c>
      <c r="AF112" s="285">
        <f t="shared" ca="1" si="106"/>
        <v>3.8635204280480688</v>
      </c>
      <c r="AG112" s="285">
        <f t="shared" ca="1" si="106"/>
        <v>3.8437239879941449</v>
      </c>
      <c r="AH112" s="285">
        <f t="shared" ca="1" si="106"/>
        <v>3.8918489995580092</v>
      </c>
      <c r="AI112" s="285">
        <f t="shared" ca="1" si="106"/>
        <v>3.9368391069241468</v>
      </c>
      <c r="AJ112" s="285"/>
    </row>
    <row r="113" spans="1:40">
      <c r="A113" s="326" t="s">
        <v>515</v>
      </c>
      <c r="B113" s="311"/>
      <c r="C113" s="285"/>
      <c r="D113" s="285"/>
      <c r="E113" s="285"/>
      <c r="F113" s="285"/>
      <c r="G113" s="285"/>
      <c r="H113" s="285"/>
      <c r="I113" s="285"/>
      <c r="J113" s="285"/>
      <c r="K113" s="285"/>
      <c r="L113" s="325">
        <f t="shared" ref="L113:R113" si="107">K138*K130/100</f>
        <v>965.80557973200007</v>
      </c>
      <c r="M113" s="325">
        <f t="shared" si="107"/>
        <v>1370.3980452457001</v>
      </c>
      <c r="N113" s="325">
        <f>M138*M130/100</f>
        <v>1671.3316404372003</v>
      </c>
      <c r="O113" s="325">
        <f>N138*N130/100</f>
        <v>2112.3350879999998</v>
      </c>
      <c r="P113" s="325">
        <f t="shared" si="107"/>
        <v>2357.3510730695921</v>
      </c>
      <c r="Q113" s="325">
        <f t="shared" si="107"/>
        <v>2084.6278600384871</v>
      </c>
      <c r="R113" s="325">
        <f t="shared" si="107"/>
        <v>2174.9572105041907</v>
      </c>
      <c r="S113" s="325">
        <f t="shared" ref="S113:AI113" si="108">R138*R130/100</f>
        <v>2368.8799105331141</v>
      </c>
      <c r="T113" s="325">
        <f t="shared" si="108"/>
        <v>2465.2210774633654</v>
      </c>
      <c r="U113" s="325">
        <f t="shared" si="108"/>
        <v>2593.8391628767681</v>
      </c>
      <c r="V113" s="325">
        <f t="shared" si="108"/>
        <v>2669.037990640446</v>
      </c>
      <c r="W113" s="325">
        <f t="shared" si="108"/>
        <v>2793.5520105676887</v>
      </c>
      <c r="X113" s="325">
        <f t="shared" si="108"/>
        <v>2938.8645041985819</v>
      </c>
      <c r="Y113" s="325">
        <f t="shared" si="108"/>
        <v>3041.0083100790721</v>
      </c>
      <c r="Z113" s="325">
        <f t="shared" si="108"/>
        <v>3125.0114556194444</v>
      </c>
      <c r="AA113" s="325">
        <f t="shared" si="108"/>
        <v>3229.4255912007357</v>
      </c>
      <c r="AB113" s="325">
        <f t="shared" si="108"/>
        <v>3300.1628583305114</v>
      </c>
      <c r="AC113" s="325">
        <f t="shared" si="108"/>
        <v>3405.9972602987445</v>
      </c>
      <c r="AD113" s="325">
        <f t="shared" si="108"/>
        <v>3521.716774589031</v>
      </c>
      <c r="AE113" s="325">
        <f t="shared" si="108"/>
        <v>3578.0128203931708</v>
      </c>
      <c r="AF113" s="325">
        <f t="shared" si="108"/>
        <v>3760.3301383411349</v>
      </c>
      <c r="AG113" s="325">
        <f t="shared" si="108"/>
        <v>3948.0370703686103</v>
      </c>
      <c r="AH113" s="325">
        <f t="shared" si="108"/>
        <v>4176.5749089995743</v>
      </c>
      <c r="AI113" s="325">
        <f t="shared" si="108"/>
        <v>4405.2224470060892</v>
      </c>
      <c r="AJ113" s="325"/>
      <c r="AN113" s="280" t="s">
        <v>517</v>
      </c>
    </row>
    <row r="114" spans="1:40">
      <c r="A114" s="326" t="s">
        <v>514</v>
      </c>
      <c r="B114" s="286"/>
      <c r="C114" s="286"/>
      <c r="D114" s="286"/>
      <c r="E114" s="286"/>
      <c r="F114" s="286"/>
      <c r="G114" s="286"/>
      <c r="H114" s="286"/>
      <c r="I114" s="286"/>
      <c r="J114" s="286"/>
      <c r="K114" s="287"/>
      <c r="L114" s="325">
        <f>K136*(K131+J131+I131)/3/100</f>
        <v>212.85469499999999</v>
      </c>
      <c r="M114" s="325">
        <f>L136*(L131+K131+J131)/3/100</f>
        <v>263.25026400000002</v>
      </c>
      <c r="N114" s="325">
        <f>M136*(L131+K131+M131)/3/100</f>
        <v>332.88058685999999</v>
      </c>
      <c r="O114" s="325">
        <f>N136*(M131+N131+L131)/3/100</f>
        <v>465.90710511000003</v>
      </c>
      <c r="P114" s="325">
        <f>O136*(N131+O131+M131)/3/100</f>
        <v>553.06777225066855</v>
      </c>
      <c r="Q114" s="668">
        <f>Q136*(N131+O131+P131)/3/100</f>
        <v>771.66959665942795</v>
      </c>
      <c r="R114" s="668">
        <f>Q114*R102/100</f>
        <v>805.11440239249362</v>
      </c>
      <c r="S114" s="668">
        <f t="shared" ref="S114:AI114" si="109">R136*(R131+Q131+P131)/3/100</f>
        <v>754.31404801809322</v>
      </c>
      <c r="T114" s="668">
        <f t="shared" si="109"/>
        <v>770.69764106088337</v>
      </c>
      <c r="U114" s="668">
        <f t="shared" si="109"/>
        <v>804.3582026669294</v>
      </c>
      <c r="V114" s="668">
        <f t="shared" si="109"/>
        <v>902.78887407685795</v>
      </c>
      <c r="W114" s="668">
        <f t="shared" si="109"/>
        <v>990.46116725172965</v>
      </c>
      <c r="X114" s="668">
        <f t="shared" si="109"/>
        <v>1093.446276086755</v>
      </c>
      <c r="Y114" s="668">
        <f t="shared" si="109"/>
        <v>1199.9676106934653</v>
      </c>
      <c r="Z114" s="668">
        <f t="shared" si="109"/>
        <v>1281.0501829178947</v>
      </c>
      <c r="AA114" s="668">
        <f t="shared" si="109"/>
        <v>1340.7649135648892</v>
      </c>
      <c r="AB114" s="668">
        <f t="shared" si="109"/>
        <v>1373.3142769587007</v>
      </c>
      <c r="AC114" s="668">
        <f t="shared" si="109"/>
        <v>1409.9326878823977</v>
      </c>
      <c r="AD114" s="668">
        <f t="shared" si="109"/>
        <v>1422.8474416137851</v>
      </c>
      <c r="AE114" s="668">
        <f t="shared" si="109"/>
        <v>1423.8087192262228</v>
      </c>
      <c r="AF114" s="668">
        <f t="shared" si="109"/>
        <v>1439.7492931445238</v>
      </c>
      <c r="AG114" s="668">
        <f t="shared" si="109"/>
        <v>1493.3482825597557</v>
      </c>
      <c r="AH114" s="668">
        <f t="shared" si="109"/>
        <v>1615.0884599980855</v>
      </c>
      <c r="AI114" s="668">
        <f t="shared" si="109"/>
        <v>1754.4557100793138</v>
      </c>
      <c r="AJ114" s="325"/>
    </row>
    <row r="115" spans="1:40">
      <c r="A115" s="324" t="s">
        <v>513</v>
      </c>
      <c r="B115" s="313">
        <f t="shared" ref="B115:AI115" si="110">SUM(B116:B120)</f>
        <v>99.999999999999986</v>
      </c>
      <c r="C115" s="313">
        <f t="shared" si="110"/>
        <v>100</v>
      </c>
      <c r="D115" s="313">
        <f t="shared" si="110"/>
        <v>100</v>
      </c>
      <c r="E115" s="313">
        <f t="shared" si="110"/>
        <v>100</v>
      </c>
      <c r="F115" s="313">
        <f t="shared" si="110"/>
        <v>100</v>
      </c>
      <c r="G115" s="313">
        <f t="shared" si="110"/>
        <v>100.00000000000003</v>
      </c>
      <c r="H115" s="313">
        <f t="shared" si="110"/>
        <v>100</v>
      </c>
      <c r="I115" s="313">
        <f t="shared" si="110"/>
        <v>100</v>
      </c>
      <c r="J115" s="313">
        <f t="shared" si="110"/>
        <v>100.00000000000001</v>
      </c>
      <c r="K115" s="313">
        <f t="shared" si="110"/>
        <v>100</v>
      </c>
      <c r="L115" s="322">
        <f t="shared" si="110"/>
        <v>105.71271127864023</v>
      </c>
      <c r="M115" s="322">
        <f t="shared" si="110"/>
        <v>100.00000000000001</v>
      </c>
      <c r="N115" s="322">
        <f t="shared" si="110"/>
        <v>100</v>
      </c>
      <c r="O115" s="322">
        <f t="shared" si="110"/>
        <v>100</v>
      </c>
      <c r="P115" s="322">
        <f t="shared" si="110"/>
        <v>100</v>
      </c>
      <c r="Q115" s="318">
        <f t="shared" si="110"/>
        <v>100.00000000000001</v>
      </c>
      <c r="R115" s="318">
        <f t="shared" ca="1" si="110"/>
        <v>100</v>
      </c>
      <c r="S115" s="318">
        <f t="shared" ca="1" si="110"/>
        <v>100</v>
      </c>
      <c r="T115" s="318">
        <f t="shared" ca="1" si="110"/>
        <v>99.999999999999972</v>
      </c>
      <c r="U115" s="318">
        <f t="shared" ca="1" si="110"/>
        <v>100</v>
      </c>
      <c r="V115" s="318">
        <f t="shared" ca="1" si="110"/>
        <v>100</v>
      </c>
      <c r="W115" s="318">
        <f t="shared" ca="1" si="110"/>
        <v>99.999999999999986</v>
      </c>
      <c r="X115" s="318">
        <f t="shared" ca="1" si="110"/>
        <v>100.00000000000003</v>
      </c>
      <c r="Y115" s="318">
        <f t="shared" ca="1" si="110"/>
        <v>100</v>
      </c>
      <c r="Z115" s="318">
        <f t="shared" ca="1" si="110"/>
        <v>100</v>
      </c>
      <c r="AA115" s="318">
        <f t="shared" ca="1" si="110"/>
        <v>100.00000000000001</v>
      </c>
      <c r="AB115" s="318">
        <f t="shared" ca="1" si="110"/>
        <v>100</v>
      </c>
      <c r="AC115" s="318">
        <f t="shared" ca="1" si="110"/>
        <v>100</v>
      </c>
      <c r="AD115" s="318">
        <f t="shared" ca="1" si="110"/>
        <v>100</v>
      </c>
      <c r="AE115" s="318">
        <f t="shared" ca="1" si="110"/>
        <v>100</v>
      </c>
      <c r="AF115" s="318">
        <f t="shared" ca="1" si="110"/>
        <v>99.999999999999972</v>
      </c>
      <c r="AG115" s="318">
        <f t="shared" ca="1" si="110"/>
        <v>100</v>
      </c>
      <c r="AH115" s="318">
        <f t="shared" ca="1" si="110"/>
        <v>100</v>
      </c>
      <c r="AI115" s="318">
        <f t="shared" ca="1" si="110"/>
        <v>100</v>
      </c>
      <c r="AJ115" s="285"/>
    </row>
    <row r="116" spans="1:40">
      <c r="A116" s="320" t="s">
        <v>512</v>
      </c>
      <c r="B116" s="311">
        <f t="shared" ref="B116:AI116" si="111">B107/B106*100</f>
        <v>68.167337618026281</v>
      </c>
      <c r="C116" s="311">
        <f t="shared" si="111"/>
        <v>67.293028003700428</v>
      </c>
      <c r="D116" s="311">
        <f t="shared" si="111"/>
        <v>64.864780728698165</v>
      </c>
      <c r="E116" s="311">
        <f t="shared" si="111"/>
        <v>67.218887905833697</v>
      </c>
      <c r="F116" s="311">
        <f t="shared" si="111"/>
        <v>66.086597857871183</v>
      </c>
      <c r="G116" s="311">
        <f t="shared" si="111"/>
        <v>66.906064524550928</v>
      </c>
      <c r="H116" s="311">
        <f t="shared" si="111"/>
        <v>63.246109707568145</v>
      </c>
      <c r="I116" s="311">
        <f t="shared" si="111"/>
        <v>63.744636910411131</v>
      </c>
      <c r="J116" s="311">
        <f t="shared" si="111"/>
        <v>65.505059958529614</v>
      </c>
      <c r="K116" s="311">
        <f t="shared" si="111"/>
        <v>62.612767488954525</v>
      </c>
      <c r="L116" s="285">
        <f t="shared" si="111"/>
        <v>61.582151633869188</v>
      </c>
      <c r="M116" s="285">
        <f t="shared" si="111"/>
        <v>54.194955803502779</v>
      </c>
      <c r="N116" s="285">
        <f t="shared" si="111"/>
        <v>53.59102483122863</v>
      </c>
      <c r="O116" s="285">
        <f t="shared" si="111"/>
        <v>49.459158398207968</v>
      </c>
      <c r="P116" s="285">
        <f t="shared" si="111"/>
        <v>47.92267731560537</v>
      </c>
      <c r="Q116" s="318">
        <f t="shared" si="111"/>
        <v>50.352787598719587</v>
      </c>
      <c r="R116" s="318">
        <f t="shared" ca="1" si="111"/>
        <v>51.082730727011082</v>
      </c>
      <c r="S116" s="318">
        <f t="shared" ca="1" si="111"/>
        <v>51.230329473021428</v>
      </c>
      <c r="T116" s="318">
        <f t="shared" ca="1" si="111"/>
        <v>51.443157967021911</v>
      </c>
      <c r="U116" s="318">
        <f t="shared" ca="1" si="111"/>
        <v>51.333731679596653</v>
      </c>
      <c r="V116" s="318">
        <f t="shared" ca="1" si="111"/>
        <v>51.221649928130041</v>
      </c>
      <c r="W116" s="318">
        <f t="shared" ca="1" si="111"/>
        <v>51.011115109521221</v>
      </c>
      <c r="X116" s="318">
        <f t="shared" ca="1" si="111"/>
        <v>50.72591944899434</v>
      </c>
      <c r="Y116" s="318">
        <f t="shared" ca="1" si="111"/>
        <v>50.725413343612772</v>
      </c>
      <c r="Z116" s="318">
        <f t="shared" ca="1" si="111"/>
        <v>50.975595880086985</v>
      </c>
      <c r="AA116" s="318">
        <f t="shared" ca="1" si="111"/>
        <v>51.259611996633403</v>
      </c>
      <c r="AB116" s="318">
        <f t="shared" ca="1" si="111"/>
        <v>51.795977990336652</v>
      </c>
      <c r="AC116" s="318">
        <f t="shared" ca="1" si="111"/>
        <v>52.235786016776707</v>
      </c>
      <c r="AD116" s="318">
        <f t="shared" ca="1" si="111"/>
        <v>52.667870456563413</v>
      </c>
      <c r="AE116" s="318">
        <f t="shared" ca="1" si="111"/>
        <v>53.393208816346814</v>
      </c>
      <c r="AF116" s="318">
        <f t="shared" ca="1" si="111"/>
        <v>53.650967236982879</v>
      </c>
      <c r="AG116" s="318">
        <f t="shared" ca="1" si="111"/>
        <v>53.78198378603345</v>
      </c>
      <c r="AH116" s="318">
        <f t="shared" ca="1" si="111"/>
        <v>53.570378534497955</v>
      </c>
      <c r="AI116" s="318">
        <f t="shared" ca="1" si="111"/>
        <v>53.38355993099406</v>
      </c>
      <c r="AJ116" s="285"/>
    </row>
    <row r="117" spans="1:40">
      <c r="A117" s="320" t="s">
        <v>510</v>
      </c>
      <c r="B117" s="311">
        <f t="shared" ref="B117:AI117" si="112">B108/B106*100</f>
        <v>25.554695474793281</v>
      </c>
      <c r="C117" s="311">
        <f t="shared" si="112"/>
        <v>25.073019565091169</v>
      </c>
      <c r="D117" s="311">
        <f t="shared" si="112"/>
        <v>26.222194869714333</v>
      </c>
      <c r="E117" s="311">
        <f t="shared" si="112"/>
        <v>18.905299363731519</v>
      </c>
      <c r="F117" s="311">
        <f t="shared" si="112"/>
        <v>16.194060769510646</v>
      </c>
      <c r="G117" s="311">
        <f t="shared" si="112"/>
        <v>11.2688789234384</v>
      </c>
      <c r="H117" s="311">
        <f t="shared" si="112"/>
        <v>9.7595015498194986</v>
      </c>
      <c r="I117" s="311">
        <f t="shared" si="112"/>
        <v>9.1617575209609754</v>
      </c>
      <c r="J117" s="311">
        <f t="shared" si="112"/>
        <v>9.2117555192650631</v>
      </c>
      <c r="K117" s="311">
        <f t="shared" si="112"/>
        <v>9.441965954284024</v>
      </c>
      <c r="L117" s="285">
        <f t="shared" si="112"/>
        <v>10.224892968653714</v>
      </c>
      <c r="M117" s="285">
        <f t="shared" si="112"/>
        <v>9.5676337881236542</v>
      </c>
      <c r="N117" s="285">
        <f t="shared" si="112"/>
        <v>8.0785242956281316</v>
      </c>
      <c r="O117" s="285">
        <f t="shared" si="112"/>
        <v>7.692548971335941</v>
      </c>
      <c r="P117" s="285">
        <f t="shared" si="112"/>
        <v>8.3061322389474554</v>
      </c>
      <c r="Q117" s="318">
        <f t="shared" si="112"/>
        <v>7.892025133839117</v>
      </c>
      <c r="R117" s="318">
        <f t="shared" ca="1" si="112"/>
        <v>7.9713923425477926</v>
      </c>
      <c r="S117" s="318">
        <f t="shared" ca="1" si="112"/>
        <v>7.9983382935628651</v>
      </c>
      <c r="T117" s="318">
        <f t="shared" ca="1" si="112"/>
        <v>8.0759154887274835</v>
      </c>
      <c r="U117" s="318">
        <f t="shared" ca="1" si="112"/>
        <v>8.1108224330180008</v>
      </c>
      <c r="V117" s="318">
        <f t="shared" ca="1" si="112"/>
        <v>8.1363505598877524</v>
      </c>
      <c r="W117" s="318">
        <f t="shared" ca="1" si="112"/>
        <v>8.1316854865028905</v>
      </c>
      <c r="X117" s="318">
        <f t="shared" ca="1" si="112"/>
        <v>8.1066899183570751</v>
      </c>
      <c r="Y117" s="318">
        <f t="shared" ca="1" si="112"/>
        <v>8.1225706704511129</v>
      </c>
      <c r="Z117" s="318">
        <f t="shared" ca="1" si="112"/>
        <v>8.1752948000782748</v>
      </c>
      <c r="AA117" s="318">
        <f t="shared" ca="1" si="112"/>
        <v>8.2267771702892656</v>
      </c>
      <c r="AB117" s="318">
        <f t="shared" ca="1" si="112"/>
        <v>8.3235064489109831</v>
      </c>
      <c r="AC117" s="318">
        <f t="shared" ca="1" si="112"/>
        <v>8.3937957107359082</v>
      </c>
      <c r="AD117" s="318">
        <f t="shared" ca="1" si="112"/>
        <v>8.4784419895947281</v>
      </c>
      <c r="AE117" s="318">
        <f t="shared" ca="1" si="112"/>
        <v>8.5940016938537305</v>
      </c>
      <c r="AF117" s="318">
        <f t="shared" ca="1" si="112"/>
        <v>8.6268382443728946</v>
      </c>
      <c r="AG117" s="318">
        <f t="shared" ca="1" si="112"/>
        <v>8.6376587066791721</v>
      </c>
      <c r="AH117" s="318">
        <f t="shared" ca="1" si="112"/>
        <v>8.5991509098458732</v>
      </c>
      <c r="AI117" s="318">
        <f t="shared" ca="1" si="112"/>
        <v>8.5616942397958002</v>
      </c>
      <c r="AJ117" s="285"/>
    </row>
    <row r="118" spans="1:40">
      <c r="A118" s="320" t="s">
        <v>509</v>
      </c>
      <c r="B118" s="311">
        <f t="shared" ref="B118:R118" si="113">B109/B106*100</f>
        <v>1.4384151263540781</v>
      </c>
      <c r="C118" s="311">
        <f t="shared" si="113"/>
        <v>1.5831817686132861</v>
      </c>
      <c r="D118" s="311">
        <f t="shared" si="113"/>
        <v>1.226183558791649</v>
      </c>
      <c r="E118" s="311">
        <f t="shared" si="113"/>
        <v>1.2273672977708918</v>
      </c>
      <c r="F118" s="311">
        <f t="shared" si="113"/>
        <v>1.0973688917006739</v>
      </c>
      <c r="G118" s="311">
        <f t="shared" si="113"/>
        <v>2.6425525018010605</v>
      </c>
      <c r="H118" s="311">
        <f t="shared" si="113"/>
        <v>2.4644346516253259</v>
      </c>
      <c r="I118" s="311">
        <f t="shared" si="113"/>
        <v>3.1845099371591914</v>
      </c>
      <c r="J118" s="311">
        <f t="shared" si="113"/>
        <v>3.3177327435583632</v>
      </c>
      <c r="K118" s="311">
        <f t="shared" si="113"/>
        <v>4.2118185640276673</v>
      </c>
      <c r="L118" s="285">
        <f t="shared" si="113"/>
        <v>4.0856929717828159</v>
      </c>
      <c r="M118" s="285">
        <f t="shared" si="113"/>
        <v>3.6256684874514771</v>
      </c>
      <c r="N118" s="285">
        <f t="shared" si="113"/>
        <v>2.3894781368392906</v>
      </c>
      <c r="O118" s="285">
        <f t="shared" si="113"/>
        <v>2.2757891979855027</v>
      </c>
      <c r="P118" s="285">
        <f t="shared" si="113"/>
        <v>2.1442345018883735</v>
      </c>
      <c r="Q118" s="318">
        <f t="shared" si="113"/>
        <v>2.2118285936365294</v>
      </c>
      <c r="R118" s="318">
        <f t="shared" ca="1" si="113"/>
        <v>2.2370462808827583</v>
      </c>
      <c r="S118" s="318">
        <f t="shared" ref="S118:AI118" ca="1" si="114">S109/S106*100</f>
        <v>2.46786101728433</v>
      </c>
      <c r="T118" s="318">
        <f t="shared" ca="1" si="114"/>
        <v>2.4781133648509748</v>
      </c>
      <c r="U118" s="318">
        <f t="shared" ca="1" si="114"/>
        <v>2.4975705163877429</v>
      </c>
      <c r="V118" s="318">
        <f t="shared" ca="1" si="114"/>
        <v>2.5170385097719343</v>
      </c>
      <c r="W118" s="318">
        <f t="shared" ca="1" si="114"/>
        <v>2.5192262655325619</v>
      </c>
      <c r="X118" s="318">
        <f t="shared" ca="1" si="114"/>
        <v>2.5051416410880138</v>
      </c>
      <c r="Y118" s="318">
        <f t="shared" ca="1" si="114"/>
        <v>2.5051166466536117</v>
      </c>
      <c r="Z118" s="318">
        <f t="shared" ca="1" si="114"/>
        <v>2.5174721189013809</v>
      </c>
      <c r="AA118" s="318">
        <f t="shared" ca="1" si="114"/>
        <v>2.5314984905872788</v>
      </c>
      <c r="AB118" s="318">
        <f t="shared" ca="1" si="114"/>
        <v>2.5579873704397302</v>
      </c>
      <c r="AC118" s="318">
        <f t="shared" ca="1" si="114"/>
        <v>2.5797076549232396</v>
      </c>
      <c r="AD118" s="318">
        <f t="shared" ca="1" si="114"/>
        <v>2.6010465036682926</v>
      </c>
      <c r="AE118" s="318">
        <f t="shared" ca="1" si="114"/>
        <v>2.6368679406912134</v>
      </c>
      <c r="AF118" s="318">
        <f t="shared" ca="1" si="114"/>
        <v>2.6495975542672823</v>
      </c>
      <c r="AG118" s="318">
        <f t="shared" ca="1" si="114"/>
        <v>2.6560679153028905</v>
      </c>
      <c r="AH118" s="318">
        <f t="shared" ca="1" si="114"/>
        <v>2.6456176142959764</v>
      </c>
      <c r="AI118" s="318">
        <f t="shared" ca="1" si="114"/>
        <v>2.6363914224782392</v>
      </c>
      <c r="AJ118" s="285"/>
    </row>
    <row r="119" spans="1:40">
      <c r="A119" s="320" t="s">
        <v>508</v>
      </c>
      <c r="B119" s="311">
        <f t="shared" ref="B119:R119" si="115">B110/B106*100</f>
        <v>0.71311362237738529</v>
      </c>
      <c r="C119" s="311">
        <f t="shared" si="115"/>
        <v>0.62607213097493086</v>
      </c>
      <c r="D119" s="311">
        <f t="shared" si="115"/>
        <v>0.50246564289367102</v>
      </c>
      <c r="E119" s="311">
        <f t="shared" si="115"/>
        <v>0.28952461153357162</v>
      </c>
      <c r="F119" s="311">
        <f t="shared" si="115"/>
        <v>0.23010829797168367</v>
      </c>
      <c r="G119" s="311">
        <f t="shared" si="115"/>
        <v>0.16845461133032635</v>
      </c>
      <c r="H119" s="311">
        <f t="shared" si="115"/>
        <v>3.5315614234147605</v>
      </c>
      <c r="I119" s="311">
        <f t="shared" si="115"/>
        <v>1.6437799392370371</v>
      </c>
      <c r="J119" s="311">
        <f t="shared" si="115"/>
        <v>0.35020779522094908</v>
      </c>
      <c r="K119" s="311">
        <f t="shared" si="115"/>
        <v>0.40901489257945417</v>
      </c>
      <c r="L119" s="285">
        <f t="shared" si="115"/>
        <v>0.40655416767431596</v>
      </c>
      <c r="M119" s="285">
        <f t="shared" si="115"/>
        <v>0.28058751629432127</v>
      </c>
      <c r="N119" s="285">
        <f t="shared" si="115"/>
        <v>0.28274835034698459</v>
      </c>
      <c r="O119" s="285">
        <f t="shared" si="115"/>
        <v>0.26923921399675799</v>
      </c>
      <c r="P119" s="285">
        <f t="shared" si="115"/>
        <v>0.33979631886603223</v>
      </c>
      <c r="Q119" s="318">
        <f t="shared" si="115"/>
        <v>0.35514113102276029</v>
      </c>
      <c r="R119" s="318">
        <f t="shared" ca="1" si="115"/>
        <v>0.35871265541465064</v>
      </c>
      <c r="S119" s="318">
        <f t="shared" ref="S119:AI119" ca="1" si="116">S110/S106*100</f>
        <v>0.35992522321032894</v>
      </c>
      <c r="T119" s="318">
        <f t="shared" ca="1" si="116"/>
        <v>0.3634161969927367</v>
      </c>
      <c r="U119" s="318">
        <f t="shared" ca="1" si="116"/>
        <v>0.36498700948580998</v>
      </c>
      <c r="V119" s="318">
        <f t="shared" ca="1" si="116"/>
        <v>0.36613577519494883</v>
      </c>
      <c r="W119" s="318">
        <f t="shared" ca="1" si="116"/>
        <v>0.36592584689263002</v>
      </c>
      <c r="X119" s="318">
        <f t="shared" ca="1" si="116"/>
        <v>0.36480104632606841</v>
      </c>
      <c r="Y119" s="318">
        <f t="shared" ca="1" si="116"/>
        <v>0.36551568017030001</v>
      </c>
      <c r="Z119" s="318">
        <f t="shared" ca="1" si="116"/>
        <v>0.36788826600352231</v>
      </c>
      <c r="AA119" s="318">
        <f t="shared" ca="1" si="116"/>
        <v>0.37020497266301688</v>
      </c>
      <c r="AB119" s="318">
        <f t="shared" ca="1" si="116"/>
        <v>0.37455779020099428</v>
      </c>
      <c r="AC119" s="318">
        <f t="shared" ca="1" si="116"/>
        <v>0.37772080698311578</v>
      </c>
      <c r="AD119" s="318">
        <f t="shared" ca="1" si="116"/>
        <v>0.38152988953176264</v>
      </c>
      <c r="AE119" s="318">
        <f t="shared" ca="1" si="116"/>
        <v>0.38673007622341787</v>
      </c>
      <c r="AF119" s="318">
        <f t="shared" ca="1" si="116"/>
        <v>0.38820772099678025</v>
      </c>
      <c r="AG119" s="318">
        <f t="shared" ca="1" si="116"/>
        <v>0.38869464180056268</v>
      </c>
      <c r="AH119" s="318">
        <f t="shared" ca="1" si="116"/>
        <v>0.38696179094306427</v>
      </c>
      <c r="AI119" s="318">
        <f t="shared" ca="1" si="116"/>
        <v>0.38527624079081102</v>
      </c>
      <c r="AJ119" s="285"/>
    </row>
    <row r="120" spans="1:40" ht="25.5">
      <c r="A120" s="317" t="s">
        <v>507</v>
      </c>
      <c r="B120" s="309">
        <f t="shared" ref="B120:AI120" si="117">B111/B106*100</f>
        <v>4.1264381584489653</v>
      </c>
      <c r="C120" s="309">
        <f t="shared" si="117"/>
        <v>5.4246985316201757</v>
      </c>
      <c r="D120" s="309">
        <f t="shared" si="117"/>
        <v>7.1843751999021892</v>
      </c>
      <c r="E120" s="309">
        <f t="shared" si="117"/>
        <v>12.358920821130329</v>
      </c>
      <c r="F120" s="309">
        <f t="shared" si="117"/>
        <v>16.391864182945831</v>
      </c>
      <c r="G120" s="309">
        <f t="shared" si="117"/>
        <v>19.014049438879294</v>
      </c>
      <c r="H120" s="309">
        <f t="shared" si="117"/>
        <v>20.998392667572272</v>
      </c>
      <c r="I120" s="309">
        <f t="shared" si="117"/>
        <v>22.26531569223166</v>
      </c>
      <c r="J120" s="309">
        <f t="shared" si="117"/>
        <v>21.615243983426009</v>
      </c>
      <c r="K120" s="309">
        <f t="shared" si="117"/>
        <v>23.324433100154334</v>
      </c>
      <c r="L120" s="316">
        <f t="shared" si="117"/>
        <v>29.413419536660179</v>
      </c>
      <c r="M120" s="316">
        <f t="shared" si="117"/>
        <v>32.331154404627782</v>
      </c>
      <c r="N120" s="316">
        <f t="shared" si="117"/>
        <v>35.658224385956963</v>
      </c>
      <c r="O120" s="316">
        <f t="shared" si="117"/>
        <v>40.303264218473835</v>
      </c>
      <c r="P120" s="316">
        <f t="shared" si="117"/>
        <v>41.287159624692769</v>
      </c>
      <c r="Q120" s="315">
        <f t="shared" si="117"/>
        <v>39.188217542782013</v>
      </c>
      <c r="R120" s="315">
        <f ca="1">R111/R106*100</f>
        <v>38.350117994143716</v>
      </c>
      <c r="S120" s="315">
        <f ca="1">S111/S106*100</f>
        <v>37.943545992921052</v>
      </c>
      <c r="T120" s="315">
        <f t="shared" ca="1" si="117"/>
        <v>37.639396982406872</v>
      </c>
      <c r="U120" s="315">
        <f t="shared" ca="1" si="117"/>
        <v>37.692888361511798</v>
      </c>
      <c r="V120" s="315">
        <f t="shared" ca="1" si="117"/>
        <v>37.758825227015322</v>
      </c>
      <c r="W120" s="315">
        <f t="shared" ca="1" si="117"/>
        <v>37.972047291550687</v>
      </c>
      <c r="X120" s="315">
        <f t="shared" ca="1" si="117"/>
        <v>38.297447945234516</v>
      </c>
      <c r="Y120" s="315">
        <f t="shared" ca="1" si="117"/>
        <v>38.281383659112208</v>
      </c>
      <c r="Z120" s="315">
        <f t="shared" ca="1" si="117"/>
        <v>37.963748934929832</v>
      </c>
      <c r="AA120" s="315">
        <f t="shared" ca="1" si="117"/>
        <v>37.611907369827044</v>
      </c>
      <c r="AB120" s="315">
        <f t="shared" ca="1" si="117"/>
        <v>36.947970400111643</v>
      </c>
      <c r="AC120" s="315">
        <f t="shared" ca="1" si="117"/>
        <v>36.412989810581031</v>
      </c>
      <c r="AD120" s="315">
        <f t="shared" ca="1" si="117"/>
        <v>35.871111160641803</v>
      </c>
      <c r="AE120" s="315">
        <f t="shared" ca="1" si="117"/>
        <v>34.989191472884819</v>
      </c>
      <c r="AF120" s="315">
        <f t="shared" ca="1" si="117"/>
        <v>34.684389243380146</v>
      </c>
      <c r="AG120" s="315">
        <f t="shared" ca="1" si="117"/>
        <v>34.535594950183921</v>
      </c>
      <c r="AH120" s="315">
        <f t="shared" ca="1" si="117"/>
        <v>34.797891150417129</v>
      </c>
      <c r="AI120" s="315">
        <f t="shared" ca="1" si="117"/>
        <v>35.033078165941085</v>
      </c>
      <c r="AJ120" s="285"/>
    </row>
    <row r="121" spans="1:40">
      <c r="A121" s="320" t="s">
        <v>511</v>
      </c>
      <c r="B121" s="286">
        <v>100</v>
      </c>
      <c r="C121" s="286">
        <v>100</v>
      </c>
      <c r="D121" s="286">
        <v>100</v>
      </c>
      <c r="E121" s="286">
        <v>100</v>
      </c>
      <c r="F121" s="286">
        <v>100</v>
      </c>
      <c r="G121" s="286">
        <v>100</v>
      </c>
      <c r="H121" s="286">
        <v>100</v>
      </c>
      <c r="I121" s="286">
        <v>100</v>
      </c>
      <c r="J121" s="286">
        <v>100</v>
      </c>
      <c r="K121" s="286">
        <v>100</v>
      </c>
      <c r="L121" s="285">
        <f t="shared" ref="L121:AI121" si="118">L107/L107*100</f>
        <v>100</v>
      </c>
      <c r="M121" s="285">
        <f t="shared" si="118"/>
        <v>100</v>
      </c>
      <c r="N121" s="285">
        <f t="shared" si="118"/>
        <v>100</v>
      </c>
      <c r="O121" s="285">
        <f t="shared" si="118"/>
        <v>100</v>
      </c>
      <c r="P121" s="285">
        <f t="shared" si="118"/>
        <v>100</v>
      </c>
      <c r="Q121" s="318">
        <f t="shared" si="118"/>
        <v>100</v>
      </c>
      <c r="R121" s="318">
        <f t="shared" si="118"/>
        <v>100</v>
      </c>
      <c r="S121" s="318">
        <f t="shared" si="118"/>
        <v>100</v>
      </c>
      <c r="T121" s="318">
        <f t="shared" si="118"/>
        <v>100</v>
      </c>
      <c r="U121" s="318">
        <f t="shared" si="118"/>
        <v>100</v>
      </c>
      <c r="V121" s="318">
        <f t="shared" si="118"/>
        <v>100</v>
      </c>
      <c r="W121" s="318">
        <f t="shared" si="118"/>
        <v>100</v>
      </c>
      <c r="X121" s="318">
        <f t="shared" si="118"/>
        <v>100</v>
      </c>
      <c r="Y121" s="318">
        <f t="shared" si="118"/>
        <v>100</v>
      </c>
      <c r="Z121" s="318">
        <f t="shared" si="118"/>
        <v>100</v>
      </c>
      <c r="AA121" s="318">
        <f t="shared" si="118"/>
        <v>100</v>
      </c>
      <c r="AB121" s="318">
        <f t="shared" si="118"/>
        <v>100</v>
      </c>
      <c r="AC121" s="318">
        <f t="shared" si="118"/>
        <v>100</v>
      </c>
      <c r="AD121" s="318">
        <f t="shared" si="118"/>
        <v>100</v>
      </c>
      <c r="AE121" s="318">
        <f t="shared" si="118"/>
        <v>100</v>
      </c>
      <c r="AF121" s="318">
        <f t="shared" si="118"/>
        <v>100</v>
      </c>
      <c r="AG121" s="318">
        <f t="shared" si="118"/>
        <v>100</v>
      </c>
      <c r="AH121" s="318">
        <f t="shared" si="118"/>
        <v>100</v>
      </c>
      <c r="AI121" s="318">
        <f t="shared" si="118"/>
        <v>100</v>
      </c>
      <c r="AJ121" s="285"/>
    </row>
    <row r="122" spans="1:40">
      <c r="A122" s="320" t="s">
        <v>510</v>
      </c>
      <c r="B122" s="311">
        <f t="shared" ref="B122:R122" si="119">B108/B107*100</f>
        <v>37.488181829820441</v>
      </c>
      <c r="C122" s="311">
        <f t="shared" si="119"/>
        <v>37.259461059936868</v>
      </c>
      <c r="D122" s="311">
        <f t="shared" si="119"/>
        <v>40.425936193927235</v>
      </c>
      <c r="E122" s="311">
        <f t="shared" si="119"/>
        <v>28.124980868793564</v>
      </c>
      <c r="F122" s="311">
        <f t="shared" si="119"/>
        <v>24.504303889781593</v>
      </c>
      <c r="G122" s="311">
        <f t="shared" si="119"/>
        <v>16.8428363011896</v>
      </c>
      <c r="H122" s="311">
        <f t="shared" si="119"/>
        <v>15.430991083790977</v>
      </c>
      <c r="I122" s="311">
        <f t="shared" si="119"/>
        <v>14.372593468274388</v>
      </c>
      <c r="J122" s="311">
        <f t="shared" si="119"/>
        <v>14.06266252576046</v>
      </c>
      <c r="K122" s="311">
        <f t="shared" si="119"/>
        <v>15.079937100607596</v>
      </c>
      <c r="L122" s="285">
        <f t="shared" si="119"/>
        <v>16.60366307017793</v>
      </c>
      <c r="M122" s="285">
        <f t="shared" si="119"/>
        <v>17.654103866812768</v>
      </c>
      <c r="N122" s="285">
        <f t="shared" si="119"/>
        <v>15.074397851262219</v>
      </c>
      <c r="O122" s="285">
        <f t="shared" si="119"/>
        <v>15.553335763219664</v>
      </c>
      <c r="P122" s="285">
        <f t="shared" si="119"/>
        <v>17.332362681336829</v>
      </c>
      <c r="Q122" s="318">
        <f t="shared" si="119"/>
        <v>15.673462205774291</v>
      </c>
      <c r="R122" s="318">
        <f t="shared" ca="1" si="119"/>
        <v>15.604867298788999</v>
      </c>
      <c r="S122" s="318">
        <f t="shared" ref="S122:AI122" ca="1" si="120">S108/S107*100</f>
        <v>15.612506060057443</v>
      </c>
      <c r="T122" s="318">
        <f t="shared" ca="1" si="120"/>
        <v>15.69871642387238</v>
      </c>
      <c r="U122" s="318">
        <f t="shared" ca="1" si="120"/>
        <v>15.800180831665052</v>
      </c>
      <c r="V122" s="318">
        <f t="shared" ca="1" si="120"/>
        <v>15.884592884657176</v>
      </c>
      <c r="W122" s="318">
        <f t="shared" ca="1" si="120"/>
        <v>15.941007110007504</v>
      </c>
      <c r="X122" s="318">
        <f t="shared" ca="1" si="120"/>
        <v>15.981356289674494</v>
      </c>
      <c r="Y122" s="318">
        <f t="shared" ca="1" si="120"/>
        <v>16.012823030990418</v>
      </c>
      <c r="Z122" s="318">
        <f t="shared" ca="1" si="120"/>
        <v>16.03766402124954</v>
      </c>
      <c r="AA122" s="318">
        <f t="shared" ca="1" si="120"/>
        <v>16.049238084029156</v>
      </c>
      <c r="AB122" s="318">
        <f t="shared" ca="1" si="120"/>
        <v>16.069793006831272</v>
      </c>
      <c r="AC122" s="318">
        <f t="shared" ca="1" si="120"/>
        <v>16.069052178213703</v>
      </c>
      <c r="AD122" s="318">
        <f t="shared" ca="1" si="120"/>
        <v>16.097939628273224</v>
      </c>
      <c r="AE122" s="318">
        <f t="shared" ca="1" si="120"/>
        <v>16.095683110962604</v>
      </c>
      <c r="AF122" s="318">
        <f t="shared" ca="1" si="120"/>
        <v>16.079557720305569</v>
      </c>
      <c r="AG122" s="318">
        <f t="shared" ca="1" si="120"/>
        <v>16.06050595129269</v>
      </c>
      <c r="AH122" s="318">
        <f t="shared" ca="1" si="120"/>
        <v>16.052062996546198</v>
      </c>
      <c r="AI122" s="318">
        <f t="shared" ca="1" si="120"/>
        <v>16.038072865247319</v>
      </c>
      <c r="AJ122" s="285"/>
    </row>
    <row r="123" spans="1:40">
      <c r="A123" s="320" t="s">
        <v>509</v>
      </c>
      <c r="B123" s="311">
        <f t="shared" ref="B123:R123" si="121">B109/B107*100</f>
        <v>2.1101236700987149</v>
      </c>
      <c r="C123" s="311">
        <f t="shared" si="121"/>
        <v>2.3526683455620798</v>
      </c>
      <c r="D123" s="311">
        <f t="shared" si="121"/>
        <v>1.8903687717996831</v>
      </c>
      <c r="E123" s="311">
        <f t="shared" si="121"/>
        <v>1.8259262180747458</v>
      </c>
      <c r="F123" s="311">
        <f t="shared" si="121"/>
        <v>1.6605014137067924</v>
      </c>
      <c r="G123" s="311">
        <f t="shared" si="121"/>
        <v>3.9496457018950588</v>
      </c>
      <c r="H123" s="311">
        <f t="shared" si="121"/>
        <v>3.8965790354856047</v>
      </c>
      <c r="I123" s="311">
        <f t="shared" si="121"/>
        <v>4.9957299806018334</v>
      </c>
      <c r="J123" s="311">
        <f t="shared" si="121"/>
        <v>5.0648495637722899</v>
      </c>
      <c r="K123" s="311">
        <f t="shared" si="121"/>
        <v>6.7267727221459612</v>
      </c>
      <c r="L123" s="285">
        <f t="shared" si="121"/>
        <v>6.6345407936928114</v>
      </c>
      <c r="M123" s="285">
        <f t="shared" si="121"/>
        <v>6.6900478719776721</v>
      </c>
      <c r="N123" s="285">
        <f t="shared" si="121"/>
        <v>4.4587282000378741</v>
      </c>
      <c r="O123" s="285">
        <f t="shared" si="121"/>
        <v>4.6013504307181261</v>
      </c>
      <c r="P123" s="285">
        <f t="shared" si="121"/>
        <v>4.4743629154252886</v>
      </c>
      <c r="Q123" s="318">
        <f t="shared" si="121"/>
        <v>4.3926636421074212</v>
      </c>
      <c r="R123" s="318">
        <f t="shared" si="121"/>
        <v>4.3792613453608356</v>
      </c>
      <c r="S123" s="318">
        <f t="shared" ref="S123:AI123" si="122">S109/S107*100</f>
        <v>4.8171874798969201</v>
      </c>
      <c r="T123" s="318">
        <f t="shared" si="122"/>
        <v>4.8171874798969201</v>
      </c>
      <c r="U123" s="318">
        <f t="shared" si="122"/>
        <v>4.8653593546958893</v>
      </c>
      <c r="V123" s="318">
        <f t="shared" si="122"/>
        <v>4.9140129482428492</v>
      </c>
      <c r="W123" s="318">
        <f t="shared" si="122"/>
        <v>4.938583012984064</v>
      </c>
      <c r="X123" s="318">
        <f t="shared" si="122"/>
        <v>4.938583012984064</v>
      </c>
      <c r="Y123" s="318">
        <f t="shared" si="122"/>
        <v>4.938583012984064</v>
      </c>
      <c r="Z123" s="318">
        <f t="shared" si="122"/>
        <v>4.9385830129840649</v>
      </c>
      <c r="AA123" s="318">
        <f t="shared" si="122"/>
        <v>4.938583012984064</v>
      </c>
      <c r="AB123" s="318">
        <f t="shared" si="122"/>
        <v>4.938583012984064</v>
      </c>
      <c r="AC123" s="318">
        <f t="shared" si="122"/>
        <v>4.938583012984064</v>
      </c>
      <c r="AD123" s="318">
        <f t="shared" si="122"/>
        <v>4.938583012984064</v>
      </c>
      <c r="AE123" s="318">
        <f t="shared" si="122"/>
        <v>4.938583012984064</v>
      </c>
      <c r="AF123" s="318">
        <f t="shared" si="122"/>
        <v>4.938583012984064</v>
      </c>
      <c r="AG123" s="318">
        <f t="shared" si="122"/>
        <v>4.9385830129840631</v>
      </c>
      <c r="AH123" s="318">
        <f t="shared" si="122"/>
        <v>4.9385830129840622</v>
      </c>
      <c r="AI123" s="318">
        <f t="shared" si="122"/>
        <v>4.9385830129840622</v>
      </c>
      <c r="AJ123" s="285"/>
    </row>
    <row r="124" spans="1:40">
      <c r="A124" s="320" t="s">
        <v>508</v>
      </c>
      <c r="B124" s="311">
        <f t="shared" ref="B124:R124" si="123">B110/B107*100</f>
        <v>1.0461221565866297</v>
      </c>
      <c r="C124" s="311">
        <f t="shared" si="123"/>
        <v>0.93036700762002178</v>
      </c>
      <c r="D124" s="311">
        <f t="shared" si="123"/>
        <v>0.77463553757357406</v>
      </c>
      <c r="E124" s="311">
        <f t="shared" si="123"/>
        <v>0.43071913349587676</v>
      </c>
      <c r="F124" s="311">
        <f t="shared" si="123"/>
        <v>0.34819207741116431</v>
      </c>
      <c r="G124" s="311">
        <f t="shared" si="123"/>
        <v>0.25177779103792991</v>
      </c>
      <c r="H124" s="311">
        <f t="shared" si="123"/>
        <v>5.5838397646016285</v>
      </c>
      <c r="I124" s="311">
        <f t="shared" si="123"/>
        <v>2.5786952736859434</v>
      </c>
      <c r="J124" s="311">
        <f t="shared" si="123"/>
        <v>0.53462708902588751</v>
      </c>
      <c r="K124" s="311">
        <f t="shared" si="123"/>
        <v>0.65324519100933887</v>
      </c>
      <c r="L124" s="285">
        <f t="shared" si="123"/>
        <v>0.66018181711390178</v>
      </c>
      <c r="M124" s="285">
        <f t="shared" si="123"/>
        <v>0.51773732838100417</v>
      </c>
      <c r="N124" s="285">
        <f t="shared" si="123"/>
        <v>0.52760392479417773</v>
      </c>
      <c r="O124" s="285">
        <f t="shared" si="123"/>
        <v>0.54436675171268822</v>
      </c>
      <c r="P124" s="285">
        <f t="shared" si="123"/>
        <v>0.70905120060014304</v>
      </c>
      <c r="Q124" s="318">
        <f t="shared" si="123"/>
        <v>0.70530579925984316</v>
      </c>
      <c r="R124" s="318">
        <f t="shared" ca="1" si="123"/>
        <v>0.70221902844550488</v>
      </c>
      <c r="S124" s="318">
        <f t="shared" ref="S124:AI124" ca="1" si="124">S110/S107*100</f>
        <v>0.70256277270258494</v>
      </c>
      <c r="T124" s="318">
        <f t="shared" ca="1" si="124"/>
        <v>0.70644223907425696</v>
      </c>
      <c r="U124" s="318">
        <f t="shared" ca="1" si="124"/>
        <v>0.7110081374249273</v>
      </c>
      <c r="V124" s="318">
        <f t="shared" ca="1" si="124"/>
        <v>0.71480667980957291</v>
      </c>
      <c r="W124" s="318">
        <f t="shared" ca="1" si="124"/>
        <v>0.71734531995033768</v>
      </c>
      <c r="X124" s="318">
        <f t="shared" ca="1" si="124"/>
        <v>0.71916103303535239</v>
      </c>
      <c r="Y124" s="318">
        <f t="shared" ca="1" si="124"/>
        <v>0.72057703639456872</v>
      </c>
      <c r="Z124" s="318">
        <f t="shared" ca="1" si="124"/>
        <v>0.72169488095622936</v>
      </c>
      <c r="AA124" s="318">
        <f t="shared" ca="1" si="124"/>
        <v>0.72221571378131189</v>
      </c>
      <c r="AB124" s="318">
        <f t="shared" ca="1" si="124"/>
        <v>0.72314068530740727</v>
      </c>
      <c r="AC124" s="318">
        <f t="shared" ca="1" si="124"/>
        <v>0.72310734801961662</v>
      </c>
      <c r="AD124" s="318">
        <f t="shared" ca="1" si="124"/>
        <v>0.72440728327229498</v>
      </c>
      <c r="AE124" s="318">
        <f t="shared" ca="1" si="124"/>
        <v>0.72430573999331715</v>
      </c>
      <c r="AF124" s="318">
        <f t="shared" ca="1" si="124"/>
        <v>0.72358009741375073</v>
      </c>
      <c r="AG124" s="318">
        <f t="shared" ca="1" si="124"/>
        <v>0.72272276780817102</v>
      </c>
      <c r="AH124" s="318">
        <f t="shared" ca="1" si="124"/>
        <v>0.72234283484457895</v>
      </c>
      <c r="AI124" s="318">
        <f t="shared" ca="1" si="124"/>
        <v>0.72171327893612947</v>
      </c>
      <c r="AJ124" s="285"/>
    </row>
    <row r="125" spans="1:40" ht="25.5">
      <c r="A125" s="317" t="s">
        <v>507</v>
      </c>
      <c r="B125" s="309">
        <f t="shared" ref="B125:R125" si="125">B111/B107*100</f>
        <v>6.053394928772696</v>
      </c>
      <c r="C125" s="309">
        <f t="shared" si="125"/>
        <v>8.0613084186401487</v>
      </c>
      <c r="D125" s="309">
        <f t="shared" si="125"/>
        <v>11.075926133091206</v>
      </c>
      <c r="E125" s="309">
        <f t="shared" si="125"/>
        <v>18.38608344494456</v>
      </c>
      <c r="F125" s="309">
        <f t="shared" si="125"/>
        <v>24.80361331082425</v>
      </c>
      <c r="G125" s="309">
        <f t="shared" si="125"/>
        <v>28.419022362168917</v>
      </c>
      <c r="H125" s="309">
        <f t="shared" si="125"/>
        <v>33.201081876281108</v>
      </c>
      <c r="I125" s="309">
        <f t="shared" si="125"/>
        <v>34.928923861507108</v>
      </c>
      <c r="J125" s="309">
        <f t="shared" si="125"/>
        <v>32.997823369844006</v>
      </c>
      <c r="K125" s="309">
        <f t="shared" si="125"/>
        <v>37.251880144523213</v>
      </c>
      <c r="L125" s="316">
        <f t="shared" si="125"/>
        <v>47.762896807397802</v>
      </c>
      <c r="M125" s="316">
        <f t="shared" si="125"/>
        <v>59.657128463859962</v>
      </c>
      <c r="N125" s="316">
        <f t="shared" si="125"/>
        <v>66.537679580216107</v>
      </c>
      <c r="O125" s="316">
        <f t="shared" si="125"/>
        <v>81.487970122706571</v>
      </c>
      <c r="P125" s="316">
        <f t="shared" si="125"/>
        <v>86.153699954589484</v>
      </c>
      <c r="Q125" s="315">
        <f t="shared" si="125"/>
        <v>77.82730492517662</v>
      </c>
      <c r="R125" s="315">
        <f t="shared" si="125"/>
        <v>75.074526064569369</v>
      </c>
      <c r="S125" s="315">
        <f t="shared" ref="S125:AI125" si="126">S111/S107*100</f>
        <v>74.064614425137805</v>
      </c>
      <c r="T125" s="315">
        <f t="shared" si="126"/>
        <v>73.166964218129721</v>
      </c>
      <c r="U125" s="315">
        <f t="shared" si="126"/>
        <v>73.427134806358509</v>
      </c>
      <c r="V125" s="315">
        <f t="shared" si="126"/>
        <v>73.716534473206863</v>
      </c>
      <c r="W125" s="315">
        <f t="shared" si="126"/>
        <v>74.438771256077104</v>
      </c>
      <c r="X125" s="315">
        <f t="shared" si="126"/>
        <v>75.498775303113362</v>
      </c>
      <c r="Y125" s="315">
        <f t="shared" si="126"/>
        <v>75.467859472716384</v>
      </c>
      <c r="Z125" s="315">
        <f t="shared" si="126"/>
        <v>74.474360288468773</v>
      </c>
      <c r="AA125" s="315">
        <f t="shared" si="126"/>
        <v>73.375325923842922</v>
      </c>
      <c r="AB125" s="315">
        <f t="shared" si="126"/>
        <v>71.333666886268404</v>
      </c>
      <c r="AC125" s="315">
        <f t="shared" si="126"/>
        <v>69.708896117474268</v>
      </c>
      <c r="AD125" s="315">
        <f t="shared" si="126"/>
        <v>68.108148003108766</v>
      </c>
      <c r="AE125" s="315">
        <f t="shared" si="126"/>
        <v>65.531164446839824</v>
      </c>
      <c r="AF125" s="315">
        <f t="shared" si="126"/>
        <v>64.648208652371451</v>
      </c>
      <c r="AG125" s="315">
        <f t="shared" si="126"/>
        <v>64.214059279740468</v>
      </c>
      <c r="AH125" s="315">
        <f t="shared" si="126"/>
        <v>64.957336689357504</v>
      </c>
      <c r="AI125" s="315">
        <f t="shared" si="126"/>
        <v>65.625219095965832</v>
      </c>
      <c r="AJ125" s="285"/>
    </row>
    <row r="126" spans="1:40">
      <c r="A126" s="323" t="s">
        <v>506</v>
      </c>
      <c r="B126" s="313"/>
      <c r="C126" s="313">
        <f t="shared" ref="C126:L126" si="127">C107/C10*100</f>
        <v>14.998358067456699</v>
      </c>
      <c r="D126" s="313">
        <f t="shared" si="127"/>
        <v>15.925516687641581</v>
      </c>
      <c r="E126" s="313">
        <f t="shared" si="127"/>
        <v>15.638005355699272</v>
      </c>
      <c r="F126" s="313">
        <f t="shared" si="127"/>
        <v>16.420924034544566</v>
      </c>
      <c r="G126" s="313">
        <f t="shared" si="127"/>
        <v>17.137123156278228</v>
      </c>
      <c r="H126" s="313">
        <f t="shared" si="127"/>
        <v>17.527477787801569</v>
      </c>
      <c r="I126" s="313">
        <f t="shared" si="127"/>
        <v>17.121912078466</v>
      </c>
      <c r="J126" s="313">
        <f t="shared" si="127"/>
        <v>16.869657115168916</v>
      </c>
      <c r="K126" s="313">
        <f t="shared" si="127"/>
        <v>17.20988164602193</v>
      </c>
      <c r="L126" s="322">
        <f t="shared" si="127"/>
        <v>17.136410072993296</v>
      </c>
      <c r="M126" s="322">
        <f>AVERAGE(J126:L126)</f>
        <v>17.071982944728049</v>
      </c>
      <c r="N126" s="322">
        <v>16.849</v>
      </c>
      <c r="O126" s="322">
        <f t="shared" ref="O126:AI126" si="128">N126</f>
        <v>16.849</v>
      </c>
      <c r="P126" s="322">
        <f t="shared" si="128"/>
        <v>16.849</v>
      </c>
      <c r="Q126" s="321">
        <f t="shared" si="128"/>
        <v>16.849</v>
      </c>
      <c r="R126" s="321">
        <f t="shared" si="128"/>
        <v>16.849</v>
      </c>
      <c r="S126" s="321">
        <f t="shared" si="128"/>
        <v>16.849</v>
      </c>
      <c r="T126" s="321">
        <f t="shared" si="128"/>
        <v>16.849</v>
      </c>
      <c r="U126" s="321">
        <f t="shared" si="128"/>
        <v>16.849</v>
      </c>
      <c r="V126" s="321">
        <f t="shared" si="128"/>
        <v>16.849</v>
      </c>
      <c r="W126" s="321">
        <f t="shared" si="128"/>
        <v>16.849</v>
      </c>
      <c r="X126" s="321">
        <f t="shared" si="128"/>
        <v>16.849</v>
      </c>
      <c r="Y126" s="321">
        <f t="shared" si="128"/>
        <v>16.849</v>
      </c>
      <c r="Z126" s="321">
        <f t="shared" si="128"/>
        <v>16.849</v>
      </c>
      <c r="AA126" s="321">
        <f t="shared" si="128"/>
        <v>16.849</v>
      </c>
      <c r="AB126" s="321">
        <f t="shared" si="128"/>
        <v>16.849</v>
      </c>
      <c r="AC126" s="321">
        <f t="shared" si="128"/>
        <v>16.849</v>
      </c>
      <c r="AD126" s="321">
        <f t="shared" si="128"/>
        <v>16.849</v>
      </c>
      <c r="AE126" s="321">
        <f t="shared" si="128"/>
        <v>16.849</v>
      </c>
      <c r="AF126" s="321">
        <f t="shared" si="128"/>
        <v>16.849</v>
      </c>
      <c r="AG126" s="321">
        <f t="shared" si="128"/>
        <v>16.849</v>
      </c>
      <c r="AH126" s="321">
        <f t="shared" si="128"/>
        <v>16.849</v>
      </c>
      <c r="AI126" s="321">
        <f t="shared" si="128"/>
        <v>16.849</v>
      </c>
      <c r="AJ126" s="285"/>
    </row>
    <row r="127" spans="1:40" ht="25.5">
      <c r="A127" s="320" t="s">
        <v>505</v>
      </c>
      <c r="B127" s="319"/>
      <c r="C127" s="319">
        <f t="shared" ref="C127:AI127" si="129">C111/C10*100</f>
        <v>1.2090639015496809</v>
      </c>
      <c r="D127" s="319">
        <f t="shared" si="129"/>
        <v>1.763898464636295</v>
      </c>
      <c r="E127" s="319">
        <f t="shared" si="129"/>
        <v>2.8752167138237672</v>
      </c>
      <c r="F127" s="319">
        <f t="shared" si="129"/>
        <v>4.0729824995926345</v>
      </c>
      <c r="G127" s="311">
        <f t="shared" si="129"/>
        <v>4.8702028620151374</v>
      </c>
      <c r="H127" s="311">
        <f t="shared" si="129"/>
        <v>5.8193122511749831</v>
      </c>
      <c r="I127" s="285">
        <f t="shared" si="129"/>
        <v>5.9804996335215792</v>
      </c>
      <c r="J127" s="285">
        <f t="shared" si="129"/>
        <v>5.5666196579617608</v>
      </c>
      <c r="K127" s="285">
        <f t="shared" si="129"/>
        <v>6.4110044837903875</v>
      </c>
      <c r="L127" s="285">
        <f t="shared" si="129"/>
        <v>8.1848458596563098</v>
      </c>
      <c r="M127" s="285">
        <f t="shared" si="129"/>
        <v>10.14130981147061</v>
      </c>
      <c r="N127" s="285">
        <f t="shared" si="129"/>
        <v>11.210933632470613</v>
      </c>
      <c r="O127" s="285">
        <f t="shared" si="129"/>
        <v>13.729908085974833</v>
      </c>
      <c r="P127" s="285">
        <f t="shared" si="129"/>
        <v>14.516036905348784</v>
      </c>
      <c r="Q127" s="318">
        <f t="shared" si="129"/>
        <v>13.113122606843008</v>
      </c>
      <c r="R127" s="318">
        <f t="shared" si="129"/>
        <v>12.649306896619294</v>
      </c>
      <c r="S127" s="318">
        <f t="shared" si="129"/>
        <v>12.47914688449147</v>
      </c>
      <c r="T127" s="318">
        <f t="shared" si="129"/>
        <v>12.327901801112679</v>
      </c>
      <c r="U127" s="318">
        <f t="shared" si="129"/>
        <v>12.371737943523346</v>
      </c>
      <c r="V127" s="318">
        <f t="shared" si="129"/>
        <v>12.420498893390624</v>
      </c>
      <c r="W127" s="318">
        <f t="shared" si="129"/>
        <v>12.542188568936433</v>
      </c>
      <c r="X127" s="318">
        <f t="shared" si="129"/>
        <v>12.720788650821572</v>
      </c>
      <c r="Y127" s="318">
        <f t="shared" si="129"/>
        <v>12.715579642557984</v>
      </c>
      <c r="Z127" s="318">
        <f t="shared" si="129"/>
        <v>12.548184965004106</v>
      </c>
      <c r="AA127" s="318">
        <f t="shared" si="129"/>
        <v>12.363008664908293</v>
      </c>
      <c r="AB127" s="318">
        <f t="shared" si="129"/>
        <v>12.019009533667361</v>
      </c>
      <c r="AC127" s="318">
        <f t="shared" si="129"/>
        <v>11.745251906833239</v>
      </c>
      <c r="AD127" s="318">
        <f t="shared" si="129"/>
        <v>11.475541857043794</v>
      </c>
      <c r="AE127" s="318">
        <f t="shared" si="129"/>
        <v>11.041345897648043</v>
      </c>
      <c r="AF127" s="318">
        <f t="shared" si="129"/>
        <v>10.892576675838066</v>
      </c>
      <c r="AG127" s="318">
        <f t="shared" si="129"/>
        <v>10.819426848043472</v>
      </c>
      <c r="AH127" s="318">
        <f t="shared" si="129"/>
        <v>10.944661658789848</v>
      </c>
      <c r="AI127" s="318">
        <f t="shared" si="129"/>
        <v>11.057193165479283</v>
      </c>
      <c r="AJ127" s="285"/>
    </row>
    <row r="128" spans="1:40" ht="25.5">
      <c r="A128" s="317" t="s">
        <v>504</v>
      </c>
      <c r="B128" s="309"/>
      <c r="C128" s="309">
        <f t="shared" ref="C128:AI128" si="130">C111/C2*100</f>
        <v>0.4470568282680748</v>
      </c>
      <c r="D128" s="309">
        <f t="shared" si="130"/>
        <v>0.63846397657033116</v>
      </c>
      <c r="E128" s="309">
        <f t="shared" si="130"/>
        <v>1.029486145267098</v>
      </c>
      <c r="F128" s="309">
        <f t="shared" si="130"/>
        <v>1.445690197913841</v>
      </c>
      <c r="G128" s="309">
        <f t="shared" si="130"/>
        <v>1.8243773280738802</v>
      </c>
      <c r="H128" s="309">
        <f t="shared" si="130"/>
        <v>2.3609139849989225</v>
      </c>
      <c r="I128" s="316">
        <f t="shared" si="130"/>
        <v>2.2105144796878577</v>
      </c>
      <c r="J128" s="316">
        <f t="shared" si="130"/>
        <v>2.0120394346735901</v>
      </c>
      <c r="K128" s="316">
        <f t="shared" si="130"/>
        <v>2.3134582765624021</v>
      </c>
      <c r="L128" s="316">
        <f t="shared" si="130"/>
        <v>3.0084795073705339</v>
      </c>
      <c r="M128" s="316">
        <f t="shared" si="130"/>
        <v>3.7201655297843432</v>
      </c>
      <c r="N128" s="316">
        <f t="shared" si="130"/>
        <v>4.1841299330266226</v>
      </c>
      <c r="O128" s="316">
        <f t="shared" si="130"/>
        <v>4.8511957123998082</v>
      </c>
      <c r="P128" s="316">
        <f t="shared" si="130"/>
        <v>5.0940456349974665</v>
      </c>
      <c r="Q128" s="315">
        <f t="shared" si="130"/>
        <v>4.6550934556265142</v>
      </c>
      <c r="R128" s="315">
        <f t="shared" ca="1" si="130"/>
        <v>4.4929282110346911</v>
      </c>
      <c r="S128" s="315">
        <f t="shared" ca="1" si="130"/>
        <v>4.4288544035838706</v>
      </c>
      <c r="T128" s="315">
        <f t="shared" ca="1" si="130"/>
        <v>4.3471766997436418</v>
      </c>
      <c r="U128" s="315">
        <f t="shared" ca="1" si="130"/>
        <v>4.3580188118103287</v>
      </c>
      <c r="V128" s="315">
        <f t="shared" ca="1" si="130"/>
        <v>4.3750406128003458</v>
      </c>
      <c r="W128" s="315">
        <f t="shared" ca="1" si="130"/>
        <v>4.4243759597509467</v>
      </c>
      <c r="X128" s="315">
        <f t="shared" ca="1" si="130"/>
        <v>4.4958291152016789</v>
      </c>
      <c r="Y128" s="315">
        <f t="shared" ca="1" si="130"/>
        <v>4.5001625216790266</v>
      </c>
      <c r="Z128" s="315">
        <f t="shared" ca="1" si="130"/>
        <v>4.4418571477204676</v>
      </c>
      <c r="AA128" s="315">
        <f t="shared" ca="1" si="130"/>
        <v>4.3787116383903824</v>
      </c>
      <c r="AB128" s="315">
        <f t="shared" ca="1" si="130"/>
        <v>4.2534331398277319</v>
      </c>
      <c r="AC128" s="315">
        <f t="shared" ca="1" si="130"/>
        <v>4.1593945202541001</v>
      </c>
      <c r="AD128" s="315">
        <f t="shared" ca="1" si="130"/>
        <v>4.0602158889375781</v>
      </c>
      <c r="AE128" s="315">
        <f t="shared" ca="1" si="130"/>
        <v>3.9101907893207688</v>
      </c>
      <c r="AF128" s="315">
        <f t="shared" ca="1" si="130"/>
        <v>3.8635204280480688</v>
      </c>
      <c r="AG128" s="315">
        <f t="shared" ca="1" si="130"/>
        <v>3.8437239879941449</v>
      </c>
      <c r="AH128" s="315">
        <f t="shared" ca="1" si="130"/>
        <v>3.8918489995580092</v>
      </c>
      <c r="AI128" s="315">
        <f t="shared" ca="1" si="130"/>
        <v>3.9368391069241468</v>
      </c>
      <c r="AJ128" s="285"/>
    </row>
    <row r="129" spans="1:42" s="289" customFormat="1">
      <c r="A129" s="314" t="s">
        <v>503</v>
      </c>
      <c r="B129" s="313"/>
      <c r="C129" s="313"/>
      <c r="D129" s="313"/>
      <c r="E129" s="313"/>
      <c r="F129" s="313"/>
      <c r="G129" s="313"/>
      <c r="H129" s="313"/>
      <c r="I129" s="322">
        <f>I130*I138/I133+I131*I136/I133</f>
        <v>24.344027222183975</v>
      </c>
      <c r="J129" s="322">
        <f t="shared" ref="J129:AI129" si="131">J130*J138/J133+J131*J136/J133</f>
        <v>21.021233012711146</v>
      </c>
      <c r="K129" s="322">
        <f t="shared" si="131"/>
        <v>20.882478301543273</v>
      </c>
      <c r="L129" s="322">
        <f t="shared" si="131"/>
        <v>21.059680418186005</v>
      </c>
      <c r="M129" s="322">
        <f t="shared" si="131"/>
        <v>20.121454283591447</v>
      </c>
      <c r="N129" s="322">
        <f>N130*N138/N133+N131*N136/N133</f>
        <v>21.433406265978945</v>
      </c>
      <c r="O129" s="322">
        <f t="shared" si="131"/>
        <v>22.381110337236244</v>
      </c>
      <c r="P129" s="322">
        <f t="shared" si="131"/>
        <v>18.798473502269598</v>
      </c>
      <c r="Q129" s="321">
        <f t="shared" si="131"/>
        <v>17.320372982089047</v>
      </c>
      <c r="R129" s="321">
        <f t="shared" si="131"/>
        <v>16.624168107272883</v>
      </c>
      <c r="S129" s="321">
        <f t="shared" si="131"/>
        <v>16.274686190853231</v>
      </c>
      <c r="T129" s="321">
        <f t="shared" si="131"/>
        <v>15.799999999999999</v>
      </c>
      <c r="U129" s="321">
        <f t="shared" si="131"/>
        <v>14.753141934766965</v>
      </c>
      <c r="V129" s="321">
        <f t="shared" si="131"/>
        <v>14.00798368220762</v>
      </c>
      <c r="W129" s="321">
        <f t="shared" si="131"/>
        <v>13.397291826093312</v>
      </c>
      <c r="X129" s="321">
        <f t="shared" si="131"/>
        <v>12.563382274573247</v>
      </c>
      <c r="Y129" s="321">
        <f t="shared" si="131"/>
        <v>11.55787148288012</v>
      </c>
      <c r="Z129" s="321">
        <f t="shared" si="131"/>
        <v>10.771839526314039</v>
      </c>
      <c r="AA129" s="321">
        <f t="shared" si="131"/>
        <v>9.9060340448106441</v>
      </c>
      <c r="AB129" s="321">
        <f t="shared" si="131"/>
        <v>9.2046568443519678</v>
      </c>
      <c r="AC129" s="321">
        <f t="shared" si="131"/>
        <v>8.5624444518087728</v>
      </c>
      <c r="AD129" s="321">
        <f t="shared" si="131"/>
        <v>7.8400000000000007</v>
      </c>
      <c r="AE129" s="321">
        <f t="shared" si="131"/>
        <v>7.637777777777778</v>
      </c>
      <c r="AF129" s="321">
        <f t="shared" si="131"/>
        <v>7.441081081081081</v>
      </c>
      <c r="AG129" s="321">
        <f t="shared" si="131"/>
        <v>7.3494736842105262</v>
      </c>
      <c r="AH129" s="321">
        <f t="shared" si="131"/>
        <v>7.2625641025641023</v>
      </c>
      <c r="AI129" s="321">
        <f t="shared" si="131"/>
        <v>7.18</v>
      </c>
      <c r="AJ129" s="285"/>
      <c r="AM129" s="280"/>
      <c r="AN129" s="280"/>
      <c r="AO129" s="280"/>
      <c r="AP129" s="280"/>
    </row>
    <row r="130" spans="1:42" s="289" customFormat="1" ht="25.5">
      <c r="A130" s="312" t="s">
        <v>502</v>
      </c>
      <c r="B130" s="311"/>
      <c r="C130" s="311"/>
      <c r="D130" s="311"/>
      <c r="E130" s="311"/>
      <c r="F130" s="311"/>
      <c r="G130" s="311"/>
      <c r="H130" s="311">
        <v>27</v>
      </c>
      <c r="I130" s="285">
        <v>29.3</v>
      </c>
      <c r="J130" s="285">
        <v>24.7</v>
      </c>
      <c r="K130" s="285">
        <v>24.6</v>
      </c>
      <c r="L130" s="285">
        <v>24.41</v>
      </c>
      <c r="M130" s="285">
        <v>23.24</v>
      </c>
      <c r="N130" s="285">
        <v>24.6</v>
      </c>
      <c r="O130" s="285">
        <f>'[11]Рын. ставки'!I113*100</f>
        <v>26.399935600941511</v>
      </c>
      <c r="P130" s="285">
        <f>'[11]Рын. ставки'!$I$125*100</f>
        <v>21.907291696248262</v>
      </c>
      <c r="Q130" s="285">
        <f>'[11]Рын. ставки'!$I$137*100</f>
        <v>20.824625982496322</v>
      </c>
      <c r="R130" s="285">
        <f>'[11]Рын. ставки'!$I$149*100</f>
        <v>20.596341549383084</v>
      </c>
      <c r="S130" s="285">
        <v>20.399999999999999</v>
      </c>
      <c r="T130" s="285">
        <v>20.399999999999999</v>
      </c>
      <c r="U130" s="285">
        <v>19.5</v>
      </c>
      <c r="V130" s="285">
        <v>18.899999999999999</v>
      </c>
      <c r="W130" s="285">
        <v>18.399999999999999</v>
      </c>
      <c r="X130" s="285">
        <v>17.600000000000001</v>
      </c>
      <c r="Y130" s="285">
        <v>16.7</v>
      </c>
      <c r="Z130" s="285">
        <v>15.9</v>
      </c>
      <c r="AA130" s="285">
        <v>15</v>
      </c>
      <c r="AB130" s="285">
        <v>14.3</v>
      </c>
      <c r="AC130" s="285">
        <v>13.7</v>
      </c>
      <c r="AD130" s="285">
        <v>12.9</v>
      </c>
      <c r="AE130" s="285">
        <v>12.8</v>
      </c>
      <c r="AF130" s="285">
        <v>12.7</v>
      </c>
      <c r="AG130" s="285">
        <v>12.7</v>
      </c>
      <c r="AH130" s="285">
        <v>12.7</v>
      </c>
      <c r="AI130" s="285">
        <v>12.7</v>
      </c>
      <c r="AJ130" s="285"/>
      <c r="AM130" s="280"/>
      <c r="AN130" s="280"/>
      <c r="AO130" s="280"/>
      <c r="AP130" s="280"/>
    </row>
    <row r="131" spans="1:42" s="289" customFormat="1" ht="22.5" customHeight="1">
      <c r="A131" s="310" t="s">
        <v>501</v>
      </c>
      <c r="B131" s="309"/>
      <c r="C131" s="309"/>
      <c r="D131" s="309"/>
      <c r="E131" s="309"/>
      <c r="F131" s="309"/>
      <c r="G131" s="309"/>
      <c r="H131" s="309">
        <v>12.9</v>
      </c>
      <c r="I131" s="316">
        <v>14.3</v>
      </c>
      <c r="J131" s="316">
        <v>13.1</v>
      </c>
      <c r="K131" s="316">
        <v>11.9</v>
      </c>
      <c r="L131" s="316">
        <v>12.2</v>
      </c>
      <c r="M131" s="316">
        <v>12.010999999999999</v>
      </c>
      <c r="N131" s="316">
        <v>14</v>
      </c>
      <c r="O131" s="285">
        <f>'[11]Рын. ставки'!H113*100</f>
        <v>13.77590771128305</v>
      </c>
      <c r="P131" s="285">
        <f>'[11]Рын. ставки'!$H$125*100*1.01</f>
        <v>12.67486521753646</v>
      </c>
      <c r="Q131" s="285">
        <f>'[11]Рын. ставки'!$H$137*100</f>
        <v>10.925334810383834</v>
      </c>
      <c r="R131" s="285">
        <f>'[11]Рын. ставки'!$H$149*100</f>
        <v>9.8674871370705013</v>
      </c>
      <c r="S131" s="285">
        <v>9.6999999999999993</v>
      </c>
      <c r="T131" s="285">
        <v>8.9</v>
      </c>
      <c r="U131" s="285">
        <v>8.3000000000000007</v>
      </c>
      <c r="V131" s="285">
        <v>7.9</v>
      </c>
      <c r="W131" s="285">
        <v>7.6</v>
      </c>
      <c r="X131" s="285">
        <v>7.1</v>
      </c>
      <c r="Y131" s="285">
        <v>6.3</v>
      </c>
      <c r="Z131" s="285">
        <v>5.8</v>
      </c>
      <c r="AA131" s="285">
        <v>5.2</v>
      </c>
      <c r="AB131" s="285">
        <v>4.7</v>
      </c>
      <c r="AC131" s="285">
        <v>4.2</v>
      </c>
      <c r="AD131" s="285">
        <v>3.7</v>
      </c>
      <c r="AE131" s="285">
        <v>3.6</v>
      </c>
      <c r="AF131" s="285">
        <v>3.5</v>
      </c>
      <c r="AG131" s="285">
        <v>3.5</v>
      </c>
      <c r="AH131" s="285">
        <v>3.5</v>
      </c>
      <c r="AI131" s="285">
        <v>3.5</v>
      </c>
      <c r="AJ131" s="285"/>
      <c r="AM131" s="280"/>
      <c r="AN131" s="280"/>
      <c r="AO131" s="280"/>
      <c r="AP131" s="280"/>
    </row>
    <row r="132" spans="1:42" s="289" customFormat="1" ht="15.75">
      <c r="A132" s="308" t="s">
        <v>500</v>
      </c>
      <c r="B132" s="306">
        <v>2002</v>
      </c>
      <c r="C132" s="306">
        <v>2003</v>
      </c>
      <c r="D132" s="307">
        <v>2004</v>
      </c>
      <c r="E132" s="306">
        <v>2005</v>
      </c>
      <c r="F132" s="306">
        <v>2006</v>
      </c>
      <c r="G132" s="307">
        <v>2007</v>
      </c>
      <c r="H132" s="306">
        <v>2008</v>
      </c>
      <c r="I132" s="306">
        <v>2009</v>
      </c>
      <c r="J132" s="306">
        <v>2010</v>
      </c>
      <c r="K132" s="306">
        <v>2011</v>
      </c>
      <c r="L132" s="306">
        <v>2012</v>
      </c>
      <c r="M132" s="306">
        <v>2013</v>
      </c>
      <c r="N132" s="306">
        <v>2014</v>
      </c>
      <c r="O132" s="306">
        <v>2015</v>
      </c>
      <c r="P132" s="306">
        <v>2016</v>
      </c>
      <c r="Q132" s="589">
        <v>2017</v>
      </c>
      <c r="R132" s="306">
        <v>2018</v>
      </c>
      <c r="S132" s="306">
        <v>2019</v>
      </c>
      <c r="T132" s="306">
        <v>2020</v>
      </c>
      <c r="U132" s="589">
        <v>2021</v>
      </c>
      <c r="V132" s="306">
        <v>2022</v>
      </c>
      <c r="W132" s="589">
        <v>2023</v>
      </c>
      <c r="X132" s="306">
        <v>2024</v>
      </c>
      <c r="Y132" s="589">
        <v>2025</v>
      </c>
      <c r="Z132" s="306">
        <v>2026</v>
      </c>
      <c r="AA132" s="589">
        <v>2027</v>
      </c>
      <c r="AB132" s="306">
        <v>2028</v>
      </c>
      <c r="AC132" s="589">
        <v>2029</v>
      </c>
      <c r="AD132" s="306">
        <v>2030</v>
      </c>
      <c r="AE132" s="589">
        <v>2031</v>
      </c>
      <c r="AF132" s="306">
        <v>2032</v>
      </c>
      <c r="AG132" s="589">
        <v>2033</v>
      </c>
      <c r="AH132" s="306">
        <v>2034</v>
      </c>
      <c r="AI132" s="589">
        <v>2035</v>
      </c>
      <c r="AJ132" s="678"/>
    </row>
    <row r="133" spans="1:42" s="289" customFormat="1" ht="15.75">
      <c r="A133" s="305" t="s">
        <v>499</v>
      </c>
      <c r="B133" s="304"/>
      <c r="C133" s="304"/>
      <c r="D133" s="304"/>
      <c r="E133" s="304"/>
      <c r="F133" s="303">
        <v>1882.7</v>
      </c>
      <c r="G133" s="303">
        <v>2971.1</v>
      </c>
      <c r="H133" s="303">
        <f>H136+H138</f>
        <v>4017.2120060000002</v>
      </c>
      <c r="I133" s="303">
        <f>I136+I138</f>
        <v>3573.7514700000002</v>
      </c>
      <c r="J133" s="303">
        <v>4084.8208249999998</v>
      </c>
      <c r="K133" s="303">
        <v>5550.8839420000004</v>
      </c>
      <c r="L133" s="303">
        <v>7737.0705770000004</v>
      </c>
      <c r="M133" s="303">
        <v>9957</v>
      </c>
      <c r="N133" s="303">
        <f>N136+N138</f>
        <v>12244.630999999999</v>
      </c>
      <c r="O133" s="303">
        <f t="shared" ref="O133:AI133" si="132">O136+O138</f>
        <v>13099.606265429098</v>
      </c>
      <c r="P133" s="303">
        <f t="shared" si="132"/>
        <v>14346.577298161857</v>
      </c>
      <c r="Q133" s="303">
        <f t="shared" si="132"/>
        <v>16167.187106824453</v>
      </c>
      <c r="R133" s="303">
        <f t="shared" si="132"/>
        <v>18263.032773987412</v>
      </c>
      <c r="S133" s="303">
        <f t="shared" si="132"/>
        <v>19666.834072818681</v>
      </c>
      <c r="T133" s="303">
        <f t="shared" si="132"/>
        <v>21191.496428731767</v>
      </c>
      <c r="U133" s="303">
        <f t="shared" si="132"/>
        <v>23755.651717038258</v>
      </c>
      <c r="V133" s="303">
        <f t="shared" si="132"/>
        <v>26618.879750505293</v>
      </c>
      <c r="W133" s="303">
        <f t="shared" si="132"/>
        <v>29755.025949925817</v>
      </c>
      <c r="X133" s="303">
        <f t="shared" si="132"/>
        <v>33207.229900543542</v>
      </c>
      <c r="Y133" s="303">
        <f t="shared" si="132"/>
        <v>37013.360345650086</v>
      </c>
      <c r="Z133" s="303">
        <f t="shared" si="132"/>
        <v>41260.304549298788</v>
      </c>
      <c r="AA133" s="303">
        <f t="shared" si="132"/>
        <v>45815.78416657394</v>
      </c>
      <c r="AB133" s="303">
        <f t="shared" si="132"/>
        <v>50759.551599859755</v>
      </c>
      <c r="AC133" s="303">
        <f t="shared" si="132"/>
        <v>55979.311679883991</v>
      </c>
      <c r="AD133" s="303">
        <f t="shared" si="132"/>
        <v>61636.741092044278</v>
      </c>
      <c r="AE133" s="303">
        <f t="shared" si="132"/>
        <v>66936.256418255958</v>
      </c>
      <c r="AF133" s="303">
        <f t="shared" si="132"/>
        <v>72568.80280366556</v>
      </c>
      <c r="AG133" s="303">
        <f t="shared" si="132"/>
        <v>78596.467360958661</v>
      </c>
      <c r="AH133" s="303">
        <f t="shared" si="132"/>
        <v>84814.096923573888</v>
      </c>
      <c r="AI133" s="303">
        <f t="shared" si="132"/>
        <v>91251.396889383526</v>
      </c>
      <c r="AJ133" s="679"/>
    </row>
    <row r="134" spans="1:42" s="289" customFormat="1" ht="15.75">
      <c r="A134" s="748" t="s">
        <v>496</v>
      </c>
      <c r="B134" s="287"/>
      <c r="C134" s="287"/>
      <c r="D134" s="287"/>
      <c r="E134" s="287"/>
      <c r="F134" s="290"/>
      <c r="G134" s="290"/>
      <c r="H134" s="291"/>
      <c r="I134" s="302">
        <v>3573.7514700000002</v>
      </c>
      <c r="J134" s="290">
        <f t="shared" ref="J134:R134" si="133">J133/I133</f>
        <v>1.1430064063744196</v>
      </c>
      <c r="K134" s="290">
        <f t="shared" si="133"/>
        <v>1.3589051221114454</v>
      </c>
      <c r="L134" s="290">
        <f t="shared" si="133"/>
        <v>1.39384477460581</v>
      </c>
      <c r="M134" s="290">
        <f t="shared" si="133"/>
        <v>1.2869211804270193</v>
      </c>
      <c r="N134" s="290">
        <f t="shared" si="133"/>
        <v>1.2297510294265341</v>
      </c>
      <c r="O134" s="290">
        <f t="shared" si="133"/>
        <v>1.0698245023005675</v>
      </c>
      <c r="P134" s="290">
        <f t="shared" si="133"/>
        <v>1.095191489535347</v>
      </c>
      <c r="Q134" s="290">
        <f t="shared" si="133"/>
        <v>1.1269020318104626</v>
      </c>
      <c r="R134" s="290">
        <f t="shared" si="133"/>
        <v>1.1296357649178357</v>
      </c>
      <c r="S134" s="290">
        <f>S133/R133</f>
        <v>1.0768657274070463</v>
      </c>
      <c r="T134" s="290">
        <f t="shared" ref="T134:AC134" si="134">T133/S133</f>
        <v>1.0775245446352906</v>
      </c>
      <c r="U134" s="290">
        <f t="shared" si="134"/>
        <v>1.1209992553819828</v>
      </c>
      <c r="V134" s="290">
        <f t="shared" si="134"/>
        <v>1.1205282880710632</v>
      </c>
      <c r="W134" s="290">
        <f t="shared" si="134"/>
        <v>1.1178166109473857</v>
      </c>
      <c r="X134" s="290">
        <f t="shared" si="134"/>
        <v>1.1160208684216029</v>
      </c>
      <c r="Y134" s="290">
        <f t="shared" si="134"/>
        <v>1.1146175232473772</v>
      </c>
      <c r="Z134" s="290">
        <f t="shared" si="134"/>
        <v>1.1147408439544131</v>
      </c>
      <c r="AA134" s="290">
        <f t="shared" si="134"/>
        <v>1.1104082887180864</v>
      </c>
      <c r="AB134" s="290">
        <f t="shared" si="134"/>
        <v>1.1079053326973864</v>
      </c>
      <c r="AC134" s="290">
        <f t="shared" si="134"/>
        <v>1.1028330612762673</v>
      </c>
      <c r="AD134" s="290">
        <f t="shared" ref="AD134:AI134" si="135">AD133/AC133</f>
        <v>1.1010628613033351</v>
      </c>
      <c r="AE134" s="290">
        <f t="shared" si="135"/>
        <v>1.0859798106181138</v>
      </c>
      <c r="AF134" s="290">
        <f t="shared" si="135"/>
        <v>1.0841479145504378</v>
      </c>
      <c r="AG134" s="290">
        <f t="shared" si="135"/>
        <v>1.0830613751972857</v>
      </c>
      <c r="AH134" s="290">
        <f t="shared" si="135"/>
        <v>1.0791082572968631</v>
      </c>
      <c r="AI134" s="290">
        <f t="shared" si="135"/>
        <v>1.075898938965421</v>
      </c>
      <c r="AJ134" s="290"/>
      <c r="AK134" s="290"/>
    </row>
    <row r="135" spans="1:42" s="745" customFormat="1" ht="15.75">
      <c r="A135" s="747" t="s">
        <v>685</v>
      </c>
      <c r="B135" s="741"/>
      <c r="C135" s="741"/>
      <c r="D135" s="741"/>
      <c r="E135" s="741"/>
      <c r="F135" s="742"/>
      <c r="G135" s="742"/>
      <c r="H135" s="743"/>
      <c r="I135" s="744"/>
      <c r="J135" s="742"/>
      <c r="K135" s="742"/>
      <c r="L135" s="742"/>
      <c r="M135" s="742"/>
      <c r="N135" s="742"/>
      <c r="O135" s="742">
        <v>1.1871177404073674</v>
      </c>
      <c r="P135" s="742">
        <v>1.1824926329313585</v>
      </c>
      <c r="Q135" s="742">
        <v>1.1801020901121377</v>
      </c>
      <c r="R135" s="742">
        <v>1.1746831125278625</v>
      </c>
      <c r="S135" s="742">
        <v>1.1706719035660731</v>
      </c>
      <c r="T135" s="742">
        <v>1.1668864178876919</v>
      </c>
      <c r="U135" s="742">
        <v>1.1626687611632971</v>
      </c>
      <c r="V135" s="742">
        <v>1.1590067943435929</v>
      </c>
      <c r="W135" s="742">
        <v>1.1539679284649575</v>
      </c>
      <c r="X135" s="742">
        <v>1.1504910820612755</v>
      </c>
      <c r="Y135" s="742">
        <v>1.1451643416460113</v>
      </c>
      <c r="Z135" s="742">
        <v>1.1414185218699437</v>
      </c>
      <c r="AA135" s="742">
        <v>1.1367180863541166</v>
      </c>
      <c r="AB135" s="742">
        <v>1.1299063583194322</v>
      </c>
      <c r="AC135" s="742">
        <v>1.1233162999999837</v>
      </c>
      <c r="AD135" s="742">
        <v>1.1125043686001772</v>
      </c>
      <c r="AE135" s="742"/>
      <c r="AF135" s="742"/>
      <c r="AG135" s="742"/>
      <c r="AH135" s="742"/>
      <c r="AI135" s="742"/>
      <c r="AJ135" s="742"/>
      <c r="AK135" s="742"/>
    </row>
    <row r="136" spans="1:42" s="289" customFormat="1" ht="15.75">
      <c r="A136" s="299" t="s">
        <v>498</v>
      </c>
      <c r="B136" s="287"/>
      <c r="C136" s="287"/>
      <c r="D136" s="287"/>
      <c r="E136" s="287"/>
      <c r="F136" s="290"/>
      <c r="G136" s="290"/>
      <c r="H136" s="298">
        <v>1270.1860000000001</v>
      </c>
      <c r="I136" s="298">
        <v>1180.761</v>
      </c>
      <c r="J136" s="298">
        <v>1295.44</v>
      </c>
      <c r="K136" s="298">
        <v>1624.845</v>
      </c>
      <c r="L136" s="298">
        <v>2122.9859999999999</v>
      </c>
      <c r="M136" s="298">
        <v>2765.4779999999996</v>
      </c>
      <c r="N136" s="298">
        <f>[12]out!C17</f>
        <v>3657.9030000000002</v>
      </c>
      <c r="O136" s="298">
        <f>[12]out!D17</f>
        <v>4170.2243582038354</v>
      </c>
      <c r="P136" s="298">
        <f>[12]out!E17</f>
        <v>4830.8969076209733</v>
      </c>
      <c r="Q136" s="298">
        <f>[12]out!F17</f>
        <v>5723.0273301624238</v>
      </c>
      <c r="R136" s="298">
        <f>[12]out!G17</f>
        <v>6761.5731344036603</v>
      </c>
      <c r="S136" s="298">
        <f>[12]out!H17</f>
        <v>7582.4170264296354</v>
      </c>
      <c r="T136" s="298">
        <f>[12]out!I17</f>
        <v>8476.5985714927065</v>
      </c>
      <c r="U136" s="298">
        <f>[12]out!J17</f>
        <v>10068.27740606161</v>
      </c>
      <c r="V136" s="298">
        <f>[12]out!K17</f>
        <v>11838.181281893181</v>
      </c>
      <c r="W136" s="298">
        <f>[12]out!L17</f>
        <v>13782.936253194388</v>
      </c>
      <c r="X136" s="298">
        <f>[12]out!M17</f>
        <v>15928.773593276088</v>
      </c>
      <c r="Y136" s="298">
        <f>[12]out!N17</f>
        <v>18300.716898827068</v>
      </c>
      <c r="Z136" s="298">
        <f>[12]out!O17</f>
        <v>20949.451774451398</v>
      </c>
      <c r="AA136" s="298">
        <f>[12]out!P17</f>
        <v>23814.698444370533</v>
      </c>
      <c r="AB136" s="298">
        <f>[12]out!Q17</f>
        <v>26941.38894042798</v>
      </c>
      <c r="AC136" s="298">
        <f>[12]out!R17</f>
        <v>30273.349821569893</v>
      </c>
      <c r="AD136" s="298">
        <f>[12]out!S17</f>
        <v>33900.207600624351</v>
      </c>
      <c r="AE136" s="298">
        <f>[12]out!T17</f>
        <v>37558.677212465838</v>
      </c>
      <c r="AF136" s="298">
        <f>[12]out!U17</f>
        <v>41481.896737770985</v>
      </c>
      <c r="AG136" s="298">
        <f>[12]out!V17</f>
        <v>45710.050754662792</v>
      </c>
      <c r="AH136" s="298">
        <f>[12]out!W17</f>
        <v>50127.306002266101</v>
      </c>
      <c r="AI136" s="298">
        <f>[12]out!X17</f>
        <v>54750.83813363011</v>
      </c>
      <c r="AJ136" s="298"/>
      <c r="AK136" s="298"/>
      <c r="AL136" s="298"/>
    </row>
    <row r="137" spans="1:42" s="289" customFormat="1" ht="15.75">
      <c r="A137" s="301" t="s">
        <v>496</v>
      </c>
      <c r="B137" s="287"/>
      <c r="C137" s="287"/>
      <c r="D137" s="287"/>
      <c r="E137" s="287"/>
      <c r="F137" s="290"/>
      <c r="G137" s="290"/>
      <c r="H137" s="291"/>
      <c r="I137" s="291">
        <f>I111/I134*100</f>
        <v>17.750590809830431</v>
      </c>
      <c r="J137" s="290">
        <f t="shared" ref="J137:AI137" si="136">J136/I136</f>
        <v>1.0971229571437404</v>
      </c>
      <c r="K137" s="290">
        <f t="shared" si="136"/>
        <v>1.2542803989378126</v>
      </c>
      <c r="L137" s="290">
        <f t="shared" si="136"/>
        <v>1.3065775504740451</v>
      </c>
      <c r="M137" s="290">
        <f t="shared" si="136"/>
        <v>1.3026360041940925</v>
      </c>
      <c r="N137" s="290">
        <f t="shared" si="136"/>
        <v>1.3227018981890295</v>
      </c>
      <c r="O137" s="290">
        <f t="shared" si="136"/>
        <v>1.1400587599517633</v>
      </c>
      <c r="P137" s="290">
        <f t="shared" si="136"/>
        <v>1.1584261403388132</v>
      </c>
      <c r="Q137" s="300">
        <f t="shared" si="136"/>
        <v>1.1846717989643023</v>
      </c>
      <c r="R137" s="300">
        <f t="shared" si="136"/>
        <v>1.1814679092597942</v>
      </c>
      <c r="S137" s="300">
        <f t="shared" si="136"/>
        <v>1.1213983603681557</v>
      </c>
      <c r="T137" s="300">
        <f t="shared" si="136"/>
        <v>1.1179282993729136</v>
      </c>
      <c r="U137" s="300">
        <f>U136/T136</f>
        <v>1.1877732938683463</v>
      </c>
      <c r="V137" s="300">
        <f t="shared" si="136"/>
        <v>1.1757901381189597</v>
      </c>
      <c r="W137" s="300">
        <f t="shared" si="136"/>
        <v>1.1642781880926052</v>
      </c>
      <c r="X137" s="300">
        <f t="shared" si="136"/>
        <v>1.1556879681268475</v>
      </c>
      <c r="Y137" s="300">
        <f t="shared" si="136"/>
        <v>1.148909348962825</v>
      </c>
      <c r="Z137" s="300">
        <f t="shared" si="136"/>
        <v>1.1447339407667736</v>
      </c>
      <c r="AA137" s="300">
        <f t="shared" si="136"/>
        <v>1.1367695298553544</v>
      </c>
      <c r="AB137" s="300">
        <f t="shared" si="136"/>
        <v>1.1312924664303929</v>
      </c>
      <c r="AC137" s="300">
        <f t="shared" si="136"/>
        <v>1.1236744285348261</v>
      </c>
      <c r="AD137" s="300">
        <f t="shared" si="136"/>
        <v>1.1198036490983336</v>
      </c>
      <c r="AE137" s="300">
        <f t="shared" si="136"/>
        <v>1.107918796691207</v>
      </c>
      <c r="AF137" s="300">
        <f t="shared" si="136"/>
        <v>1.1044557427598387</v>
      </c>
      <c r="AG137" s="300">
        <f t="shared" si="136"/>
        <v>1.1019276925455026</v>
      </c>
      <c r="AH137" s="300">
        <f t="shared" si="136"/>
        <v>1.0966364109134732</v>
      </c>
      <c r="AI137" s="300">
        <f t="shared" si="136"/>
        <v>1.0922357992100153</v>
      </c>
      <c r="AJ137" s="290"/>
      <c r="AK137" s="290"/>
      <c r="AL137" s="290"/>
    </row>
    <row r="138" spans="1:42" s="289" customFormat="1" ht="15.75">
      <c r="A138" s="299" t="s">
        <v>497</v>
      </c>
      <c r="B138" s="287"/>
      <c r="C138" s="287"/>
      <c r="D138" s="287"/>
      <c r="E138" s="287"/>
      <c r="F138" s="290"/>
      <c r="G138" s="290"/>
      <c r="H138" s="298">
        <v>2747.0260060000001</v>
      </c>
      <c r="I138" s="298">
        <v>2392.9904700000002</v>
      </c>
      <c r="J138" s="298">
        <v>2789.3808249999997</v>
      </c>
      <c r="K138" s="298">
        <v>3926.0389420000001</v>
      </c>
      <c r="L138" s="298">
        <v>5614.0845770000005</v>
      </c>
      <c r="M138" s="298">
        <v>7191.6163530000013</v>
      </c>
      <c r="N138" s="298">
        <f>[12]out!C22</f>
        <v>8586.7279999999992</v>
      </c>
      <c r="O138" s="298">
        <f>[12]out!D22</f>
        <v>8929.3819072252627</v>
      </c>
      <c r="P138" s="298">
        <f>[12]out!E22</f>
        <v>9515.6803905408833</v>
      </c>
      <c r="Q138" s="298">
        <f>[12]out!F22</f>
        <v>10444.159776662029</v>
      </c>
      <c r="R138" s="298">
        <f>[12]out!G22</f>
        <v>11501.459639583751</v>
      </c>
      <c r="S138" s="298">
        <f>[12]out!H22</f>
        <v>12084.417046389046</v>
      </c>
      <c r="T138" s="298">
        <f>[12]out!I22</f>
        <v>12714.897857239061</v>
      </c>
      <c r="U138" s="298">
        <f>[12]out!J22</f>
        <v>13687.374310976646</v>
      </c>
      <c r="V138" s="298">
        <f>[12]out!K22</f>
        <v>14780.69846861211</v>
      </c>
      <c r="W138" s="298">
        <f>[12]out!L22</f>
        <v>15972.089696731427</v>
      </c>
      <c r="X138" s="298">
        <f>[12]out!M22</f>
        <v>17278.456307267454</v>
      </c>
      <c r="Y138" s="298">
        <f>[12]out!N22</f>
        <v>18712.643446823022</v>
      </c>
      <c r="Z138" s="298">
        <f>[12]out!O22</f>
        <v>20310.852774847393</v>
      </c>
      <c r="AA138" s="298">
        <f>[12]out!P22</f>
        <v>22001.08572220341</v>
      </c>
      <c r="AB138" s="298">
        <f>[12]out!Q22</f>
        <v>23818.162659431779</v>
      </c>
      <c r="AC138" s="298">
        <f>[12]out!R22</f>
        <v>25705.961858314098</v>
      </c>
      <c r="AD138" s="298">
        <f>[12]out!S22</f>
        <v>27736.533491419927</v>
      </c>
      <c r="AE138" s="298">
        <f>[12]out!T22</f>
        <v>29377.579205790116</v>
      </c>
      <c r="AF138" s="298">
        <f>[12]out!U22</f>
        <v>31086.906065894571</v>
      </c>
      <c r="AG138" s="298">
        <f>[12]out!V22</f>
        <v>32886.416606295861</v>
      </c>
      <c r="AH138" s="298">
        <f>[12]out!W22</f>
        <v>34686.790921307787</v>
      </c>
      <c r="AI138" s="298">
        <f>[12]out!X22</f>
        <v>36500.558755753409</v>
      </c>
      <c r="AJ138" s="298"/>
      <c r="AK138" s="298"/>
      <c r="AL138" s="298"/>
    </row>
    <row r="139" spans="1:42" s="289" customFormat="1" ht="15.75">
      <c r="A139" s="297" t="s">
        <v>496</v>
      </c>
      <c r="B139" s="296"/>
      <c r="C139" s="296"/>
      <c r="D139" s="296"/>
      <c r="E139" s="296"/>
      <c r="F139" s="294"/>
      <c r="G139" s="294"/>
      <c r="H139" s="295"/>
      <c r="I139" s="294">
        <f t="shared" ref="I139:AI139" si="137">I138/H138</f>
        <v>0.87112042797311617</v>
      </c>
      <c r="J139" s="294">
        <f t="shared" si="137"/>
        <v>1.1656464411243559</v>
      </c>
      <c r="K139" s="294">
        <f t="shared" si="137"/>
        <v>1.4074947769098545</v>
      </c>
      <c r="L139" s="294">
        <f t="shared" si="137"/>
        <v>1.4299615108096908</v>
      </c>
      <c r="M139" s="294">
        <f t="shared" si="137"/>
        <v>1.2809953705476569</v>
      </c>
      <c r="N139" s="294">
        <f t="shared" si="137"/>
        <v>1.1939913892122489</v>
      </c>
      <c r="O139" s="294">
        <f t="shared" si="137"/>
        <v>1.0399050613021938</v>
      </c>
      <c r="P139" s="294">
        <f t="shared" si="137"/>
        <v>1.065659469984279</v>
      </c>
      <c r="Q139" s="293">
        <f t="shared" si="137"/>
        <v>1.0975736203838988</v>
      </c>
      <c r="R139" s="293">
        <f t="shared" si="137"/>
        <v>1.101233597104126</v>
      </c>
      <c r="S139" s="293">
        <f t="shared" si="137"/>
        <v>1.0506855151496575</v>
      </c>
      <c r="T139" s="293">
        <f t="shared" si="137"/>
        <v>1.0521730430545186</v>
      </c>
      <c r="U139" s="293">
        <f t="shared" si="137"/>
        <v>1.0764832297244069</v>
      </c>
      <c r="V139" s="293">
        <f t="shared" si="137"/>
        <v>1.079878297531373</v>
      </c>
      <c r="W139" s="293">
        <f t="shared" si="137"/>
        <v>1.080604528307598</v>
      </c>
      <c r="X139" s="293">
        <f t="shared" si="137"/>
        <v>1.0817905881660159</v>
      </c>
      <c r="Y139" s="293">
        <f t="shared" si="137"/>
        <v>1.0830043560634719</v>
      </c>
      <c r="Z139" s="293">
        <f t="shared" si="137"/>
        <v>1.085407993401152</v>
      </c>
      <c r="AA139" s="293">
        <f t="shared" si="137"/>
        <v>1.0832182166890192</v>
      </c>
      <c r="AB139" s="293">
        <f t="shared" si="137"/>
        <v>1.0825903303214979</v>
      </c>
      <c r="AC139" s="293">
        <f t="shared" si="137"/>
        <v>1.0792588087450468</v>
      </c>
      <c r="AD139" s="293">
        <f t="shared" si="137"/>
        <v>1.0789922448456866</v>
      </c>
      <c r="AE139" s="293">
        <f t="shared" si="137"/>
        <v>1.0591654943065554</v>
      </c>
      <c r="AF139" s="293">
        <f t="shared" si="137"/>
        <v>1.0581847417763939</v>
      </c>
      <c r="AG139" s="293">
        <f t="shared" si="137"/>
        <v>1.0578864470007689</v>
      </c>
      <c r="AH139" s="293">
        <f t="shared" si="137"/>
        <v>1.0547452261693742</v>
      </c>
      <c r="AI139" s="293">
        <f t="shared" si="137"/>
        <v>1.0522898713392204</v>
      </c>
      <c r="AJ139" s="290"/>
      <c r="AK139" s="290"/>
      <c r="AL139" s="290"/>
    </row>
    <row r="140" spans="1:42" s="289" customFormat="1" ht="21" customHeight="1">
      <c r="A140" s="292"/>
      <c r="B140" s="287"/>
      <c r="C140" s="287"/>
      <c r="D140" s="287"/>
      <c r="E140" s="287"/>
      <c r="F140" s="290"/>
      <c r="G140" s="290"/>
      <c r="H140" s="291"/>
      <c r="I140" s="290"/>
      <c r="J140" s="290"/>
      <c r="K140" s="290"/>
      <c r="L140" s="290"/>
      <c r="M140" s="290"/>
      <c r="N140" s="290">
        <f>N136/N133</f>
        <v>0.29873525792651495</v>
      </c>
      <c r="O140" s="290">
        <f>N140</f>
        <v>0.29873525792651495</v>
      </c>
      <c r="P140" s="290">
        <f t="shared" ref="P140:AI140" si="138">O140</f>
        <v>0.29873525792651495</v>
      </c>
      <c r="Q140" s="290">
        <f>P140</f>
        <v>0.29873525792651495</v>
      </c>
      <c r="R140" s="290">
        <f t="shared" si="138"/>
        <v>0.29873525792651495</v>
      </c>
      <c r="S140" s="290">
        <f t="shared" si="138"/>
        <v>0.29873525792651495</v>
      </c>
      <c r="T140" s="290">
        <f t="shared" si="138"/>
        <v>0.29873525792651495</v>
      </c>
      <c r="U140" s="290">
        <f t="shared" si="138"/>
        <v>0.29873525792651495</v>
      </c>
      <c r="V140" s="290">
        <f t="shared" si="138"/>
        <v>0.29873525792651495</v>
      </c>
      <c r="W140" s="290">
        <f t="shared" si="138"/>
        <v>0.29873525792651495</v>
      </c>
      <c r="X140" s="290">
        <f t="shared" si="138"/>
        <v>0.29873525792651495</v>
      </c>
      <c r="Y140" s="290">
        <f t="shared" si="138"/>
        <v>0.29873525792651495</v>
      </c>
      <c r="Z140" s="290">
        <f t="shared" si="138"/>
        <v>0.29873525792651495</v>
      </c>
      <c r="AA140" s="290">
        <f t="shared" si="138"/>
        <v>0.29873525792651495</v>
      </c>
      <c r="AB140" s="290">
        <f t="shared" si="138"/>
        <v>0.29873525792651495</v>
      </c>
      <c r="AC140" s="290">
        <f t="shared" si="138"/>
        <v>0.29873525792651495</v>
      </c>
      <c r="AD140" s="290">
        <f t="shared" si="138"/>
        <v>0.29873525792651495</v>
      </c>
      <c r="AE140" s="290">
        <f t="shared" si="138"/>
        <v>0.29873525792651495</v>
      </c>
      <c r="AF140" s="290">
        <f t="shared" si="138"/>
        <v>0.29873525792651495</v>
      </c>
      <c r="AG140" s="290">
        <f t="shared" si="138"/>
        <v>0.29873525792651495</v>
      </c>
      <c r="AH140" s="290">
        <f t="shared" si="138"/>
        <v>0.29873525792651495</v>
      </c>
      <c r="AI140" s="290">
        <f t="shared" si="138"/>
        <v>0.29873525792651495</v>
      </c>
      <c r="AJ140" s="290"/>
    </row>
    <row r="141" spans="1:42" s="289" customFormat="1" ht="21" customHeight="1">
      <c r="A141" s="292"/>
      <c r="B141" s="287"/>
      <c r="C141" s="287"/>
      <c r="D141" s="287"/>
      <c r="E141" s="287"/>
      <c r="F141" s="290"/>
      <c r="G141" s="290"/>
      <c r="H141" s="291"/>
      <c r="I141" s="290"/>
      <c r="J141" s="290"/>
      <c r="K141" s="290"/>
      <c r="L141" s="290">
        <f>L138/L133</f>
        <v>0.72560855185798578</v>
      </c>
      <c r="M141" s="290">
        <f>M138/M133</f>
        <v>0.72226738505573984</v>
      </c>
      <c r="N141" s="290"/>
      <c r="O141" s="302">
        <f>O133-N133</f>
        <v>854.97526542909873</v>
      </c>
      <c r="P141" s="302">
        <f>P133-O133</f>
        <v>1246.9710327327593</v>
      </c>
      <c r="Q141" s="302">
        <f>Q133-P133</f>
        <v>1820.6098086625952</v>
      </c>
      <c r="R141" s="302">
        <f>R133-Q133</f>
        <v>2095.8456671629592</v>
      </c>
      <c r="S141" s="302">
        <f t="shared" ref="S141:AI141" si="139">S133-R133</f>
        <v>1403.8012988312694</v>
      </c>
      <c r="T141" s="302">
        <f t="shared" si="139"/>
        <v>1524.6623559130858</v>
      </c>
      <c r="U141" s="302">
        <f t="shared" si="139"/>
        <v>2564.1552883064905</v>
      </c>
      <c r="V141" s="302">
        <f t="shared" si="139"/>
        <v>2863.2280334670359</v>
      </c>
      <c r="W141" s="302">
        <f t="shared" si="139"/>
        <v>3136.1461994205238</v>
      </c>
      <c r="X141" s="302">
        <f t="shared" si="139"/>
        <v>3452.2039506177243</v>
      </c>
      <c r="Y141" s="302">
        <f t="shared" si="139"/>
        <v>3806.1304451065444</v>
      </c>
      <c r="Z141" s="302">
        <f t="shared" si="139"/>
        <v>4246.9442036487017</v>
      </c>
      <c r="AA141" s="302">
        <f t="shared" si="139"/>
        <v>4555.4796172751521</v>
      </c>
      <c r="AB141" s="302">
        <f t="shared" si="139"/>
        <v>4943.7674332858151</v>
      </c>
      <c r="AC141" s="302">
        <f t="shared" si="139"/>
        <v>5219.7600800242362</v>
      </c>
      <c r="AD141" s="302">
        <f t="shared" si="139"/>
        <v>5657.429412160287</v>
      </c>
      <c r="AE141" s="302">
        <f t="shared" si="139"/>
        <v>5299.5153262116801</v>
      </c>
      <c r="AF141" s="302">
        <f t="shared" si="139"/>
        <v>5632.5463854096015</v>
      </c>
      <c r="AG141" s="302">
        <f t="shared" si="139"/>
        <v>6027.6645572931011</v>
      </c>
      <c r="AH141" s="302">
        <f t="shared" si="139"/>
        <v>6217.6295626152278</v>
      </c>
      <c r="AI141" s="302">
        <f t="shared" si="139"/>
        <v>6437.2999658096378</v>
      </c>
      <c r="AJ141" s="302"/>
    </row>
    <row r="142" spans="1:42" s="289" customFormat="1" ht="21" customHeight="1">
      <c r="A142" s="292"/>
      <c r="B142" s="287"/>
      <c r="C142" s="287"/>
      <c r="D142" s="287"/>
      <c r="E142" s="287"/>
      <c r="F142" s="290"/>
      <c r="G142" s="290"/>
      <c r="H142" s="291"/>
      <c r="I142" s="290"/>
      <c r="J142" s="290"/>
      <c r="K142" s="290"/>
      <c r="L142" s="290"/>
      <c r="M142" s="290"/>
      <c r="N142" s="290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  <c r="AJ142" s="302"/>
    </row>
    <row r="143" spans="1:42" ht="15.75" customHeight="1">
      <c r="A143" s="761" t="s">
        <v>691</v>
      </c>
      <c r="B143" s="286"/>
      <c r="C143" s="286"/>
      <c r="D143" s="286"/>
      <c r="E143" s="286"/>
      <c r="F143" s="286"/>
      <c r="G143" s="286"/>
      <c r="H143" s="286"/>
      <c r="I143" s="287"/>
      <c r="M143" s="590">
        <v>2013</v>
      </c>
      <c r="N143" s="590">
        <v>2014</v>
      </c>
      <c r="O143" s="590">
        <v>2015</v>
      </c>
      <c r="P143" s="590">
        <v>2016</v>
      </c>
      <c r="Q143" s="590">
        <v>2017</v>
      </c>
      <c r="R143" s="590">
        <v>2018</v>
      </c>
      <c r="S143" s="590">
        <v>2019</v>
      </c>
      <c r="T143" s="590">
        <v>2020</v>
      </c>
      <c r="U143" s="590">
        <v>2021</v>
      </c>
      <c r="V143" s="590">
        <v>2022</v>
      </c>
      <c r="W143" s="590">
        <v>2023</v>
      </c>
      <c r="X143" s="590">
        <v>2024</v>
      </c>
      <c r="Y143" s="590">
        <v>2025</v>
      </c>
      <c r="Z143" s="590">
        <v>2026</v>
      </c>
      <c r="AA143" s="590">
        <v>2027</v>
      </c>
      <c r="AB143" s="590">
        <v>2028</v>
      </c>
      <c r="AC143" s="590">
        <v>2029</v>
      </c>
      <c r="AD143" s="590">
        <v>2030</v>
      </c>
      <c r="AE143" s="590">
        <v>2031</v>
      </c>
      <c r="AF143" s="590">
        <v>2032</v>
      </c>
      <c r="AG143" s="590">
        <v>2033</v>
      </c>
      <c r="AH143" s="590">
        <v>2034</v>
      </c>
      <c r="AI143" s="590">
        <v>2035</v>
      </c>
      <c r="AM143" s="289"/>
      <c r="AN143" s="289"/>
      <c r="AO143" s="289"/>
      <c r="AP143" s="289"/>
    </row>
    <row r="144" spans="1:42" ht="5.25" customHeight="1">
      <c r="B144" s="286"/>
      <c r="C144" s="286"/>
      <c r="D144" s="286"/>
      <c r="E144" s="286"/>
      <c r="F144" s="286"/>
      <c r="G144" s="286"/>
      <c r="H144" s="286"/>
      <c r="I144" s="592"/>
      <c r="M144" s="592"/>
      <c r="N144" s="592"/>
      <c r="O144" s="591"/>
      <c r="P144" s="591"/>
      <c r="Q144" s="591"/>
      <c r="R144" s="591"/>
      <c r="S144" s="591"/>
      <c r="T144" s="591"/>
      <c r="U144" s="284"/>
      <c r="V144" s="284"/>
      <c r="W144" s="284"/>
      <c r="AM144" s="289"/>
      <c r="AN144" s="289"/>
      <c r="AO144" s="289"/>
      <c r="AP144" s="289"/>
    </row>
    <row r="145" spans="1:42">
      <c r="A145" s="280" t="s">
        <v>42</v>
      </c>
      <c r="M145" s="592" t="s">
        <v>494</v>
      </c>
      <c r="N145" s="592">
        <v>1.0649999999999999</v>
      </c>
      <c r="O145" s="591">
        <v>1.1140000000000001</v>
      </c>
      <c r="P145" s="591">
        <f ca="1">'расчет пенс выплат'!H24/100</f>
        <v>1.1020000000000001</v>
      </c>
      <c r="Q145" s="591">
        <f ca="1">'расчет пенс выплат'!I24/100</f>
        <v>1.06</v>
      </c>
      <c r="R145" s="591">
        <f ca="1">'расчет пенс выплат'!J24/100</f>
        <v>1.044</v>
      </c>
      <c r="S145" s="591">
        <f ca="1">'расчет пенс выплат'!K24/100</f>
        <v>1.044</v>
      </c>
      <c r="T145" s="591">
        <f ca="1">'расчет пенс выплат'!L24/100</f>
        <v>1.0281516026084205</v>
      </c>
      <c r="U145" s="591">
        <f ca="1">'расчет пенс выплат'!M24/100</f>
        <v>1.0259140897765611</v>
      </c>
      <c r="V145" s="591">
        <f ca="1">'расчет пенс выплат'!N24/100</f>
        <v>1.0239069804237737</v>
      </c>
      <c r="W145" s="591">
        <f ca="1">'расчет пенс выплат'!O24/100</f>
        <v>1.0247553104656346</v>
      </c>
      <c r="X145" s="591">
        <f ca="1">'расчет пенс выплат'!P24/100</f>
        <v>1.0259185089684215</v>
      </c>
      <c r="Y145" s="591">
        <f ca="1">'расчет пенс выплат'!Q24/100</f>
        <v>1.0267208110461108</v>
      </c>
      <c r="Z145" s="591">
        <f ca="1">'расчет пенс выплат'!R24/100</f>
        <v>1.0266607666790628</v>
      </c>
      <c r="AA145" s="591">
        <f ca="1">'расчет пенс выплат'!S24/100</f>
        <v>1.0260319604248735</v>
      </c>
      <c r="AB145" s="591">
        <f ca="1">'расчет пенс выплат'!T24/100</f>
        <v>1.027252241395058</v>
      </c>
      <c r="AC145" s="591">
        <f ca="1">'расчет пенс выплат'!U24/100</f>
        <v>1.026898724709727</v>
      </c>
      <c r="AD145" s="591">
        <f ca="1">'расчет пенс выплат'!V24/100</f>
        <v>1.029636330774963</v>
      </c>
      <c r="AE145" s="591">
        <f ca="1">'расчет пенс выплат'!W24/100</f>
        <v>1.0270393588403381</v>
      </c>
      <c r="AF145" s="591">
        <f ca="1">'расчет пенс выплат'!X24/100</f>
        <v>1.0270393588403381</v>
      </c>
      <c r="AG145" s="591">
        <f ca="1">'расчет пенс выплат'!Y24/100</f>
        <v>1.0270393588403381</v>
      </c>
      <c r="AH145" s="591">
        <f ca="1">'расчет пенс выплат'!Z24/100</f>
        <v>1.0270393588403381</v>
      </c>
      <c r="AI145" s="591">
        <f ca="1">'расчет пенс выплат'!AA24/100</f>
        <v>1.0270393588403381</v>
      </c>
      <c r="AM145" s="289"/>
      <c r="AN145" s="289"/>
      <c r="AO145" s="289"/>
      <c r="AP145" s="289"/>
    </row>
    <row r="146" spans="1:42">
      <c r="A146" s="280" t="s">
        <v>689</v>
      </c>
      <c r="M146" s="592" t="s">
        <v>493</v>
      </c>
      <c r="N146" s="592">
        <v>1.0149999999999999</v>
      </c>
      <c r="O146" s="591">
        <v>1</v>
      </c>
      <c r="P146" s="591">
        <f>P97/100</f>
        <v>1.0174124978314714</v>
      </c>
      <c r="Q146" s="591">
        <f>Q97/100</f>
        <v>1.0379393893945259</v>
      </c>
      <c r="R146" s="591">
        <f>R97/100</f>
        <v>1.0437681314802654</v>
      </c>
      <c r="S146" s="591">
        <f>S97/100</f>
        <v>1.0372346418874383</v>
      </c>
      <c r="T146" s="591">
        <f t="shared" ref="T146:AI146" si="140">T97/100</f>
        <v>1.0306269740979295</v>
      </c>
      <c r="U146" s="591">
        <f t="shared" si="140"/>
        <v>1.0316761974115625</v>
      </c>
      <c r="V146" s="591">
        <f t="shared" si="140"/>
        <v>1.0310715943643136</v>
      </c>
      <c r="W146" s="591">
        <f t="shared" si="140"/>
        <v>1.0312369087101305</v>
      </c>
      <c r="X146" s="591">
        <f t="shared" si="140"/>
        <v>1.0306127218227474</v>
      </c>
      <c r="Y146" s="591">
        <f t="shared" si="140"/>
        <v>1.0309695719032224</v>
      </c>
      <c r="Z146" s="591">
        <f t="shared" si="140"/>
        <v>1.0317476156737004</v>
      </c>
      <c r="AA146" s="591">
        <f t="shared" si="140"/>
        <v>1.0304485057932853</v>
      </c>
      <c r="AB146" s="591">
        <f t="shared" si="140"/>
        <v>1.0293358323679744</v>
      </c>
      <c r="AC146" s="591">
        <f t="shared" si="140"/>
        <v>1.0287034457561728</v>
      </c>
      <c r="AD146" s="591">
        <f t="shared" si="140"/>
        <v>1.0277610974486553</v>
      </c>
      <c r="AE146" s="591">
        <f t="shared" si="140"/>
        <v>1.029890149626395</v>
      </c>
      <c r="AF146" s="591">
        <f t="shared" si="140"/>
        <v>1.026491504398209</v>
      </c>
      <c r="AG146" s="591">
        <f t="shared" si="140"/>
        <v>1.0257682012833014</v>
      </c>
      <c r="AH146" s="591">
        <f t="shared" si="140"/>
        <v>1.0244926148479223</v>
      </c>
      <c r="AI146" s="591">
        <f t="shared" si="140"/>
        <v>1.0250016853479813</v>
      </c>
    </row>
    <row r="147" spans="1:42">
      <c r="M147" s="592"/>
      <c r="N147" s="592"/>
      <c r="O147" s="591"/>
      <c r="P147" s="591">
        <v>1</v>
      </c>
      <c r="Q147" s="591">
        <v>1</v>
      </c>
      <c r="R147" s="591">
        <v>1</v>
      </c>
      <c r="S147" s="591">
        <v>1</v>
      </c>
      <c r="T147" s="591">
        <v>1</v>
      </c>
      <c r="U147" s="591">
        <v>1</v>
      </c>
      <c r="V147" s="591">
        <v>1</v>
      </c>
      <c r="W147" s="591">
        <v>1</v>
      </c>
      <c r="X147" s="591">
        <v>1</v>
      </c>
      <c r="Y147" s="591">
        <v>1</v>
      </c>
      <c r="Z147" s="591">
        <v>1</v>
      </c>
      <c r="AA147" s="591">
        <v>1</v>
      </c>
      <c r="AB147" s="591">
        <v>1</v>
      </c>
      <c r="AC147" s="591">
        <v>1</v>
      </c>
      <c r="AD147" s="591">
        <v>1</v>
      </c>
      <c r="AE147" s="591">
        <v>1</v>
      </c>
      <c r="AF147" s="591">
        <v>1</v>
      </c>
      <c r="AG147" s="591">
        <v>1</v>
      </c>
      <c r="AH147" s="591">
        <v>1</v>
      </c>
      <c r="AI147" s="591">
        <v>1</v>
      </c>
    </row>
    <row r="148" spans="1:42" s="751" customFormat="1">
      <c r="A148" s="751" t="s">
        <v>687</v>
      </c>
      <c r="K148" s="752"/>
      <c r="L148" s="752"/>
      <c r="M148" s="753"/>
      <c r="N148" s="753"/>
      <c r="O148" s="754"/>
      <c r="P148" s="754"/>
      <c r="Q148" s="754">
        <f>((P149*1/12)+(Q145*2/12)+(Q145*P147*9/12))</f>
        <v>1.063578116078318</v>
      </c>
      <c r="R148" s="754">
        <f>((Q148*1/12)+(R145*2/12)+(R145*Q147*9/12))</f>
        <v>1.0456315096731932</v>
      </c>
      <c r="S148" s="754">
        <f>((R148*1/12)+(S145*2/12)+(S145*R147*9/12))</f>
        <v>1.0441359591394328</v>
      </c>
      <c r="T148" s="754">
        <f>((S148*1/12)+(T145*2/12)+(T145*S147*9/12))</f>
        <v>1.0294836323193381</v>
      </c>
      <c r="U148" s="754">
        <f t="shared" ref="U148:AI148" si="141">((T148*1/12)+(U145*2/12)+(U145*T147*9/12))</f>
        <v>1.0262115516551258</v>
      </c>
      <c r="V148" s="754">
        <f t="shared" si="141"/>
        <v>1.0240990280263864</v>
      </c>
      <c r="W148" s="754">
        <f t="shared" si="141"/>
        <v>1.0247006202623639</v>
      </c>
      <c r="X148" s="754">
        <f t="shared" si="141"/>
        <v>1.0258170182429167</v>
      </c>
      <c r="Y148" s="754">
        <f t="shared" si="141"/>
        <v>1.0266454949791779</v>
      </c>
      <c r="Z148" s="754">
        <f t="shared" si="141"/>
        <v>1.0266594940374059</v>
      </c>
      <c r="AA148" s="754">
        <f t="shared" si="141"/>
        <v>1.0260842548925846</v>
      </c>
      <c r="AB148" s="754">
        <f t="shared" si="141"/>
        <v>1.0271549091865184</v>
      </c>
      <c r="AC148" s="754">
        <f t="shared" si="141"/>
        <v>1.0269200734161263</v>
      </c>
      <c r="AD148" s="754">
        <f t="shared" si="141"/>
        <v>1.0294099759950599</v>
      </c>
      <c r="AE148" s="754">
        <f t="shared" si="141"/>
        <v>1.0272369102698982</v>
      </c>
      <c r="AF148" s="754">
        <f t="shared" si="141"/>
        <v>1.0270558214594681</v>
      </c>
      <c r="AG148" s="754">
        <f t="shared" si="141"/>
        <v>1.0270407307252656</v>
      </c>
      <c r="AH148" s="754">
        <f t="shared" si="141"/>
        <v>1.027039473164082</v>
      </c>
      <c r="AI148" s="754">
        <f t="shared" si="141"/>
        <v>1.0270393683673167</v>
      </c>
    </row>
    <row r="149" spans="1:42" s="751" customFormat="1">
      <c r="A149" s="751" t="s">
        <v>688</v>
      </c>
      <c r="K149" s="752"/>
      <c r="L149" s="752"/>
      <c r="M149" s="753" t="s">
        <v>492</v>
      </c>
      <c r="N149" s="754">
        <f>((1*1/12)+(N145*2/12))+(N145*N146*9/12)</f>
        <v>1.0715645833333332</v>
      </c>
      <c r="O149" s="754">
        <f t="shared" ref="O149:AI149" si="142">(N149*1/12)+(O145*9/12)+(2/12*N146*O145)</f>
        <v>1.1132487152777779</v>
      </c>
      <c r="P149" s="754">
        <f t="shared" si="142"/>
        <v>1.102937392939815</v>
      </c>
      <c r="Q149" s="754">
        <f t="shared" si="142"/>
        <v>1.0666543240285444</v>
      </c>
      <c r="R149" s="754">
        <f t="shared" si="142"/>
        <v>1.0524893140903595</v>
      </c>
      <c r="S149" s="754">
        <f t="shared" si="142"/>
        <v>1.0523230977184295</v>
      </c>
      <c r="T149" s="754">
        <f t="shared" si="142"/>
        <v>1.036546369989108</v>
      </c>
      <c r="U149" s="754">
        <f t="shared" si="142"/>
        <v>1.0320368871699879</v>
      </c>
      <c r="V149" s="754">
        <f t="shared" si="142"/>
        <v>1.0299900525931216</v>
      </c>
      <c r="W149" s="754">
        <f t="shared" si="142"/>
        <v>1.0304983358645026</v>
      </c>
      <c r="X149" s="754">
        <f t="shared" si="142"/>
        <v>1.0316412483445416</v>
      </c>
      <c r="Y149" s="754">
        <f t="shared" si="142"/>
        <v>1.0323693005840102</v>
      </c>
      <c r="Z149" s="754">
        <f t="shared" si="142"/>
        <v>1.032435685243456</v>
      </c>
      <c r="AA149" s="754">
        <f t="shared" si="142"/>
        <v>1.0319946155511723</v>
      </c>
      <c r="AB149" s="754">
        <f t="shared" si="142"/>
        <v>1.0328604885452815</v>
      </c>
      <c r="AC149" s="754">
        <f t="shared" si="142"/>
        <v>1.0324163598371852</v>
      </c>
      <c r="AD149" s="754">
        <f t="shared" si="142"/>
        <v>1.0347936849583121</v>
      </c>
      <c r="AE149" s="754">
        <f t="shared" si="142"/>
        <v>1.0324375093042311</v>
      </c>
      <c r="AF149" s="754">
        <f t="shared" si="142"/>
        <v>1.0326055980636515</v>
      </c>
      <c r="AG149" s="754">
        <f t="shared" si="142"/>
        <v>1.0320378483909229</v>
      </c>
      <c r="AH149" s="754">
        <f t="shared" si="142"/>
        <v>1.0318667257902985</v>
      </c>
      <c r="AI149" s="754">
        <f t="shared" si="142"/>
        <v>1.0316341193277903</v>
      </c>
    </row>
    <row r="150" spans="1:42" s="751" customFormat="1">
      <c r="K150" s="752"/>
      <c r="L150" s="752"/>
      <c r="M150" s="753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54"/>
      <c r="AB150" s="754"/>
      <c r="AC150" s="754"/>
      <c r="AD150" s="754"/>
      <c r="AE150" s="754"/>
      <c r="AF150" s="754"/>
      <c r="AG150" s="754"/>
      <c r="AH150" s="754"/>
      <c r="AI150" s="754"/>
    </row>
    <row r="151" spans="1:42" ht="14.25" customHeight="1">
      <c r="I151" s="284"/>
      <c r="M151" s="287"/>
      <c r="N151" s="287"/>
      <c r="O151" s="287"/>
      <c r="P151" s="560">
        <f>P156-P157</f>
        <v>-141.07470529286093</v>
      </c>
      <c r="Q151" s="560">
        <f>Q156-Q157</f>
        <v>-262.47966965683372</v>
      </c>
      <c r="R151" s="560">
        <f>R156-R157</f>
        <v>-430.41243209591357</v>
      </c>
      <c r="S151" s="284"/>
      <c r="T151" s="284"/>
      <c r="U151" s="284"/>
    </row>
    <row r="152" spans="1:42">
      <c r="A152" s="280" t="s">
        <v>491</v>
      </c>
      <c r="I152" s="284"/>
      <c r="M152" s="287"/>
      <c r="N152" s="285">
        <v>11063</v>
      </c>
      <c r="O152" s="285">
        <f>N152*O149</f>
        <v>12315.870537118057</v>
      </c>
      <c r="P152" s="285">
        <f>SUM(P153:P154)</f>
        <v>13583.634141993269</v>
      </c>
      <c r="Q152" s="285">
        <f>SUM(Q153:Q154)</f>
        <v>14489.042093578886</v>
      </c>
      <c r="R152" s="285">
        <f t="shared" ref="R152:AI152" si="143">SUM(R153:R154)</f>
        <v>15249.561974897188</v>
      </c>
      <c r="S152" s="285">
        <f t="shared" si="143"/>
        <v>16303.789525207747</v>
      </c>
      <c r="T152" s="285">
        <f t="shared" si="143"/>
        <v>17112.65523258183</v>
      </c>
      <c r="U152" s="285">
        <f t="shared" si="143"/>
        <v>17862.362528789094</v>
      </c>
      <c r="V152" s="285">
        <f t="shared" si="143"/>
        <v>18623.642591315245</v>
      </c>
      <c r="W152" s="285">
        <f t="shared" si="143"/>
        <v>19431.300853448549</v>
      </c>
      <c r="X152" s="285">
        <f t="shared" si="143"/>
        <v>20303.539479553496</v>
      </c>
      <c r="Y152" s="285">
        <f t="shared" si="143"/>
        <v>21228.547460955353</v>
      </c>
      <c r="Z152" s="285">
        <f t="shared" si="143"/>
        <v>22203.933479658896</v>
      </c>
      <c r="AA152" s="285">
        <f t="shared" si="143"/>
        <v>23225.909819147015</v>
      </c>
      <c r="AB152" s="285">
        <f t="shared" si="143"/>
        <v>24310.155738548827</v>
      </c>
      <c r="AC152" s="285">
        <f t="shared" si="143"/>
        <v>25424.154911565602</v>
      </c>
      <c r="AD152" s="285">
        <f t="shared" si="143"/>
        <v>26654.741378714829</v>
      </c>
      <c r="AE152" s="285">
        <f t="shared" si="143"/>
        <v>27862.99293982127</v>
      </c>
      <c r="AF152" s="285">
        <f t="shared" si="143"/>
        <v>29170.463568721385</v>
      </c>
      <c r="AG152" s="285">
        <f t="shared" si="143"/>
        <v>30478.64014809153</v>
      </c>
      <c r="AH152" s="285">
        <f t="shared" si="143"/>
        <v>31835.415045388007</v>
      </c>
      <c r="AI152" s="285">
        <f t="shared" si="143"/>
        <v>33229.597146473141</v>
      </c>
    </row>
    <row r="153" spans="1:42">
      <c r="A153" s="683" t="s">
        <v>686</v>
      </c>
      <c r="I153" s="284"/>
      <c r="M153" s="287"/>
      <c r="N153" s="285">
        <f>N152*0.45</f>
        <v>4978.3500000000004</v>
      </c>
      <c r="O153" s="285">
        <f>O152*0.45</f>
        <v>5542.1417417031253</v>
      </c>
      <c r="P153" s="285">
        <f>O153*P149</f>
        <v>6112.6353638969704</v>
      </c>
      <c r="Q153" s="285">
        <f>P153*Q149</f>
        <v>6520.0689421104989</v>
      </c>
      <c r="R153" s="285">
        <f>Q153*R149</f>
        <v>6862.3028887037353</v>
      </c>
      <c r="S153" s="285">
        <f>R153*S145</f>
        <v>7164.2442158066997</v>
      </c>
      <c r="T153" s="285">
        <f t="shared" ref="T153:AI153" si="144">S153*T145</f>
        <v>7365.929171959765</v>
      </c>
      <c r="U153" s="285">
        <f t="shared" si="144"/>
        <v>7556.8105218097207</v>
      </c>
      <c r="V153" s="285">
        <f t="shared" si="144"/>
        <v>7737.4710430207933</v>
      </c>
      <c r="W153" s="285">
        <f t="shared" si="144"/>
        <v>7929.0145409096303</v>
      </c>
      <c r="X153" s="285">
        <f t="shared" si="144"/>
        <v>8134.5227753989411</v>
      </c>
      <c r="Y153" s="285">
        <f t="shared" si="144"/>
        <v>8351.8838214306616</v>
      </c>
      <c r="Z153" s="285">
        <f t="shared" si="144"/>
        <v>8574.5514473244639</v>
      </c>
      <c r="AA153" s="285">
        <f t="shared" si="144"/>
        <v>8797.7638312622566</v>
      </c>
      <c r="AB153" s="285">
        <f t="shared" si="144"/>
        <v>9037.5226149285263</v>
      </c>
      <c r="AC153" s="285">
        <f t="shared" si="144"/>
        <v>9280.6204478054206</v>
      </c>
      <c r="AD153" s="285">
        <f t="shared" si="144"/>
        <v>9555.6639851934669</v>
      </c>
      <c r="AE153" s="285">
        <f t="shared" si="144"/>
        <v>9814.0430126468091</v>
      </c>
      <c r="AF153" s="285">
        <f t="shared" si="144"/>
        <v>10079.408443340279</v>
      </c>
      <c r="AG153" s="285">
        <f t="shared" si="144"/>
        <v>10351.94918513809</v>
      </c>
      <c r="AH153" s="285">
        <f t="shared" si="144"/>
        <v>10631.859253851984</v>
      </c>
      <c r="AI153" s="285">
        <f t="shared" si="144"/>
        <v>10919.337911356857</v>
      </c>
    </row>
    <row r="154" spans="1:42">
      <c r="A154" s="683" t="s">
        <v>617</v>
      </c>
      <c r="I154" s="284"/>
      <c r="M154" s="287"/>
      <c r="N154" s="285">
        <f>N152-N153</f>
        <v>6084.65</v>
      </c>
      <c r="O154" s="285">
        <f>O152-O153</f>
        <v>6773.7287954149315</v>
      </c>
      <c r="P154" s="285">
        <f>O154*P149</f>
        <v>7470.9987780962974</v>
      </c>
      <c r="Q154" s="285">
        <f>P154*Q149</f>
        <v>7968.9731514683872</v>
      </c>
      <c r="R154" s="285">
        <f>Q154*R149</f>
        <v>8387.2590861934532</v>
      </c>
      <c r="S154" s="285">
        <f>R154*R146*S145</f>
        <v>9139.5453094010481</v>
      </c>
      <c r="T154" s="285">
        <f t="shared" ref="T154:AI154" si="145">S154*S146*T145</f>
        <v>9746.7260606220643</v>
      </c>
      <c r="U154" s="285">
        <f t="shared" si="145"/>
        <v>10305.552006979373</v>
      </c>
      <c r="V154" s="285">
        <f t="shared" si="145"/>
        <v>10886.171548294451</v>
      </c>
      <c r="W154" s="285">
        <f t="shared" si="145"/>
        <v>11502.286312538919</v>
      </c>
      <c r="X154" s="285">
        <f t="shared" si="145"/>
        <v>12169.016704154556</v>
      </c>
      <c r="Y154" s="285">
        <f t="shared" si="145"/>
        <v>12876.663639524691</v>
      </c>
      <c r="Z154" s="285">
        <f t="shared" si="145"/>
        <v>13629.382032334433</v>
      </c>
      <c r="AA154" s="285">
        <f t="shared" si="145"/>
        <v>14428.145987884758</v>
      </c>
      <c r="AB154" s="285">
        <f t="shared" si="145"/>
        <v>15272.6331236203</v>
      </c>
      <c r="AC154" s="285">
        <f t="shared" si="145"/>
        <v>16143.534463760179</v>
      </c>
      <c r="AD154" s="285">
        <f t="shared" si="145"/>
        <v>17099.077393521362</v>
      </c>
      <c r="AE154" s="285">
        <f t="shared" si="145"/>
        <v>18048.949927174461</v>
      </c>
      <c r="AF154" s="285">
        <f t="shared" si="145"/>
        <v>19091.055125381106</v>
      </c>
      <c r="AG154" s="285">
        <f t="shared" si="145"/>
        <v>20126.690962953438</v>
      </c>
      <c r="AH154" s="285">
        <f t="shared" si="145"/>
        <v>21203.555791536022</v>
      </c>
      <c r="AI154" s="285">
        <f t="shared" si="145"/>
        <v>22310.259235116282</v>
      </c>
    </row>
    <row r="155" spans="1:42">
      <c r="A155" s="280" t="s">
        <v>490</v>
      </c>
      <c r="I155" s="284"/>
      <c r="M155" s="287"/>
      <c r="N155" s="287">
        <v>41</v>
      </c>
      <c r="O155" s="287">
        <v>41.5</v>
      </c>
      <c r="P155" s="284">
        <v>41.54</v>
      </c>
      <c r="Q155" s="284">
        <v>42.03</v>
      </c>
      <c r="R155" s="284">
        <v>43.23</v>
      </c>
      <c r="S155" s="284">
        <f>R155*'[13]В среднем за год млн.'!J183</f>
        <v>43.893673520769546</v>
      </c>
      <c r="T155" s="284">
        <f>S155*'[13]В среднем за год млн.'!K183</f>
        <v>44.508560667321689</v>
      </c>
      <c r="U155" s="284">
        <f>T155*'[13]В среднем за год млн.'!L183</f>
        <v>45.043252888072885</v>
      </c>
      <c r="V155" s="284">
        <f>U155*'[13]В среднем за год млн.'!M183</f>
        <v>45.42438819310064</v>
      </c>
      <c r="W155" s="284">
        <f>V155*'[13]В среднем за год млн.'!N183</f>
        <v>45.717218921765003</v>
      </c>
      <c r="X155" s="284">
        <f>W155*'[13]В среднем за год млн.'!O183</f>
        <v>45.943176294527241</v>
      </c>
      <c r="Y155" s="284">
        <f>X155*'[13]В среднем за год млн.'!P183</f>
        <v>46.161334059693687</v>
      </c>
      <c r="Z155" s="284">
        <f>Y155*'[13]В среднем за год млн.'!Q183</f>
        <v>46.359534878689601</v>
      </c>
      <c r="AA155" s="284">
        <f>Z155*'[13]В среднем за год млн.'!R183</f>
        <v>46.503439351777075</v>
      </c>
      <c r="AB155" s="284">
        <f>AA155*'[13]В среднем за год млн.'!S183</f>
        <v>46.641595182897134</v>
      </c>
      <c r="AC155" s="284">
        <f>AB155*'[13]В среднем за год млн.'!T183</f>
        <v>46.787405592306342</v>
      </c>
      <c r="AD155" s="284">
        <f>AC155*'[13]В среднем за год млн.'!U183</f>
        <v>47.009263888719367</v>
      </c>
      <c r="AE155" s="652">
        <f>AD155</f>
        <v>47.009263888719367</v>
      </c>
      <c r="AF155" s="652">
        <f>AE155</f>
        <v>47.009263888719367</v>
      </c>
      <c r="AG155" s="652">
        <f>AF155</f>
        <v>47.009263888719367</v>
      </c>
      <c r="AH155" s="652">
        <f>AG155</f>
        <v>47.009263888719367</v>
      </c>
      <c r="AI155" s="652">
        <f>AH155</f>
        <v>47.009263888719367</v>
      </c>
    </row>
    <row r="156" spans="1:42" s="653" customFormat="1">
      <c r="A156" s="653" t="s">
        <v>489</v>
      </c>
      <c r="I156" s="652"/>
      <c r="M156" s="590"/>
      <c r="N156" s="554">
        <f t="shared" ref="N156:S156" si="146">N152*N155*12/1000</f>
        <v>5442.9960000000001</v>
      </c>
      <c r="O156" s="554">
        <f>O152*O155*12/1000</f>
        <v>6133.3035274847925</v>
      </c>
      <c r="P156" s="554">
        <f t="shared" si="146"/>
        <v>6771.1699471008042</v>
      </c>
      <c r="Q156" s="554">
        <f t="shared" si="146"/>
        <v>7307.6932703174461</v>
      </c>
      <c r="R156" s="554">
        <f>R152*R155*12/1000</f>
        <v>7910.8627700976658</v>
      </c>
      <c r="S156" s="554">
        <f t="shared" si="146"/>
        <v>8587.5985748497333</v>
      </c>
      <c r="T156" s="554">
        <f t="shared" ref="T156:AI156" si="147">T152*T155*12/1000</f>
        <v>9139.9158431799406</v>
      </c>
      <c r="U156" s="554">
        <f t="shared" si="147"/>
        <v>9654.9469507522117</v>
      </c>
      <c r="V156" s="554">
        <f t="shared" si="147"/>
        <v>10151.610847649597</v>
      </c>
      <c r="W156" s="554">
        <f t="shared" si="147"/>
        <v>10660.140420621437</v>
      </c>
      <c r="X156" s="554">
        <f t="shared" si="147"/>
        <v>11193.709124544241</v>
      </c>
      <c r="Y156" s="554">
        <f t="shared" si="147"/>
        <v>11759.256851366667</v>
      </c>
      <c r="Z156" s="554">
        <f t="shared" si="147"/>
        <v>12352.368343132204</v>
      </c>
      <c r="AA156" s="554">
        <f t="shared" si="147"/>
        <v>12961.016263974563</v>
      </c>
      <c r="AB156" s="554">
        <f t="shared" si="147"/>
        <v>13606.373313486938</v>
      </c>
      <c r="AC156" s="554">
        <f t="shared" si="147"/>
        <v>14274.362972268567</v>
      </c>
      <c r="AD156" s="554">
        <f t="shared" si="147"/>
        <v>15036.237256290875</v>
      </c>
      <c r="AE156" s="554">
        <f t="shared" si="147"/>
        <v>15717.825454050992</v>
      </c>
      <c r="AF156" s="554">
        <f t="shared" si="147"/>
        <v>16455.384235899575</v>
      </c>
      <c r="AG156" s="554">
        <f t="shared" si="147"/>
        <v>17193.341252291419</v>
      </c>
      <c r="AH156" s="554">
        <f t="shared" si="147"/>
        <v>17958.713122506619</v>
      </c>
      <c r="AI156" s="554">
        <f t="shared" si="147"/>
        <v>18745.186814092704</v>
      </c>
    </row>
    <row r="157" spans="1:42">
      <c r="H157" s="280" t="s">
        <v>562</v>
      </c>
      <c r="I157" s="284"/>
      <c r="M157" s="287"/>
      <c r="N157" s="285"/>
      <c r="O157" s="285">
        <v>6133.3035274847925</v>
      </c>
      <c r="P157" s="285">
        <v>6912.2446523936651</v>
      </c>
      <c r="Q157" s="285">
        <v>7570.1729399742799</v>
      </c>
      <c r="R157" s="285">
        <v>8341.2752021935794</v>
      </c>
      <c r="S157" s="284"/>
      <c r="T157" s="284"/>
      <c r="U157" s="284"/>
    </row>
    <row r="158" spans="1:42">
      <c r="I158" s="284"/>
      <c r="M158" s="287"/>
      <c r="N158" s="285"/>
      <c r="O158" s="285">
        <f>L183/L177*O149</f>
        <v>216.154091809063</v>
      </c>
      <c r="P158" s="285">
        <f>O158*P149+12.5/M177*P149</f>
        <v>251.44932681308501</v>
      </c>
      <c r="Q158" s="285">
        <f>P158*Q149+36/N177*Q149</f>
        <v>304.92075766373546</v>
      </c>
      <c r="R158" s="285">
        <f>Q158*R149</f>
        <v>320.92583908541764</v>
      </c>
      <c r="S158" s="284"/>
      <c r="T158" s="284">
        <f>6928/6513</f>
        <v>1.0637187164133273</v>
      </c>
      <c r="U158" s="284"/>
    </row>
    <row r="159" spans="1:42">
      <c r="I159" s="284"/>
      <c r="M159" s="287"/>
      <c r="N159" s="285"/>
      <c r="O159" s="285"/>
      <c r="P159" s="285"/>
      <c r="Q159" s="285"/>
      <c r="R159" s="285"/>
      <c r="S159" s="284"/>
      <c r="T159" s="284"/>
      <c r="U159" s="284"/>
    </row>
    <row r="160" spans="1:42" ht="15.75">
      <c r="A160" s="761" t="s">
        <v>690</v>
      </c>
      <c r="I160" s="284"/>
      <c r="M160" s="287"/>
      <c r="N160" s="285"/>
      <c r="O160" s="285"/>
      <c r="P160" s="285"/>
      <c r="Q160" s="285"/>
      <c r="R160" s="285"/>
      <c r="S160" s="284"/>
      <c r="T160" s="284"/>
      <c r="U160" s="284"/>
    </row>
    <row r="161" spans="1:42" ht="6.75" customHeight="1">
      <c r="I161" s="284"/>
      <c r="M161" s="287"/>
      <c r="N161" s="285"/>
      <c r="O161" s="285"/>
      <c r="P161" s="285"/>
      <c r="Q161" s="285"/>
      <c r="R161" s="285"/>
      <c r="S161" s="284"/>
      <c r="T161" s="284"/>
      <c r="U161" s="284"/>
    </row>
    <row r="162" spans="1:42" ht="15" customHeight="1">
      <c r="A162" s="280" t="s">
        <v>692</v>
      </c>
      <c r="I162" s="284"/>
      <c r="M162" s="287"/>
      <c r="N162" s="285"/>
      <c r="O162" s="285"/>
      <c r="P162" s="285">
        <v>1.0549999999999999</v>
      </c>
      <c r="Q162" s="285">
        <v>1.0449999999999999</v>
      </c>
      <c r="R162" s="285">
        <v>1.04</v>
      </c>
      <c r="S162" s="284"/>
      <c r="T162" s="284"/>
      <c r="U162" s="284"/>
    </row>
    <row r="163" spans="1:42" ht="15" customHeight="1">
      <c r="I163" s="284"/>
      <c r="M163" s="287"/>
      <c r="N163" s="285"/>
      <c r="O163" s="285"/>
      <c r="P163" s="285"/>
      <c r="Q163" s="285"/>
      <c r="R163" s="285"/>
      <c r="S163" s="284"/>
      <c r="T163" s="284"/>
      <c r="U163" s="284"/>
    </row>
    <row r="164" spans="1:42">
      <c r="A164" s="280" t="s">
        <v>491</v>
      </c>
      <c r="I164" s="284"/>
      <c r="M164" s="287"/>
      <c r="N164" s="285">
        <f t="shared" ref="N164:AI164" si="148">N165+N166</f>
        <v>11063</v>
      </c>
      <c r="O164" s="285">
        <f t="shared" si="148"/>
        <v>12315.870537118057</v>
      </c>
      <c r="P164" s="285">
        <f t="shared" si="148"/>
        <v>12993.243416659549</v>
      </c>
      <c r="Q164" s="285">
        <f t="shared" si="148"/>
        <v>13577.939370409229</v>
      </c>
      <c r="R164" s="285">
        <f t="shared" si="148"/>
        <v>14121.056945225599</v>
      </c>
      <c r="S164" s="285">
        <f t="shared" si="148"/>
        <v>15097.269068279806</v>
      </c>
      <c r="T164" s="285">
        <f t="shared" si="148"/>
        <v>15846.276727232358</v>
      </c>
      <c r="U164" s="285">
        <f t="shared" si="148"/>
        <v>16540.503842701048</v>
      </c>
      <c r="V164" s="285">
        <f t="shared" si="148"/>
        <v>17245.447311365439</v>
      </c>
      <c r="W164" s="285">
        <f t="shared" si="148"/>
        <v>17993.336878989772</v>
      </c>
      <c r="X164" s="285">
        <f t="shared" si="148"/>
        <v>18801.027705082262</v>
      </c>
      <c r="Y164" s="285">
        <f t="shared" si="148"/>
        <v>19657.582824610661</v>
      </c>
      <c r="Z164" s="285">
        <f t="shared" si="148"/>
        <v>20560.787882983001</v>
      </c>
      <c r="AA164" s="285">
        <f t="shared" si="148"/>
        <v>21507.135464004728</v>
      </c>
      <c r="AB164" s="285">
        <f t="shared" si="148"/>
        <v>22511.144523130817</v>
      </c>
      <c r="AC164" s="285">
        <f t="shared" si="148"/>
        <v>23542.705022048696</v>
      </c>
      <c r="AD164" s="285">
        <f t="shared" si="148"/>
        <v>24682.225069066662</v>
      </c>
      <c r="AE164" s="285">
        <f t="shared" si="148"/>
        <v>25801.063047929776</v>
      </c>
      <c r="AF164" s="285">
        <f t="shared" si="148"/>
        <v>27011.77763994893</v>
      </c>
      <c r="AG164" s="285">
        <f t="shared" si="148"/>
        <v>28223.145940369955</v>
      </c>
      <c r="AH164" s="285">
        <f t="shared" si="148"/>
        <v>29479.516163863234</v>
      </c>
      <c r="AI164" s="285">
        <f t="shared" si="148"/>
        <v>30770.525366215756</v>
      </c>
    </row>
    <row r="165" spans="1:42">
      <c r="A165" s="683" t="s">
        <v>686</v>
      </c>
      <c r="I165" s="284"/>
      <c r="M165" s="287"/>
      <c r="N165" s="285">
        <f t="shared" ref="N165:O167" si="149">N153</f>
        <v>4978.3500000000004</v>
      </c>
      <c r="O165" s="285">
        <f t="shared" si="149"/>
        <v>5542.1417417031253</v>
      </c>
      <c r="P165" s="285">
        <f>O165*P162</f>
        <v>5846.9595374967967</v>
      </c>
      <c r="Q165" s="285">
        <f>P165*Q162</f>
        <v>6110.0727166841525</v>
      </c>
      <c r="R165" s="285">
        <f>Q165*R162</f>
        <v>6354.4756253515188</v>
      </c>
      <c r="S165" s="284">
        <f>R165*S145</f>
        <v>6634.0725528669855</v>
      </c>
      <c r="T165" s="284">
        <f t="shared" ref="T165:AI165" si="150">S165*T145</f>
        <v>6820.8323270507271</v>
      </c>
      <c r="U165" s="284">
        <f t="shared" si="150"/>
        <v>6997.5879883247899</v>
      </c>
      <c r="V165" s="284">
        <f t="shared" si="150"/>
        <v>7164.8791873753044</v>
      </c>
      <c r="W165" s="284">
        <f t="shared" si="150"/>
        <v>7342.2479961075442</v>
      </c>
      <c r="X165" s="284">
        <f t="shared" si="150"/>
        <v>7532.5481166430327</v>
      </c>
      <c r="Y165" s="284">
        <f t="shared" si="150"/>
        <v>7733.8239115635888</v>
      </c>
      <c r="Z165" s="284">
        <f t="shared" si="150"/>
        <v>7940.0135864067424</v>
      </c>
      <c r="AA165" s="284">
        <f t="shared" si="150"/>
        <v>8146.7077058610412</v>
      </c>
      <c r="AB165" s="284">
        <f t="shared" si="150"/>
        <v>8368.723750836145</v>
      </c>
      <c r="AC165" s="284">
        <f t="shared" si="150"/>
        <v>8593.8317471816408</v>
      </c>
      <c r="AD165" s="284">
        <f t="shared" si="150"/>
        <v>8848.5213874654946</v>
      </c>
      <c r="AE165" s="284">
        <f t="shared" si="150"/>
        <v>9087.7797324675812</v>
      </c>
      <c r="AF165" s="284">
        <f t="shared" si="150"/>
        <v>9333.5074697157252</v>
      </c>
      <c r="AG165" s="284">
        <f t="shared" si="150"/>
        <v>9585.8795274283457</v>
      </c>
      <c r="AH165" s="284">
        <f t="shared" si="150"/>
        <v>9845.0755637707316</v>
      </c>
      <c r="AI165" s="284">
        <f t="shared" si="150"/>
        <v>10111.280094749773</v>
      </c>
    </row>
    <row r="166" spans="1:42">
      <c r="A166" s="683" t="s">
        <v>617</v>
      </c>
      <c r="I166" s="284"/>
      <c r="M166" s="287"/>
      <c r="N166" s="285">
        <f t="shared" si="149"/>
        <v>6084.65</v>
      </c>
      <c r="O166" s="285">
        <f t="shared" si="149"/>
        <v>6773.7287954149315</v>
      </c>
      <c r="P166" s="285">
        <f>O166*P162</f>
        <v>7146.2838791627519</v>
      </c>
      <c r="Q166" s="285">
        <f>P166*Q162</f>
        <v>7467.8666537250756</v>
      </c>
      <c r="R166" s="285">
        <f>Q166*R162</f>
        <v>7766.5813198740789</v>
      </c>
      <c r="S166" s="284">
        <f>R166*R146*S145</f>
        <v>8463.1965154128193</v>
      </c>
      <c r="T166" s="284">
        <f t="shared" ref="T166:AI166" si="151">S166*S146*T145</f>
        <v>9025.44440018163</v>
      </c>
      <c r="U166" s="284">
        <f t="shared" si="151"/>
        <v>9542.9158543762569</v>
      </c>
      <c r="V166" s="284">
        <f t="shared" si="151"/>
        <v>10080.568123990135</v>
      </c>
      <c r="W166" s="284">
        <f t="shared" si="151"/>
        <v>10651.08888288223</v>
      </c>
      <c r="X166" s="284">
        <f t="shared" si="151"/>
        <v>11268.47958843923</v>
      </c>
      <c r="Y166" s="284">
        <f t="shared" si="151"/>
        <v>11923.758913047071</v>
      </c>
      <c r="Z166" s="284">
        <f t="shared" si="151"/>
        <v>12620.774296576257</v>
      </c>
      <c r="AA166" s="284">
        <f t="shared" si="151"/>
        <v>13360.427758143689</v>
      </c>
      <c r="AB166" s="284">
        <f t="shared" si="151"/>
        <v>14142.42077229467</v>
      </c>
      <c r="AC166" s="284">
        <f t="shared" si="151"/>
        <v>14948.873274867055</v>
      </c>
      <c r="AD166" s="284">
        <f t="shared" si="151"/>
        <v>15833.70368160117</v>
      </c>
      <c r="AE166" s="284">
        <f t="shared" si="151"/>
        <v>16713.283315462195</v>
      </c>
      <c r="AF166" s="284">
        <f t="shared" si="151"/>
        <v>17678.270170233205</v>
      </c>
      <c r="AG166" s="284">
        <f t="shared" si="151"/>
        <v>18637.266412941608</v>
      </c>
      <c r="AH166" s="284">
        <f t="shared" si="151"/>
        <v>19634.440600092501</v>
      </c>
      <c r="AI166" s="284">
        <f t="shared" si="151"/>
        <v>20659.245271465985</v>
      </c>
    </row>
    <row r="167" spans="1:42">
      <c r="A167" s="280" t="s">
        <v>490</v>
      </c>
      <c r="I167" s="284"/>
      <c r="M167" s="287"/>
      <c r="N167" s="285">
        <f t="shared" si="149"/>
        <v>41</v>
      </c>
      <c r="O167" s="285">
        <f t="shared" si="149"/>
        <v>41.5</v>
      </c>
      <c r="P167" s="285">
        <f t="shared" ref="P167:AI167" si="152">P155</f>
        <v>41.54</v>
      </c>
      <c r="Q167" s="285">
        <f t="shared" si="152"/>
        <v>42.03</v>
      </c>
      <c r="R167" s="285">
        <f t="shared" si="152"/>
        <v>43.23</v>
      </c>
      <c r="S167" s="285">
        <f t="shared" si="152"/>
        <v>43.893673520769546</v>
      </c>
      <c r="T167" s="285">
        <f t="shared" si="152"/>
        <v>44.508560667321689</v>
      </c>
      <c r="U167" s="285">
        <f t="shared" si="152"/>
        <v>45.043252888072885</v>
      </c>
      <c r="V167" s="285">
        <f t="shared" si="152"/>
        <v>45.42438819310064</v>
      </c>
      <c r="W167" s="285">
        <f t="shared" si="152"/>
        <v>45.717218921765003</v>
      </c>
      <c r="X167" s="285">
        <f t="shared" si="152"/>
        <v>45.943176294527241</v>
      </c>
      <c r="Y167" s="285">
        <f t="shared" si="152"/>
        <v>46.161334059693687</v>
      </c>
      <c r="Z167" s="285">
        <f t="shared" si="152"/>
        <v>46.359534878689601</v>
      </c>
      <c r="AA167" s="285">
        <f t="shared" si="152"/>
        <v>46.503439351777075</v>
      </c>
      <c r="AB167" s="285">
        <f t="shared" si="152"/>
        <v>46.641595182897134</v>
      </c>
      <c r="AC167" s="285">
        <f t="shared" si="152"/>
        <v>46.787405592306342</v>
      </c>
      <c r="AD167" s="285">
        <f t="shared" si="152"/>
        <v>47.009263888719367</v>
      </c>
      <c r="AE167" s="285">
        <f t="shared" si="152"/>
        <v>47.009263888719367</v>
      </c>
      <c r="AF167" s="285">
        <f t="shared" si="152"/>
        <v>47.009263888719367</v>
      </c>
      <c r="AG167" s="285">
        <f t="shared" si="152"/>
        <v>47.009263888719367</v>
      </c>
      <c r="AH167" s="285">
        <f t="shared" si="152"/>
        <v>47.009263888719367</v>
      </c>
      <c r="AI167" s="285">
        <f t="shared" si="152"/>
        <v>47.009263888719367</v>
      </c>
    </row>
    <row r="168" spans="1:42">
      <c r="A168" s="653" t="s">
        <v>489</v>
      </c>
      <c r="I168" s="284"/>
      <c r="M168" s="287"/>
      <c r="N168" s="285">
        <f t="shared" ref="N168:AI168" si="153">N164*N167*12/1000</f>
        <v>5442.9960000000001</v>
      </c>
      <c r="O168" s="285">
        <f t="shared" si="153"/>
        <v>6133.3035274847925</v>
      </c>
      <c r="P168" s="285">
        <f t="shared" si="153"/>
        <v>6476.8719783364513</v>
      </c>
      <c r="Q168" s="285">
        <f t="shared" si="153"/>
        <v>6848.1695008595989</v>
      </c>
      <c r="R168" s="285">
        <f t="shared" si="153"/>
        <v>7325.4395009052305</v>
      </c>
      <c r="S168" s="285">
        <f t="shared" si="153"/>
        <v>7952.0951944594372</v>
      </c>
      <c r="T168" s="285">
        <f t="shared" si="153"/>
        <v>8463.5396287822696</v>
      </c>
      <c r="U168" s="285">
        <f t="shared" si="153"/>
        <v>8940.457169795096</v>
      </c>
      <c r="V168" s="285">
        <f t="shared" si="153"/>
        <v>9400.3667188215295</v>
      </c>
      <c r="W168" s="285">
        <f t="shared" si="153"/>
        <v>9871.2638547581191</v>
      </c>
      <c r="X168" s="285">
        <f t="shared" si="153"/>
        <v>10365.347164474624</v>
      </c>
      <c r="Y168" s="285">
        <f t="shared" si="153"/>
        <v>10889.042970875398</v>
      </c>
      <c r="Z168" s="285">
        <f t="shared" si="153"/>
        <v>11438.262755933867</v>
      </c>
      <c r="AA168" s="285">
        <f t="shared" si="153"/>
        <v>12001.869236169572</v>
      </c>
      <c r="AB168" s="285">
        <f t="shared" si="153"/>
        <v>12599.468279418714</v>
      </c>
      <c r="AC168" s="285">
        <f t="shared" si="153"/>
        <v>13218.025063279438</v>
      </c>
      <c r="AD168" s="285">
        <f t="shared" si="153"/>
        <v>13923.518779590231</v>
      </c>
      <c r="AE168" s="285">
        <f t="shared" si="153"/>
        <v>14554.667777155402</v>
      </c>
      <c r="AF168" s="285">
        <f t="shared" si="153"/>
        <v>15237.645398157225</v>
      </c>
      <c r="AG168" s="285">
        <f t="shared" si="153"/>
        <v>15920.991783368278</v>
      </c>
      <c r="AH168" s="285">
        <f t="shared" si="153"/>
        <v>16629.724255905778</v>
      </c>
      <c r="AI168" s="285">
        <f t="shared" si="153"/>
        <v>17357.996963219633</v>
      </c>
    </row>
    <row r="169" spans="1:42">
      <c r="A169" s="653"/>
      <c r="I169" s="284"/>
      <c r="M169" s="287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  <c r="AD169" s="285"/>
      <c r="AE169" s="285"/>
      <c r="AF169" s="285"/>
      <c r="AG169" s="285"/>
      <c r="AH169" s="285"/>
      <c r="AI169" s="285"/>
    </row>
    <row r="170" spans="1:42" s="338" customFormat="1">
      <c r="A170" s="653" t="s">
        <v>696</v>
      </c>
      <c r="B170" s="280"/>
      <c r="C170" s="280"/>
      <c r="D170" s="280"/>
      <c r="E170" s="280"/>
      <c r="F170" s="280"/>
      <c r="G170" s="280"/>
      <c r="H170" s="280"/>
      <c r="I170" s="284"/>
      <c r="J170" s="280"/>
      <c r="K170" s="284"/>
      <c r="L170" s="284"/>
      <c r="M170" s="287"/>
      <c r="N170" s="285"/>
      <c r="O170" s="285">
        <f>(O2-O49)/(N2-N49)*100/O102*100</f>
        <v>95.962641261710544</v>
      </c>
      <c r="P170" s="285">
        <f ca="1">(P2-P49-'расчет пенс выплат'!H12)/(O2-O49-'расчет пенс выплат'!G12)*100/P102*100</f>
        <v>99.200758243064783</v>
      </c>
      <c r="Q170" s="285">
        <f ca="1">(Q2-Q49-'расчет пенс выплат'!I12)/(P2-P49-'расчет пенс выплат'!H12)*100/Q102*100</f>
        <v>101.33719800830021</v>
      </c>
      <c r="R170" s="285">
        <f ca="1">(R2-R49-'расчет пенс выплат'!J12)/(Q2-Q49-'расчет пенс выплат'!I12)*100/R102*100</f>
        <v>103.64261711229432</v>
      </c>
      <c r="S170" s="285">
        <f ca="1">(S2-S49-'расчет пенс выплат'!K12)/(R2-R49-'расчет пенс выплат'!J12)*100/S102*100</f>
        <v>103.43693268170897</v>
      </c>
      <c r="T170" s="285">
        <f ca="1">(T2-T49-'расчет пенс выплат'!L12)/(S2-S49-'расчет пенс выплат'!K12)*100/T102*100</f>
        <v>103.02520041188194</v>
      </c>
      <c r="U170" s="285">
        <f ca="1">(U2-U49-'расчет пенс выплат'!M12)/(T2-T49-'расчет пенс выплат'!L12)*100/U102*100</f>
        <v>102.2843279383884</v>
      </c>
      <c r="V170" s="285">
        <f ca="1">(V2-V49-'расчет пенс выплат'!N12)/(U2-U49-'расчет пенс выплат'!M12)*100/V102*100</f>
        <v>102.13761137182659</v>
      </c>
      <c r="W170" s="285">
        <f ca="1">(W2-W49-'расчет пенс выплат'!O12)/(V2-V49-'расчет пенс выплат'!N12)*100/W102*100</f>
        <v>102.03433695661302</v>
      </c>
      <c r="X170" s="285">
        <f ca="1">(X2-X49-'расчет пенс выплат'!P12)/(W2-W49-'расчет пенс выплат'!O12)*100/X102*100</f>
        <v>102.0351725445868</v>
      </c>
      <c r="Y170" s="285">
        <f ca="1">(Y2-Y49-'расчет пенс выплат'!Q12)/(X2-X49-'расчет пенс выплат'!P12)*100/Y102*100</f>
        <v>102.32613583839078</v>
      </c>
      <c r="Z170" s="285">
        <f ca="1">(Z2-Z49-'расчет пенс выплат'!R12)/(Y2-Y49-'расчет пенс выплат'!Q12)*100/Z102*100</f>
        <v>102.65294612058489</v>
      </c>
      <c r="AA170" s="285">
        <f ca="1">(AA2-AA49-'расчет пенс выплат'!S12)/(Z2-Z49-'расчет пенс выплат'!R12)*100/AA102*100</f>
        <v>102.50100065837839</v>
      </c>
      <c r="AB170" s="285">
        <f ca="1">(AB2-AB49-'расчет пенс выплат'!T12)/(AA2-AA49-'расчет пенс выплат'!S12)*100/AB102*100</f>
        <v>102.669702331987</v>
      </c>
      <c r="AC170" s="285">
        <f ca="1">(AC2-AC49-'расчет пенс выплат'!U12)/(AB2-AB49-'расчет пенс выплат'!T12)*100/AC102*100</f>
        <v>102.45373311603529</v>
      </c>
      <c r="AD170" s="285">
        <f ca="1">(AD2-AD49-'расчет пенс выплат'!V12)/(AC2-AC49-'расчет пенс выплат'!U12)*100/AD102*100</f>
        <v>102.52966045875984</v>
      </c>
      <c r="AE170" s="285">
        <f ca="1">(AE2-AE49-'расчет пенс выплат'!W12)/(AD2-AD49-'расчет пенс выплат'!V12)*100/AE102*100</f>
        <v>102.44613863421546</v>
      </c>
      <c r="AF170" s="285">
        <f ca="1">(AF2-AF49-'расчет пенс выплат'!X12)/(AE2-AE49-'расчет пенс выплат'!W12)*100/AF102*100</f>
        <v>102.49710873811023</v>
      </c>
      <c r="AG170" s="285">
        <f ca="1">(AG2-AG49-'расчет пенс выплат'!Y12)/(AF2-AF49-'расчет пенс выплат'!X12)*100/AG102*100</f>
        <v>102.42812252123996</v>
      </c>
      <c r="AH170" s="285">
        <f ca="1">(AH2-AH49-'расчет пенс выплат'!Z12)/(AG2-AG49-'расчет пенс выплат'!Y12)*100/AH102*100</f>
        <v>102.29696153552783</v>
      </c>
      <c r="AI170" s="285">
        <f ca="1">(AI2-AI49-'расчет пенс выплат'!AA12)/(AH2-AH49-'расчет пенс выплат'!Z12)*100/AI102*100</f>
        <v>102.31621602404152</v>
      </c>
      <c r="AJ170" s="676"/>
      <c r="AK170" s="339"/>
      <c r="AL170" s="339"/>
      <c r="AM170" s="286"/>
      <c r="AN170" s="286"/>
      <c r="AO170" s="286"/>
      <c r="AP170" s="286"/>
    </row>
    <row r="171" spans="1:42">
      <c r="A171" s="653" t="s">
        <v>695</v>
      </c>
      <c r="B171" s="280">
        <v>111.1</v>
      </c>
      <c r="C171" s="280">
        <v>114.99803832140549</v>
      </c>
      <c r="D171" s="280">
        <v>110.41875839691417</v>
      </c>
      <c r="E171" s="280">
        <v>112.39492148368365</v>
      </c>
      <c r="F171" s="280">
        <v>113.47456051839747</v>
      </c>
      <c r="G171" s="280">
        <v>112.11978624551516</v>
      </c>
      <c r="H171" s="280">
        <v>101.90184693434212</v>
      </c>
      <c r="I171" s="284">
        <v>103.31871215825046</v>
      </c>
      <c r="J171" s="280">
        <v>106.72146869388666</v>
      </c>
      <c r="K171" s="284">
        <v>100.50192808947325</v>
      </c>
      <c r="L171" s="284">
        <v>105.44358612981004</v>
      </c>
      <c r="M171" s="287">
        <v>103.96031852632987</v>
      </c>
      <c r="N171" s="285">
        <v>99.288753897105934</v>
      </c>
      <c r="O171" s="285">
        <v>95.609386729664166</v>
      </c>
      <c r="P171" s="285">
        <v>100.5381829585256</v>
      </c>
      <c r="Q171" s="285">
        <v>102.28875712229357</v>
      </c>
      <c r="R171" s="285">
        <v>103.70000658789078</v>
      </c>
      <c r="S171" s="285">
        <v>103.53065800953503</v>
      </c>
      <c r="T171" s="285">
        <v>103.06657683423641</v>
      </c>
      <c r="U171" s="285">
        <v>102.31040181000944</v>
      </c>
      <c r="V171" s="285">
        <v>102.1866736976758</v>
      </c>
      <c r="W171" s="285">
        <v>102.08246920108604</v>
      </c>
      <c r="X171" s="285">
        <v>102.05539541596342</v>
      </c>
      <c r="Y171" s="285">
        <v>102.34470465603498</v>
      </c>
      <c r="Z171" s="285">
        <v>102.62969303821832</v>
      </c>
      <c r="AA171" s="285">
        <v>102.42782777937032</v>
      </c>
      <c r="AB171" s="285">
        <v>102.60736795585068</v>
      </c>
      <c r="AC171" s="285">
        <v>102.38506381137502</v>
      </c>
      <c r="AD171" s="285">
        <v>102.51900166935479</v>
      </c>
      <c r="AE171" s="285">
        <v>102.43026451918927</v>
      </c>
      <c r="AF171" s="285">
        <v>102.48288729646514</v>
      </c>
      <c r="AG171" s="285">
        <v>102.41195485322308</v>
      </c>
      <c r="AH171" s="285">
        <v>102.27625634704836</v>
      </c>
      <c r="AI171" s="285">
        <v>102.29618675902496</v>
      </c>
    </row>
    <row r="172" spans="1:42">
      <c r="K172" s="280"/>
      <c r="L172" s="280"/>
      <c r="M172" s="280"/>
      <c r="N172" s="280"/>
      <c r="O172" s="280"/>
      <c r="P172" s="280"/>
      <c r="R172" s="280"/>
    </row>
    <row r="173" spans="1:42" hidden="1">
      <c r="I173" s="284"/>
      <c r="J173" s="287"/>
      <c r="K173" s="285"/>
      <c r="L173" s="285">
        <f>O156+O158</f>
        <v>6349.4576192938557</v>
      </c>
      <c r="M173" s="285">
        <f>P156+P158</f>
        <v>7022.6192739138896</v>
      </c>
      <c r="N173" s="285">
        <f>Q156+Q158</f>
        <v>7612.6140279811816</v>
      </c>
      <c r="O173" s="285">
        <f>R156+R158</f>
        <v>8231.7886091830842</v>
      </c>
      <c r="P173" s="284"/>
      <c r="Q173" s="284"/>
      <c r="R173" s="284"/>
    </row>
    <row r="174" spans="1:42" hidden="1">
      <c r="I174" s="284"/>
      <c r="J174" s="287"/>
      <c r="K174" s="285"/>
      <c r="L174" s="285"/>
      <c r="M174" s="285">
        <f>L173*P149</f>
        <v>7003.0542332058094</v>
      </c>
      <c r="N174" s="285"/>
      <c r="O174" s="285"/>
      <c r="P174" s="284"/>
      <c r="Q174" s="284"/>
      <c r="R174" s="284"/>
    </row>
    <row r="175" spans="1:42" hidden="1">
      <c r="I175" s="592" t="s">
        <v>494</v>
      </c>
      <c r="J175" s="287"/>
      <c r="K175" s="592">
        <v>1.0649999999999999</v>
      </c>
      <c r="L175" s="592">
        <v>1.075</v>
      </c>
      <c r="M175" s="592">
        <v>1.0549999999999999</v>
      </c>
      <c r="N175" s="592">
        <v>1.0449999999999999</v>
      </c>
      <c r="O175" s="592">
        <v>1.04</v>
      </c>
      <c r="P175" s="284"/>
      <c r="Q175" s="284"/>
      <c r="R175" s="284"/>
    </row>
    <row r="176" spans="1:42" hidden="1">
      <c r="I176" s="592" t="s">
        <v>493</v>
      </c>
      <c r="J176" s="287"/>
      <c r="K176" s="592">
        <v>1.0149999999999999</v>
      </c>
      <c r="L176" s="592">
        <v>1</v>
      </c>
      <c r="M176" s="592">
        <v>1</v>
      </c>
      <c r="N176" s="592">
        <v>1</v>
      </c>
      <c r="O176" s="592">
        <v>1</v>
      </c>
      <c r="P176" s="284"/>
      <c r="Q176" s="284"/>
      <c r="R176" s="284"/>
    </row>
    <row r="177" spans="1:32" hidden="1">
      <c r="I177" s="592" t="s">
        <v>492</v>
      </c>
      <c r="J177" s="287"/>
      <c r="K177" s="591">
        <f>((1*1/12)+(K175*2/12))+(K175*K176*9/12)</f>
        <v>1.0715645833333332</v>
      </c>
      <c r="L177" s="591">
        <f>(K177*1/12)+(L175*9/12)+(2/12*K176*L175)</f>
        <v>1.0774012152777777</v>
      </c>
      <c r="M177" s="591">
        <f>(L177*1/12)+(M175*9/12)+(2/12*L176*M175)</f>
        <v>1.0568667679398147</v>
      </c>
      <c r="N177" s="591">
        <f>(M177*1/12)+(N175*9/12)+(2/12*M176*N175)</f>
        <v>1.0459888973283178</v>
      </c>
      <c r="O177" s="591">
        <f>((N177*1/12)+(O175*N176*2/12)+(O175*O176*9/12))</f>
        <v>1.0404990747773597</v>
      </c>
      <c r="P177" s="284"/>
      <c r="Q177" s="284"/>
      <c r="R177" s="284"/>
    </row>
    <row r="178" spans="1:32" hidden="1">
      <c r="I178" s="284"/>
      <c r="J178" s="284"/>
      <c r="M178" s="284"/>
      <c r="N178" s="284"/>
      <c r="O178" s="284"/>
      <c r="P178" s="284"/>
      <c r="Q178" s="284"/>
      <c r="R178" s="284"/>
    </row>
    <row r="179" spans="1:32" hidden="1">
      <c r="A179" s="280" t="s">
        <v>491</v>
      </c>
      <c r="I179" s="284"/>
      <c r="J179" s="284"/>
      <c r="K179" s="285">
        <v>11063</v>
      </c>
      <c r="L179" s="285">
        <f>K179*L177</f>
        <v>11919.289644618055</v>
      </c>
      <c r="M179" s="285">
        <f>L179*M177</f>
        <v>12597.101122845987</v>
      </c>
      <c r="N179" s="285">
        <f>M179*N177</f>
        <v>13176.427913018988</v>
      </c>
      <c r="O179" s="285">
        <f>N179*O177</f>
        <v>13710.061052366833</v>
      </c>
      <c r="P179" s="284"/>
      <c r="Q179" s="284"/>
      <c r="R179" s="284"/>
    </row>
    <row r="180" spans="1:32" hidden="1">
      <c r="A180" s="280" t="s">
        <v>490</v>
      </c>
      <c r="I180" s="284"/>
      <c r="J180" s="284"/>
      <c r="K180" s="287">
        <v>41</v>
      </c>
      <c r="L180" s="287">
        <v>41.5</v>
      </c>
      <c r="M180" s="284">
        <v>41.54</v>
      </c>
      <c r="N180" s="284">
        <v>42.03</v>
      </c>
      <c r="O180" s="284">
        <f>R155</f>
        <v>43.23</v>
      </c>
      <c r="P180" s="284"/>
      <c r="Q180" s="284"/>
      <c r="R180" s="284"/>
    </row>
    <row r="181" spans="1:32" hidden="1">
      <c r="A181" s="280" t="s">
        <v>489</v>
      </c>
      <c r="I181" s="284"/>
      <c r="J181" s="284"/>
      <c r="K181" s="285">
        <f>K179*K180*12/1000</f>
        <v>5442.9960000000001</v>
      </c>
      <c r="L181" s="285">
        <f>L179*L180*12/1000</f>
        <v>5935.8062430197915</v>
      </c>
      <c r="M181" s="285">
        <f>M179*M180*12/1000</f>
        <v>6279.4029677162671</v>
      </c>
      <c r="N181" s="285">
        <f>N179*N180*12/1000</f>
        <v>6645.6631822102563</v>
      </c>
      <c r="O181" s="285">
        <f>O179*O180*12/1000</f>
        <v>7112.2312715258186</v>
      </c>
      <c r="P181" s="284"/>
      <c r="Q181" s="284"/>
      <c r="R181" s="284"/>
    </row>
    <row r="182" spans="1:32" hidden="1">
      <c r="K182" s="285"/>
      <c r="L182" s="285"/>
      <c r="M182" s="285"/>
      <c r="N182" s="285"/>
      <c r="O182" s="285"/>
      <c r="P182" s="284"/>
      <c r="Q182" s="284"/>
      <c r="R182" s="284"/>
    </row>
    <row r="183" spans="1:32" hidden="1">
      <c r="K183" s="285">
        <f>5537-K181</f>
        <v>94.003999999999905</v>
      </c>
      <c r="L183" s="285">
        <f>6145-L181</f>
        <v>209.19375698020849</v>
      </c>
      <c r="M183" s="285">
        <f>L183*M177+12.5*M177</f>
        <v>234.30076441210767</v>
      </c>
      <c r="N183" s="285">
        <f>M183*N177+36*N177</f>
        <v>282.73159851442188</v>
      </c>
      <c r="O183" s="285">
        <f>N183*O177</f>
        <v>294.18196666457987</v>
      </c>
      <c r="P183" s="284"/>
      <c r="Q183" s="284"/>
      <c r="R183" s="284"/>
    </row>
    <row r="184" spans="1:32" hidden="1">
      <c r="M184" s="284"/>
      <c r="N184" s="284"/>
      <c r="O184" s="284"/>
      <c r="P184" s="284"/>
      <c r="Q184" s="284"/>
      <c r="R184" s="284"/>
    </row>
    <row r="185" spans="1:32" hidden="1">
      <c r="L185" s="560">
        <f>L181+L183</f>
        <v>6145</v>
      </c>
      <c r="M185" s="560">
        <f>M181+M183</f>
        <v>6513.7037321283751</v>
      </c>
      <c r="N185" s="560">
        <f>N181+N183</f>
        <v>6928.3947807246786</v>
      </c>
      <c r="O185" s="560">
        <f>O181+O183</f>
        <v>7406.4132381903983</v>
      </c>
      <c r="P185" s="284"/>
      <c r="Q185" s="284"/>
      <c r="R185" s="284"/>
    </row>
    <row r="186" spans="1:32" hidden="1">
      <c r="M186" s="284"/>
      <c r="N186" s="284"/>
      <c r="O186" s="284"/>
      <c r="P186" s="284"/>
      <c r="Q186" s="284"/>
      <c r="R186" s="284"/>
    </row>
    <row r="187" spans="1:32" hidden="1">
      <c r="L187" s="560">
        <f>L173-L185</f>
        <v>204.45761929385571</v>
      </c>
      <c r="M187" s="560">
        <f>M173-M185</f>
        <v>508.91554178551451</v>
      </c>
      <c r="N187" s="560">
        <f>N173-N185</f>
        <v>684.21924725650297</v>
      </c>
      <c r="O187" s="560">
        <f>O173-O185</f>
        <v>825.37537099268593</v>
      </c>
      <c r="P187" s="284"/>
      <c r="Q187" s="284"/>
      <c r="R187" s="284"/>
    </row>
    <row r="188" spans="1:32">
      <c r="L188" s="284">
        <v>188</v>
      </c>
      <c r="N188" s="746">
        <f t="shared" ref="N188:AF188" si="154">Q152/P152*100-100</f>
        <v>6.6654324028544494</v>
      </c>
      <c r="O188" s="746">
        <f t="shared" si="154"/>
        <v>5.2489314090359471</v>
      </c>
      <c r="P188" s="746">
        <f t="shared" si="154"/>
        <v>6.913166109596844</v>
      </c>
      <c r="Q188" s="746">
        <f t="shared" si="154"/>
        <v>4.9612128893314917</v>
      </c>
      <c r="R188" s="746">
        <f t="shared" si="154"/>
        <v>4.3810109303192917</v>
      </c>
      <c r="S188" s="746">
        <f t="shared" si="154"/>
        <v>4.2619225833043402</v>
      </c>
      <c r="T188" s="746">
        <f t="shared" si="154"/>
        <v>4.336736265063081</v>
      </c>
      <c r="U188" s="746">
        <f t="shared" si="154"/>
        <v>4.4888329025596079</v>
      </c>
      <c r="V188" s="746">
        <f t="shared" si="154"/>
        <v>4.5558952040523764</v>
      </c>
      <c r="W188" s="746">
        <f t="shared" si="154"/>
        <v>4.5946903361971465</v>
      </c>
      <c r="X188" s="746">
        <f t="shared" si="154"/>
        <v>4.6026815042675082</v>
      </c>
      <c r="Y188" s="746">
        <f t="shared" si="154"/>
        <v>4.6682602655590273</v>
      </c>
      <c r="Z188" s="746">
        <f t="shared" si="154"/>
        <v>4.5824435885875232</v>
      </c>
      <c r="AA188" s="746">
        <f t="shared" si="154"/>
        <v>4.8402256493073281</v>
      </c>
      <c r="AB188" s="746">
        <f t="shared" si="154"/>
        <v>4.532970490838423</v>
      </c>
      <c r="AC188" s="746">
        <f t="shared" si="154"/>
        <v>4.6924988701823906</v>
      </c>
      <c r="AD188" s="746">
        <f t="shared" si="154"/>
        <v>4.4845930414793429</v>
      </c>
      <c r="AE188" s="746">
        <f t="shared" si="154"/>
        <v>4.4515598160026002</v>
      </c>
      <c r="AF188" s="746">
        <f t="shared" si="154"/>
        <v>4.3793432537236896</v>
      </c>
    </row>
    <row r="189" spans="1:32">
      <c r="J189" s="588">
        <f>M18</f>
        <v>5849.6815059999999</v>
      </c>
      <c r="K189" s="588">
        <f>N18</f>
        <v>6184.5987015344199</v>
      </c>
      <c r="L189" s="588">
        <f>O18</f>
        <v>6799.4442475228288</v>
      </c>
    </row>
  </sheetData>
  <phoneticPr fontId="0" type="noConversion"/>
  <printOptions horizontalCentered="1" verticalCentered="1"/>
  <pageMargins left="0" right="0" top="0.15748031496062992" bottom="0.15748031496062992" header="0.15748031496062992" footer="0.15748031496062992"/>
  <pageSetup paperSize="9" scale="39" orientation="portrait" r:id="rId1"/>
  <headerFooter>
    <oddFooter>&amp;R&amp;F,&amp;A, &amp;D</oddFooter>
  </headerFooter>
  <rowBreaks count="1" manualBreakCount="1">
    <brk id="172" max="34" man="1"/>
  </rowBreaks>
  <colBreaks count="1" manualBreakCount="1">
    <brk id="39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9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S7" sqref="S7"/>
    </sheetView>
  </sheetViews>
  <sheetFormatPr defaultRowHeight="12"/>
  <cols>
    <col min="1" max="1" width="34" style="59" bestFit="1" customWidth="1"/>
    <col min="2" max="2" width="9.42578125" style="57" customWidth="1"/>
    <col min="3" max="3" width="9.140625" style="57" customWidth="1"/>
    <col min="4" max="4" width="9.85546875" style="57" customWidth="1"/>
    <col min="5" max="5" width="9.140625" style="57" customWidth="1"/>
    <col min="6" max="6" width="9" style="57" customWidth="1"/>
    <col min="7" max="7" width="9.140625" style="57" customWidth="1"/>
    <col min="8" max="8" width="9.28515625" style="57" customWidth="1"/>
    <col min="9" max="9" width="9.85546875" style="57" customWidth="1"/>
    <col min="10" max="10" width="11.140625" style="57" customWidth="1"/>
    <col min="11" max="11" width="9.85546875" style="57" customWidth="1"/>
    <col min="12" max="12" width="10.28515625" style="58" customWidth="1"/>
    <col min="13" max="13" width="10.140625" style="57" customWidth="1"/>
    <col min="14" max="14" width="9.5703125" style="57" customWidth="1"/>
    <col min="15" max="15" width="9.7109375" style="58" customWidth="1"/>
    <col min="16" max="16" width="9.5703125" style="58" customWidth="1"/>
    <col min="17" max="17" width="9.7109375" style="58" customWidth="1"/>
    <col min="18" max="18" width="9.7109375" style="57" customWidth="1"/>
    <col min="19" max="19" width="9.85546875" style="57" bestFit="1" customWidth="1"/>
    <col min="20" max="16384" width="9.140625" style="57"/>
  </cols>
  <sheetData>
    <row r="1" spans="1:51" ht="12.75" thickBot="1">
      <c r="A1" s="122" t="s">
        <v>434</v>
      </c>
      <c r="B1" s="121"/>
    </row>
    <row r="2" spans="1:51" ht="12" customHeight="1">
      <c r="A2" s="815" t="s">
        <v>433</v>
      </c>
      <c r="B2" s="815"/>
      <c r="C2" s="815"/>
      <c r="D2" s="815"/>
      <c r="E2" s="815"/>
      <c r="F2" s="815"/>
      <c r="G2" s="815"/>
      <c r="H2" s="815"/>
      <c r="I2" s="815"/>
      <c r="J2" s="120"/>
      <c r="K2" s="120"/>
    </row>
    <row r="3" spans="1:51" ht="12.75" customHeight="1">
      <c r="A3" s="815" t="s">
        <v>432</v>
      </c>
      <c r="B3" s="815"/>
      <c r="C3" s="815"/>
      <c r="D3" s="815"/>
      <c r="E3" s="815"/>
      <c r="F3" s="815"/>
      <c r="G3" s="815"/>
      <c r="H3" s="815"/>
      <c r="I3" s="815"/>
      <c r="J3" s="120"/>
      <c r="K3" s="120"/>
    </row>
    <row r="4" spans="1:51" ht="12.75" thickBot="1">
      <c r="A4" s="119"/>
      <c r="B4" s="816"/>
      <c r="C4" s="816"/>
      <c r="D4" s="816"/>
      <c r="E4" s="816"/>
      <c r="F4" s="816"/>
      <c r="G4" s="63"/>
      <c r="N4" s="57" t="s">
        <v>431</v>
      </c>
    </row>
    <row r="5" spans="1:51" ht="12.75" thickBot="1">
      <c r="A5" s="118" t="s">
        <v>430</v>
      </c>
      <c r="B5" s="101">
        <v>1997</v>
      </c>
      <c r="C5" s="107">
        <v>1998</v>
      </c>
      <c r="D5" s="105">
        <v>1999</v>
      </c>
      <c r="E5" s="105">
        <v>2000</v>
      </c>
      <c r="F5" s="107">
        <v>2001</v>
      </c>
      <c r="G5" s="105">
        <v>2002</v>
      </c>
      <c r="H5" s="105">
        <v>2003</v>
      </c>
      <c r="I5" s="106">
        <v>2004</v>
      </c>
      <c r="J5" s="105">
        <v>2005</v>
      </c>
      <c r="K5" s="117">
        <v>2006</v>
      </c>
      <c r="L5" s="116">
        <v>2007</v>
      </c>
      <c r="M5" s="115">
        <v>2008</v>
      </c>
      <c r="N5" s="101">
        <v>2009</v>
      </c>
      <c r="O5" s="114">
        <v>2010</v>
      </c>
      <c r="P5" s="114">
        <v>2011</v>
      </c>
      <c r="Q5" s="113">
        <v>2012</v>
      </c>
      <c r="R5" s="113">
        <v>2013</v>
      </c>
      <c r="S5" s="113">
        <v>2014</v>
      </c>
    </row>
    <row r="6" spans="1:51" ht="24">
      <c r="A6" s="89" t="s">
        <v>429</v>
      </c>
      <c r="B6" s="88">
        <v>206558.6</v>
      </c>
      <c r="C6" s="109">
        <v>255949.33900000001</v>
      </c>
      <c r="D6" s="86">
        <v>360266.62800000003</v>
      </c>
      <c r="E6" s="64">
        <v>612194.973</v>
      </c>
      <c r="F6" s="112">
        <v>672200.21699999995</v>
      </c>
      <c r="G6" s="112">
        <v>810731.54599999997</v>
      </c>
      <c r="H6" s="112">
        <v>1066875.767</v>
      </c>
      <c r="I6" s="112">
        <v>1285460.8060000001</v>
      </c>
      <c r="J6" s="111">
        <v>1580335.689</v>
      </c>
      <c r="K6" s="111">
        <v>1915107.6880000001</v>
      </c>
      <c r="L6" s="110">
        <v>2133848.36</v>
      </c>
      <c r="M6" s="109">
        <v>2583580</v>
      </c>
      <c r="N6" s="109">
        <v>2734696</v>
      </c>
      <c r="O6" s="109">
        <v>2873344</v>
      </c>
      <c r="P6" s="109">
        <v>3187375</v>
      </c>
      <c r="Q6" s="109">
        <f ca="1">quarterly!F6</f>
        <v>3745103.2419999996</v>
      </c>
      <c r="R6" s="109">
        <f ca="1">quarterly!K6</f>
        <v>3848310.0180000002</v>
      </c>
      <c r="S6" s="109">
        <f ca="1">quarterly!P6</f>
        <v>3730650.409532845</v>
      </c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</row>
    <row r="7" spans="1:51" ht="27" customHeight="1">
      <c r="A7" s="91" t="s">
        <v>428</v>
      </c>
      <c r="B7" s="88">
        <v>623957.79599999997</v>
      </c>
      <c r="C7" s="86">
        <v>661117.48</v>
      </c>
      <c r="D7" s="86">
        <v>1006756.31</v>
      </c>
      <c r="E7" s="64">
        <v>1453535.345</v>
      </c>
      <c r="F7" s="64">
        <v>2048259.4110000001</v>
      </c>
      <c r="G7" s="64">
        <v>2793677.895</v>
      </c>
      <c r="H7" s="64">
        <v>3507200.0789999999</v>
      </c>
      <c r="I7" s="64">
        <v>4240175.8310000002</v>
      </c>
      <c r="J7" s="87">
        <v>5262632.1979999999</v>
      </c>
      <c r="K7" s="87">
        <v>6571187.1550000003</v>
      </c>
      <c r="L7" s="64">
        <v>8501614.7589999996</v>
      </c>
      <c r="M7" s="64">
        <v>10880359.557</v>
      </c>
      <c r="N7" s="86">
        <v>11316762</v>
      </c>
      <c r="O7" s="86">
        <v>12638051</v>
      </c>
      <c r="P7" s="86">
        <v>13795179</v>
      </c>
      <c r="Q7" s="86">
        <f ca="1">quarterly!F7</f>
        <v>15958611.937601436</v>
      </c>
      <c r="R7" s="86">
        <f ca="1">quarterly!K7</f>
        <v>17958581.587000001</v>
      </c>
      <c r="S7" s="86">
        <f ca="1">quarterly!P7</f>
        <v>19169565.846075248</v>
      </c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>
        <v>6397</v>
      </c>
      <c r="AM7" s="58">
        <v>6879776</v>
      </c>
      <c r="AN7" s="58">
        <v>19861180</v>
      </c>
      <c r="AO7" s="58">
        <v>9909340</v>
      </c>
      <c r="AP7" s="58">
        <v>-10125140</v>
      </c>
      <c r="AQ7" s="58">
        <v>-191892</v>
      </c>
      <c r="AR7" s="58">
        <v>20268872</v>
      </c>
      <c r="AS7" s="58">
        <v>23569470</v>
      </c>
      <c r="AT7" s="58">
        <v>213644903</v>
      </c>
      <c r="AU7" s="58">
        <v>378727</v>
      </c>
      <c r="AV7" s="58">
        <v>1041305</v>
      </c>
      <c r="AW7" s="58">
        <v>1746677051</v>
      </c>
      <c r="AX7" s="58">
        <v>29355300</v>
      </c>
      <c r="AY7" s="58">
        <v>1776032351</v>
      </c>
    </row>
    <row r="8" spans="1:51" ht="36">
      <c r="A8" s="91" t="s">
        <v>427</v>
      </c>
      <c r="B8" s="88">
        <v>39577.042999999998</v>
      </c>
      <c r="C8" s="86">
        <v>37974.622000000003</v>
      </c>
      <c r="D8" s="86">
        <v>63875.087</v>
      </c>
      <c r="E8" s="64">
        <v>86598.64</v>
      </c>
      <c r="F8" s="64">
        <v>109689.701</v>
      </c>
      <c r="G8" s="64">
        <v>138076.36600000001</v>
      </c>
      <c r="H8" s="64">
        <v>151286.22700000001</v>
      </c>
      <c r="I8" s="64">
        <v>182115.87</v>
      </c>
      <c r="J8" s="87">
        <v>206244.50700000001</v>
      </c>
      <c r="K8" s="87">
        <v>254919.785</v>
      </c>
      <c r="L8" s="64">
        <v>315110.78899999999</v>
      </c>
      <c r="M8" s="64">
        <v>385708.4</v>
      </c>
      <c r="N8" s="86">
        <v>400900</v>
      </c>
      <c r="O8" s="86">
        <v>448256</v>
      </c>
      <c r="P8" s="86">
        <v>480290</v>
      </c>
      <c r="Q8" s="86">
        <f ca="1">quarterly!F8</f>
        <v>505564.96100000001</v>
      </c>
      <c r="R8" s="86">
        <f ca="1">quarterly!K8</f>
        <v>528946.38600000006</v>
      </c>
      <c r="S8" s="86">
        <f ca="1">quarterly!P8</f>
        <v>572967.70838378905</v>
      </c>
    </row>
    <row r="9" spans="1:51" ht="17.25" customHeight="1">
      <c r="A9" s="91" t="s">
        <v>426</v>
      </c>
      <c r="B9" s="88">
        <v>245484.054</v>
      </c>
      <c r="C9" s="86">
        <v>237675.86499999999</v>
      </c>
      <c r="D9" s="86">
        <v>381693.55599999998</v>
      </c>
      <c r="E9" s="64">
        <v>551130.21600000001</v>
      </c>
      <c r="F9" s="64">
        <v>808302.87399999995</v>
      </c>
      <c r="G9" s="64">
        <v>1040471.35615</v>
      </c>
      <c r="H9" s="64">
        <v>1253401.6499999999</v>
      </c>
      <c r="I9" s="64">
        <v>1407374.976</v>
      </c>
      <c r="J9" s="87">
        <v>1755575.568</v>
      </c>
      <c r="K9" s="87">
        <v>2079863</v>
      </c>
      <c r="L9" s="87">
        <v>2477044.8190000001</v>
      </c>
      <c r="M9" s="64">
        <v>3333303</v>
      </c>
      <c r="N9" s="86">
        <v>4247692</v>
      </c>
      <c r="O9" s="86">
        <v>5761847</v>
      </c>
      <c r="P9" s="86">
        <v>6514042</v>
      </c>
      <c r="Q9" s="86">
        <f ca="1">quarterly!F9</f>
        <v>7320992.1661305698</v>
      </c>
      <c r="R9" s="86">
        <f ca="1">quarterly!K9</f>
        <v>8295727.6789999995</v>
      </c>
      <c r="S9" s="86">
        <f ca="1">quarterly!P9</f>
        <v>8718700.8607269824</v>
      </c>
    </row>
    <row r="10" spans="1:51">
      <c r="A10" s="96" t="s">
        <v>417</v>
      </c>
      <c r="B10" s="88"/>
      <c r="C10" s="86"/>
      <c r="D10" s="86"/>
      <c r="E10" s="64"/>
      <c r="F10" s="74"/>
      <c r="G10" s="64"/>
      <c r="H10" s="64"/>
      <c r="I10" s="64"/>
      <c r="J10" s="87"/>
      <c r="K10" s="87"/>
      <c r="L10" s="64"/>
      <c r="M10" s="74"/>
      <c r="N10" s="74"/>
      <c r="O10" s="74"/>
      <c r="P10" s="74"/>
      <c r="Q10" s="86"/>
      <c r="R10" s="86"/>
      <c r="S10" s="86"/>
    </row>
    <row r="11" spans="1:51">
      <c r="A11" s="95" t="s">
        <v>425</v>
      </c>
      <c r="B11" s="94">
        <v>181335.22700000001</v>
      </c>
      <c r="C11" s="93">
        <v>178534.79</v>
      </c>
      <c r="D11" s="93">
        <v>279633.554</v>
      </c>
      <c r="E11" s="74">
        <v>360564.16600000003</v>
      </c>
      <c r="F11" s="74">
        <v>533809.85100000002</v>
      </c>
      <c r="G11" s="74">
        <v>722554.22699999996</v>
      </c>
      <c r="H11" s="74">
        <v>879940.84600000002</v>
      </c>
      <c r="I11" s="74">
        <v>1059423.638</v>
      </c>
      <c r="J11" s="92">
        <v>1254640.0789999999</v>
      </c>
      <c r="K11" s="92">
        <v>1437786</v>
      </c>
      <c r="L11" s="74">
        <v>1669033</v>
      </c>
      <c r="M11" s="74">
        <v>2282338</v>
      </c>
      <c r="N11" s="74">
        <v>2825847</v>
      </c>
      <c r="O11" s="74">
        <v>3987219</v>
      </c>
      <c r="P11" s="74">
        <v>4415547</v>
      </c>
      <c r="Q11" s="74">
        <f ca="1">quarterly!F11</f>
        <v>5078677.0130000003</v>
      </c>
      <c r="R11" s="74">
        <f ca="1">quarterly!K11</f>
        <v>5849681.5060000001</v>
      </c>
      <c r="S11" s="74">
        <f ca="1">quarterly!P11</f>
        <v>6184598.7015344203</v>
      </c>
    </row>
    <row r="12" spans="1:51">
      <c r="A12" s="95" t="s">
        <v>424</v>
      </c>
      <c r="B12" s="94">
        <v>50555.3</v>
      </c>
      <c r="C12" s="93">
        <v>41050.881000000001</v>
      </c>
      <c r="D12" s="93">
        <v>55010.707999999999</v>
      </c>
      <c r="E12" s="74">
        <v>77743.701000000001</v>
      </c>
      <c r="F12" s="74">
        <v>98309.437000000005</v>
      </c>
      <c r="G12" s="74">
        <v>128429.27</v>
      </c>
      <c r="H12" s="74">
        <v>140869.87700000001</v>
      </c>
      <c r="I12" s="74">
        <v>140984.959</v>
      </c>
      <c r="J12" s="92">
        <v>314912.17</v>
      </c>
      <c r="K12" s="92">
        <v>467522.82299999997</v>
      </c>
      <c r="L12" s="74">
        <v>639497.821</v>
      </c>
      <c r="M12" s="74">
        <v>829994.65800000005</v>
      </c>
      <c r="N12" s="74">
        <v>1167913</v>
      </c>
      <c r="O12" s="74">
        <v>1522664</v>
      </c>
      <c r="P12" s="74">
        <v>1831351</v>
      </c>
      <c r="Q12" s="74">
        <f ca="1">quarterly!F12</f>
        <v>1935941.236</v>
      </c>
      <c r="R12" s="74">
        <f ca="1">quarterly!K12</f>
        <v>2076184.5919999999</v>
      </c>
      <c r="S12" s="74">
        <f ca="1">quarterly!P12</f>
        <v>2133572.8157921815</v>
      </c>
    </row>
    <row r="13" spans="1:51">
      <c r="A13" s="95" t="s">
        <v>423</v>
      </c>
      <c r="B13" s="94">
        <v>3212.6790000000001</v>
      </c>
      <c r="C13" s="93">
        <v>3135.2440000000001</v>
      </c>
      <c r="D13" s="93">
        <v>5165.674</v>
      </c>
      <c r="E13" s="74">
        <v>5074.576</v>
      </c>
      <c r="F13" s="74">
        <v>6236.35</v>
      </c>
      <c r="G13" s="74">
        <v>6305.5280000000002</v>
      </c>
      <c r="H13" s="74">
        <v>7342.8829999999998</v>
      </c>
      <c r="I13" s="74">
        <v>9428.8780000000006</v>
      </c>
      <c r="J13" s="92">
        <v>9961.1569999999992</v>
      </c>
      <c r="K13" s="92">
        <v>11290.847</v>
      </c>
      <c r="L13" s="74">
        <v>26353.984</v>
      </c>
      <c r="M13" s="74">
        <v>35671.885999999999</v>
      </c>
      <c r="N13" s="74">
        <v>39812</v>
      </c>
      <c r="O13" s="74">
        <v>41047</v>
      </c>
      <c r="P13" s="74">
        <v>51588</v>
      </c>
      <c r="Q13" s="74">
        <f ca="1">quarterly!F13</f>
        <v>60799.520130570105</v>
      </c>
      <c r="R13" s="74">
        <f ca="1">quarterly!K13</f>
        <v>75064.652000000002</v>
      </c>
      <c r="S13" s="74">
        <f ca="1">quarterly!P13</f>
        <v>75828.32690438295</v>
      </c>
    </row>
    <row r="14" spans="1:51">
      <c r="A14" s="95" t="s">
        <v>422</v>
      </c>
      <c r="B14" s="94">
        <v>9191.0709999999999</v>
      </c>
      <c r="C14" s="93">
        <v>14019.741</v>
      </c>
      <c r="D14" s="93">
        <v>40595.451999999997</v>
      </c>
      <c r="E14" s="74">
        <v>104834.617</v>
      </c>
      <c r="F14" s="74">
        <v>165667.49600000001</v>
      </c>
      <c r="G14" s="74">
        <v>181348.486</v>
      </c>
      <c r="H14" s="74">
        <v>223390.054</v>
      </c>
      <c r="I14" s="74">
        <v>195552.43100000001</v>
      </c>
      <c r="J14" s="92">
        <v>174685.63399999999</v>
      </c>
      <c r="K14" s="92">
        <v>161773.97399999999</v>
      </c>
      <c r="L14" s="74">
        <v>140644.19899999999</v>
      </c>
      <c r="M14" s="74">
        <v>174638.02600000001</v>
      </c>
      <c r="N14" s="74">
        <v>205263</v>
      </c>
      <c r="O14" s="74">
        <v>206288</v>
      </c>
      <c r="P14" s="74">
        <v>209563</v>
      </c>
      <c r="Q14" s="74">
        <f ca="1">quarterly!F14</f>
        <v>240041.91</v>
      </c>
      <c r="R14" s="74">
        <f ca="1">quarterly!K14</f>
        <v>291383.15000000002</v>
      </c>
      <c r="S14" s="74">
        <f ca="1">quarterly!P14</f>
        <v>321857.91379999998</v>
      </c>
    </row>
    <row r="15" spans="1:51">
      <c r="A15" s="96" t="s">
        <v>421</v>
      </c>
      <c r="B15" s="94">
        <v>371.577</v>
      </c>
      <c r="C15" s="93">
        <v>318.34300000000002</v>
      </c>
      <c r="D15" s="93">
        <v>465.58600000000001</v>
      </c>
      <c r="E15" s="74">
        <v>1248.431</v>
      </c>
      <c r="F15" s="74">
        <v>1177.74</v>
      </c>
      <c r="G15" s="74">
        <v>1833.8451499999999</v>
      </c>
      <c r="H15" s="74">
        <v>1857.99</v>
      </c>
      <c r="I15" s="74">
        <v>1985.07</v>
      </c>
      <c r="J15" s="92">
        <v>1376.528</v>
      </c>
      <c r="K15" s="92">
        <v>1489.5139999999999</v>
      </c>
      <c r="L15" s="74">
        <v>1515.777</v>
      </c>
      <c r="M15" s="74">
        <v>10660.073</v>
      </c>
      <c r="N15" s="74">
        <v>8857</v>
      </c>
      <c r="O15" s="74">
        <v>4629</v>
      </c>
      <c r="P15" s="74">
        <v>5991</v>
      </c>
      <c r="Q15" s="74">
        <f ca="1">quarterly!F15</f>
        <v>5532.487000000001</v>
      </c>
      <c r="R15" s="74">
        <f ca="1">quarterly!K15</f>
        <v>3413.779</v>
      </c>
      <c r="S15" s="74">
        <f ca="1">quarterly!P15</f>
        <v>2842.8026960000002</v>
      </c>
    </row>
    <row r="16" spans="1:51">
      <c r="A16" s="96" t="s">
        <v>420</v>
      </c>
      <c r="B16" s="94">
        <v>284.89999999999998</v>
      </c>
      <c r="C16" s="93">
        <v>271.27999999999997</v>
      </c>
      <c r="D16" s="93">
        <v>462.149</v>
      </c>
      <c r="E16" s="74">
        <v>986.63800000000003</v>
      </c>
      <c r="F16" s="74">
        <v>2355.7359999999999</v>
      </c>
      <c r="G16" s="74">
        <v>0</v>
      </c>
      <c r="H16" s="74">
        <v>0</v>
      </c>
      <c r="I16" s="74">
        <v>0</v>
      </c>
      <c r="J16" s="92">
        <v>0</v>
      </c>
      <c r="K16" s="92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/>
    </row>
    <row r="17" spans="1:19" ht="24">
      <c r="A17" s="95" t="s">
        <v>419</v>
      </c>
      <c r="B17" s="94">
        <v>533.29999999999995</v>
      </c>
      <c r="C17" s="93">
        <v>345.58600000000001</v>
      </c>
      <c r="D17" s="93">
        <v>360.43299999999999</v>
      </c>
      <c r="E17" s="74">
        <v>678.08699999999999</v>
      </c>
      <c r="F17" s="74">
        <v>746.26400000000001</v>
      </c>
      <c r="G17" s="74">
        <v>0</v>
      </c>
      <c r="H17" s="74">
        <v>0</v>
      </c>
      <c r="I17" s="74">
        <v>0</v>
      </c>
      <c r="J17" s="92">
        <v>0</v>
      </c>
      <c r="K17" s="92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/>
    </row>
    <row r="18" spans="1:19" ht="16.5" customHeight="1">
      <c r="A18" s="89" t="s">
        <v>418</v>
      </c>
      <c r="B18" s="88">
        <v>94341.323999999993</v>
      </c>
      <c r="C18" s="86">
        <v>97070.558000000005</v>
      </c>
      <c r="D18" s="86">
        <v>207109.22500000001</v>
      </c>
      <c r="E18" s="64">
        <v>270901.58399999997</v>
      </c>
      <c r="F18" s="64">
        <v>304603.174</v>
      </c>
      <c r="G18" s="64">
        <v>353826.74200000003</v>
      </c>
      <c r="H18" s="64">
        <v>694519.85699999996</v>
      </c>
      <c r="I18" s="64">
        <v>904238.41500000004</v>
      </c>
      <c r="J18" s="87">
        <v>1424545.8910000001</v>
      </c>
      <c r="K18" s="87">
        <v>1720654.649</v>
      </c>
      <c r="L18" s="87">
        <v>1892609.466</v>
      </c>
      <c r="M18" s="64">
        <v>1565665.8370000001</v>
      </c>
      <c r="N18" s="86">
        <v>1847411.66</v>
      </c>
      <c r="O18" s="86">
        <v>2022819</v>
      </c>
      <c r="P18" s="86">
        <v>1846359</v>
      </c>
      <c r="Q18" s="86">
        <f ca="1">quarterly!F16</f>
        <v>2046156.3680401037</v>
      </c>
      <c r="R18" s="86">
        <f ca="1">quarterly!K16</f>
        <v>2473758.0510000004</v>
      </c>
      <c r="S18" s="86">
        <f ca="1">quarterly!P16</f>
        <v>2520878.5359214032</v>
      </c>
    </row>
    <row r="19" spans="1:19">
      <c r="A19" s="96" t="s">
        <v>417</v>
      </c>
      <c r="B19" s="88"/>
      <c r="C19" s="86"/>
      <c r="D19" s="86"/>
      <c r="E19" s="64"/>
      <c r="F19" s="64"/>
      <c r="G19" s="64"/>
      <c r="H19" s="64"/>
      <c r="I19" s="64"/>
      <c r="J19" s="87"/>
      <c r="K19" s="87"/>
      <c r="L19" s="64"/>
      <c r="M19" s="74"/>
      <c r="N19" s="74"/>
      <c r="O19" s="74"/>
      <c r="P19" s="74"/>
      <c r="Q19" s="86">
        <f ca="1">quarterly!F17</f>
        <v>0</v>
      </c>
      <c r="R19" s="86">
        <f ca="1">quarterly!K17</f>
        <v>0</v>
      </c>
      <c r="S19" s="86">
        <f ca="1">quarterly!P17</f>
        <v>0</v>
      </c>
    </row>
    <row r="20" spans="1:19">
      <c r="A20" s="95" t="s">
        <v>416</v>
      </c>
      <c r="B20" s="94">
        <v>5629.7309999999998</v>
      </c>
      <c r="C20" s="93">
        <v>8157.94</v>
      </c>
      <c r="D20" s="93">
        <v>21402.231</v>
      </c>
      <c r="E20" s="74">
        <v>35241.639000000003</v>
      </c>
      <c r="F20" s="74">
        <v>62129.457999999999</v>
      </c>
      <c r="G20" s="74">
        <v>88635.33</v>
      </c>
      <c r="H20" s="74">
        <v>310803.76199999999</v>
      </c>
      <c r="I20" s="74">
        <v>310745.10700000002</v>
      </c>
      <c r="J20" s="92">
        <v>435125.98</v>
      </c>
      <c r="K20" s="92">
        <v>611812.27800000005</v>
      </c>
      <c r="L20" s="74">
        <v>802222.22400000005</v>
      </c>
      <c r="M20" s="74">
        <v>1030759.951</v>
      </c>
      <c r="N20" s="74">
        <v>1234339.3160000001</v>
      </c>
      <c r="O20" s="74">
        <v>1251122</v>
      </c>
      <c r="P20" s="74">
        <v>1168540</v>
      </c>
      <c r="Q20" s="74">
        <f ca="1">quarterly!F18</f>
        <v>1136684.9660401037</v>
      </c>
      <c r="R20" s="74">
        <f ca="1">quarterly!K18</f>
        <v>1135763.4029999999</v>
      </c>
      <c r="S20" s="74">
        <f ca="1">quarterly!P18</f>
        <v>1008652.3117962772</v>
      </c>
    </row>
    <row r="21" spans="1:19">
      <c r="A21" s="95" t="s">
        <v>415</v>
      </c>
      <c r="B21" s="94">
        <v>32015.042000000001</v>
      </c>
      <c r="C21" s="93">
        <v>38554.659</v>
      </c>
      <c r="D21" s="93">
        <v>68936.065000000002</v>
      </c>
      <c r="E21" s="74">
        <v>70532.410999999993</v>
      </c>
      <c r="F21" s="74">
        <v>47638.377999999997</v>
      </c>
      <c r="G21" s="74">
        <v>67954.725000000006</v>
      </c>
      <c r="H21" s="74">
        <v>97204.46</v>
      </c>
      <c r="I21" s="74">
        <v>119048.505</v>
      </c>
      <c r="J21" s="92">
        <v>140244.83100000001</v>
      </c>
      <c r="K21" s="92">
        <v>187807.68</v>
      </c>
      <c r="L21" s="74">
        <v>268193.63900000002</v>
      </c>
      <c r="M21" s="74">
        <v>343074.701</v>
      </c>
      <c r="N21" s="74">
        <v>451543.2</v>
      </c>
      <c r="O21" s="74">
        <v>558077</v>
      </c>
      <c r="P21" s="74">
        <v>538237</v>
      </c>
      <c r="Q21" s="74">
        <f ca="1">quarterly!F19</f>
        <v>660467.19999999995</v>
      </c>
      <c r="R21" s="74">
        <f ca="1">quarterly!K19</f>
        <v>850213.99800000002</v>
      </c>
      <c r="S21" s="74">
        <f ca="1">quarterly!P19</f>
        <v>955369.93189861614</v>
      </c>
    </row>
    <row r="22" spans="1:19" ht="24">
      <c r="A22" s="95" t="s">
        <v>414</v>
      </c>
      <c r="B22" s="94">
        <v>50478.095999999998</v>
      </c>
      <c r="C22" s="93">
        <v>40264.428999999996</v>
      </c>
      <c r="D22" s="93">
        <v>98823.995999999999</v>
      </c>
      <c r="E22" s="74">
        <v>142349.45699999999</v>
      </c>
      <c r="F22" s="74">
        <v>153376.247</v>
      </c>
      <c r="G22" s="74">
        <v>119943.177</v>
      </c>
      <c r="H22" s="74">
        <v>176562.34599999999</v>
      </c>
      <c r="I22" s="74">
        <v>324355.94300000003</v>
      </c>
      <c r="J22" s="92">
        <v>630351.93299999996</v>
      </c>
      <c r="K22" s="92">
        <v>516265.81800000003</v>
      </c>
      <c r="L22" s="74">
        <v>224227.97200000001</v>
      </c>
      <c r="M22" s="74">
        <v>138282.60800000001</v>
      </c>
      <c r="N22" s="74">
        <v>96340.062000000005</v>
      </c>
      <c r="O22" s="74">
        <v>101469.663</v>
      </c>
      <c r="P22" s="74">
        <v>118642</v>
      </c>
      <c r="Q22" s="74">
        <f ca="1">quarterly!F20</f>
        <v>226984.696</v>
      </c>
      <c r="R22" s="74">
        <f ca="1">quarterly!K20</f>
        <v>479080.21399999998</v>
      </c>
      <c r="S22" s="74">
        <f ca="1">quarterly!P20</f>
        <v>549076.66744365147</v>
      </c>
    </row>
    <row r="23" spans="1:19" ht="24" customHeight="1">
      <c r="A23" s="95" t="s">
        <v>413</v>
      </c>
      <c r="B23" s="94">
        <v>1034.1310000000001</v>
      </c>
      <c r="C23" s="93">
        <v>1980.838</v>
      </c>
      <c r="D23" s="93">
        <v>2269.63</v>
      </c>
      <c r="E23" s="74">
        <v>6583.2150000000001</v>
      </c>
      <c r="F23" s="74">
        <v>6656.0519999999997</v>
      </c>
      <c r="G23" s="74">
        <v>15385.01</v>
      </c>
      <c r="H23" s="74">
        <v>17496.580000000002</v>
      </c>
      <c r="I23" s="74">
        <v>20891.856</v>
      </c>
      <c r="J23" s="92">
        <v>25177.34</v>
      </c>
      <c r="K23" s="92">
        <v>44880.711000000003</v>
      </c>
      <c r="L23" s="74">
        <v>46863.917999999998</v>
      </c>
      <c r="M23" s="74">
        <v>53548.576999999997</v>
      </c>
      <c r="N23" s="74">
        <v>64457.635000000002</v>
      </c>
      <c r="O23" s="74">
        <v>110988.147</v>
      </c>
      <c r="P23" s="74">
        <v>19428</v>
      </c>
      <c r="Q23" s="74">
        <f ca="1">quarterly!F21</f>
        <v>11041.678</v>
      </c>
      <c r="R23" s="74">
        <f ca="1">quarterly!K21</f>
        <v>8700.4359999999997</v>
      </c>
      <c r="S23" s="74">
        <f ca="1">quarterly!P21</f>
        <v>7779.624782858682</v>
      </c>
    </row>
    <row r="24" spans="1:19" ht="18" customHeight="1">
      <c r="A24" s="95" t="s">
        <v>412</v>
      </c>
      <c r="B24" s="94">
        <v>5184.3239999999996</v>
      </c>
      <c r="C24" s="93">
        <v>8112.692</v>
      </c>
      <c r="D24" s="93">
        <v>15677.303</v>
      </c>
      <c r="E24" s="74">
        <v>16194.861999999999</v>
      </c>
      <c r="F24" s="74">
        <v>34803.038999999997</v>
      </c>
      <c r="G24" s="74">
        <v>61908.5</v>
      </c>
      <c r="H24" s="74">
        <v>92452.709000000003</v>
      </c>
      <c r="I24" s="74">
        <v>129197.004</v>
      </c>
      <c r="J24" s="92">
        <v>193645.807</v>
      </c>
      <c r="K24" s="92">
        <v>359888.16200000001</v>
      </c>
      <c r="L24" s="74">
        <v>551101.71299999999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</row>
    <row r="25" spans="1:19" ht="27.75" customHeight="1">
      <c r="A25" s="534" t="s">
        <v>560</v>
      </c>
      <c r="B25" s="94"/>
      <c r="C25" s="93"/>
      <c r="D25" s="93"/>
      <c r="E25" s="74"/>
      <c r="F25" s="74"/>
      <c r="G25" s="74"/>
      <c r="H25" s="74"/>
      <c r="I25" s="74"/>
      <c r="J25" s="92"/>
      <c r="K25" s="92"/>
      <c r="L25" s="74"/>
      <c r="M25" s="536">
        <f ca="1">сбережения!E22*1000</f>
        <v>566015</v>
      </c>
      <c r="N25" s="536">
        <f ca="1">сбережения!F22*1000</f>
        <v>686466.29999999993</v>
      </c>
      <c r="O25" s="536">
        <f ca="1">сбережения!G22*1000</f>
        <v>845153.81868258887</v>
      </c>
      <c r="P25" s="536">
        <f ca="1">сбережения!H22*1000</f>
        <v>1021429.6154423568</v>
      </c>
      <c r="Q25" s="536">
        <f ca="1">сбережения!I22*1000</f>
        <v>1134213.2875970211</v>
      </c>
      <c r="R25" s="536">
        <f ca="1">сбережения!J22*1000</f>
        <v>1208068.4773110675</v>
      </c>
      <c r="S25" s="536">
        <f ca="1">сбережения!K22*1000</f>
        <v>1303202.175833496</v>
      </c>
    </row>
    <row r="26" spans="1:19" ht="25.5" customHeight="1">
      <c r="A26" s="96" t="s">
        <v>411</v>
      </c>
      <c r="B26" s="94">
        <v>0</v>
      </c>
      <c r="C26" s="93">
        <v>0</v>
      </c>
      <c r="D26" s="93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731</v>
      </c>
      <c r="O26" s="74">
        <v>1162</v>
      </c>
      <c r="P26" s="74">
        <v>1512</v>
      </c>
      <c r="Q26" s="74">
        <f ca="1">quarterly!F22</f>
        <v>2013.87</v>
      </c>
      <c r="R26" s="74" t="str">
        <f ca="1">quarterly!K22</f>
        <v>х</v>
      </c>
      <c r="S26" s="74" t="str">
        <f ca="1">quarterly!P22</f>
        <v>х</v>
      </c>
    </row>
    <row r="27" spans="1:19" ht="25.5" customHeight="1">
      <c r="A27" s="96" t="s">
        <v>410</v>
      </c>
      <c r="B27" s="94"/>
      <c r="C27" s="93"/>
      <c r="D27" s="9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>
        <f ca="1">quarterly!F23</f>
        <v>8963.9580000000005</v>
      </c>
      <c r="R27" s="74" t="str">
        <f ca="1">quarterly!K23</f>
        <v>х</v>
      </c>
      <c r="S27" s="74" t="str">
        <f ca="1">quarterly!P23</f>
        <v>х</v>
      </c>
    </row>
    <row r="28" spans="1:19" ht="24">
      <c r="A28" s="91" t="s">
        <v>409</v>
      </c>
      <c r="B28" s="88">
        <v>147052.473</v>
      </c>
      <c r="C28" s="86">
        <v>132057.40700000001</v>
      </c>
      <c r="D28" s="86">
        <v>172598.9</v>
      </c>
      <c r="E28" s="64">
        <v>190590.8</v>
      </c>
      <c r="F28" s="64">
        <v>223114.4</v>
      </c>
      <c r="G28" s="64">
        <v>238347.261</v>
      </c>
      <c r="H28" s="64">
        <v>542276.61199999996</v>
      </c>
      <c r="I28" s="64">
        <v>585616.54200000002</v>
      </c>
      <c r="J28" s="87">
        <v>601359.84199999995</v>
      </c>
      <c r="K28" s="87">
        <v>953936.89</v>
      </c>
      <c r="L28" s="64">
        <v>992133.05500000005</v>
      </c>
      <c r="M28" s="64">
        <v>714405.24800000002</v>
      </c>
      <c r="N28" s="86">
        <v>1056283</v>
      </c>
      <c r="O28" s="86">
        <v>977923</v>
      </c>
      <c r="P28" s="86">
        <v>949962</v>
      </c>
      <c r="Q28" s="86">
        <f ca="1">quarterly!F24</f>
        <v>983789.44500000007</v>
      </c>
      <c r="R28" s="86">
        <f ca="1">quarterly!K24</f>
        <v>1092042.953</v>
      </c>
      <c r="S28" s="86">
        <f ca="1">quarterly!P24</f>
        <v>1190841.051</v>
      </c>
    </row>
    <row r="29" spans="1:19" ht="24">
      <c r="A29" s="91" t="s">
        <v>408</v>
      </c>
      <c r="B29" s="88">
        <v>0</v>
      </c>
      <c r="C29" s="88">
        <v>0</v>
      </c>
      <c r="D29" s="86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86">
        <v>29818</v>
      </c>
      <c r="O29" s="86">
        <v>50004</v>
      </c>
      <c r="P29" s="86">
        <v>78587</v>
      </c>
      <c r="Q29" s="86">
        <f ca="1">quarterly!F25</f>
        <v>92503.396999999997</v>
      </c>
      <c r="R29" s="86">
        <f ca="1">quarterly!K25</f>
        <v>92010.762000000002</v>
      </c>
      <c r="S29" s="86">
        <f ca="1">quarterly!P25</f>
        <v>96943.547943373109</v>
      </c>
    </row>
    <row r="30" spans="1:19" ht="17.25" customHeight="1">
      <c r="A30" s="89" t="s">
        <v>407</v>
      </c>
      <c r="B30" s="88">
        <v>0</v>
      </c>
      <c r="C30" s="88">
        <v>0</v>
      </c>
      <c r="D30" s="86">
        <v>0</v>
      </c>
      <c r="E30" s="64">
        <v>0</v>
      </c>
      <c r="F30" s="64">
        <v>0</v>
      </c>
      <c r="G30" s="64">
        <v>0</v>
      </c>
      <c r="H30" s="64">
        <v>0</v>
      </c>
      <c r="I30" s="86">
        <v>0</v>
      </c>
      <c r="J30" s="87">
        <v>0</v>
      </c>
      <c r="K30" s="87">
        <v>0</v>
      </c>
      <c r="L30" s="64">
        <v>0</v>
      </c>
      <c r="M30" s="64">
        <v>0</v>
      </c>
      <c r="N30" s="64">
        <v>0</v>
      </c>
      <c r="O30" s="86">
        <v>0</v>
      </c>
      <c r="P30" s="86">
        <v>0</v>
      </c>
      <c r="Q30" s="86">
        <f ca="1">quarterly!F26</f>
        <v>0</v>
      </c>
      <c r="R30" s="86">
        <f ca="1">quarterly!K26</f>
        <v>0</v>
      </c>
      <c r="S30" s="86">
        <f ca="1">quarterly!P26</f>
        <v>0</v>
      </c>
    </row>
    <row r="31" spans="1:19" ht="16.5" customHeight="1">
      <c r="A31" s="91" t="s">
        <v>406</v>
      </c>
      <c r="B31" s="88">
        <v>299433.78200000001</v>
      </c>
      <c r="C31" s="86">
        <v>354187.08</v>
      </c>
      <c r="D31" s="86">
        <v>715769.11699999997</v>
      </c>
      <c r="E31" s="64">
        <v>818990.86399999994</v>
      </c>
      <c r="F31" s="64">
        <v>1159625.5986999997</v>
      </c>
      <c r="G31" s="64">
        <v>1455904.6050948633</v>
      </c>
      <c r="H31" s="64">
        <v>1684968.4680000001</v>
      </c>
      <c r="I31" s="64">
        <v>2371267</v>
      </c>
      <c r="J31" s="87">
        <v>2988280.9610000001</v>
      </c>
      <c r="K31" s="87">
        <v>3794395</v>
      </c>
      <c r="L31" s="87">
        <v>4999090</v>
      </c>
      <c r="M31" s="64">
        <v>5781025</v>
      </c>
      <c r="N31" s="86">
        <v>7063920</v>
      </c>
      <c r="O31" s="86">
        <v>7726041</v>
      </c>
      <c r="P31" s="86">
        <v>8796880</v>
      </c>
      <c r="Q31" s="86">
        <f ca="1">quarterly!F27</f>
        <v>9250950.5722278841</v>
      </c>
      <c r="R31" s="86">
        <f ca="1">quarterly!K27</f>
        <v>10361071.118000006</v>
      </c>
      <c r="S31" s="86">
        <f ca="1">quarterly!P27</f>
        <v>11899786.684178941</v>
      </c>
    </row>
    <row r="32" spans="1:19">
      <c r="A32" s="89" t="s">
        <v>405</v>
      </c>
      <c r="B32" s="88">
        <v>1656405.0719999999</v>
      </c>
      <c r="C32" s="86">
        <v>1776032.351</v>
      </c>
      <c r="D32" s="86">
        <v>2908068.8229999999</v>
      </c>
      <c r="E32" s="64">
        <v>3983942.4219999998</v>
      </c>
      <c r="F32" s="64">
        <v>5325795.3756999997</v>
      </c>
      <c r="G32" s="64">
        <v>6831035.771244863</v>
      </c>
      <c r="H32" s="64">
        <v>8900528.6600000001</v>
      </c>
      <c r="I32" s="64">
        <v>10976249</v>
      </c>
      <c r="J32" s="87">
        <v>13818974.655999999</v>
      </c>
      <c r="K32" s="90">
        <v>17290064.743999999</v>
      </c>
      <c r="L32" s="90">
        <v>21311451.817000002</v>
      </c>
      <c r="M32" s="64">
        <v>25244047</v>
      </c>
      <c r="N32" s="86">
        <v>28697484</v>
      </c>
      <c r="O32" s="86">
        <v>32498284</v>
      </c>
      <c r="P32" s="86">
        <v>35648674</v>
      </c>
      <c r="Q32" s="86">
        <f ca="1">quarterly!F28</f>
        <v>39903672.088999994</v>
      </c>
      <c r="R32" s="86">
        <f ca="1">quarterly!K28</f>
        <v>44650448.554000005</v>
      </c>
      <c r="S32" s="86">
        <f ca="1">quarterly!P28</f>
        <v>47900334.643762581</v>
      </c>
    </row>
    <row r="33" spans="1:19" ht="24">
      <c r="A33" s="89" t="s">
        <v>404</v>
      </c>
      <c r="B33" s="88">
        <v>0</v>
      </c>
      <c r="C33" s="86">
        <v>0</v>
      </c>
      <c r="D33" s="86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87">
        <v>0</v>
      </c>
      <c r="K33" s="87">
        <v>0</v>
      </c>
      <c r="L33" s="64">
        <v>0</v>
      </c>
      <c r="M33" s="64">
        <v>0</v>
      </c>
      <c r="N33" s="64">
        <v>0</v>
      </c>
      <c r="O33" s="86">
        <v>0</v>
      </c>
      <c r="P33" s="86">
        <v>0</v>
      </c>
      <c r="Q33" s="86">
        <f ca="1">quarterly!F29</f>
        <v>0</v>
      </c>
      <c r="R33" s="86">
        <f ca="1">quarterly!K29</f>
        <v>0</v>
      </c>
      <c r="S33" s="86">
        <f ca="1">quarterly!P29</f>
        <v>0</v>
      </c>
    </row>
    <row r="34" spans="1:19" ht="15" customHeight="1">
      <c r="A34" s="89" t="s">
        <v>403</v>
      </c>
      <c r="B34" s="88">
        <v>1656405.0719999999</v>
      </c>
      <c r="C34" s="86">
        <v>1776032.351</v>
      </c>
      <c r="D34" s="86">
        <v>2908068.8229999999</v>
      </c>
      <c r="E34" s="64">
        <v>3983942.4219999998</v>
      </c>
      <c r="F34" s="64">
        <v>5325795.3756999997</v>
      </c>
      <c r="G34" s="64">
        <v>6831035.771244863</v>
      </c>
      <c r="H34" s="64">
        <v>8900528.6600000001</v>
      </c>
      <c r="I34" s="64">
        <v>10976249</v>
      </c>
      <c r="J34" s="87">
        <v>13818974.655999999</v>
      </c>
      <c r="K34" s="90">
        <v>17290064.743999999</v>
      </c>
      <c r="L34" s="90">
        <v>21311451.817000002</v>
      </c>
      <c r="M34" s="64">
        <v>25244047</v>
      </c>
      <c r="N34" s="86">
        <v>28697484</v>
      </c>
      <c r="O34" s="86">
        <v>32498284</v>
      </c>
      <c r="P34" s="86">
        <v>35648674</v>
      </c>
      <c r="Q34" s="86">
        <f ca="1">quarterly!F30</f>
        <v>39903672.088999994</v>
      </c>
      <c r="R34" s="86">
        <f ca="1">quarterly!K30</f>
        <v>44650448.554000005</v>
      </c>
      <c r="S34" s="86">
        <f ca="1">quarterly!P30</f>
        <v>47900334.643762581</v>
      </c>
    </row>
    <row r="35" spans="1:19" ht="15" customHeight="1">
      <c r="A35" s="533" t="s">
        <v>559</v>
      </c>
      <c r="B35" s="88"/>
      <c r="C35" s="86"/>
      <c r="D35" s="86"/>
      <c r="E35" s="64"/>
      <c r="F35" s="64"/>
      <c r="G35" s="64"/>
      <c r="H35" s="64"/>
      <c r="I35" s="64"/>
      <c r="J35" s="87"/>
      <c r="K35" s="90"/>
      <c r="L35" s="90">
        <f t="shared" ref="L35:S35" si="0">L30+L29+L31</f>
        <v>4999090</v>
      </c>
      <c r="M35" s="90">
        <f t="shared" si="0"/>
        <v>5781025</v>
      </c>
      <c r="N35" s="90">
        <f t="shared" si="0"/>
        <v>7093738</v>
      </c>
      <c r="O35" s="90">
        <f t="shared" si="0"/>
        <v>7776045</v>
      </c>
      <c r="P35" s="90">
        <f t="shared" si="0"/>
        <v>8875467</v>
      </c>
      <c r="Q35" s="90">
        <f t="shared" si="0"/>
        <v>9343453.969227884</v>
      </c>
      <c r="R35" s="90">
        <f t="shared" si="0"/>
        <v>10453081.880000006</v>
      </c>
      <c r="S35" s="90">
        <f t="shared" si="0"/>
        <v>11996730.232122313</v>
      </c>
    </row>
    <row r="36" spans="1:19" ht="15" customHeight="1" thickBot="1">
      <c r="A36" s="532"/>
      <c r="B36" s="88"/>
      <c r="C36" s="86"/>
      <c r="D36" s="86"/>
      <c r="E36" s="64"/>
      <c r="F36" s="64"/>
      <c r="G36" s="64"/>
      <c r="H36" s="64"/>
      <c r="I36" s="64"/>
      <c r="J36" s="87"/>
      <c r="K36" s="90"/>
      <c r="L36" s="90"/>
      <c r="M36" s="64"/>
      <c r="N36" s="86"/>
      <c r="O36" s="86"/>
      <c r="P36" s="86"/>
      <c r="Q36" s="86"/>
      <c r="R36" s="85"/>
      <c r="S36" s="85"/>
    </row>
    <row r="37" spans="1:19" ht="14.25" customHeight="1" thickBot="1">
      <c r="A37" s="108" t="s">
        <v>402</v>
      </c>
      <c r="B37" s="101">
        <v>1997</v>
      </c>
      <c r="C37" s="107">
        <v>1998</v>
      </c>
      <c r="D37" s="105">
        <v>1999</v>
      </c>
      <c r="E37" s="105">
        <v>2000</v>
      </c>
      <c r="F37" s="105">
        <v>2001</v>
      </c>
      <c r="G37" s="105">
        <v>2002</v>
      </c>
      <c r="H37" s="106">
        <v>2003</v>
      </c>
      <c r="I37" s="105">
        <v>2004</v>
      </c>
      <c r="J37" s="106">
        <v>2005</v>
      </c>
      <c r="K37" s="105">
        <v>2006</v>
      </c>
      <c r="L37" s="104">
        <v>2007</v>
      </c>
      <c r="M37" s="103">
        <v>2008</v>
      </c>
      <c r="N37" s="102">
        <v>2009</v>
      </c>
      <c r="O37" s="101">
        <v>2010</v>
      </c>
      <c r="P37" s="101">
        <v>2011</v>
      </c>
      <c r="Q37" s="100">
        <v>2012</v>
      </c>
      <c r="R37" s="99">
        <v>2013</v>
      </c>
      <c r="S37" s="99"/>
    </row>
    <row r="38" spans="1:19" ht="18" customHeight="1">
      <c r="A38" s="91" t="s">
        <v>401</v>
      </c>
      <c r="B38" s="88">
        <v>1138122.879</v>
      </c>
      <c r="C38" s="86">
        <v>1380321.3540000001</v>
      </c>
      <c r="D38" s="86">
        <v>2281176.62</v>
      </c>
      <c r="E38" s="64">
        <v>3009423.8930000002</v>
      </c>
      <c r="F38" s="64">
        <v>3972806.2620000001</v>
      </c>
      <c r="G38" s="64">
        <v>5001773.557</v>
      </c>
      <c r="H38" s="64">
        <v>6147256.7319999998</v>
      </c>
      <c r="I38" s="87">
        <v>7670681</v>
      </c>
      <c r="J38" s="87">
        <v>9613839.8570000008</v>
      </c>
      <c r="K38" s="90">
        <v>11927592.005999999</v>
      </c>
      <c r="L38" s="90">
        <v>14831380.584000001</v>
      </c>
      <c r="M38" s="64">
        <v>18715755</v>
      </c>
      <c r="N38" s="86">
        <v>20034848</v>
      </c>
      <c r="O38" s="86">
        <v>22614427</v>
      </c>
      <c r="P38" s="86">
        <v>26185911</v>
      </c>
      <c r="Q38" s="86">
        <f ca="1">quarterly!F32</f>
        <v>29611177.830000002</v>
      </c>
      <c r="R38" s="86">
        <f ca="1">quarterly!K32</f>
        <v>32847905.899</v>
      </c>
      <c r="S38" s="86">
        <f ca="1">quarterly!P32</f>
        <v>35945338.522539996</v>
      </c>
    </row>
    <row r="39" spans="1:19">
      <c r="A39" s="96" t="s">
        <v>398</v>
      </c>
      <c r="B39" s="88"/>
      <c r="C39" s="86"/>
      <c r="D39" s="86"/>
      <c r="E39" s="74"/>
      <c r="F39" s="74"/>
      <c r="G39" s="74"/>
      <c r="H39" s="74"/>
      <c r="I39" s="64"/>
      <c r="J39" s="87"/>
      <c r="K39" s="87"/>
      <c r="L39" s="74"/>
      <c r="M39" s="74"/>
      <c r="N39" s="74"/>
      <c r="O39" s="74"/>
      <c r="P39" s="74"/>
      <c r="Q39" s="86"/>
      <c r="R39" s="86"/>
      <c r="S39" s="86"/>
    </row>
    <row r="40" spans="1:19">
      <c r="A40" s="96" t="s">
        <v>400</v>
      </c>
      <c r="B40" s="94">
        <v>883638.82400000002</v>
      </c>
      <c r="C40" s="93">
        <v>1088020.152</v>
      </c>
      <c r="D40" s="93">
        <v>1857150.0649999999</v>
      </c>
      <c r="E40" s="74">
        <v>2433604.9670000002</v>
      </c>
      <c r="F40" s="74">
        <v>3183731.4219999998</v>
      </c>
      <c r="G40" s="74">
        <v>3913718.34</v>
      </c>
      <c r="H40" s="74">
        <v>4716587.9819999998</v>
      </c>
      <c r="I40" s="74">
        <v>5880946.2999999998</v>
      </c>
      <c r="J40" s="92">
        <v>7342107.1100000003</v>
      </c>
      <c r="K40" s="92">
        <v>9128691.1060000006</v>
      </c>
      <c r="L40" s="97">
        <v>11401484.607999999</v>
      </c>
      <c r="M40" s="74">
        <v>14642688</v>
      </c>
      <c r="N40" s="74">
        <v>15261788</v>
      </c>
      <c r="O40" s="74">
        <v>17296610</v>
      </c>
      <c r="P40" s="74">
        <v>20116097</v>
      </c>
      <c r="Q40" s="93">
        <f ca="1">quarterly!F34</f>
        <v>22541074.5</v>
      </c>
      <c r="R40" s="93">
        <f ca="1">quarterly!K34</f>
        <v>24937990.162</v>
      </c>
      <c r="S40" s="93">
        <f ca="1">quarterly!P34</f>
        <v>27522537.799999997</v>
      </c>
    </row>
    <row r="41" spans="1:19">
      <c r="A41" s="96" t="s">
        <v>399</v>
      </c>
      <c r="B41" s="94">
        <v>254484.05499999999</v>
      </c>
      <c r="C41" s="93">
        <v>292301.20199999999</v>
      </c>
      <c r="D41" s="93">
        <v>424026.55499999999</v>
      </c>
      <c r="E41" s="74">
        <v>575818.92599999998</v>
      </c>
      <c r="F41" s="74">
        <v>789074.84</v>
      </c>
      <c r="G41" s="74">
        <v>1088055.2169999999</v>
      </c>
      <c r="H41" s="74">
        <v>1430668.75</v>
      </c>
      <c r="I41" s="74">
        <v>1789735</v>
      </c>
      <c r="J41" s="92">
        <v>2271732.747</v>
      </c>
      <c r="K41" s="98">
        <v>2798900.9</v>
      </c>
      <c r="L41" s="74">
        <v>3429895.9759999998</v>
      </c>
      <c r="M41" s="74">
        <v>4073067</v>
      </c>
      <c r="N41" s="74">
        <v>4496043</v>
      </c>
      <c r="O41" s="74">
        <v>4943482</v>
      </c>
      <c r="P41" s="74">
        <v>5540168</v>
      </c>
      <c r="Q41" s="93">
        <f ca="1">quarterly!F35</f>
        <v>6316855.5999999996</v>
      </c>
      <c r="R41" s="93">
        <f ca="1">quarterly!K35</f>
        <v>6927481.8140000002</v>
      </c>
      <c r="S41" s="93">
        <f ca="1">quarterly!P35</f>
        <v>7302335.3254999993</v>
      </c>
    </row>
    <row r="42" spans="1:19">
      <c r="A42" s="96" t="s">
        <v>398</v>
      </c>
      <c r="B42" s="94"/>
      <c r="C42" s="93">
        <v>0</v>
      </c>
      <c r="D42" s="93">
        <v>0</v>
      </c>
      <c r="E42" s="74"/>
      <c r="F42" s="74"/>
      <c r="G42" s="74"/>
      <c r="H42" s="74"/>
      <c r="I42" s="74"/>
      <c r="J42" s="87"/>
      <c r="K42" s="87"/>
      <c r="L42" s="74"/>
      <c r="M42" s="74"/>
      <c r="N42" s="74">
        <f ca="1">БДДРН!J52*1000</f>
        <v>84966</v>
      </c>
      <c r="O42" s="74"/>
      <c r="P42" s="74"/>
      <c r="Q42" s="93"/>
      <c r="R42" s="93"/>
      <c r="S42" s="93"/>
    </row>
    <row r="43" spans="1:19" ht="26.25" customHeight="1">
      <c r="A43" s="95" t="s">
        <v>397</v>
      </c>
      <c r="B43" s="94">
        <v>51736.898999999998</v>
      </c>
      <c r="C43" s="93">
        <v>64347.877999999997</v>
      </c>
      <c r="D43" s="93">
        <v>84840.34</v>
      </c>
      <c r="E43" s="74">
        <v>114219</v>
      </c>
      <c r="F43" s="74">
        <v>171587.93700000001</v>
      </c>
      <c r="G43" s="74">
        <v>254400.24100000001</v>
      </c>
      <c r="H43" s="74">
        <v>352575.103</v>
      </c>
      <c r="I43" s="74">
        <v>448535.15899999999</v>
      </c>
      <c r="J43" s="92">
        <v>607250.56000000006</v>
      </c>
      <c r="K43" s="92">
        <v>735364.88100000005</v>
      </c>
      <c r="L43" s="74">
        <v>879299.83</v>
      </c>
      <c r="M43" s="74">
        <v>1035653.051</v>
      </c>
      <c r="N43" s="74">
        <v>1225847</v>
      </c>
      <c r="O43" s="74">
        <v>1444808</v>
      </c>
      <c r="P43" s="74">
        <v>1662750</v>
      </c>
      <c r="Q43" s="74">
        <v>1775682.923</v>
      </c>
      <c r="R43" s="74">
        <v>2015331</v>
      </c>
      <c r="S43" s="74"/>
    </row>
    <row r="44" spans="1:19">
      <c r="A44" s="95" t="s">
        <v>396</v>
      </c>
      <c r="B44" s="94">
        <v>47200.951999999997</v>
      </c>
      <c r="C44" s="93">
        <v>51307.360999999997</v>
      </c>
      <c r="D44" s="93">
        <v>68813.388999999996</v>
      </c>
      <c r="E44" s="74">
        <v>86510</v>
      </c>
      <c r="F44" s="74">
        <v>108106.34600000001</v>
      </c>
      <c r="G44" s="74">
        <v>126871.811</v>
      </c>
      <c r="H44" s="74">
        <v>152581.73300000001</v>
      </c>
      <c r="I44" s="74">
        <v>188451.98</v>
      </c>
      <c r="J44" s="92">
        <v>228678.954</v>
      </c>
      <c r="K44" s="92">
        <v>277873.39899999998</v>
      </c>
      <c r="L44" s="74">
        <v>330828.51500000001</v>
      </c>
      <c r="M44" s="74">
        <v>405716.77799999999</v>
      </c>
      <c r="N44" s="74">
        <v>446593</v>
      </c>
      <c r="O44" s="74">
        <v>487178</v>
      </c>
      <c r="P44" s="74">
        <v>533294</v>
      </c>
      <c r="Q44" s="74">
        <v>595026.07299999997</v>
      </c>
      <c r="R44" s="74">
        <v>749519</v>
      </c>
      <c r="S44" s="74"/>
    </row>
    <row r="45" spans="1:19" ht="24">
      <c r="A45" s="95" t="s">
        <v>395</v>
      </c>
      <c r="B45" s="94">
        <v>10008.076999999999</v>
      </c>
      <c r="C45" s="93">
        <v>12457.755999999999</v>
      </c>
      <c r="D45" s="93">
        <v>27310.525000000001</v>
      </c>
      <c r="E45" s="74">
        <v>39898</v>
      </c>
      <c r="F45" s="74">
        <v>53561.868999999999</v>
      </c>
      <c r="G45" s="74">
        <v>72873.725000000006</v>
      </c>
      <c r="H45" s="74">
        <v>95428.346999999994</v>
      </c>
      <c r="I45" s="74">
        <v>122114.602</v>
      </c>
      <c r="J45" s="92">
        <v>152670.45600000001</v>
      </c>
      <c r="K45" s="92">
        <v>192716.49600000001</v>
      </c>
      <c r="L45" s="74">
        <v>241618.209</v>
      </c>
      <c r="M45" s="74">
        <v>287318.55300000001</v>
      </c>
      <c r="N45" s="74">
        <v>309837</v>
      </c>
      <c r="O45" s="74">
        <v>326100</v>
      </c>
      <c r="P45" s="74">
        <v>347350</v>
      </c>
      <c r="Q45" s="74">
        <v>378931.272</v>
      </c>
      <c r="R45" s="74">
        <v>449233</v>
      </c>
      <c r="S45" s="74"/>
    </row>
    <row r="46" spans="1:19" ht="24">
      <c r="A46" s="95" t="s">
        <v>394</v>
      </c>
      <c r="B46" s="94">
        <v>13766.584999999999</v>
      </c>
      <c r="C46" s="93">
        <v>21672.976999999999</v>
      </c>
      <c r="D46" s="93">
        <v>33506.409</v>
      </c>
      <c r="E46" s="74">
        <v>46115</v>
      </c>
      <c r="F46" s="74">
        <v>61078.521000000001</v>
      </c>
      <c r="G46" s="74">
        <v>91209.616999999998</v>
      </c>
      <c r="H46" s="74">
        <v>112097.11</v>
      </c>
      <c r="I46" s="74">
        <v>141356.06299999999</v>
      </c>
      <c r="J46" s="92">
        <v>179701.40100000001</v>
      </c>
      <c r="K46" s="92">
        <v>224665.23300000001</v>
      </c>
      <c r="L46" s="74">
        <v>275498.04399999999</v>
      </c>
      <c r="M46" s="74">
        <v>326548.54700000002</v>
      </c>
      <c r="N46" s="74">
        <v>362144</v>
      </c>
      <c r="O46" s="74">
        <v>410813</v>
      </c>
      <c r="P46" s="74">
        <v>467398</v>
      </c>
      <c r="Q46" s="74">
        <v>531062.11499999999</v>
      </c>
      <c r="R46" s="74">
        <v>646667</v>
      </c>
      <c r="S46" s="74"/>
    </row>
    <row r="47" spans="1:19" ht="24">
      <c r="A47" s="95" t="s">
        <v>393</v>
      </c>
      <c r="B47" s="94">
        <v>3482.28</v>
      </c>
      <c r="C47" s="93">
        <v>4552.25</v>
      </c>
      <c r="D47" s="93">
        <v>8131.8950000000004</v>
      </c>
      <c r="E47" s="74">
        <v>11890</v>
      </c>
      <c r="F47" s="74">
        <v>17733.278999999999</v>
      </c>
      <c r="G47" s="74">
        <v>26574.719000000001</v>
      </c>
      <c r="H47" s="74">
        <v>39562.571000000004</v>
      </c>
      <c r="I47" s="74">
        <v>53896.781999999999</v>
      </c>
      <c r="J47" s="92">
        <v>68093.364000000001</v>
      </c>
      <c r="K47" s="92">
        <v>78068.497000000003</v>
      </c>
      <c r="L47" s="74">
        <v>80334.278000000006</v>
      </c>
      <c r="M47" s="74">
        <v>92178.073000000004</v>
      </c>
      <c r="N47" s="74">
        <v>103651</v>
      </c>
      <c r="O47" s="74">
        <v>112019</v>
      </c>
      <c r="P47" s="74">
        <v>123425</v>
      </c>
      <c r="Q47" s="74">
        <v>136064.40700000001</v>
      </c>
      <c r="R47" s="74">
        <v>165254</v>
      </c>
      <c r="S47" s="74"/>
    </row>
    <row r="48" spans="1:19">
      <c r="A48" s="95" t="s">
        <v>392</v>
      </c>
      <c r="B48" s="94">
        <v>64469.006000000001</v>
      </c>
      <c r="C48" s="93">
        <v>68443.293000000005</v>
      </c>
      <c r="D48" s="93">
        <v>112382.00599999999</v>
      </c>
      <c r="E48" s="74">
        <v>151396.916</v>
      </c>
      <c r="F48" s="74">
        <v>204995.783</v>
      </c>
      <c r="G48" s="74">
        <v>263909.80300000001</v>
      </c>
      <c r="H48" s="74">
        <v>330454.413</v>
      </c>
      <c r="I48" s="74">
        <v>395902.34899999999</v>
      </c>
      <c r="J48" s="92">
        <v>487083.40899999999</v>
      </c>
      <c r="K48" s="92">
        <v>593255.43299999996</v>
      </c>
      <c r="L48" s="74">
        <v>719446.93900000001</v>
      </c>
      <c r="M48" s="74">
        <v>874176.076</v>
      </c>
      <c r="N48" s="74">
        <v>914770</v>
      </c>
      <c r="O48" s="74">
        <v>940545</v>
      </c>
      <c r="P48" s="74">
        <v>1067765</v>
      </c>
      <c r="Q48" s="74">
        <v>1182146.443</v>
      </c>
      <c r="R48" s="74">
        <v>1294712</v>
      </c>
      <c r="S48" s="74"/>
    </row>
    <row r="49" spans="1:22">
      <c r="A49" s="95" t="s">
        <v>391</v>
      </c>
      <c r="B49" s="94">
        <v>23145.912</v>
      </c>
      <c r="C49" s="93">
        <v>27885.455000000002</v>
      </c>
      <c r="D49" s="93">
        <v>43091.19</v>
      </c>
      <c r="E49" s="74">
        <v>65850</v>
      </c>
      <c r="F49" s="74">
        <v>95745.092000000004</v>
      </c>
      <c r="G49" s="74">
        <v>160831.38800000001</v>
      </c>
      <c r="H49" s="74">
        <v>239060.196</v>
      </c>
      <c r="I49" s="74">
        <v>314232.37400000001</v>
      </c>
      <c r="J49" s="92">
        <v>420277.11099999998</v>
      </c>
      <c r="K49" s="92">
        <v>519651.32900000003</v>
      </c>
      <c r="L49" s="74">
        <v>676486.63899999997</v>
      </c>
      <c r="M49" s="74">
        <v>798458</v>
      </c>
      <c r="N49" s="74">
        <v>871821</v>
      </c>
      <c r="O49" s="74">
        <v>950653</v>
      </c>
      <c r="P49" s="74">
        <v>1044376</v>
      </c>
      <c r="Q49" s="74">
        <v>1126642.8700000001</v>
      </c>
      <c r="R49" s="74">
        <v>1226545</v>
      </c>
      <c r="S49" s="74"/>
    </row>
    <row r="50" spans="1:22" ht="24">
      <c r="A50" s="95" t="s">
        <v>390</v>
      </c>
      <c r="B50" s="94"/>
      <c r="C50" s="93"/>
      <c r="D50" s="93"/>
      <c r="E50" s="74">
        <v>0</v>
      </c>
      <c r="F50" s="74"/>
      <c r="G50" s="74"/>
      <c r="H50" s="74"/>
      <c r="I50" s="74"/>
      <c r="J50" s="92"/>
      <c r="K50" s="92"/>
      <c r="L50" s="74"/>
      <c r="M50" s="74"/>
      <c r="N50" s="74"/>
      <c r="O50" s="74"/>
      <c r="P50" s="74"/>
      <c r="Q50" s="74">
        <v>8199.7420000000002</v>
      </c>
      <c r="R50" s="74">
        <v>10851</v>
      </c>
      <c r="S50" s="74"/>
    </row>
    <row r="51" spans="1:22">
      <c r="A51" s="95" t="s">
        <v>389</v>
      </c>
      <c r="B51" s="94">
        <v>40674.343999999997</v>
      </c>
      <c r="C51" s="93">
        <v>41634.232000000004</v>
      </c>
      <c r="D51" s="93">
        <v>45950.800999999999</v>
      </c>
      <c r="E51" s="74">
        <v>59939.86</v>
      </c>
      <c r="F51" s="74">
        <v>76266.013000000006</v>
      </c>
      <c r="G51" s="74">
        <v>91383.913</v>
      </c>
      <c r="H51" s="74">
        <v>108909.277</v>
      </c>
      <c r="I51" s="74">
        <v>125289</v>
      </c>
      <c r="J51" s="92">
        <v>127977.492</v>
      </c>
      <c r="K51" s="92">
        <v>177178.50899999999</v>
      </c>
      <c r="L51" s="74">
        <v>226383.522</v>
      </c>
      <c r="M51" s="74">
        <v>253018</v>
      </c>
      <c r="N51" s="74">
        <v>261381</v>
      </c>
      <c r="O51" s="74">
        <v>271367</v>
      </c>
      <c r="P51" s="74">
        <v>293810</v>
      </c>
      <c r="Q51" s="74">
        <v>303082.80499999999</v>
      </c>
      <c r="R51" s="74">
        <v>369368</v>
      </c>
      <c r="S51" s="74"/>
    </row>
    <row r="52" spans="1:22" ht="22.5" customHeight="1">
      <c r="A52" s="96" t="s">
        <v>388</v>
      </c>
      <c r="B52" s="88"/>
      <c r="C52" s="86"/>
      <c r="D52" s="86"/>
      <c r="E52" s="74">
        <v>0</v>
      </c>
      <c r="F52" s="74"/>
      <c r="G52" s="74"/>
      <c r="H52" s="74"/>
      <c r="I52" s="74"/>
      <c r="J52" s="92"/>
      <c r="K52" s="92"/>
      <c r="L52" s="74"/>
      <c r="M52" s="74"/>
      <c r="N52" s="74">
        <v>277017</v>
      </c>
      <c r="O52" s="74">
        <v>374335</v>
      </c>
      <c r="P52" s="74">
        <v>529646</v>
      </c>
      <c r="Q52" s="74">
        <f ca="1">quarterly!F36</f>
        <v>753247.73</v>
      </c>
      <c r="R52" s="74">
        <f ca="1">quarterly!K36</f>
        <v>982433.92299999995</v>
      </c>
      <c r="S52" s="74">
        <f ca="1">quarterly!P36</f>
        <v>1120465.39704</v>
      </c>
    </row>
    <row r="53" spans="1:22" ht="24">
      <c r="A53" s="89" t="s">
        <v>387</v>
      </c>
      <c r="B53" s="88">
        <v>103480.719</v>
      </c>
      <c r="C53" s="86">
        <v>107860.11199999999</v>
      </c>
      <c r="D53" s="86">
        <v>192056.41200000001</v>
      </c>
      <c r="E53" s="64">
        <v>309175.864</v>
      </c>
      <c r="F53" s="64">
        <v>471668.66969999997</v>
      </c>
      <c r="G53" s="64">
        <v>585072.96299999999</v>
      </c>
      <c r="H53" s="64">
        <v>733502.38300000003</v>
      </c>
      <c r="I53" s="64">
        <v>975445.79799999995</v>
      </c>
      <c r="J53" s="87">
        <v>1151117.683</v>
      </c>
      <c r="K53" s="87">
        <v>1524896.334</v>
      </c>
      <c r="L53" s="87">
        <v>2044870.706</v>
      </c>
      <c r="M53" s="64">
        <v>2838344.4029999999</v>
      </c>
      <c r="N53" s="86">
        <v>2849105</v>
      </c>
      <c r="O53" s="86">
        <v>3025079</v>
      </c>
      <c r="P53" s="86">
        <v>3535829</v>
      </c>
      <c r="Q53" s="86">
        <f ca="1">quarterly!F37</f>
        <v>4314432.8</v>
      </c>
      <c r="R53" s="86">
        <f ca="1">quarterly!K37</f>
        <v>5137677.966</v>
      </c>
      <c r="S53" s="86">
        <f ca="1">quarterly!P37</f>
        <v>5594348.77192258</v>
      </c>
      <c r="V53" s="57">
        <f>(Q34-Q53)/(P34-P53)/105.1*100</f>
        <v>1.0544772297033138</v>
      </c>
    </row>
    <row r="54" spans="1:22" ht="16.5" customHeight="1">
      <c r="A54" s="95" t="s">
        <v>386</v>
      </c>
      <c r="B54" s="94">
        <v>83335.952000000005</v>
      </c>
      <c r="C54" s="93">
        <v>82304.777000000002</v>
      </c>
      <c r="D54" s="93">
        <v>131886.62700000001</v>
      </c>
      <c r="E54" s="74">
        <v>195341.535</v>
      </c>
      <c r="F54" s="74">
        <v>287023.22600000002</v>
      </c>
      <c r="G54" s="74">
        <v>398828.66200000001</v>
      </c>
      <c r="H54" s="74">
        <v>493595.96399999998</v>
      </c>
      <c r="I54" s="74">
        <v>632720.77800000005</v>
      </c>
      <c r="J54" s="92">
        <v>773768.505</v>
      </c>
      <c r="K54" s="92">
        <v>1007752.108</v>
      </c>
      <c r="L54" s="74">
        <v>1368142.514</v>
      </c>
      <c r="M54" s="74">
        <v>1795142.415</v>
      </c>
      <c r="N54" s="74">
        <v>1816151</v>
      </c>
      <c r="O54" s="74">
        <v>1981580</v>
      </c>
      <c r="P54" s="74">
        <v>2213880</v>
      </c>
      <c r="Q54" s="74">
        <f ca="1">quarterly!F39</f>
        <v>2513340.6540242927</v>
      </c>
      <c r="R54" s="74">
        <f ca="1">quarterly!K39</f>
        <v>2784362.3029999998</v>
      </c>
      <c r="S54" s="74">
        <f ca="1">quarterly!P39</f>
        <v>2894590.195945526</v>
      </c>
    </row>
    <row r="55" spans="1:22">
      <c r="A55" s="95" t="s">
        <v>385</v>
      </c>
      <c r="B55" s="94">
        <v>15682.384</v>
      </c>
      <c r="C55" s="93">
        <v>11711.84</v>
      </c>
      <c r="D55" s="93">
        <v>40264.029000000002</v>
      </c>
      <c r="E55" s="74">
        <v>83923.385999999999</v>
      </c>
      <c r="F55" s="74">
        <v>159647.81400000001</v>
      </c>
      <c r="G55" s="74">
        <v>149513.614</v>
      </c>
      <c r="H55" s="74">
        <v>183911.196</v>
      </c>
      <c r="I55" s="74">
        <v>255783.29800000001</v>
      </c>
      <c r="J55" s="92">
        <v>217622.24400000001</v>
      </c>
      <c r="K55" s="92">
        <v>246942.639</v>
      </c>
      <c r="L55" s="74">
        <v>230434.00399999999</v>
      </c>
      <c r="M55" s="74">
        <v>277008.266</v>
      </c>
      <c r="N55" s="74">
        <v>261028</v>
      </c>
      <c r="O55" s="74">
        <v>278663</v>
      </c>
      <c r="P55" s="74">
        <v>333852</v>
      </c>
      <c r="Q55" s="74">
        <f ca="1">quarterly!F40</f>
        <v>417306.61399999994</v>
      </c>
      <c r="R55" s="74">
        <f ca="1">quarterly!K40</f>
        <v>491554.21299999999</v>
      </c>
      <c r="S55" s="74">
        <f ca="1">quarterly!P40</f>
        <v>573692.48243693437</v>
      </c>
    </row>
    <row r="56" spans="1:22" ht="24">
      <c r="A56" s="95" t="s">
        <v>384</v>
      </c>
      <c r="B56" s="94">
        <v>2742.627</v>
      </c>
      <c r="C56" s="93">
        <v>2432.5070000000001</v>
      </c>
      <c r="D56" s="93">
        <v>3641.4189999999999</v>
      </c>
      <c r="E56" s="74">
        <v>4780.0200000000004</v>
      </c>
      <c r="F56" s="74">
        <v>6416.8937000000005</v>
      </c>
      <c r="G56" s="74">
        <v>8415.7780000000002</v>
      </c>
      <c r="H56" s="74">
        <v>11612.675999999999</v>
      </c>
      <c r="I56" s="74">
        <v>11960.755999999999</v>
      </c>
      <c r="J56" s="92">
        <v>14128.441999999999</v>
      </c>
      <c r="K56" s="92">
        <v>16733.738000000001</v>
      </c>
      <c r="L56" s="74">
        <v>54036.781999999999</v>
      </c>
      <c r="M56" s="74">
        <v>69949.142999999996</v>
      </c>
      <c r="N56" s="74">
        <v>90730</v>
      </c>
      <c r="O56" s="74">
        <v>100364</v>
      </c>
      <c r="P56" s="74">
        <v>148923</v>
      </c>
      <c r="Q56" s="74">
        <f ca="1">quarterly!F41</f>
        <v>166748.61097570742</v>
      </c>
      <c r="R56" s="74">
        <f ca="1">quarterly!K41</f>
        <v>186275.171</v>
      </c>
      <c r="S56" s="74">
        <f ca="1">quarterly!P41</f>
        <v>103574.22747825505</v>
      </c>
    </row>
    <row r="57" spans="1:22" ht="24">
      <c r="A57" s="96" t="s">
        <v>383</v>
      </c>
      <c r="B57" s="94">
        <v>1083.152</v>
      </c>
      <c r="C57" s="93">
        <v>3929.2739999999999</v>
      </c>
      <c r="D57" s="93">
        <v>5817.3540000000003</v>
      </c>
      <c r="E57" s="74">
        <v>8458.3130000000001</v>
      </c>
      <c r="F57" s="74">
        <v>14579.495999999999</v>
      </c>
      <c r="G57" s="74">
        <v>24142.673999999999</v>
      </c>
      <c r="H57" s="74">
        <v>39790.292999999998</v>
      </c>
      <c r="I57" s="74">
        <v>70079.686000000002</v>
      </c>
      <c r="J57" s="92">
        <v>142265.723</v>
      </c>
      <c r="K57" s="92">
        <v>249958.93599999999</v>
      </c>
      <c r="L57" s="74">
        <v>388812.72700000001</v>
      </c>
      <c r="M57" s="74">
        <v>596006.70299999998</v>
      </c>
      <c r="N57" s="74">
        <v>634362</v>
      </c>
      <c r="O57" s="74">
        <v>653878</v>
      </c>
      <c r="P57" s="74">
        <v>824712</v>
      </c>
      <c r="Q57" s="74">
        <f ca="1">quarterly!F42</f>
        <v>1200444.3030000001</v>
      </c>
      <c r="R57" s="74">
        <f ca="1">quarterly!K42</f>
        <v>1661070.5959999999</v>
      </c>
      <c r="S57" s="74">
        <f ca="1">quarterly!P42</f>
        <v>2009087.449874908</v>
      </c>
    </row>
    <row r="58" spans="1:22">
      <c r="A58" s="96" t="s">
        <v>382</v>
      </c>
      <c r="B58" s="94">
        <v>636.60400000000004</v>
      </c>
      <c r="C58" s="93">
        <v>595.54100000000005</v>
      </c>
      <c r="D58" s="93">
        <v>908.35299999999995</v>
      </c>
      <c r="E58" s="74">
        <v>2729.57</v>
      </c>
      <c r="F58" s="74">
        <v>3413.35</v>
      </c>
      <c r="G58" s="74">
        <v>4172.2349999999997</v>
      </c>
      <c r="H58" s="74">
        <v>4592.2539999999999</v>
      </c>
      <c r="I58" s="74">
        <v>4901.28</v>
      </c>
      <c r="J58" s="92">
        <v>3332.7689999999998</v>
      </c>
      <c r="K58" s="92">
        <v>3508.913</v>
      </c>
      <c r="L58" s="74">
        <v>3444.6790000000001</v>
      </c>
      <c r="M58" s="74">
        <v>100237.876</v>
      </c>
      <c r="N58" s="74">
        <v>46833</v>
      </c>
      <c r="O58" s="74">
        <v>10594</v>
      </c>
      <c r="P58" s="74">
        <v>14462</v>
      </c>
      <c r="Q58" s="74">
        <f ca="1">quarterly!F43</f>
        <v>16592.617999999999</v>
      </c>
      <c r="R58" s="74">
        <f ca="1">quarterly!K43</f>
        <v>14415.683000000001</v>
      </c>
      <c r="S58" s="74">
        <f ca="1">quarterly!P43</f>
        <v>13404.416186956372</v>
      </c>
    </row>
    <row r="59" spans="1:22" ht="15.75" customHeight="1">
      <c r="A59" s="96" t="s">
        <v>381</v>
      </c>
      <c r="B59" s="94">
        <v>0</v>
      </c>
      <c r="C59" s="93">
        <v>6.3970000000000002</v>
      </c>
      <c r="D59" s="93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92">
        <v>0</v>
      </c>
      <c r="K59" s="92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/>
    </row>
    <row r="60" spans="1:22" ht="24">
      <c r="A60" s="95" t="s">
        <v>380</v>
      </c>
      <c r="B60" s="94">
        <v>0</v>
      </c>
      <c r="C60" s="93">
        <v>6879.7759999999998</v>
      </c>
      <c r="D60" s="93">
        <v>9538.6299999999992</v>
      </c>
      <c r="E60" s="74">
        <v>13943.04</v>
      </c>
      <c r="F60" s="74">
        <v>587.89</v>
      </c>
      <c r="G60" s="74">
        <v>0</v>
      </c>
      <c r="H60" s="74">
        <v>0</v>
      </c>
      <c r="I60" s="74">
        <v>0</v>
      </c>
      <c r="J60" s="92">
        <v>0</v>
      </c>
      <c r="K60" s="92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/>
    </row>
    <row r="61" spans="1:22" ht="24">
      <c r="A61" s="91" t="s">
        <v>379</v>
      </c>
      <c r="B61" s="88">
        <v>35998.377999999997</v>
      </c>
      <c r="C61" s="86">
        <v>19861.18</v>
      </c>
      <c r="D61" s="86">
        <v>98633.827999999994</v>
      </c>
      <c r="E61" s="64">
        <v>141563.81099999999</v>
      </c>
      <c r="F61" s="64">
        <v>195774.15599999999</v>
      </c>
      <c r="G61" s="64">
        <v>249034.19699999999</v>
      </c>
      <c r="H61" s="64">
        <v>489524.86200000002</v>
      </c>
      <c r="I61" s="64">
        <v>469437.22600000002</v>
      </c>
      <c r="J61" s="87">
        <v>687198.14599999995</v>
      </c>
      <c r="K61" s="87">
        <v>1172389.93</v>
      </c>
      <c r="L61" s="87">
        <v>1396850.077</v>
      </c>
      <c r="M61" s="64">
        <v>54.981000000000002</v>
      </c>
      <c r="N61" s="86">
        <v>1269439</v>
      </c>
      <c r="O61" s="86">
        <v>2473596</v>
      </c>
      <c r="P61" s="86">
        <v>1870067</v>
      </c>
      <c r="Q61" s="86">
        <f ca="1">quarterly!F44</f>
        <v>2467141.281</v>
      </c>
      <c r="R61" s="86">
        <f ca="1">quarterly!K44</f>
        <v>2807876.7209999999</v>
      </c>
      <c r="S61" s="86">
        <f ca="1">quarterly!P44</f>
        <v>378386.35499999998</v>
      </c>
    </row>
    <row r="62" spans="1:22">
      <c r="A62" s="95" t="s">
        <v>378</v>
      </c>
      <c r="B62" s="88"/>
      <c r="C62" s="86"/>
      <c r="D62" s="86"/>
      <c r="E62" s="64"/>
      <c r="F62" s="64"/>
      <c r="G62" s="64"/>
      <c r="H62" s="64"/>
      <c r="I62" s="64"/>
      <c r="J62" s="87"/>
      <c r="K62" s="87"/>
      <c r="L62" s="64"/>
      <c r="M62" s="74"/>
      <c r="N62" s="74"/>
      <c r="O62" s="74"/>
      <c r="P62" s="74"/>
      <c r="Q62" s="74"/>
      <c r="R62" s="74"/>
      <c r="S62" s="74"/>
    </row>
    <row r="63" spans="1:22" ht="24">
      <c r="A63" s="95" t="s">
        <v>377</v>
      </c>
      <c r="B63" s="94">
        <v>17236.863000000001</v>
      </c>
      <c r="C63" s="93">
        <v>9909.34</v>
      </c>
      <c r="D63" s="93">
        <v>56173.2</v>
      </c>
      <c r="E63" s="74">
        <v>81930.244000000006</v>
      </c>
      <c r="F63" s="74">
        <v>103907.36199999999</v>
      </c>
      <c r="G63" s="74">
        <v>137193.454</v>
      </c>
      <c r="H63" s="74">
        <v>248017.193</v>
      </c>
      <c r="I63" s="74">
        <v>201750.12299999999</v>
      </c>
      <c r="J63" s="92">
        <v>180199.505</v>
      </c>
      <c r="K63" s="92">
        <v>480226.34899999999</v>
      </c>
      <c r="L63" s="74">
        <v>525394.01199999999</v>
      </c>
      <c r="M63" s="74">
        <v>117566.223</v>
      </c>
      <c r="N63" s="97">
        <v>570946</v>
      </c>
      <c r="O63" s="74">
        <v>1060928</v>
      </c>
      <c r="P63" s="74">
        <v>739408</v>
      </c>
      <c r="Q63" s="74">
        <v>2052506.162</v>
      </c>
      <c r="R63" s="74">
        <v>2242092</v>
      </c>
      <c r="S63" s="74"/>
    </row>
    <row r="64" spans="1:22">
      <c r="A64" s="95" t="s">
        <v>376</v>
      </c>
      <c r="B64" s="94">
        <v>613.38599999999997</v>
      </c>
      <c r="C64" s="93">
        <v>-10125.14</v>
      </c>
      <c r="D64" s="93">
        <v>4217.7860000000001</v>
      </c>
      <c r="E64" s="74">
        <v>11727.611000000001</v>
      </c>
      <c r="F64" s="74">
        <v>34667.769</v>
      </c>
      <c r="G64" s="74">
        <v>60317.546999999999</v>
      </c>
      <c r="H64" s="74">
        <v>167122.28400000001</v>
      </c>
      <c r="I64" s="74">
        <v>193642.04199999999</v>
      </c>
      <c r="J64" s="92">
        <v>220926.84400000001</v>
      </c>
      <c r="K64" s="92">
        <v>385231.337</v>
      </c>
      <c r="L64" s="74">
        <v>516034.80099999998</v>
      </c>
      <c r="M64" s="74">
        <v>-279575.46500000003</v>
      </c>
      <c r="N64" s="97">
        <v>613726</v>
      </c>
      <c r="O64" s="74">
        <v>1338408</v>
      </c>
      <c r="P64" s="74">
        <v>1041729</v>
      </c>
      <c r="Q64" s="74">
        <v>0</v>
      </c>
      <c r="R64" s="74">
        <v>0</v>
      </c>
      <c r="S64" s="74"/>
    </row>
    <row r="65" spans="1:19" ht="24">
      <c r="A65" s="96" t="s">
        <v>375</v>
      </c>
      <c r="B65" s="94">
        <v>0</v>
      </c>
      <c r="C65" s="93">
        <v>-191.892</v>
      </c>
      <c r="D65" s="93">
        <v>0</v>
      </c>
      <c r="E65" s="74">
        <v>0</v>
      </c>
      <c r="F65" s="74">
        <v>0</v>
      </c>
      <c r="G65" s="74">
        <v>0</v>
      </c>
      <c r="H65" s="74">
        <v>0</v>
      </c>
      <c r="I65" s="63">
        <v>0</v>
      </c>
      <c r="J65" s="92">
        <v>217971.31599999999</v>
      </c>
      <c r="K65" s="92">
        <v>206898.89499999999</v>
      </c>
      <c r="L65" s="74">
        <v>254146.78400000001</v>
      </c>
      <c r="M65" s="74">
        <v>32103.62</v>
      </c>
      <c r="N65" s="74">
        <v>0</v>
      </c>
      <c r="O65" s="74">
        <v>0</v>
      </c>
      <c r="P65" s="74">
        <v>0</v>
      </c>
      <c r="Q65" s="74">
        <v>0</v>
      </c>
      <c r="R65" s="74">
        <v>0</v>
      </c>
      <c r="S65" s="74"/>
    </row>
    <row r="66" spans="1:19" ht="24">
      <c r="A66" s="95" t="s">
        <v>374</v>
      </c>
      <c r="B66" s="94">
        <v>18148.129000000001</v>
      </c>
      <c r="C66" s="93">
        <v>20268.871999999999</v>
      </c>
      <c r="D66" s="93">
        <v>38242.841999999997</v>
      </c>
      <c r="E66" s="74">
        <v>47905.955999999998</v>
      </c>
      <c r="F66" s="74">
        <v>57199.025000000001</v>
      </c>
      <c r="G66" s="74">
        <v>51523.196000000004</v>
      </c>
      <c r="H66" s="74">
        <v>74385.384999999995</v>
      </c>
      <c r="I66" s="74">
        <v>74045.061000000002</v>
      </c>
      <c r="J66" s="92">
        <v>68100.481</v>
      </c>
      <c r="K66" s="92">
        <v>100033.349</v>
      </c>
      <c r="L66" s="74">
        <v>101274.48</v>
      </c>
      <c r="M66" s="74">
        <v>129960.603</v>
      </c>
      <c r="N66" s="74">
        <v>84766</v>
      </c>
      <c r="O66" s="74">
        <v>74260</v>
      </c>
      <c r="P66" s="74">
        <v>88930</v>
      </c>
      <c r="Q66" s="74">
        <v>414635.28100000002</v>
      </c>
      <c r="R66" s="74">
        <v>565785</v>
      </c>
      <c r="S66" s="74"/>
    </row>
    <row r="67" spans="1:19" ht="15.75" customHeight="1">
      <c r="A67" s="91" t="s">
        <v>373</v>
      </c>
      <c r="B67" s="88">
        <v>12332.602999999999</v>
      </c>
      <c r="C67" s="86">
        <v>23569.47</v>
      </c>
      <c r="D67" s="86">
        <v>38696.194000000003</v>
      </c>
      <c r="E67" s="64">
        <v>47697.900999999998</v>
      </c>
      <c r="F67" s="64">
        <v>75403.668000000005</v>
      </c>
      <c r="G67" s="64">
        <v>119833.382</v>
      </c>
      <c r="H67" s="64">
        <v>180087.72899999999</v>
      </c>
      <c r="I67" s="64">
        <v>255218.73499999999</v>
      </c>
      <c r="J67" s="87">
        <v>352235.13500000001</v>
      </c>
      <c r="K67" s="87">
        <v>572314.95600000001</v>
      </c>
      <c r="L67" s="64">
        <v>834006.40899999999</v>
      </c>
      <c r="M67" s="64">
        <v>1194732.3810000001</v>
      </c>
      <c r="N67" s="86">
        <v>838826</v>
      </c>
      <c r="O67" s="86">
        <v>1104545</v>
      </c>
      <c r="P67" s="86">
        <v>1444108</v>
      </c>
      <c r="Q67" s="86">
        <f ca="1">quarterly!F45</f>
        <v>1691775</v>
      </c>
      <c r="R67" s="86">
        <f ca="1">quarterly!K45</f>
        <v>1750999.709</v>
      </c>
      <c r="S67" s="86">
        <f ca="1">quarterly!P45</f>
        <v>2207108.8043</v>
      </c>
    </row>
    <row r="68" spans="1:19" ht="21.75" customHeight="1">
      <c r="A68" s="91" t="s">
        <v>372</v>
      </c>
      <c r="B68" s="88">
        <v>347454.31400000001</v>
      </c>
      <c r="C68" s="86">
        <v>213644.90299999999</v>
      </c>
      <c r="D68" s="86">
        <v>226857.3</v>
      </c>
      <c r="E68" s="64">
        <v>253604.5</v>
      </c>
      <c r="F68" s="64">
        <v>300825.59999999998</v>
      </c>
      <c r="G68" s="64">
        <v>379447.95324486325</v>
      </c>
      <c r="H68" s="64">
        <v>643685.01</v>
      </c>
      <c r="I68" s="64">
        <v>905582.74399999995</v>
      </c>
      <c r="J68" s="87">
        <v>1172971.4380000001</v>
      </c>
      <c r="K68" s="87">
        <v>1180016.9029999999</v>
      </c>
      <c r="L68" s="64">
        <v>1105262.6640000001</v>
      </c>
      <c r="M68" s="64">
        <v>2004136.2009999999</v>
      </c>
      <c r="N68" s="86">
        <v>1561092</v>
      </c>
      <c r="O68" s="86">
        <v>1173287</v>
      </c>
      <c r="P68" s="86">
        <v>1499510</v>
      </c>
      <c r="Q68" s="86">
        <f ca="1">quarterly!F46</f>
        <v>1903390.8429999999</v>
      </c>
      <c r="R68" s="86">
        <f ca="1">quarterly!K46</f>
        <v>1874577.733</v>
      </c>
      <c r="S68" s="86">
        <f ca="1">quarterly!P46</f>
        <v>2805138.86</v>
      </c>
    </row>
    <row r="69" spans="1:19" ht="24">
      <c r="A69" s="91" t="s">
        <v>371</v>
      </c>
      <c r="B69" s="88">
        <v>0</v>
      </c>
      <c r="C69" s="86">
        <v>0</v>
      </c>
      <c r="D69" s="86">
        <v>33619.453000000001</v>
      </c>
      <c r="E69" s="64">
        <v>127854.13</v>
      </c>
      <c r="F69" s="64">
        <v>253397.55300000001</v>
      </c>
      <c r="G69" s="64">
        <v>421975.989</v>
      </c>
      <c r="H69" s="64">
        <v>618103.33100000001</v>
      </c>
      <c r="I69" s="64">
        <v>797416.89199999999</v>
      </c>
      <c r="J69" s="87">
        <v>956480.82400000002</v>
      </c>
      <c r="K69" s="87">
        <v>925580.05599999998</v>
      </c>
      <c r="L69" s="64">
        <v>996383.61800000002</v>
      </c>
      <c r="M69" s="64">
        <v>1247553.2690000001</v>
      </c>
      <c r="N69" s="86">
        <v>1396507</v>
      </c>
      <c r="O69" s="86">
        <v>1693407</v>
      </c>
      <c r="P69" s="86">
        <v>1884036</v>
      </c>
      <c r="Q69" s="86">
        <f ca="1">quarterly!F47</f>
        <v>1997188.2309999999</v>
      </c>
      <c r="R69" s="86">
        <f ca="1">quarterly!K47</f>
        <v>2027500.0049999999</v>
      </c>
      <c r="S69" s="86">
        <f ca="1">quarterly!P47</f>
        <v>2022284.8540000001</v>
      </c>
    </row>
    <row r="70" spans="1:19" ht="24">
      <c r="A70" s="91" t="s">
        <v>370</v>
      </c>
      <c r="B70" s="88">
        <v>-9059.82</v>
      </c>
      <c r="C70" s="86">
        <v>378.72699999999998</v>
      </c>
      <c r="D70" s="86">
        <v>-16667.026000000002</v>
      </c>
      <c r="E70" s="64">
        <v>-16128.846</v>
      </c>
      <c r="F70" s="64">
        <v>-49378.834000000003</v>
      </c>
      <c r="G70" s="64">
        <v>-47195.601000000002</v>
      </c>
      <c r="H70" s="64">
        <v>-156808.14300000001</v>
      </c>
      <c r="I70" s="64">
        <v>-319105.95</v>
      </c>
      <c r="J70" s="87">
        <v>-558060.28099999996</v>
      </c>
      <c r="K70" s="87">
        <v>-884728.18</v>
      </c>
      <c r="L70" s="64">
        <v>-1175366.7009999999</v>
      </c>
      <c r="M70" s="64">
        <v>-1098148.801</v>
      </c>
      <c r="N70" s="86">
        <v>492436</v>
      </c>
      <c r="O70" s="86">
        <v>-546181</v>
      </c>
      <c r="P70" s="86">
        <v>-1584121</v>
      </c>
      <c r="Q70" s="86">
        <f ca="1">quarterly!F48</f>
        <v>-2311748</v>
      </c>
      <c r="R70" s="86">
        <f ca="1">quarterly!K48</f>
        <v>-2307681.0830000001</v>
      </c>
      <c r="S70" s="86">
        <f ca="1">quarterly!P48</f>
        <v>-1363446</v>
      </c>
    </row>
    <row r="71" spans="1:19">
      <c r="A71" s="89" t="s">
        <v>369</v>
      </c>
      <c r="B71" s="88">
        <v>1087.2940000000001</v>
      </c>
      <c r="C71" s="86">
        <v>1041.3050000000001</v>
      </c>
      <c r="D71" s="86">
        <v>402.34199999999998</v>
      </c>
      <c r="E71" s="64">
        <v>682</v>
      </c>
      <c r="F71" s="64">
        <v>1329.3009999999999</v>
      </c>
      <c r="G71" s="64">
        <v>1858.8309999999999</v>
      </c>
      <c r="H71" s="64">
        <v>3959.2559999999999</v>
      </c>
      <c r="I71" s="64">
        <v>25459.018</v>
      </c>
      <c r="J71" s="87">
        <v>238448.22500000001</v>
      </c>
      <c r="K71" s="87">
        <v>288134.47100000002</v>
      </c>
      <c r="L71" s="64">
        <v>459071.26199999999</v>
      </c>
      <c r="M71" s="64">
        <v>256489.23</v>
      </c>
      <c r="N71" s="86">
        <v>153705</v>
      </c>
      <c r="O71" s="86">
        <v>139819</v>
      </c>
      <c r="P71" s="86">
        <v>141887</v>
      </c>
      <c r="Q71" s="86">
        <f ca="1">quarterly!F49</f>
        <v>125428.8</v>
      </c>
      <c r="R71" s="86">
        <f ca="1">quarterly!K49</f>
        <v>74957.097999999998</v>
      </c>
      <c r="S71" s="86">
        <f ca="1">quarterly!P49</f>
        <v>77420.318999999989</v>
      </c>
    </row>
    <row r="72" spans="1:19">
      <c r="A72" s="89" t="s">
        <v>368</v>
      </c>
      <c r="B72" s="88">
        <v>0</v>
      </c>
      <c r="C72" s="86">
        <v>0</v>
      </c>
      <c r="D72" s="86">
        <v>0</v>
      </c>
      <c r="E72" s="64"/>
      <c r="F72" s="64">
        <v>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86">
        <v>84966</v>
      </c>
      <c r="P72" s="86">
        <v>89877</v>
      </c>
      <c r="Q72" s="86">
        <f ca="1">quarterly!F50</f>
        <v>101809.90399999999</v>
      </c>
      <c r="R72" s="86">
        <f ca="1">quarterly!K50</f>
        <v>104848.08900000001</v>
      </c>
      <c r="S72" s="86">
        <f ca="1">quarterly!P50</f>
        <v>119025.45699999999</v>
      </c>
    </row>
    <row r="73" spans="1:19" ht="24">
      <c r="A73" s="91" t="s">
        <v>367</v>
      </c>
      <c r="B73" s="88">
        <v>1629416.3670000001</v>
      </c>
      <c r="C73" s="86">
        <v>1746677.051</v>
      </c>
      <c r="D73" s="86">
        <v>2854775.1230000001</v>
      </c>
      <c r="E73" s="64">
        <v>3873872.79</v>
      </c>
      <c r="F73" s="64">
        <v>5221826.3756999997</v>
      </c>
      <c r="G73" s="64">
        <v>6711801.271244863</v>
      </c>
      <c r="H73" s="64">
        <v>8659311.1600000001</v>
      </c>
      <c r="I73" s="64">
        <v>10780136</v>
      </c>
      <c r="J73" s="87">
        <v>13614231.027000001</v>
      </c>
      <c r="K73" s="90">
        <v>16706196.476</v>
      </c>
      <c r="L73" s="90">
        <v>20492458.618999999</v>
      </c>
      <c r="M73" s="64">
        <v>25158917</v>
      </c>
      <c r="N73" s="86">
        <v>28595957</v>
      </c>
      <c r="O73" s="86">
        <v>31762945</v>
      </c>
      <c r="P73" s="86">
        <v>35067103</v>
      </c>
      <c r="Q73" s="86">
        <f ca="1">quarterly!F51</f>
        <v>39900596.688999996</v>
      </c>
      <c r="R73" s="86">
        <f ca="1">quarterly!K51</f>
        <v>44318662.137000002</v>
      </c>
      <c r="S73" s="86">
        <f ca="1">quarterly!P51</f>
        <v>47785605.943762578</v>
      </c>
    </row>
    <row r="74" spans="1:19" ht="24">
      <c r="A74" s="89" t="s">
        <v>366</v>
      </c>
      <c r="B74" s="88">
        <v>26988.705000000002</v>
      </c>
      <c r="C74" s="86">
        <v>29355.3</v>
      </c>
      <c r="D74" s="86">
        <v>53293.7</v>
      </c>
      <c r="E74" s="64">
        <v>110070</v>
      </c>
      <c r="F74" s="64">
        <v>103969</v>
      </c>
      <c r="G74" s="64">
        <v>119234.5</v>
      </c>
      <c r="H74" s="64">
        <v>241217.5</v>
      </c>
      <c r="I74" s="64">
        <v>196113.8</v>
      </c>
      <c r="J74" s="87">
        <v>204743.62899999999</v>
      </c>
      <c r="K74" s="87">
        <v>583868.26800000004</v>
      </c>
      <c r="L74" s="64">
        <v>818993.19799999997</v>
      </c>
      <c r="M74" s="64">
        <v>85130</v>
      </c>
      <c r="N74" s="86">
        <v>101527</v>
      </c>
      <c r="O74" s="86">
        <v>735339</v>
      </c>
      <c r="P74" s="86">
        <v>581571</v>
      </c>
      <c r="Q74" s="86">
        <f ca="1">quarterly!F52</f>
        <v>3075.3999999999796</v>
      </c>
      <c r="R74" s="86">
        <f ca="1">quarterly!K52</f>
        <v>331786.41700000002</v>
      </c>
      <c r="S74" s="86">
        <f ca="1">quarterly!P52</f>
        <v>114728.70000000001</v>
      </c>
    </row>
    <row r="75" spans="1:19" ht="16.5" customHeight="1" thickBot="1">
      <c r="A75" s="84" t="s">
        <v>365</v>
      </c>
      <c r="B75" s="80">
        <v>1656405.0719999999</v>
      </c>
      <c r="C75" s="80">
        <v>1776032.351</v>
      </c>
      <c r="D75" s="80">
        <v>2908068.8229999999</v>
      </c>
      <c r="E75" s="81">
        <v>3983942.4219999998</v>
      </c>
      <c r="F75" s="81">
        <v>5325795.3756999997</v>
      </c>
      <c r="G75" s="81">
        <v>6831035.771244863</v>
      </c>
      <c r="H75" s="81">
        <v>8900528.6600000001</v>
      </c>
      <c r="I75" s="81">
        <v>10976249</v>
      </c>
      <c r="J75" s="83">
        <v>13818974.655999999</v>
      </c>
      <c r="K75" s="82">
        <v>17290064.743999999</v>
      </c>
      <c r="L75" s="82">
        <v>21311451.817000002</v>
      </c>
      <c r="M75" s="81">
        <v>25244047</v>
      </c>
      <c r="N75" s="80">
        <v>28697484</v>
      </c>
      <c r="O75" s="80">
        <v>32498284</v>
      </c>
      <c r="P75" s="80">
        <v>35648674</v>
      </c>
      <c r="Q75" s="80">
        <f ca="1">quarterly!F53</f>
        <v>39903672.088999994</v>
      </c>
      <c r="R75" s="80">
        <f ca="1">quarterly!K53</f>
        <v>44650448.554000005</v>
      </c>
      <c r="S75" s="80">
        <f ca="1">quarterly!P53</f>
        <v>47900334.643762581</v>
      </c>
    </row>
    <row r="76" spans="1:19">
      <c r="A76" s="79"/>
      <c r="I76" s="58"/>
      <c r="J76" s="58"/>
      <c r="L76" s="78"/>
    </row>
    <row r="77" spans="1:19">
      <c r="A77" s="77"/>
      <c r="B77" s="64"/>
      <c r="C77" s="64"/>
      <c r="D77" s="64"/>
      <c r="E77" s="64"/>
      <c r="F77" s="64"/>
      <c r="G77" s="64"/>
      <c r="H77" s="64"/>
      <c r="I77" s="64"/>
      <c r="J77" s="64"/>
      <c r="K77" s="76"/>
      <c r="L77" s="76"/>
      <c r="M77" s="63"/>
    </row>
    <row r="78" spans="1:19">
      <c r="A78" s="75"/>
      <c r="B78" s="63"/>
      <c r="C78" s="63"/>
      <c r="D78" s="63"/>
      <c r="E78" s="63"/>
      <c r="F78" s="63"/>
      <c r="G78" s="63"/>
      <c r="H78" s="63"/>
      <c r="I78" s="74"/>
      <c r="J78" s="74"/>
      <c r="K78" s="63"/>
      <c r="L78" s="74"/>
      <c r="M78" s="63"/>
    </row>
    <row r="79" spans="1:19">
      <c r="B79" s="66"/>
      <c r="C79" s="66"/>
      <c r="D79" s="66"/>
      <c r="E79" s="66"/>
      <c r="F79" s="66"/>
      <c r="G79" s="66"/>
      <c r="H79" s="66"/>
      <c r="I79" s="66"/>
      <c r="J79" s="73"/>
      <c r="K79" s="73"/>
    </row>
    <row r="80" spans="1:19">
      <c r="I80" s="61"/>
      <c r="J80" s="64"/>
      <c r="M80" s="70"/>
    </row>
    <row r="81" spans="1:17" s="70" customFormat="1">
      <c r="A81" s="69"/>
      <c r="B81" s="60"/>
      <c r="C81" s="60"/>
      <c r="D81" s="60"/>
      <c r="E81" s="60"/>
      <c r="F81" s="60"/>
      <c r="G81" s="60"/>
      <c r="H81" s="60"/>
      <c r="I81" s="60"/>
      <c r="J81" s="60"/>
      <c r="K81" s="72"/>
      <c r="L81" s="71"/>
      <c r="M81" s="57"/>
      <c r="O81" s="61"/>
      <c r="P81" s="61"/>
      <c r="Q81" s="61"/>
    </row>
    <row r="82" spans="1:17">
      <c r="A82" s="69"/>
      <c r="I82" s="61"/>
      <c r="J82" s="64"/>
      <c r="M82" s="67"/>
    </row>
    <row r="83" spans="1:17" s="67" customFormat="1">
      <c r="A83" s="68"/>
      <c r="F83" s="66"/>
      <c r="G83" s="66"/>
      <c r="H83" s="66"/>
      <c r="I83" s="66"/>
      <c r="J83" s="66"/>
      <c r="K83" s="66"/>
      <c r="L83" s="58"/>
      <c r="M83" s="57"/>
      <c r="O83" s="58"/>
      <c r="P83" s="58"/>
      <c r="Q83" s="58"/>
    </row>
    <row r="84" spans="1:17">
      <c r="I84" s="61"/>
      <c r="J84" s="64"/>
    </row>
    <row r="85" spans="1:17">
      <c r="B85" s="62"/>
      <c r="C85" s="62"/>
      <c r="D85" s="62"/>
      <c r="E85" s="62"/>
      <c r="F85" s="66"/>
      <c r="G85" s="66"/>
      <c r="H85" s="66"/>
      <c r="I85" s="66"/>
      <c r="J85" s="66"/>
      <c r="K85" s="66"/>
    </row>
    <row r="86" spans="1:17">
      <c r="I86" s="61"/>
      <c r="J86" s="64"/>
    </row>
    <row r="87" spans="1:17">
      <c r="I87" s="61"/>
      <c r="J87" s="63"/>
    </row>
    <row r="88" spans="1:17">
      <c r="I88" s="63"/>
      <c r="J88" s="65"/>
      <c r="K88" s="65"/>
      <c r="L88" s="64"/>
    </row>
    <row r="89" spans="1:17">
      <c r="I89" s="64"/>
      <c r="J89" s="63"/>
    </row>
    <row r="90" spans="1:17">
      <c r="F90" s="62"/>
      <c r="G90" s="62"/>
      <c r="H90" s="62"/>
      <c r="I90" s="62"/>
      <c r="J90" s="62"/>
      <c r="K90" s="62"/>
    </row>
    <row r="91" spans="1:17">
      <c r="L91" s="61"/>
    </row>
    <row r="92" spans="1:17">
      <c r="K92" s="60"/>
    </row>
  </sheetData>
  <mergeCells count="3">
    <mergeCell ref="A2:I2"/>
    <mergeCell ref="A3:I3"/>
    <mergeCell ref="B4:F4"/>
  </mergeCells>
  <phoneticPr fontId="0" type="noConversion"/>
  <pageMargins left="0.25" right="0.25" top="0.18" bottom="0.3" header="0.18" footer="0.25"/>
  <pageSetup paperSize="9" scale="29" fitToHeight="0" orientation="landscape" r:id="rId1"/>
  <headerFooter alignWithMargins="0"/>
  <rowBreaks count="2" manualBreakCount="2">
    <brk id="36" max="16383" man="1"/>
    <brk id="7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DR45"/>
  <sheetViews>
    <sheetView zoomScale="70" zoomScaleNormal="70" workbookViewId="0">
      <pane xSplit="7" ySplit="19" topLeftCell="AM20" activePane="bottomRight" state="frozen"/>
      <selection pane="topRight" activeCell="H1" sqref="H1"/>
      <selection pane="bottomLeft" activeCell="A19" sqref="A19"/>
      <selection pane="bottomRight" activeCell="AU24" sqref="AU24"/>
    </sheetView>
  </sheetViews>
  <sheetFormatPr defaultRowHeight="15"/>
  <cols>
    <col min="1" max="1" width="34" style="123" customWidth="1"/>
    <col min="2" max="4" width="9.5703125" style="123" customWidth="1"/>
    <col min="5" max="17" width="9.7109375" style="123" bestFit="1" customWidth="1"/>
    <col min="18" max="18" width="10.7109375" style="123" bestFit="1" customWidth="1"/>
    <col min="19" max="24" width="9.7109375" style="123" bestFit="1" customWidth="1"/>
    <col min="25" max="25" width="10.7109375" style="123" bestFit="1" customWidth="1"/>
    <col min="26" max="28" width="9.7109375" style="123" bestFit="1" customWidth="1"/>
    <col min="29" max="29" width="10.7109375" style="123" bestFit="1" customWidth="1"/>
    <col min="30" max="34" width="9.7109375" style="123" bestFit="1" customWidth="1"/>
    <col min="35" max="36" width="10.7109375" style="123" bestFit="1" customWidth="1"/>
    <col min="37" max="50" width="9.7109375" style="123" bestFit="1" customWidth="1"/>
    <col min="51" max="54" width="10.7109375" style="123" bestFit="1" customWidth="1"/>
    <col min="55" max="58" width="9.7109375" style="123" bestFit="1" customWidth="1"/>
    <col min="59" max="59" width="10.7109375" style="123" bestFit="1" customWidth="1"/>
    <col min="60" max="60" width="9.7109375" style="123" bestFit="1" customWidth="1"/>
    <col min="61" max="61" width="10.7109375" style="123" bestFit="1" customWidth="1"/>
    <col min="62" max="63" width="9.7109375" style="123" bestFit="1" customWidth="1"/>
    <col min="64" max="66" width="10.7109375" style="123" bestFit="1" customWidth="1"/>
    <col min="67" max="72" width="9.7109375" style="123" bestFit="1" customWidth="1"/>
    <col min="73" max="73" width="9.5703125" style="123" bestFit="1" customWidth="1"/>
    <col min="74" max="79" width="9.140625" style="123"/>
    <col min="80" max="80" width="9.5703125" style="123" bestFit="1" customWidth="1"/>
    <col min="81" max="85" width="9.140625" style="123"/>
    <col min="86" max="86" width="9.85546875" style="123" customWidth="1"/>
    <col min="87" max="16384" width="9.140625" style="123"/>
  </cols>
  <sheetData>
    <row r="1" spans="1:122">
      <c r="A1" s="123" t="s">
        <v>441</v>
      </c>
    </row>
    <row r="2" spans="1:122">
      <c r="B2" s="817">
        <v>2005</v>
      </c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20">
        <v>2006</v>
      </c>
      <c r="O2" s="821"/>
      <c r="P2" s="821"/>
      <c r="Q2" s="821"/>
      <c r="R2" s="821"/>
      <c r="S2" s="821"/>
      <c r="T2" s="821"/>
      <c r="U2" s="821"/>
      <c r="V2" s="821"/>
      <c r="W2" s="821"/>
      <c r="X2" s="821"/>
      <c r="Y2" s="822"/>
      <c r="Z2" s="818">
        <v>2007</v>
      </c>
      <c r="AA2" s="818"/>
      <c r="AB2" s="818"/>
      <c r="AC2" s="818"/>
      <c r="AD2" s="818"/>
      <c r="AE2" s="818"/>
      <c r="AF2" s="818"/>
      <c r="AG2" s="818"/>
      <c r="AH2" s="818"/>
      <c r="AI2" s="818"/>
      <c r="AJ2" s="818"/>
      <c r="AK2" s="819"/>
      <c r="AL2" s="817">
        <v>2008</v>
      </c>
      <c r="AM2" s="818"/>
      <c r="AN2" s="818"/>
      <c r="AO2" s="818"/>
      <c r="AP2" s="818"/>
      <c r="AQ2" s="818"/>
      <c r="AR2" s="818"/>
      <c r="AS2" s="818"/>
      <c r="AT2" s="818"/>
      <c r="AU2" s="818"/>
      <c r="AV2" s="818"/>
      <c r="AW2" s="819"/>
      <c r="AX2" s="817">
        <v>2009</v>
      </c>
      <c r="AY2" s="818"/>
      <c r="AZ2" s="818"/>
      <c r="BA2" s="818"/>
      <c r="BB2" s="818"/>
      <c r="BC2" s="818"/>
      <c r="BD2" s="818"/>
      <c r="BE2" s="818"/>
      <c r="BF2" s="818"/>
      <c r="BG2" s="818"/>
      <c r="BH2" s="818"/>
      <c r="BI2" s="819"/>
      <c r="BJ2" s="817">
        <v>2010</v>
      </c>
      <c r="BK2" s="818"/>
      <c r="BL2" s="818"/>
      <c r="BM2" s="818"/>
      <c r="BN2" s="818"/>
      <c r="BO2" s="818"/>
      <c r="BP2" s="818"/>
      <c r="BQ2" s="818"/>
      <c r="BR2" s="818"/>
      <c r="BS2" s="818"/>
      <c r="BT2" s="818"/>
      <c r="BU2" s="819"/>
      <c r="BV2" s="817">
        <v>2011</v>
      </c>
      <c r="BW2" s="818"/>
      <c r="BX2" s="818"/>
      <c r="BY2" s="818"/>
      <c r="BZ2" s="818"/>
      <c r="CA2" s="818"/>
      <c r="CB2" s="818"/>
      <c r="CC2" s="818"/>
      <c r="CD2" s="818"/>
      <c r="CE2" s="818"/>
      <c r="CF2" s="818"/>
      <c r="CG2" s="819"/>
      <c r="CI2" s="823">
        <v>2012</v>
      </c>
      <c r="CJ2" s="823"/>
      <c r="CK2" s="823"/>
      <c r="CL2" s="823"/>
      <c r="CM2" s="823"/>
      <c r="CN2" s="823"/>
      <c r="CO2" s="823"/>
      <c r="CP2" s="823"/>
      <c r="CQ2" s="823"/>
      <c r="CR2" s="823"/>
      <c r="CS2" s="823"/>
      <c r="CT2" s="823"/>
      <c r="CU2" s="823">
        <v>2013</v>
      </c>
      <c r="CV2" s="823"/>
      <c r="CW2" s="823"/>
      <c r="CX2" s="823"/>
      <c r="CY2" s="823"/>
      <c r="CZ2" s="823"/>
      <c r="DA2" s="823"/>
      <c r="DB2" s="823"/>
      <c r="DC2" s="823"/>
      <c r="DD2" s="823"/>
      <c r="DE2" s="823"/>
      <c r="DF2" s="823"/>
      <c r="DG2" s="823">
        <v>2014</v>
      </c>
      <c r="DH2" s="823"/>
      <c r="DI2" s="823"/>
      <c r="DJ2" s="823"/>
      <c r="DK2" s="823"/>
      <c r="DL2" s="823"/>
      <c r="DM2" s="823"/>
      <c r="DN2" s="823"/>
      <c r="DO2" s="823"/>
      <c r="DP2" s="823"/>
      <c r="DQ2" s="823"/>
      <c r="DR2" s="823"/>
    </row>
    <row r="3" spans="1:122">
      <c r="B3" s="820" t="s">
        <v>442</v>
      </c>
      <c r="C3" s="821"/>
      <c r="D3" s="822"/>
      <c r="E3" s="820" t="s">
        <v>443</v>
      </c>
      <c r="F3" s="821"/>
      <c r="G3" s="822"/>
      <c r="H3" s="820" t="s">
        <v>444</v>
      </c>
      <c r="I3" s="821"/>
      <c r="J3" s="822"/>
      <c r="K3" s="820" t="s">
        <v>445</v>
      </c>
      <c r="L3" s="821"/>
      <c r="M3" s="822"/>
      <c r="N3" s="820" t="s">
        <v>442</v>
      </c>
      <c r="O3" s="821"/>
      <c r="P3" s="822"/>
      <c r="Q3" s="820" t="s">
        <v>443</v>
      </c>
      <c r="R3" s="821"/>
      <c r="S3" s="822"/>
      <c r="T3" s="820" t="s">
        <v>444</v>
      </c>
      <c r="U3" s="821"/>
      <c r="V3" s="822"/>
      <c r="W3" s="820" t="s">
        <v>445</v>
      </c>
      <c r="X3" s="821"/>
      <c r="Y3" s="822"/>
      <c r="Z3" s="820" t="s">
        <v>442</v>
      </c>
      <c r="AA3" s="821"/>
      <c r="AB3" s="822"/>
      <c r="AC3" s="820" t="s">
        <v>443</v>
      </c>
      <c r="AD3" s="821"/>
      <c r="AE3" s="822"/>
      <c r="AF3" s="820" t="s">
        <v>444</v>
      </c>
      <c r="AG3" s="821"/>
      <c r="AH3" s="822"/>
      <c r="AI3" s="820" t="s">
        <v>445</v>
      </c>
      <c r="AJ3" s="821"/>
      <c r="AK3" s="822"/>
      <c r="AL3" s="820" t="s">
        <v>442</v>
      </c>
      <c r="AM3" s="821"/>
      <c r="AN3" s="822"/>
      <c r="AO3" s="820" t="s">
        <v>443</v>
      </c>
      <c r="AP3" s="821"/>
      <c r="AQ3" s="822"/>
      <c r="AR3" s="820" t="s">
        <v>444</v>
      </c>
      <c r="AS3" s="821"/>
      <c r="AT3" s="822"/>
      <c r="AU3" s="820" t="s">
        <v>445</v>
      </c>
      <c r="AV3" s="821"/>
      <c r="AW3" s="822"/>
      <c r="AX3" s="820" t="s">
        <v>442</v>
      </c>
      <c r="AY3" s="821"/>
      <c r="AZ3" s="822"/>
      <c r="BA3" s="820" t="s">
        <v>443</v>
      </c>
      <c r="BB3" s="821"/>
      <c r="BC3" s="822"/>
      <c r="BD3" s="820" t="s">
        <v>444</v>
      </c>
      <c r="BE3" s="821"/>
      <c r="BF3" s="822"/>
      <c r="BG3" s="820" t="s">
        <v>445</v>
      </c>
      <c r="BH3" s="821"/>
      <c r="BI3" s="822"/>
      <c r="BJ3" s="820" t="s">
        <v>442</v>
      </c>
      <c r="BK3" s="821"/>
      <c r="BL3" s="822"/>
      <c r="BM3" s="820" t="s">
        <v>443</v>
      </c>
      <c r="BN3" s="821"/>
      <c r="BO3" s="822"/>
      <c r="BP3" s="820" t="s">
        <v>444</v>
      </c>
      <c r="BQ3" s="821"/>
      <c r="BR3" s="822"/>
      <c r="BS3" s="820" t="s">
        <v>445</v>
      </c>
      <c r="BT3" s="821"/>
      <c r="BU3" s="822"/>
      <c r="BV3" s="820" t="s">
        <v>442</v>
      </c>
      <c r="BW3" s="821"/>
      <c r="BX3" s="822"/>
      <c r="BY3" s="820" t="s">
        <v>443</v>
      </c>
      <c r="BZ3" s="821"/>
      <c r="CA3" s="822"/>
      <c r="CB3" s="820" t="s">
        <v>444</v>
      </c>
      <c r="CC3" s="821"/>
      <c r="CD3" s="822"/>
      <c r="CE3" s="820" t="s">
        <v>445</v>
      </c>
      <c r="CF3" s="821"/>
      <c r="CG3" s="822"/>
      <c r="CH3" s="824" t="s">
        <v>446</v>
      </c>
      <c r="CI3" s="820" t="s">
        <v>442</v>
      </c>
      <c r="CJ3" s="821"/>
      <c r="CK3" s="822"/>
      <c r="CL3" s="820" t="s">
        <v>443</v>
      </c>
      <c r="CM3" s="821"/>
      <c r="CN3" s="822"/>
      <c r="CO3" s="820" t="s">
        <v>444</v>
      </c>
      <c r="CP3" s="821"/>
      <c r="CQ3" s="822"/>
      <c r="CR3" s="820" t="s">
        <v>445</v>
      </c>
      <c r="CS3" s="821"/>
      <c r="CT3" s="822"/>
      <c r="CU3" s="820" t="s">
        <v>442</v>
      </c>
      <c r="CV3" s="821"/>
      <c r="CW3" s="822"/>
      <c r="CX3" s="820" t="s">
        <v>443</v>
      </c>
      <c r="CY3" s="821"/>
      <c r="CZ3" s="822"/>
      <c r="DA3" s="820" t="s">
        <v>444</v>
      </c>
      <c r="DB3" s="821"/>
      <c r="DC3" s="822"/>
      <c r="DD3" s="820" t="s">
        <v>445</v>
      </c>
      <c r="DE3" s="821"/>
      <c r="DF3" s="822"/>
      <c r="DG3" s="820" t="s">
        <v>442</v>
      </c>
      <c r="DH3" s="821"/>
      <c r="DI3" s="822"/>
      <c r="DJ3" s="820" t="s">
        <v>443</v>
      </c>
      <c r="DK3" s="821"/>
      <c r="DL3" s="822"/>
      <c r="DM3" s="820" t="s">
        <v>444</v>
      </c>
      <c r="DN3" s="821"/>
      <c r="DO3" s="822"/>
      <c r="DP3" s="820" t="s">
        <v>445</v>
      </c>
      <c r="DQ3" s="821"/>
      <c r="DR3" s="822"/>
    </row>
    <row r="4" spans="1:122">
      <c r="B4" s="124" t="s">
        <v>447</v>
      </c>
      <c r="C4" s="125" t="s">
        <v>448</v>
      </c>
      <c r="D4" s="126" t="s">
        <v>449</v>
      </c>
      <c r="E4" s="124" t="s">
        <v>450</v>
      </c>
      <c r="F4" s="125" t="s">
        <v>14</v>
      </c>
      <c r="G4" s="126" t="s">
        <v>451</v>
      </c>
      <c r="H4" s="124" t="s">
        <v>452</v>
      </c>
      <c r="I4" s="125" t="s">
        <v>453</v>
      </c>
      <c r="J4" s="126" t="s">
        <v>454</v>
      </c>
      <c r="K4" s="124" t="s">
        <v>455</v>
      </c>
      <c r="L4" s="125" t="s">
        <v>456</v>
      </c>
      <c r="M4" s="126" t="s">
        <v>457</v>
      </c>
      <c r="N4" s="127" t="s">
        <v>447</v>
      </c>
      <c r="O4" s="127" t="s">
        <v>448</v>
      </c>
      <c r="P4" s="127" t="s">
        <v>449</v>
      </c>
      <c r="Q4" s="127" t="s">
        <v>450</v>
      </c>
      <c r="R4" s="127" t="s">
        <v>14</v>
      </c>
      <c r="S4" s="127" t="s">
        <v>451</v>
      </c>
      <c r="T4" s="127" t="s">
        <v>452</v>
      </c>
      <c r="U4" s="127" t="s">
        <v>453</v>
      </c>
      <c r="V4" s="127" t="s">
        <v>454</v>
      </c>
      <c r="W4" s="127" t="s">
        <v>455</v>
      </c>
      <c r="X4" s="127" t="s">
        <v>456</v>
      </c>
      <c r="Y4" s="128" t="s">
        <v>457</v>
      </c>
      <c r="Z4" s="125" t="s">
        <v>447</v>
      </c>
      <c r="AA4" s="125" t="s">
        <v>448</v>
      </c>
      <c r="AB4" s="125" t="s">
        <v>449</v>
      </c>
      <c r="AC4" s="125" t="s">
        <v>450</v>
      </c>
      <c r="AD4" s="125" t="s">
        <v>14</v>
      </c>
      <c r="AE4" s="125" t="s">
        <v>451</v>
      </c>
      <c r="AF4" s="125" t="s">
        <v>452</v>
      </c>
      <c r="AG4" s="125" t="s">
        <v>453</v>
      </c>
      <c r="AH4" s="125" t="s">
        <v>454</v>
      </c>
      <c r="AI4" s="125" t="s">
        <v>455</v>
      </c>
      <c r="AJ4" s="125" t="s">
        <v>456</v>
      </c>
      <c r="AK4" s="126" t="s">
        <v>457</v>
      </c>
      <c r="AL4" s="125" t="s">
        <v>447</v>
      </c>
      <c r="AM4" s="125" t="s">
        <v>448</v>
      </c>
      <c r="AN4" s="125" t="s">
        <v>449</v>
      </c>
      <c r="AO4" s="125" t="s">
        <v>450</v>
      </c>
      <c r="AP4" s="125" t="s">
        <v>14</v>
      </c>
      <c r="AQ4" s="125" t="s">
        <v>451</v>
      </c>
      <c r="AR4" s="125" t="s">
        <v>452</v>
      </c>
      <c r="AS4" s="125" t="s">
        <v>453</v>
      </c>
      <c r="AT4" s="125" t="s">
        <v>454</v>
      </c>
      <c r="AU4" s="125" t="s">
        <v>455</v>
      </c>
      <c r="AV4" s="125" t="s">
        <v>456</v>
      </c>
      <c r="AW4" s="126" t="s">
        <v>457</v>
      </c>
      <c r="AX4" s="125" t="s">
        <v>447</v>
      </c>
      <c r="AY4" s="125" t="s">
        <v>448</v>
      </c>
      <c r="AZ4" s="125" t="s">
        <v>449</v>
      </c>
      <c r="BA4" s="125" t="s">
        <v>450</v>
      </c>
      <c r="BB4" s="125" t="s">
        <v>14</v>
      </c>
      <c r="BC4" s="125" t="s">
        <v>451</v>
      </c>
      <c r="BD4" s="125" t="s">
        <v>452</v>
      </c>
      <c r="BE4" s="125" t="s">
        <v>453</v>
      </c>
      <c r="BF4" s="125" t="s">
        <v>454</v>
      </c>
      <c r="BG4" s="125" t="s">
        <v>455</v>
      </c>
      <c r="BH4" s="125" t="s">
        <v>456</v>
      </c>
      <c r="BI4" s="126" t="s">
        <v>457</v>
      </c>
      <c r="BJ4" s="125" t="s">
        <v>447</v>
      </c>
      <c r="BK4" s="125" t="s">
        <v>448</v>
      </c>
      <c r="BL4" s="125" t="s">
        <v>449</v>
      </c>
      <c r="BM4" s="125" t="s">
        <v>450</v>
      </c>
      <c r="BN4" s="125" t="s">
        <v>14</v>
      </c>
      <c r="BO4" s="125" t="s">
        <v>451</v>
      </c>
      <c r="BP4" s="125" t="s">
        <v>452</v>
      </c>
      <c r="BQ4" s="125" t="s">
        <v>453</v>
      </c>
      <c r="BR4" s="125" t="s">
        <v>454</v>
      </c>
      <c r="BS4" s="125" t="s">
        <v>455</v>
      </c>
      <c r="BT4" s="125" t="s">
        <v>456</v>
      </c>
      <c r="BU4" s="126" t="s">
        <v>457</v>
      </c>
      <c r="BV4" s="125" t="s">
        <v>447</v>
      </c>
      <c r="BW4" s="125" t="s">
        <v>448</v>
      </c>
      <c r="BX4" s="125" t="s">
        <v>449</v>
      </c>
      <c r="BY4" s="125" t="s">
        <v>450</v>
      </c>
      <c r="BZ4" s="125" t="s">
        <v>14</v>
      </c>
      <c r="CA4" s="125" t="s">
        <v>451</v>
      </c>
      <c r="CB4" s="125" t="s">
        <v>452</v>
      </c>
      <c r="CC4" s="125" t="s">
        <v>453</v>
      </c>
      <c r="CD4" s="125" t="s">
        <v>454</v>
      </c>
      <c r="CE4" s="125" t="s">
        <v>455</v>
      </c>
      <c r="CF4" s="125" t="s">
        <v>456</v>
      </c>
      <c r="CG4" s="126" t="s">
        <v>457</v>
      </c>
      <c r="CH4" s="824"/>
      <c r="CI4" s="124" t="s">
        <v>447</v>
      </c>
      <c r="CJ4" s="125" t="s">
        <v>448</v>
      </c>
      <c r="CK4" s="126" t="s">
        <v>449</v>
      </c>
      <c r="CL4" s="124" t="s">
        <v>450</v>
      </c>
      <c r="CM4" s="125" t="s">
        <v>14</v>
      </c>
      <c r="CN4" s="126" t="s">
        <v>451</v>
      </c>
      <c r="CO4" s="125" t="s">
        <v>452</v>
      </c>
      <c r="CP4" s="125" t="s">
        <v>453</v>
      </c>
      <c r="CQ4" s="125" t="s">
        <v>454</v>
      </c>
      <c r="CR4" s="125" t="s">
        <v>455</v>
      </c>
      <c r="CS4" s="125" t="s">
        <v>456</v>
      </c>
      <c r="CT4" s="125" t="s">
        <v>457</v>
      </c>
      <c r="CU4" s="125" t="s">
        <v>447</v>
      </c>
      <c r="CV4" s="125" t="s">
        <v>448</v>
      </c>
      <c r="CW4" s="125" t="s">
        <v>449</v>
      </c>
      <c r="CX4" s="125" t="s">
        <v>450</v>
      </c>
      <c r="CY4" s="125" t="s">
        <v>14</v>
      </c>
      <c r="CZ4" s="125" t="s">
        <v>451</v>
      </c>
      <c r="DA4" s="125" t="s">
        <v>452</v>
      </c>
      <c r="DB4" s="125" t="s">
        <v>453</v>
      </c>
      <c r="DC4" s="125" t="s">
        <v>454</v>
      </c>
      <c r="DD4" s="125" t="s">
        <v>455</v>
      </c>
      <c r="DE4" s="125" t="s">
        <v>456</v>
      </c>
      <c r="DF4" s="125" t="s">
        <v>457</v>
      </c>
      <c r="DG4" s="125" t="s">
        <v>447</v>
      </c>
      <c r="DH4" s="125" t="s">
        <v>448</v>
      </c>
      <c r="DI4" s="125" t="s">
        <v>449</v>
      </c>
      <c r="DJ4" s="125" t="s">
        <v>450</v>
      </c>
      <c r="DK4" s="125" t="s">
        <v>14</v>
      </c>
      <c r="DL4" s="125" t="s">
        <v>451</v>
      </c>
      <c r="DM4" s="125" t="s">
        <v>452</v>
      </c>
      <c r="DN4" s="125" t="s">
        <v>453</v>
      </c>
      <c r="DO4" s="125" t="s">
        <v>454</v>
      </c>
      <c r="DP4" s="125" t="s">
        <v>455</v>
      </c>
      <c r="DQ4" s="125" t="s">
        <v>456</v>
      </c>
      <c r="DR4" s="125" t="s">
        <v>457</v>
      </c>
    </row>
    <row r="5" spans="1:122">
      <c r="B5" s="129">
        <v>1</v>
      </c>
      <c r="C5" s="129">
        <v>2</v>
      </c>
      <c r="D5" s="129">
        <v>3</v>
      </c>
      <c r="E5" s="129">
        <v>4</v>
      </c>
      <c r="F5" s="129">
        <v>5</v>
      </c>
      <c r="G5" s="129">
        <v>6</v>
      </c>
      <c r="H5" s="129">
        <v>7</v>
      </c>
      <c r="I5" s="129">
        <v>8</v>
      </c>
      <c r="J5" s="129">
        <v>9</v>
      </c>
      <c r="K5" s="129">
        <v>10</v>
      </c>
      <c r="L5" s="129">
        <v>11</v>
      </c>
      <c r="M5" s="129">
        <v>12</v>
      </c>
      <c r="N5" s="129">
        <v>1</v>
      </c>
      <c r="O5" s="129">
        <v>2</v>
      </c>
      <c r="P5" s="129">
        <v>3</v>
      </c>
      <c r="Q5" s="129">
        <v>4</v>
      </c>
      <c r="R5" s="129">
        <v>5</v>
      </c>
      <c r="S5" s="129">
        <v>6</v>
      </c>
      <c r="T5" s="129">
        <v>7</v>
      </c>
      <c r="U5" s="129">
        <v>8</v>
      </c>
      <c r="V5" s="129">
        <v>9</v>
      </c>
      <c r="W5" s="129">
        <v>10</v>
      </c>
      <c r="X5" s="129">
        <v>11</v>
      </c>
      <c r="Y5" s="129">
        <v>12</v>
      </c>
      <c r="Z5" s="129">
        <v>1</v>
      </c>
      <c r="AA5" s="129">
        <v>2</v>
      </c>
      <c r="AB5" s="129">
        <v>3</v>
      </c>
      <c r="AC5" s="129">
        <v>4</v>
      </c>
      <c r="AD5" s="129">
        <v>5</v>
      </c>
      <c r="AE5" s="129">
        <v>6</v>
      </c>
      <c r="AF5" s="129">
        <v>7</v>
      </c>
      <c r="AG5" s="129">
        <v>8</v>
      </c>
      <c r="AH5" s="129">
        <v>9</v>
      </c>
      <c r="AI5" s="129">
        <v>10</v>
      </c>
      <c r="AJ5" s="129">
        <v>11</v>
      </c>
      <c r="AK5" s="129">
        <v>12</v>
      </c>
      <c r="AL5" s="129">
        <v>1</v>
      </c>
      <c r="AM5" s="129">
        <v>2</v>
      </c>
      <c r="AN5" s="129">
        <v>3</v>
      </c>
      <c r="AO5" s="129">
        <v>4</v>
      </c>
      <c r="AP5" s="129">
        <v>5</v>
      </c>
      <c r="AQ5" s="129">
        <v>6</v>
      </c>
      <c r="AR5" s="129">
        <v>7</v>
      </c>
      <c r="AS5" s="129">
        <v>8</v>
      </c>
      <c r="AT5" s="129">
        <v>9</v>
      </c>
      <c r="AU5" s="129">
        <v>10</v>
      </c>
      <c r="AV5" s="129">
        <v>11</v>
      </c>
      <c r="AW5" s="129">
        <v>12</v>
      </c>
      <c r="AX5" s="129">
        <v>1</v>
      </c>
      <c r="AY5" s="129">
        <v>2</v>
      </c>
      <c r="AZ5" s="129">
        <v>3</v>
      </c>
      <c r="BA5" s="129">
        <v>4</v>
      </c>
      <c r="BB5" s="129">
        <v>5</v>
      </c>
      <c r="BC5" s="129">
        <v>6</v>
      </c>
      <c r="BD5" s="129">
        <v>7</v>
      </c>
      <c r="BE5" s="129">
        <v>8</v>
      </c>
      <c r="BF5" s="129">
        <v>9</v>
      </c>
      <c r="BG5" s="129">
        <v>10</v>
      </c>
      <c r="BH5" s="129">
        <v>11</v>
      </c>
      <c r="BI5" s="129">
        <v>12</v>
      </c>
      <c r="BJ5" s="129">
        <v>1</v>
      </c>
      <c r="BK5" s="129">
        <v>2</v>
      </c>
      <c r="BL5" s="129">
        <v>3</v>
      </c>
      <c r="BM5" s="129">
        <v>4</v>
      </c>
      <c r="BN5" s="129">
        <v>5</v>
      </c>
      <c r="BO5" s="129">
        <v>6</v>
      </c>
      <c r="BP5" s="129">
        <v>7</v>
      </c>
      <c r="BQ5" s="129">
        <v>8</v>
      </c>
      <c r="BR5" s="129">
        <v>9</v>
      </c>
      <c r="BS5" s="129">
        <v>10</v>
      </c>
      <c r="BT5" s="129">
        <v>11</v>
      </c>
      <c r="BU5" s="129">
        <v>12</v>
      </c>
      <c r="BV5" s="129">
        <v>1</v>
      </c>
      <c r="BW5" s="129">
        <v>2</v>
      </c>
      <c r="BX5" s="129">
        <v>3</v>
      </c>
      <c r="BY5" s="129">
        <v>4</v>
      </c>
      <c r="BZ5" s="129">
        <v>5</v>
      </c>
      <c r="CA5" s="129">
        <v>6</v>
      </c>
      <c r="CB5" s="129">
        <v>7</v>
      </c>
      <c r="CC5" s="129">
        <v>8</v>
      </c>
      <c r="CD5" s="129">
        <v>9</v>
      </c>
      <c r="CE5" s="129">
        <v>10</v>
      </c>
      <c r="CF5" s="129">
        <v>11</v>
      </c>
      <c r="CG5" s="129">
        <v>12</v>
      </c>
      <c r="CH5" s="824"/>
      <c r="CI5" s="129">
        <v>1</v>
      </c>
      <c r="CJ5" s="129">
        <v>2</v>
      </c>
      <c r="CK5" s="129">
        <v>3</v>
      </c>
      <c r="CL5" s="129">
        <v>4</v>
      </c>
      <c r="CM5" s="129">
        <v>5</v>
      </c>
      <c r="CN5" s="129">
        <v>6</v>
      </c>
      <c r="CO5" s="129">
        <v>7</v>
      </c>
      <c r="CP5" s="129">
        <v>8</v>
      </c>
      <c r="CQ5" s="129">
        <v>9</v>
      </c>
      <c r="CR5" s="129">
        <v>10</v>
      </c>
    </row>
    <row r="6" spans="1:122">
      <c r="B6" s="129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30">
        <f t="shared" ref="Z6:AK6" si="0">Z7/N7</f>
        <v>1.2882912288913249</v>
      </c>
      <c r="AA6" s="131">
        <f t="shared" si="0"/>
        <v>1.23445048537808</v>
      </c>
      <c r="AB6" s="131">
        <f t="shared" si="0"/>
        <v>1.301300567331763</v>
      </c>
      <c r="AC6" s="131">
        <f t="shared" si="0"/>
        <v>1.3348024732722124</v>
      </c>
      <c r="AD6" s="131">
        <f t="shared" si="0"/>
        <v>0.79828952299373623</v>
      </c>
      <c r="AE6" s="131">
        <f t="shared" si="0"/>
        <v>0.84958067707637752</v>
      </c>
      <c r="AF6" s="131">
        <f t="shared" si="0"/>
        <v>1.0748845863166872</v>
      </c>
      <c r="AG6" s="131">
        <f t="shared" si="0"/>
        <v>1.0418076857167338</v>
      </c>
      <c r="AH6" s="131">
        <f t="shared" si="0"/>
        <v>1.0968712414640853</v>
      </c>
      <c r="AI6" s="131">
        <f t="shared" si="0"/>
        <v>1.4312792299947426</v>
      </c>
      <c r="AJ6" s="131">
        <f t="shared" si="0"/>
        <v>1.7163863268442048</v>
      </c>
      <c r="AK6" s="131">
        <f t="shared" si="0"/>
        <v>0.89917713678994859</v>
      </c>
      <c r="AL6" s="129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9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9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32">
        <f>BV7/BU7</f>
        <v>0.54800285158602169</v>
      </c>
      <c r="BW6" s="132">
        <f>BW7/BV7</f>
        <v>1.4341467111245831</v>
      </c>
      <c r="BX6" s="132">
        <f t="shared" ref="BX6:CG6" si="1">BX7/BW7</f>
        <v>1.1001144870101278</v>
      </c>
      <c r="BY6" s="132">
        <f t="shared" si="1"/>
        <v>1.0777029731503864</v>
      </c>
      <c r="BZ6" s="132">
        <f t="shared" si="1"/>
        <v>0.94641391425780608</v>
      </c>
      <c r="CA6" s="132">
        <f t="shared" si="1"/>
        <v>0.98120249116046165</v>
      </c>
      <c r="CB6" s="132">
        <f t="shared" si="1"/>
        <v>1.126920261887526</v>
      </c>
      <c r="CC6" s="132">
        <f t="shared" si="1"/>
        <v>1.2500310542473339</v>
      </c>
      <c r="CD6" s="132">
        <f t="shared" si="1"/>
        <v>0.92281702937126475</v>
      </c>
      <c r="CE6" s="132">
        <f t="shared" si="1"/>
        <v>0.82536073593206782</v>
      </c>
      <c r="CF6" s="132">
        <f t="shared" si="1"/>
        <v>0.93603760432703231</v>
      </c>
      <c r="CG6" s="132">
        <f t="shared" si="1"/>
        <v>1.4834493524698535</v>
      </c>
      <c r="CH6" s="133"/>
      <c r="CI6" s="132">
        <f>CI7/CG7</f>
        <v>0.54683682947388768</v>
      </c>
      <c r="CJ6" s="132">
        <f>CJ7/CI7</f>
        <v>1.3189985272459501</v>
      </c>
      <c r="CK6" s="132">
        <f t="shared" ref="CK6:CT6" si="2">CK7/CJ7</f>
        <v>0.89880527020991507</v>
      </c>
      <c r="CL6" s="132">
        <f t="shared" si="2"/>
        <v>1.1342782960855684</v>
      </c>
      <c r="CM6" s="132">
        <f t="shared" si="2"/>
        <v>1.1120627341029068</v>
      </c>
      <c r="CN6" s="132">
        <f t="shared" si="2"/>
        <v>1.0889190910463735</v>
      </c>
      <c r="CO6" s="132">
        <f t="shared" si="2"/>
        <v>0.75309014169430211</v>
      </c>
      <c r="CP6" s="132">
        <f t="shared" si="2"/>
        <v>0.91913530824659728</v>
      </c>
      <c r="CQ6" s="132">
        <f t="shared" si="2"/>
        <v>1.0744773519163764</v>
      </c>
      <c r="CR6" s="132">
        <f t="shared" si="2"/>
        <v>1.2556059991892987</v>
      </c>
      <c r="CS6" s="132">
        <f>CS7/CR7</f>
        <v>0.90520018853427509</v>
      </c>
      <c r="CT6" s="132">
        <f t="shared" si="2"/>
        <v>1.3174365979179223</v>
      </c>
      <c r="CU6" s="134">
        <f>CU7/CT7</f>
        <v>0.6542230644288034</v>
      </c>
      <c r="CV6" s="134">
        <f>CV7/CU7</f>
        <v>1.3441180121653495</v>
      </c>
      <c r="CW6" s="134">
        <f>CW7/CV7</f>
        <v>0.97260438440675678</v>
      </c>
      <c r="CX6" s="134">
        <f>CX7/CW7</f>
        <v>1.2038938512474124</v>
      </c>
      <c r="CY6" s="134">
        <f>CY7/CX7</f>
        <v>0.65389337743295006</v>
      </c>
      <c r="CZ6" s="135">
        <f t="shared" ref="CZ6:DF6" si="3">CN6</f>
        <v>1.0889190910463735</v>
      </c>
      <c r="DA6" s="135">
        <f t="shared" si="3"/>
        <v>0.75309014169430211</v>
      </c>
      <c r="DB6" s="135">
        <f t="shared" si="3"/>
        <v>0.91913530824659728</v>
      </c>
      <c r="DC6" s="135">
        <f t="shared" si="3"/>
        <v>1.0744773519163764</v>
      </c>
      <c r="DD6" s="135">
        <f t="shared" si="3"/>
        <v>1.2556059991892987</v>
      </c>
      <c r="DE6" s="135">
        <f t="shared" si="3"/>
        <v>0.90520018853427509</v>
      </c>
      <c r="DF6" s="135">
        <f t="shared" si="3"/>
        <v>1.3174365979179223</v>
      </c>
      <c r="DG6" s="135">
        <f>CU6</f>
        <v>0.6542230644288034</v>
      </c>
      <c r="DH6" s="135">
        <f>CV6</f>
        <v>1.3441180121653495</v>
      </c>
      <c r="DI6" s="135">
        <f>CW6</f>
        <v>0.97260438440675678</v>
      </c>
      <c r="DJ6" s="135">
        <f>CX6</f>
        <v>1.2038938512474124</v>
      </c>
      <c r="DK6" s="135">
        <f>CY6</f>
        <v>0.65389337743295006</v>
      </c>
    </row>
    <row r="7" spans="1:122">
      <c r="A7" s="123" t="s">
        <v>458</v>
      </c>
      <c r="B7" s="136">
        <v>1262.47</v>
      </c>
      <c r="C7" s="137">
        <v>1485.83</v>
      </c>
      <c r="D7" s="137">
        <v>1948.12</v>
      </c>
      <c r="E7" s="137">
        <v>1999.25</v>
      </c>
      <c r="F7" s="137">
        <v>1848.68</v>
      </c>
      <c r="G7" s="137">
        <v>1935</v>
      </c>
      <c r="H7" s="137">
        <v>1853.38</v>
      </c>
      <c r="I7" s="137">
        <v>2003.59</v>
      </c>
      <c r="J7" s="137">
        <v>2156.9899999999998</v>
      </c>
      <c r="K7" s="137">
        <v>2125.4699999999998</v>
      </c>
      <c r="L7" s="137">
        <v>2006.36</v>
      </c>
      <c r="M7" s="138">
        <v>2330.5500000000002</v>
      </c>
      <c r="N7" s="137">
        <v>1623.74</v>
      </c>
      <c r="O7" s="137">
        <v>1980.93</v>
      </c>
      <c r="P7" s="137">
        <v>2700.36</v>
      </c>
      <c r="Q7" s="137">
        <v>3283.1</v>
      </c>
      <c r="R7" s="137">
        <v>4482.96</v>
      </c>
      <c r="S7" s="137">
        <v>3669.01</v>
      </c>
      <c r="T7" s="137">
        <v>3294.67</v>
      </c>
      <c r="U7" s="137">
        <v>3734.72</v>
      </c>
      <c r="V7" s="137">
        <v>3018.13</v>
      </c>
      <c r="W7" s="137">
        <v>2910.11</v>
      </c>
      <c r="X7" s="137">
        <v>2674.73</v>
      </c>
      <c r="Y7" s="138">
        <v>4294.76</v>
      </c>
      <c r="Z7" s="136">
        <v>2091.85</v>
      </c>
      <c r="AA7" s="137">
        <v>2445.36</v>
      </c>
      <c r="AB7" s="137">
        <v>3513.98</v>
      </c>
      <c r="AC7" s="137">
        <v>4382.29</v>
      </c>
      <c r="AD7" s="137">
        <v>3578.7</v>
      </c>
      <c r="AE7" s="137">
        <v>3117.12</v>
      </c>
      <c r="AF7" s="137">
        <v>3541.39</v>
      </c>
      <c r="AG7" s="137">
        <v>3890.86</v>
      </c>
      <c r="AH7" s="137">
        <v>3310.5</v>
      </c>
      <c r="AI7" s="137">
        <v>4165.18</v>
      </c>
      <c r="AJ7" s="137">
        <v>4590.87</v>
      </c>
      <c r="AK7" s="138">
        <v>3861.75</v>
      </c>
      <c r="AL7" s="136">
        <v>2167.34</v>
      </c>
      <c r="AM7" s="137">
        <v>2445.94</v>
      </c>
      <c r="AN7" s="137">
        <v>3658.22</v>
      </c>
      <c r="AO7" s="137">
        <v>3402.55</v>
      </c>
      <c r="AP7" s="137">
        <v>2625.59</v>
      </c>
      <c r="AQ7" s="137">
        <v>2696.61</v>
      </c>
      <c r="AR7" s="137">
        <v>3475.83</v>
      </c>
      <c r="AS7" s="137">
        <v>2962.65</v>
      </c>
      <c r="AT7" s="137">
        <v>2577.5700000000002</v>
      </c>
      <c r="AU7" s="137">
        <v>2389.65</v>
      </c>
      <c r="AV7" s="137">
        <v>1468.33</v>
      </c>
      <c r="AW7" s="138">
        <v>1955.25</v>
      </c>
      <c r="AX7" s="136">
        <v>1414.44</v>
      </c>
      <c r="AY7" s="137">
        <v>3222.16</v>
      </c>
      <c r="AZ7" s="137">
        <v>3444.77</v>
      </c>
      <c r="BA7" s="137">
        <v>3584.58</v>
      </c>
      <c r="BB7" s="137">
        <v>3264.97</v>
      </c>
      <c r="BC7" s="137">
        <v>3021.35</v>
      </c>
      <c r="BD7" s="137">
        <v>2659.56</v>
      </c>
      <c r="BE7" s="137">
        <v>2213.14</v>
      </c>
      <c r="BF7" s="137">
        <v>2348.7800000000002</v>
      </c>
      <c r="BG7" s="137">
        <v>3688.42</v>
      </c>
      <c r="BH7" s="137">
        <v>3009.34</v>
      </c>
      <c r="BI7" s="138">
        <v>3502.34</v>
      </c>
      <c r="BJ7" s="136">
        <v>1925.45</v>
      </c>
      <c r="BK7" s="137">
        <v>2992.57</v>
      </c>
      <c r="BL7" s="137">
        <v>3512.96</v>
      </c>
      <c r="BM7" s="137">
        <v>3486.06</v>
      </c>
      <c r="BN7" s="137">
        <v>3906.13</v>
      </c>
      <c r="BO7" s="137">
        <v>2812.1</v>
      </c>
      <c r="BP7" s="137">
        <v>2488.87</v>
      </c>
      <c r="BQ7" s="137">
        <v>2426.31</v>
      </c>
      <c r="BR7" s="137">
        <v>2464.5300000000002</v>
      </c>
      <c r="BS7" s="137">
        <v>2479.2800000000002</v>
      </c>
      <c r="BT7" s="137">
        <v>2599.41</v>
      </c>
      <c r="BU7" s="138">
        <v>2889.62</v>
      </c>
      <c r="BV7" s="139">
        <v>1583.52</v>
      </c>
      <c r="BW7" s="139">
        <v>2271</v>
      </c>
      <c r="BX7" s="139">
        <v>2498.36</v>
      </c>
      <c r="BY7" s="139">
        <v>2692.49</v>
      </c>
      <c r="BZ7" s="139">
        <v>2548.21</v>
      </c>
      <c r="CA7" s="139">
        <v>2500.31</v>
      </c>
      <c r="CB7" s="139">
        <v>2817.65</v>
      </c>
      <c r="CC7" s="139">
        <v>3522.15</v>
      </c>
      <c r="CD7" s="139">
        <v>3250.3</v>
      </c>
      <c r="CE7" s="123">
        <v>2682.67</v>
      </c>
      <c r="CF7" s="139">
        <v>2511.08</v>
      </c>
      <c r="CG7" s="139">
        <v>3725.06</v>
      </c>
      <c r="CI7" s="139">
        <v>2037</v>
      </c>
      <c r="CJ7" s="139">
        <v>2686.8</v>
      </c>
      <c r="CK7" s="139">
        <v>2414.91</v>
      </c>
      <c r="CL7" s="139">
        <v>2739.18</v>
      </c>
      <c r="CM7" s="139">
        <v>3046.14</v>
      </c>
      <c r="CN7" s="139">
        <v>3317</v>
      </c>
      <c r="CO7" s="139">
        <v>2498</v>
      </c>
      <c r="CP7" s="139">
        <v>2296</v>
      </c>
      <c r="CQ7" s="139">
        <v>2467</v>
      </c>
      <c r="CR7" s="139">
        <v>3097.58</v>
      </c>
      <c r="CS7" s="139">
        <v>2803.93</v>
      </c>
      <c r="CT7" s="139">
        <v>3694</v>
      </c>
      <c r="CU7" s="139">
        <v>2416.6999999999998</v>
      </c>
      <c r="CV7" s="139">
        <v>3248.33</v>
      </c>
      <c r="CW7" s="139">
        <v>3159.34</v>
      </c>
      <c r="CX7" s="139">
        <v>3803.51</v>
      </c>
      <c r="CY7" s="123">
        <v>2487.09</v>
      </c>
      <c r="CZ7" s="123">
        <f t="shared" ref="CZ7:DG7" si="4">CY7*CZ6</f>
        <v>2708.2397821505251</v>
      </c>
      <c r="DA7" s="123">
        <f t="shared" si="4"/>
        <v>2039.5486812818849</v>
      </c>
      <c r="DB7" s="123">
        <f t="shared" si="4"/>
        <v>1874.6212058539663</v>
      </c>
      <c r="DC7" s="123">
        <f t="shared" si="4"/>
        <v>2014.238029112254</v>
      </c>
      <c r="DD7" s="123">
        <f t="shared" si="4"/>
        <v>2529.0893531485754</v>
      </c>
      <c r="DE7" s="123">
        <f t="shared" si="4"/>
        <v>2289.3321592901184</v>
      </c>
      <c r="DF7" s="123">
        <f t="shared" si="4"/>
        <v>3016.0499714392645</v>
      </c>
      <c r="DG7" s="123">
        <f t="shared" si="4"/>
        <v>1973.1694547854006</v>
      </c>
      <c r="DH7" s="123">
        <f>DG7*DH6</f>
        <v>2652.1726052315394</v>
      </c>
      <c r="DI7" s="123">
        <f>DH7*DI6</f>
        <v>2579.5147040516858</v>
      </c>
      <c r="DJ7" s="123">
        <f>DI7*DJ6</f>
        <v>3105.4618914101134</v>
      </c>
      <c r="DK7" s="123">
        <f>DJ7*DK6</f>
        <v>2030.6409646634763</v>
      </c>
    </row>
    <row r="8" spans="1:122">
      <c r="A8" s="123" t="s">
        <v>459</v>
      </c>
      <c r="B8" s="140">
        <f>[18]курс!G514</f>
        <v>28.009499999999992</v>
      </c>
      <c r="C8" s="141">
        <f>[18]курс!G533</f>
        <v>27.995394736842105</v>
      </c>
      <c r="D8" s="141">
        <f>[18]курс!G555</f>
        <v>27.626422727272725</v>
      </c>
      <c r="E8" s="141">
        <f>[18]курс!G577</f>
        <v>27.810354545454548</v>
      </c>
      <c r="F8" s="141">
        <f>[18]курс!G595</f>
        <v>27.951377777777779</v>
      </c>
      <c r="G8" s="141">
        <f>[18]курс!G616</f>
        <v>28.49786666666666</v>
      </c>
      <c r="H8" s="141">
        <f>[18]курс!G638</f>
        <v>28.694431818181819</v>
      </c>
      <c r="I8" s="141">
        <f>[18]курс!G660</f>
        <v>28.479809090909086</v>
      </c>
      <c r="J8" s="141">
        <f>[18]курс!G682</f>
        <v>28.380013636363639</v>
      </c>
      <c r="K8" s="141">
        <f>[18]курс!G703</f>
        <v>28.563133333333326</v>
      </c>
      <c r="L8" s="141">
        <f>[18]курс!G724</f>
        <v>28.762576190476196</v>
      </c>
      <c r="M8" s="142">
        <f>[18]курс!G747</f>
        <v>28.804599999999997</v>
      </c>
      <c r="N8" s="140">
        <f>[18]курс!G762</f>
        <v>28.228133333333336</v>
      </c>
      <c r="O8" s="141">
        <f>[18]курс!G781</f>
        <v>28.1946052631579</v>
      </c>
      <c r="P8" s="141">
        <f>[18]курс!G803</f>
        <v>27.87377272727273</v>
      </c>
      <c r="Q8" s="141">
        <f>[18]курс!G824</f>
        <v>27.564476190476192</v>
      </c>
      <c r="R8" s="141">
        <f>[18]курс!G844</f>
        <v>27.052744999999998</v>
      </c>
      <c r="S8" s="141">
        <f>[18]курс!G865</f>
        <v>26.983447619047617</v>
      </c>
      <c r="T8" s="141">
        <f>[18]курс!G886</f>
        <v>26.915823809523811</v>
      </c>
      <c r="U8" s="141">
        <f>[18]курс!G909</f>
        <v>26.761921739130432</v>
      </c>
      <c r="V8" s="141">
        <f>[18]курс!G931</f>
        <v>26.746340909090907</v>
      </c>
      <c r="W8" s="141">
        <f>[18]курс!G952</f>
        <v>26.867204761904766</v>
      </c>
      <c r="X8" s="141">
        <f>[18]курс!G973</f>
        <v>26.617409523809524</v>
      </c>
      <c r="Y8" s="142">
        <f>[18]курс!G995</f>
        <v>26.288154545454542</v>
      </c>
      <c r="Z8" s="140">
        <f>[18]курс!G1011</f>
        <v>26.529043750000003</v>
      </c>
      <c r="AA8" s="141">
        <f>[18]курс!G1031</f>
        <v>26.343194999999998</v>
      </c>
      <c r="AB8" s="141">
        <f>[18]курс!G1053</f>
        <v>26.105595454545451</v>
      </c>
      <c r="AC8" s="141">
        <f>[18]курс!G1073</f>
        <v>25.831079999999996</v>
      </c>
      <c r="AD8" s="141">
        <f>[18]курс!G1093</f>
        <v>25.824049999999993</v>
      </c>
      <c r="AE8" s="141">
        <f>[18]курс!G1114</f>
        <v>25.909300000000009</v>
      </c>
      <c r="AF8" s="141">
        <f>[18]курс!G1135</f>
        <v>25.540752380952387</v>
      </c>
      <c r="AG8" s="141">
        <f>[18]курс!G1158</f>
        <v>25.62369130434783</v>
      </c>
      <c r="AH8" s="141">
        <f>[18]курс!G1179</f>
        <v>25.334071428571427</v>
      </c>
      <c r="AI8" s="141">
        <f>[18]курс!G1201</f>
        <v>24.89621363636364</v>
      </c>
      <c r="AJ8" s="141">
        <f>[18]курс!G1222</f>
        <v>24.465095238095241</v>
      </c>
      <c r="AK8" s="142">
        <f>[18]курс!G1243</f>
        <v>24.578014285714282</v>
      </c>
      <c r="AL8" s="140">
        <f>[18]курс!G1260</f>
        <v>24.502776470588238</v>
      </c>
      <c r="AM8" s="141">
        <f>[18]курс!G1280</f>
        <v>24.527330000000003</v>
      </c>
      <c r="AN8" s="141">
        <f>[18]курс!G1300</f>
        <v>23.760380000000001</v>
      </c>
      <c r="AO8" s="141">
        <f>[18]курс!G1322</f>
        <v>23.512913636363635</v>
      </c>
      <c r="AP8" s="141">
        <f>[18]курс!G1343</f>
        <v>23.719609523809527</v>
      </c>
      <c r="AQ8" s="141">
        <f>[18]курс!G1362</f>
        <v>23.64323684210526</v>
      </c>
      <c r="AR8" s="141">
        <f>[18]курс!G1385</f>
        <v>23.347895652173911</v>
      </c>
      <c r="AS8" s="141">
        <f>[18]курс!G1407</f>
        <v>24.153336363636367</v>
      </c>
      <c r="AT8" s="141">
        <f>[18]курс!G1428</f>
        <v>25.269933333333331</v>
      </c>
      <c r="AU8" s="141">
        <f>[18]курс!G1451</f>
        <v>26.356378260869565</v>
      </c>
      <c r="AV8" s="141">
        <f>[18]курс!G1471</f>
        <v>27.3337</v>
      </c>
      <c r="AW8" s="142">
        <f>[18]курс!G1493</f>
        <v>28.15127272727273</v>
      </c>
      <c r="AX8" s="140">
        <f>[18]курс!G1510</f>
        <v>32.492252941176467</v>
      </c>
      <c r="AY8" s="141">
        <f>[18]курс!G1529</f>
        <v>35.814394736842104</v>
      </c>
      <c r="AZ8" s="141">
        <f>[18]курс!G1549</f>
        <v>34.657685000000001</v>
      </c>
      <c r="BA8" s="141">
        <f>[18]курс!G1571</f>
        <v>33.583263636363647</v>
      </c>
      <c r="BB8" s="141">
        <f>[18]курс!G1591</f>
        <v>31.994804999999996</v>
      </c>
      <c r="BC8" s="141">
        <f>[18]курс!G1611</f>
        <v>31.058</v>
      </c>
      <c r="BD8" s="141">
        <f>[18]курс!G1634</f>
        <v>31.50815217391305</v>
      </c>
      <c r="BE8" s="141">
        <f>[18]курс!G1655</f>
        <v>31.649661904761913</v>
      </c>
      <c r="BF8" s="141">
        <f>[18]курс!G1677</f>
        <v>30.856518181818192</v>
      </c>
      <c r="BG8" s="141">
        <f>[18]курс!G1700</f>
        <v>29.464000000000006</v>
      </c>
      <c r="BH8" s="141">
        <f>[18]курс!G1721</f>
        <v>28.924385714285719</v>
      </c>
      <c r="BI8" s="142">
        <f>[18]курс!G1752</f>
        <v>29.940341935483872</v>
      </c>
      <c r="BJ8" s="140">
        <f>[18]курс!G1783</f>
        <v>29.945616129032263</v>
      </c>
      <c r="BK8" s="141">
        <f>[18]курс!G1811</f>
        <v>30.188885714285703</v>
      </c>
      <c r="BL8" s="141">
        <f>[18]курс!G1836</f>
        <v>29.608139999999995</v>
      </c>
      <c r="BM8" s="141">
        <f>[18]курс!G1861</f>
        <v>29.206016000000005</v>
      </c>
      <c r="BN8" s="141">
        <f>[18]курс!G1892</f>
        <v>30.358190322580636</v>
      </c>
      <c r="BO8" s="141">
        <f>[18]курс!G1892</f>
        <v>30.358190322580636</v>
      </c>
      <c r="BP8" s="141">
        <f>[18]курс!G1922</f>
        <v>31.162533333333329</v>
      </c>
      <c r="BQ8" s="141">
        <f>[18]курс!G1984</f>
        <v>30.343893548387104</v>
      </c>
      <c r="BR8" s="141">
        <f>[18]курс!G2014</f>
        <v>30.836463333333334</v>
      </c>
      <c r="BS8" s="141">
        <f>[18]курс!G2045</f>
        <v>30.321435483870964</v>
      </c>
      <c r="BT8" s="141">
        <f>[18]курс!G2075</f>
        <v>30.966523333333328</v>
      </c>
      <c r="BU8" s="142">
        <f>[18]курс!G2106</f>
        <v>30.853832258064514</v>
      </c>
      <c r="BV8" s="123">
        <v>29.67</v>
      </c>
      <c r="BW8" s="123">
        <v>28.94</v>
      </c>
      <c r="BX8" s="123">
        <v>28.43</v>
      </c>
      <c r="BY8" s="123">
        <v>27.5</v>
      </c>
      <c r="BZ8" s="123">
        <v>28.07</v>
      </c>
      <c r="CA8" s="123">
        <v>28.08</v>
      </c>
      <c r="CB8" s="123">
        <v>27.7</v>
      </c>
      <c r="CC8" s="123">
        <v>28.86</v>
      </c>
      <c r="CD8" s="123">
        <v>31.88</v>
      </c>
      <c r="CE8" s="123">
        <v>31.388166666666674</v>
      </c>
      <c r="CF8" s="123">
        <v>30.822985714285714</v>
      </c>
      <c r="CG8" s="123">
        <v>31.49111739130435</v>
      </c>
      <c r="CH8" s="142">
        <v>28.9</v>
      </c>
      <c r="CI8" s="143">
        <v>31.516200000000001</v>
      </c>
      <c r="CJ8" s="143">
        <v>29.883900000000001</v>
      </c>
      <c r="CK8" s="143">
        <v>29.367799999999999</v>
      </c>
      <c r="CL8" s="143">
        <v>29.474499999999999</v>
      </c>
      <c r="CM8" s="143">
        <v>30.661999999999999</v>
      </c>
      <c r="CN8" s="143">
        <v>32.916899999999998</v>
      </c>
      <c r="CO8" s="143">
        <v>32.501800000000003</v>
      </c>
      <c r="CP8" s="143">
        <v>31.973800000000001</v>
      </c>
      <c r="CQ8" s="143">
        <v>31.056999999999999</v>
      </c>
      <c r="CR8" s="143">
        <v>31.0928</v>
      </c>
      <c r="CS8" s="143">
        <v>31.4071</v>
      </c>
      <c r="CT8" s="143">
        <v>30.7408</v>
      </c>
      <c r="CU8" s="143">
        <v>30.257999999999999</v>
      </c>
      <c r="CV8" s="143">
        <v>30.161300000000001</v>
      </c>
      <c r="CW8" s="143">
        <v>30.7987</v>
      </c>
      <c r="CX8" s="143">
        <v>31.35</v>
      </c>
      <c r="CY8" s="143">
        <v>31.31</v>
      </c>
      <c r="CZ8" s="143">
        <v>32.31</v>
      </c>
      <c r="DA8" s="143">
        <v>32.74</v>
      </c>
      <c r="DB8" s="143">
        <v>33.024504545454548</v>
      </c>
      <c r="DC8" s="143">
        <v>32</v>
      </c>
      <c r="DD8" s="143">
        <v>32.1</v>
      </c>
      <c r="DE8" s="143">
        <v>32.69</v>
      </c>
      <c r="DF8" s="143">
        <v>32.880000000000003</v>
      </c>
      <c r="DG8" s="143">
        <v>33.5</v>
      </c>
      <c r="DH8" s="143">
        <v>35.200000000000003</v>
      </c>
      <c r="DI8" s="143">
        <v>36.212400000000002</v>
      </c>
      <c r="DJ8" s="143">
        <v>35.662500000000001</v>
      </c>
      <c r="DK8" s="143">
        <v>34.83</v>
      </c>
    </row>
    <row r="9" spans="1:122" s="148" customFormat="1">
      <c r="A9" s="144" t="s">
        <v>460</v>
      </c>
      <c r="B9" s="145"/>
      <c r="C9" s="146">
        <f>C8/B8*100</f>
        <v>99.949641146190089</v>
      </c>
      <c r="D9" s="146">
        <f t="shared" ref="D9:BO9" si="5">D8/C8*100</f>
        <v>98.682026050935406</v>
      </c>
      <c r="E9" s="146">
        <f t="shared" si="5"/>
        <v>100.66578224766047</v>
      </c>
      <c r="F9" s="146">
        <f t="shared" si="5"/>
        <v>100.50708894089335</v>
      </c>
      <c r="G9" s="146">
        <f t="shared" si="5"/>
        <v>101.95514114986975</v>
      </c>
      <c r="H9" s="146">
        <f t="shared" si="5"/>
        <v>100.68975391672063</v>
      </c>
      <c r="I9" s="146">
        <f t="shared" si="5"/>
        <v>99.252040505166093</v>
      </c>
      <c r="J9" s="146">
        <f t="shared" si="5"/>
        <v>99.649592262971652</v>
      </c>
      <c r="K9" s="146">
        <f t="shared" si="5"/>
        <v>100.64524175117046</v>
      </c>
      <c r="L9" s="146">
        <f t="shared" si="5"/>
        <v>100.69825272604152</v>
      </c>
      <c r="M9" s="146">
        <f t="shared" si="5"/>
        <v>100.14610586077374</v>
      </c>
      <c r="N9" s="146">
        <f t="shared" si="5"/>
        <v>97.998699281827697</v>
      </c>
      <c r="O9" s="146">
        <f t="shared" si="5"/>
        <v>99.881224628708111</v>
      </c>
      <c r="P9" s="146">
        <f t="shared" si="5"/>
        <v>98.862078284513515</v>
      </c>
      <c r="Q9" s="146">
        <f t="shared" si="5"/>
        <v>98.890367156886839</v>
      </c>
      <c r="R9" s="146">
        <f t="shared" si="5"/>
        <v>98.143512008209314</v>
      </c>
      <c r="S9" s="146">
        <f t="shared" si="5"/>
        <v>99.743843440093116</v>
      </c>
      <c r="T9" s="146">
        <f t="shared" si="5"/>
        <v>99.749387808116595</v>
      </c>
      <c r="U9" s="146">
        <f t="shared" si="5"/>
        <v>99.428209697453426</v>
      </c>
      <c r="V9" s="146">
        <f t="shared" si="5"/>
        <v>99.941779853512003</v>
      </c>
      <c r="W9" s="146">
        <f t="shared" si="5"/>
        <v>100.45188930038942</v>
      </c>
      <c r="X9" s="146">
        <f t="shared" si="5"/>
        <v>99.070259670446148</v>
      </c>
      <c r="Y9" s="146">
        <f t="shared" si="5"/>
        <v>98.763008931953124</v>
      </c>
      <c r="Z9" s="146">
        <f t="shared" si="5"/>
        <v>100.91634125221283</v>
      </c>
      <c r="AA9" s="146">
        <f t="shared" si="5"/>
        <v>99.299451756530033</v>
      </c>
      <c r="AB9" s="146">
        <f t="shared" si="5"/>
        <v>99.098061015550513</v>
      </c>
      <c r="AC9" s="146">
        <f t="shared" si="5"/>
        <v>98.948442087737718</v>
      </c>
      <c r="AD9" s="146">
        <f t="shared" si="5"/>
        <v>99.972784722899689</v>
      </c>
      <c r="AE9" s="146">
        <f t="shared" si="5"/>
        <v>100.33011862972701</v>
      </c>
      <c r="AF9" s="146">
        <f t="shared" si="5"/>
        <v>98.577546984875625</v>
      </c>
      <c r="AG9" s="146">
        <f t="shared" si="5"/>
        <v>100.32473171564553</v>
      </c>
      <c r="AH9" s="146">
        <f t="shared" si="5"/>
        <v>98.869718369861644</v>
      </c>
      <c r="AI9" s="146">
        <f t="shared" si="5"/>
        <v>98.271664333771568</v>
      </c>
      <c r="AJ9" s="146">
        <f t="shared" si="5"/>
        <v>98.268337488722764</v>
      </c>
      <c r="AK9" s="146">
        <f t="shared" si="5"/>
        <v>100.46155163722072</v>
      </c>
      <c r="AL9" s="146">
        <f t="shared" si="5"/>
        <v>99.693881636443777</v>
      </c>
      <c r="AM9" s="146">
        <f t="shared" si="5"/>
        <v>100.10020713138871</v>
      </c>
      <c r="AN9" s="146">
        <f t="shared" si="5"/>
        <v>96.873079947960079</v>
      </c>
      <c r="AO9" s="146">
        <f t="shared" si="5"/>
        <v>98.958491557641892</v>
      </c>
      <c r="AP9" s="146">
        <f t="shared" si="5"/>
        <v>100.87907390229269</v>
      </c>
      <c r="AQ9" s="146">
        <f t="shared" si="5"/>
        <v>99.678018807065087</v>
      </c>
      <c r="AR9" s="146">
        <f t="shared" si="5"/>
        <v>98.750842822817773</v>
      </c>
      <c r="AS9" s="146">
        <f t="shared" si="5"/>
        <v>103.44973578544952</v>
      </c>
      <c r="AT9" s="146">
        <f t="shared" si="5"/>
        <v>104.62295126804111</v>
      </c>
      <c r="AU9" s="146">
        <f t="shared" si="5"/>
        <v>104.29935810753848</v>
      </c>
      <c r="AV9" s="146">
        <f t="shared" si="5"/>
        <v>103.70810332685745</v>
      </c>
      <c r="AW9" s="146">
        <f t="shared" si="5"/>
        <v>102.99107960968594</v>
      </c>
      <c r="AX9" s="146">
        <f t="shared" si="5"/>
        <v>115.42019167644322</v>
      </c>
      <c r="AY9" s="146">
        <f t="shared" si="5"/>
        <v>110.22441195961387</v>
      </c>
      <c r="AZ9" s="146">
        <f t="shared" si="5"/>
        <v>96.770265851645959</v>
      </c>
      <c r="BA9" s="146">
        <f t="shared" si="5"/>
        <v>96.899904411860305</v>
      </c>
      <c r="BB9" s="146">
        <f t="shared" si="5"/>
        <v>95.270088537066172</v>
      </c>
      <c r="BC9" s="146">
        <f t="shared" si="5"/>
        <v>97.072009033966623</v>
      </c>
      <c r="BD9" s="146">
        <f t="shared" si="5"/>
        <v>101.4493920210994</v>
      </c>
      <c r="BE9" s="146">
        <f t="shared" si="5"/>
        <v>100.44912100864494</v>
      </c>
      <c r="BF9" s="146">
        <f t="shared" si="5"/>
        <v>97.493989903176853</v>
      </c>
      <c r="BG9" s="146">
        <f t="shared" si="5"/>
        <v>95.48711823669494</v>
      </c>
      <c r="BH9" s="146">
        <f t="shared" si="5"/>
        <v>98.168564058803</v>
      </c>
      <c r="BI9" s="146">
        <f t="shared" si="5"/>
        <v>103.51245565328074</v>
      </c>
      <c r="BJ9" s="146">
        <f t="shared" si="5"/>
        <v>100.01761567573195</v>
      </c>
      <c r="BK9" s="146">
        <f t="shared" si="5"/>
        <v>100.81237128067499</v>
      </c>
      <c r="BL9" s="146">
        <f t="shared" si="5"/>
        <v>98.076292978210546</v>
      </c>
      <c r="BM9" s="146">
        <f t="shared" si="5"/>
        <v>98.641846465195087</v>
      </c>
      <c r="BN9" s="146">
        <f t="shared" si="5"/>
        <v>103.94498969863137</v>
      </c>
      <c r="BO9" s="146">
        <f t="shared" si="5"/>
        <v>100</v>
      </c>
      <c r="BP9" s="146">
        <f t="shared" ref="BP9:CD9" si="6">BP8/BO8*100</f>
        <v>102.64950908537659</v>
      </c>
      <c r="BQ9" s="146">
        <f t="shared" si="6"/>
        <v>97.37299988999753</v>
      </c>
      <c r="BR9" s="146">
        <f t="shared" si="6"/>
        <v>101.62329130294623</v>
      </c>
      <c r="BS9" s="146">
        <f t="shared" si="6"/>
        <v>98.329808954110376</v>
      </c>
      <c r="BT9" s="146">
        <f t="shared" si="6"/>
        <v>102.12749772287499</v>
      </c>
      <c r="BU9" s="146">
        <f t="shared" si="6"/>
        <v>99.636087415898217</v>
      </c>
      <c r="BV9" s="146">
        <f t="shared" si="6"/>
        <v>96.163094917471454</v>
      </c>
      <c r="BW9" s="146">
        <f t="shared" si="6"/>
        <v>97.539602291877316</v>
      </c>
      <c r="BX9" s="146">
        <f t="shared" si="6"/>
        <v>98.237733241188664</v>
      </c>
      <c r="BY9" s="146">
        <f t="shared" si="6"/>
        <v>96.728807597608153</v>
      </c>
      <c r="BZ9" s="146">
        <f t="shared" si="6"/>
        <v>102.07272727272726</v>
      </c>
      <c r="CA9" s="146">
        <f t="shared" si="6"/>
        <v>100.03562522265763</v>
      </c>
      <c r="CB9" s="146">
        <f t="shared" si="6"/>
        <v>98.646723646723657</v>
      </c>
      <c r="CC9" s="146">
        <f t="shared" si="6"/>
        <v>104.18772563176894</v>
      </c>
      <c r="CD9" s="146">
        <f t="shared" si="6"/>
        <v>110.46431046431047</v>
      </c>
      <c r="CE9" s="146">
        <f>CE8/CD8*100</f>
        <v>98.457235466332108</v>
      </c>
      <c r="CF9" s="146">
        <f>CF8/CE8*100</f>
        <v>98.1993820843918</v>
      </c>
      <c r="CG9" s="146">
        <f>CG8/CF8*100</f>
        <v>102.16764100406073</v>
      </c>
      <c r="CH9" s="147"/>
      <c r="CI9" s="146">
        <f>CI8/CG8*100</f>
        <v>100.07964978944372</v>
      </c>
      <c r="CJ9" s="146">
        <f t="shared" ref="CJ9:DF9" si="7">CJ8/CI8*100</f>
        <v>94.820758847830632</v>
      </c>
      <c r="CK9" s="146">
        <f t="shared" si="7"/>
        <v>98.272983111307425</v>
      </c>
      <c r="CL9" s="146">
        <f t="shared" si="7"/>
        <v>100.36332309536296</v>
      </c>
      <c r="CM9" s="146">
        <f t="shared" si="7"/>
        <v>104.02890634277087</v>
      </c>
      <c r="CN9" s="146">
        <f t="shared" si="7"/>
        <v>107.354053877764</v>
      </c>
      <c r="CO9" s="146">
        <f t="shared" si="7"/>
        <v>98.738945647980231</v>
      </c>
      <c r="CP9" s="146">
        <f t="shared" si="7"/>
        <v>98.375474589099682</v>
      </c>
      <c r="CQ9" s="146">
        <f t="shared" si="7"/>
        <v>97.132652359119021</v>
      </c>
      <c r="CR9" s="146">
        <f t="shared" si="7"/>
        <v>100.11527191937407</v>
      </c>
      <c r="CS9" s="146">
        <f t="shared" si="7"/>
        <v>101.01084495445892</v>
      </c>
      <c r="CT9" s="146">
        <f t="shared" si="7"/>
        <v>97.878505178765309</v>
      </c>
      <c r="CU9" s="146">
        <f t="shared" si="7"/>
        <v>98.429448810701075</v>
      </c>
      <c r="CV9" s="146">
        <f t="shared" si="7"/>
        <v>99.680415096833897</v>
      </c>
      <c r="CW9" s="146">
        <f t="shared" si="7"/>
        <v>102.11330413476874</v>
      </c>
      <c r="CX9" s="146">
        <f t="shared" si="7"/>
        <v>101.79001061733126</v>
      </c>
      <c r="CY9" s="146">
        <f t="shared" si="7"/>
        <v>99.872408293460907</v>
      </c>
      <c r="CZ9" s="146">
        <f t="shared" si="7"/>
        <v>103.19386777387419</v>
      </c>
      <c r="DA9" s="146">
        <f t="shared" si="7"/>
        <v>101.33085731971525</v>
      </c>
      <c r="DB9" s="146">
        <f t="shared" si="7"/>
        <v>100.86898150719166</v>
      </c>
      <c r="DC9" s="146">
        <f t="shared" si="7"/>
        <v>96.897744388430013</v>
      </c>
      <c r="DD9" s="146">
        <f t="shared" si="7"/>
        <v>100.3125</v>
      </c>
      <c r="DE9" s="146">
        <f t="shared" si="7"/>
        <v>101.83800623052959</v>
      </c>
      <c r="DF9" s="146">
        <f t="shared" si="7"/>
        <v>100.58121749770575</v>
      </c>
      <c r="DG9" s="146">
        <f>DG8/DF8*100</f>
        <v>101.88564476885644</v>
      </c>
      <c r="DH9" s="146">
        <f>DH8/DG8*100</f>
        <v>105.07462686567166</v>
      </c>
      <c r="DI9" s="146">
        <f>DI8/DH8*100</f>
        <v>102.87613636363638</v>
      </c>
      <c r="DJ9" s="146">
        <f>DJ8/DI8*100</f>
        <v>98.481459389601341</v>
      </c>
      <c r="DK9" s="146">
        <f>DK8/DJ8*100</f>
        <v>97.665615141955826</v>
      </c>
    </row>
    <row r="10" spans="1:122">
      <c r="A10" s="123" t="s">
        <v>461</v>
      </c>
      <c r="B10" s="136">
        <f>B7*B8</f>
        <v>35361.153464999989</v>
      </c>
      <c r="C10" s="137">
        <f t="shared" ref="C10:BN10" si="8">C7*C8</f>
        <v>41596.397361842101</v>
      </c>
      <c r="D10" s="137">
        <f t="shared" si="8"/>
        <v>53819.586643454539</v>
      </c>
      <c r="E10" s="137">
        <f t="shared" si="8"/>
        <v>55599.851325000003</v>
      </c>
      <c r="F10" s="137">
        <f t="shared" si="8"/>
        <v>51673.15307022223</v>
      </c>
      <c r="G10" s="137">
        <f t="shared" si="8"/>
        <v>55143.371999999988</v>
      </c>
      <c r="H10" s="137">
        <f t="shared" si="8"/>
        <v>53181.68604318182</v>
      </c>
      <c r="I10" s="137">
        <f t="shared" si="8"/>
        <v>57061.860696454532</v>
      </c>
      <c r="J10" s="137">
        <f t="shared" si="8"/>
        <v>61215.405613499999</v>
      </c>
      <c r="K10" s="137">
        <f t="shared" si="8"/>
        <v>60710.083005999979</v>
      </c>
      <c r="L10" s="137">
        <f t="shared" si="8"/>
        <v>57708.08236552382</v>
      </c>
      <c r="M10" s="138">
        <f t="shared" si="8"/>
        <v>67130.560530000002</v>
      </c>
      <c r="N10" s="136">
        <f t="shared" si="8"/>
        <v>45835.149218666673</v>
      </c>
      <c r="O10" s="137">
        <f t="shared" si="8"/>
        <v>55851.539403947383</v>
      </c>
      <c r="P10" s="137">
        <f t="shared" si="8"/>
        <v>75269.220921818196</v>
      </c>
      <c r="Q10" s="137">
        <f t="shared" si="8"/>
        <v>90496.931780952378</v>
      </c>
      <c r="R10" s="137">
        <f t="shared" si="8"/>
        <v>121276.3737252</v>
      </c>
      <c r="S10" s="137">
        <f t="shared" si="8"/>
        <v>99002.539148761905</v>
      </c>
      <c r="T10" s="137">
        <f t="shared" si="8"/>
        <v>88678.757230523814</v>
      </c>
      <c r="U10" s="137">
        <f t="shared" si="8"/>
        <v>99948.284357565208</v>
      </c>
      <c r="V10" s="137">
        <f t="shared" si="8"/>
        <v>80723.933887954539</v>
      </c>
      <c r="W10" s="137">
        <f t="shared" si="8"/>
        <v>78186.521249666679</v>
      </c>
      <c r="X10" s="137">
        <f t="shared" si="8"/>
        <v>71194.383775619048</v>
      </c>
      <c r="Y10" s="138">
        <f t="shared" si="8"/>
        <v>112901.31461563635</v>
      </c>
      <c r="Z10" s="136">
        <f t="shared" si="8"/>
        <v>55494.780168437501</v>
      </c>
      <c r="AA10" s="137">
        <f t="shared" si="8"/>
        <v>64418.595325199996</v>
      </c>
      <c r="AB10" s="137">
        <f t="shared" si="8"/>
        <v>91734.540315363629</v>
      </c>
      <c r="AC10" s="137">
        <f t="shared" si="8"/>
        <v>113199.28357319998</v>
      </c>
      <c r="AD10" s="137">
        <f t="shared" si="8"/>
        <v>92416.527734999967</v>
      </c>
      <c r="AE10" s="137">
        <f t="shared" si="8"/>
        <v>80762.397216000027</v>
      </c>
      <c r="AF10" s="137">
        <f t="shared" si="8"/>
        <v>90449.765074380965</v>
      </c>
      <c r="AG10" s="137">
        <f t="shared" si="8"/>
        <v>99698.1955484348</v>
      </c>
      <c r="AH10" s="137">
        <f t="shared" si="8"/>
        <v>83868.443464285709</v>
      </c>
      <c r="AI10" s="137">
        <f t="shared" si="8"/>
        <v>103697.21111390911</v>
      </c>
      <c r="AJ10" s="137">
        <f t="shared" si="8"/>
        <v>112316.0717757143</v>
      </c>
      <c r="AK10" s="138">
        <f t="shared" si="8"/>
        <v>94914.146667857131</v>
      </c>
      <c r="AL10" s="136">
        <f t="shared" si="8"/>
        <v>53105.847555764718</v>
      </c>
      <c r="AM10" s="137">
        <f t="shared" si="8"/>
        <v>59992.37754020001</v>
      </c>
      <c r="AN10" s="137">
        <f t="shared" si="8"/>
        <v>86920.697323600005</v>
      </c>
      <c r="AO10" s="137">
        <f t="shared" si="8"/>
        <v>80003.864293409089</v>
      </c>
      <c r="AP10" s="137">
        <f t="shared" si="8"/>
        <v>62277.969569619061</v>
      </c>
      <c r="AQ10" s="137">
        <f t="shared" si="8"/>
        <v>63756.588900789466</v>
      </c>
      <c r="AR10" s="137">
        <f t="shared" si="8"/>
        <v>81153.316144695636</v>
      </c>
      <c r="AS10" s="137">
        <f t="shared" si="8"/>
        <v>71557.881977727287</v>
      </c>
      <c r="AT10" s="137">
        <f t="shared" si="8"/>
        <v>65135.022061999996</v>
      </c>
      <c r="AU10" s="137">
        <f t="shared" si="8"/>
        <v>62982.519311086959</v>
      </c>
      <c r="AV10" s="137">
        <f t="shared" si="8"/>
        <v>40134.891721</v>
      </c>
      <c r="AW10" s="138">
        <f t="shared" si="8"/>
        <v>55042.776000000005</v>
      </c>
      <c r="AX10" s="136">
        <f t="shared" si="8"/>
        <v>45958.342250117646</v>
      </c>
      <c r="AY10" s="137">
        <f t="shared" si="8"/>
        <v>115399.71014526315</v>
      </c>
      <c r="AZ10" s="137">
        <f t="shared" si="8"/>
        <v>119387.75355745001</v>
      </c>
      <c r="BA10" s="137">
        <f t="shared" si="8"/>
        <v>120381.89516563639</v>
      </c>
      <c r="BB10" s="137">
        <f t="shared" si="8"/>
        <v>104462.07848084997</v>
      </c>
      <c r="BC10" s="137">
        <f t="shared" si="8"/>
        <v>93837.088300000003</v>
      </c>
      <c r="BD10" s="137">
        <f t="shared" si="8"/>
        <v>83797.821195652185</v>
      </c>
      <c r="BE10" s="137">
        <f t="shared" si="8"/>
        <v>70045.132747904776</v>
      </c>
      <c r="BF10" s="137">
        <f t="shared" si="8"/>
        <v>72475.172775090934</v>
      </c>
      <c r="BG10" s="137">
        <f t="shared" si="8"/>
        <v>108675.60688000002</v>
      </c>
      <c r="BH10" s="137">
        <f t="shared" si="8"/>
        <v>87043.310905428589</v>
      </c>
      <c r="BI10" s="138">
        <f t="shared" si="8"/>
        <v>104861.25717432259</v>
      </c>
      <c r="BJ10" s="136">
        <f t="shared" si="8"/>
        <v>57658.786575645172</v>
      </c>
      <c r="BK10" s="137">
        <f t="shared" si="8"/>
        <v>90342.353721999971</v>
      </c>
      <c r="BL10" s="137">
        <f t="shared" si="8"/>
        <v>104012.21149439999</v>
      </c>
      <c r="BM10" s="137">
        <f t="shared" si="8"/>
        <v>101813.92413696002</v>
      </c>
      <c r="BN10" s="137">
        <f t="shared" si="8"/>
        <v>118583.0379647419</v>
      </c>
      <c r="BO10" s="137">
        <f>BO7*BO8</f>
        <v>85370.267006129012</v>
      </c>
      <c r="BP10" s="137">
        <f>BP7*BP8</f>
        <v>77559.494337333323</v>
      </c>
      <c r="BQ10" s="137">
        <f>BQ7*BQ8</f>
        <v>73623.692355387117</v>
      </c>
      <c r="BR10" s="137">
        <f>BR7*BR8</f>
        <v>75997.38897890001</v>
      </c>
      <c r="BS10" s="137">
        <f>BS7*BS8</f>
        <v>75175.328566451615</v>
      </c>
      <c r="BT10" s="137">
        <f t="shared" ref="BT10:CF10" si="9">BT7*BT8</f>
        <v>80494.690417899983</v>
      </c>
      <c r="BU10" s="138">
        <f t="shared" si="9"/>
        <v>89155.850769548371</v>
      </c>
      <c r="BV10" s="138">
        <f t="shared" si="9"/>
        <v>46983.038400000005</v>
      </c>
      <c r="BW10" s="138">
        <f t="shared" si="9"/>
        <v>65722.740000000005</v>
      </c>
      <c r="BX10" s="138">
        <f t="shared" si="9"/>
        <v>71028.374800000005</v>
      </c>
      <c r="BY10" s="138">
        <f t="shared" si="9"/>
        <v>74043.474999999991</v>
      </c>
      <c r="BZ10" s="138">
        <f t="shared" si="9"/>
        <v>71528.254700000005</v>
      </c>
      <c r="CA10" s="138">
        <f t="shared" si="9"/>
        <v>70208.704799999992</v>
      </c>
      <c r="CB10" s="138">
        <f t="shared" si="9"/>
        <v>78048.904999999999</v>
      </c>
      <c r="CC10" s="138">
        <f t="shared" si="9"/>
        <v>101649.249</v>
      </c>
      <c r="CD10" s="138">
        <f t="shared" si="9"/>
        <v>103619.564</v>
      </c>
      <c r="CE10" s="138">
        <f t="shared" si="9"/>
        <v>84204.093071666692</v>
      </c>
      <c r="CF10" s="138">
        <f t="shared" si="9"/>
        <v>77398.982967428572</v>
      </c>
      <c r="CG10" s="138">
        <f>CG7*CG8</f>
        <v>117306.30174965218</v>
      </c>
      <c r="CI10" s="138">
        <f t="shared" ref="CI10:DF10" si="10">CI7*CI8</f>
        <v>64198.499400000001</v>
      </c>
      <c r="CJ10" s="138">
        <f t="shared" si="10"/>
        <v>80292.062520000007</v>
      </c>
      <c r="CK10" s="138">
        <f t="shared" si="10"/>
        <v>70920.593897999992</v>
      </c>
      <c r="CL10" s="138">
        <f t="shared" si="10"/>
        <v>80735.960909999994</v>
      </c>
      <c r="CM10" s="138">
        <f t="shared" si="10"/>
        <v>93400.744679999989</v>
      </c>
      <c r="CN10" s="138">
        <f t="shared" si="10"/>
        <v>109185.35729999999</v>
      </c>
      <c r="CO10" s="138">
        <f>CO7*CO8</f>
        <v>81189.496400000004</v>
      </c>
      <c r="CP10" s="138">
        <f t="shared" si="10"/>
        <v>73411.844800000006</v>
      </c>
      <c r="CQ10" s="138">
        <f>CQ7*CQ8</f>
        <v>76617.618999999992</v>
      </c>
      <c r="CR10" s="138">
        <f t="shared" si="10"/>
        <v>96312.435423999996</v>
      </c>
      <c r="CS10" s="138">
        <f>CS7*CS8</f>
        <v>88063.309903000001</v>
      </c>
      <c r="CT10" s="138">
        <f>CT7*CT8</f>
        <v>113556.51519999999</v>
      </c>
      <c r="CU10" s="138">
        <f>CU7*CU8</f>
        <v>73124.508599999986</v>
      </c>
      <c r="CV10" s="138">
        <f t="shared" si="10"/>
        <v>97973.855628999998</v>
      </c>
      <c r="CW10" s="138">
        <f t="shared" si="10"/>
        <v>97303.564857999998</v>
      </c>
      <c r="CX10" s="138">
        <f t="shared" si="10"/>
        <v>119240.03850000001</v>
      </c>
      <c r="CY10" s="138">
        <f t="shared" si="10"/>
        <v>77870.787899999996</v>
      </c>
      <c r="CZ10" s="138">
        <f t="shared" si="10"/>
        <v>87503.227361283469</v>
      </c>
      <c r="DA10" s="138">
        <f t="shared" si="10"/>
        <v>66774.823825168918</v>
      </c>
      <c r="DB10" s="138">
        <f t="shared" si="10"/>
        <v>61908.436533729793</v>
      </c>
      <c r="DC10" s="138">
        <f t="shared" si="10"/>
        <v>64455.616931592129</v>
      </c>
      <c r="DD10" s="138">
        <f t="shared" si="10"/>
        <v>81183.768236069271</v>
      </c>
      <c r="DE10" s="138">
        <f t="shared" si="10"/>
        <v>74838.268287193961</v>
      </c>
      <c r="DF10" s="138">
        <f t="shared" si="10"/>
        <v>99167.723060923017</v>
      </c>
      <c r="DG10" s="138">
        <f>DG7*DG8</f>
        <v>66101.176735310917</v>
      </c>
      <c r="DH10" s="138">
        <f>DH7*DH8</f>
        <v>93356.475704150187</v>
      </c>
      <c r="DI10" s="138">
        <f>DI7*DI8</f>
        <v>93410.418269001268</v>
      </c>
      <c r="DJ10" s="138">
        <f>DJ7*DJ8</f>
        <v>110748.53470241318</v>
      </c>
      <c r="DK10" s="138">
        <f>DK7*DK8</f>
        <v>70727.224799228876</v>
      </c>
    </row>
    <row r="11" spans="1:122" ht="15.75" customHeight="1">
      <c r="A11" s="149" t="s">
        <v>462</v>
      </c>
      <c r="B11" s="150">
        <f>B10/$D$33</f>
        <v>32140.201169121756</v>
      </c>
      <c r="C11" s="150">
        <f>C10/$D$33</f>
        <v>37807.493481330952</v>
      </c>
      <c r="D11" s="150">
        <f>D10/$D$33</f>
        <v>48917.305349547307</v>
      </c>
      <c r="E11" s="150">
        <f>E10/$G$33</f>
        <v>50852.987227288708</v>
      </c>
      <c r="F11" s="150">
        <f>F10/$G$33</f>
        <v>47261.53272809575</v>
      </c>
      <c r="G11" s="150">
        <f>G10/$G$33</f>
        <v>50435.480044615557</v>
      </c>
      <c r="H11" s="150">
        <f>H10/$J$33</f>
        <v>49688.238849300986</v>
      </c>
      <c r="I11" s="150">
        <f>I10/$J$33</f>
        <v>53313.529043979492</v>
      </c>
      <c r="J11" s="150">
        <f>J10/$J$33</f>
        <v>57194.232106719537</v>
      </c>
      <c r="K11" s="150">
        <f>K10/$M$33</f>
        <v>56849.253848364744</v>
      </c>
      <c r="L11" s="150">
        <f>L10/$M$33</f>
        <v>54038.164025830389</v>
      </c>
      <c r="M11" s="150">
        <f>M10/$M$33</f>
        <v>62861.424125804901</v>
      </c>
      <c r="N11" s="150">
        <f>N10/$P$33</f>
        <v>42903.038457508374</v>
      </c>
      <c r="O11" s="150">
        <f>O10/$P$33</f>
        <v>52278.672237478619</v>
      </c>
      <c r="P11" s="150">
        <f>P10/$P$33</f>
        <v>70454.189305012987</v>
      </c>
      <c r="Q11" s="150">
        <f>Q10/$S$33</f>
        <v>84700.2387788388</v>
      </c>
      <c r="R11" s="150">
        <f>R10/$S$33</f>
        <v>113508.13348699841</v>
      </c>
      <c r="S11" s="150">
        <f>S10/$S$33</f>
        <v>92661.027734162824</v>
      </c>
      <c r="T11" s="150">
        <f>T10/$V$33</f>
        <v>82854.006102759711</v>
      </c>
      <c r="U11" s="150">
        <f>U10/$V$33</f>
        <v>93383.308705995893</v>
      </c>
      <c r="V11" s="150">
        <f>V10/$V$33</f>
        <v>75421.685191244411</v>
      </c>
      <c r="W11" s="150">
        <f>W10/$Y$33</f>
        <v>73264.991575844018</v>
      </c>
      <c r="X11" s="150">
        <f>X10/$Y$33</f>
        <v>66712.981268371397</v>
      </c>
      <c r="Y11" s="150">
        <f>Y10/$Y$33</f>
        <v>105794.62715578456</v>
      </c>
      <c r="Z11" s="150">
        <f>Z10/$AB$33</f>
        <v>51361.69175936703</v>
      </c>
      <c r="AA11" s="150">
        <f>AA10/$AB$33</f>
        <v>59620.887345114817</v>
      </c>
      <c r="AB11" s="150">
        <f>AB10/$AB$33</f>
        <v>84902.420895518153</v>
      </c>
      <c r="AC11" s="150">
        <f>AC10/$AE$33</f>
        <v>104008.17451501315</v>
      </c>
      <c r="AD11" s="150">
        <f>AD10/$AE$33</f>
        <v>84912.854934437899</v>
      </c>
      <c r="AE11" s="150">
        <f>AE10/$AE$33</f>
        <v>74204.97055054894</v>
      </c>
      <c r="AF11" s="150">
        <f>AF10/$AH$33</f>
        <v>83759.720569734578</v>
      </c>
      <c r="AG11" s="150">
        <f>AG10/$AH$33</f>
        <v>92324.098283467058</v>
      </c>
      <c r="AH11" s="150">
        <f>AH10/$AH$33</f>
        <v>77665.18114679835</v>
      </c>
      <c r="AI11" s="150">
        <f>AI10/$AK$33</f>
        <v>93173.17968551685</v>
      </c>
      <c r="AJ11" s="150">
        <f>AJ10/$AK$33</f>
        <v>100917.32867950163</v>
      </c>
      <c r="AK11" s="150">
        <f>AK10/$AK$33</f>
        <v>85281.491634981518</v>
      </c>
      <c r="AL11" s="150">
        <f>AL10/$AN$33</f>
        <v>46869.972937106766</v>
      </c>
      <c r="AM11" s="150">
        <f>AM10/$AN$33</f>
        <v>52947.862451291148</v>
      </c>
      <c r="AN11" s="150">
        <f>AN10/$AN$33</f>
        <v>76714.164611602086</v>
      </c>
      <c r="AO11" s="150">
        <f>AO10/$AQ$33</f>
        <v>73896.194727074617</v>
      </c>
      <c r="AP11" s="150">
        <f>AP10/$AQ$33</f>
        <v>57523.533483901097</v>
      </c>
      <c r="AQ11" s="150">
        <f>AQ10/$AQ$33</f>
        <v>58889.271789024271</v>
      </c>
      <c r="AR11" s="150">
        <f>AR10/$AT$33</f>
        <v>75436.411108949585</v>
      </c>
      <c r="AS11" s="150">
        <f>AS10/$AT$33</f>
        <v>66516.934358330109</v>
      </c>
      <c r="AT11" s="150">
        <f>AT10/$AT$33</f>
        <v>60546.537532720329</v>
      </c>
      <c r="AU11" s="150">
        <f>AU10/$AW$33</f>
        <v>57767.358225808995</v>
      </c>
      <c r="AV11" s="150">
        <f>AV10/$AW$33</f>
        <v>36811.589830972895</v>
      </c>
      <c r="AW11" s="150">
        <f>AW10/$AW$33</f>
        <v>50485.051943218095</v>
      </c>
      <c r="AX11" s="150">
        <f>AX10/$AZ$33</f>
        <v>42909.608378297016</v>
      </c>
      <c r="AY11" s="150">
        <f>AY10/$AZ$33</f>
        <v>107744.45131970692</v>
      </c>
      <c r="AZ11" s="150">
        <f>AZ10/$AZ$33</f>
        <v>111467.94030199604</v>
      </c>
      <c r="BA11" s="150">
        <f>BA10/$BC$33</f>
        <v>114031.50997329393</v>
      </c>
      <c r="BB11" s="150">
        <f>BB10/$BC$33</f>
        <v>98951.495386661656</v>
      </c>
      <c r="BC11" s="150">
        <f>BC10/$BC$33</f>
        <v>88886.994640044431</v>
      </c>
      <c r="BD11" s="150">
        <f>BD10/$BF$33</f>
        <v>79409.015898525176</v>
      </c>
      <c r="BE11" s="150">
        <f>BE10/$BF$33</f>
        <v>66376.607179391314</v>
      </c>
      <c r="BF11" s="150">
        <f>BF10/$BF$33</f>
        <v>68679.376922083509</v>
      </c>
      <c r="BG11" s="150">
        <f>BG10/$BI$33</f>
        <v>101790.49346242317</v>
      </c>
      <c r="BH11" s="150">
        <f>BH10/$BI$33</f>
        <v>81528.705696119461</v>
      </c>
      <c r="BI11" s="150">
        <f>BI10/$BI$33</f>
        <v>98217.800841457385</v>
      </c>
      <c r="BJ11" s="150">
        <f>BJ10/$BL$33</f>
        <v>54560.854467742756</v>
      </c>
      <c r="BK11" s="150">
        <f>BK10/$BL$33</f>
        <v>85488.375778296948</v>
      </c>
      <c r="BL11" s="150">
        <f>BL10/$BL$33</f>
        <v>98423.76975396031</v>
      </c>
      <c r="BM11" s="150">
        <f>BM10/$BO$33</f>
        <v>96547.434358901097</v>
      </c>
      <c r="BN11" s="150">
        <f>BN10/$BO$33</f>
        <v>112449.13867163159</v>
      </c>
      <c r="BO11" s="150">
        <f>BO10/$BO$33</f>
        <v>80954.351969467272</v>
      </c>
      <c r="BP11" s="150">
        <f>BP10/$BR$33</f>
        <v>74118.480507938832</v>
      </c>
      <c r="BQ11" s="150">
        <f>BQ10/$BR$33</f>
        <v>70357.294788841522</v>
      </c>
      <c r="BR11" s="150">
        <f>BR10/$BR$33</f>
        <v>72625.679703219619</v>
      </c>
      <c r="BS11" s="150">
        <f>BS10/$BU$33</f>
        <v>71352.954727315388</v>
      </c>
      <c r="BT11" s="150">
        <f>BT10/$BU$33</f>
        <v>76401.847663368171</v>
      </c>
      <c r="BU11" s="150">
        <f>BU10/$BU$33</f>
        <v>84622.62160931644</v>
      </c>
      <c r="BV11" s="150">
        <f>BV10/$BX$33</f>
        <v>46672.93071071749</v>
      </c>
      <c r="BW11" s="150">
        <f>BW10/$BX$33</f>
        <v>65288.942448185742</v>
      </c>
      <c r="BX11" s="150">
        <f>BX10/$BX$33</f>
        <v>70559.557841096801</v>
      </c>
      <c r="BY11" s="150">
        <f>BY10/$CA$33</f>
        <v>73654.492755566884</v>
      </c>
      <c r="BZ11" s="150">
        <f>BZ10/$CA$33</f>
        <v>71152.485990419736</v>
      </c>
      <c r="CA11" s="150">
        <f>CA10/$CA$33</f>
        <v>69839.868254013389</v>
      </c>
      <c r="CB11" s="150">
        <f>CB10/$CD$33</f>
        <v>75986.925411823118</v>
      </c>
      <c r="CC11" s="150">
        <f>CC10/$CD$33</f>
        <v>98963.770240349113</v>
      </c>
      <c r="CD11" s="150">
        <f>CD10/$CD$33</f>
        <v>100882.03134782777</v>
      </c>
      <c r="CE11" s="150">
        <f>CE10/$CG$33</f>
        <v>83613.903576407611</v>
      </c>
      <c r="CF11" s="150">
        <f>CF10/$CG$33</f>
        <v>76856.490731899903</v>
      </c>
      <c r="CG11" s="150">
        <f>CG10/$CG$33</f>
        <v>116484.09769169253</v>
      </c>
      <c r="CI11" s="150">
        <f>CI10/$CK$33</f>
        <v>60759.212871201424</v>
      </c>
      <c r="CJ11" s="150">
        <f>CJ10/$CK$33</f>
        <v>75990.600467532015</v>
      </c>
      <c r="CK11" s="150">
        <f>CK10/$CK$33</f>
        <v>67121.186661266576</v>
      </c>
      <c r="CL11" s="150">
        <f>CL10/$CN$33</f>
        <v>77192.728147963833</v>
      </c>
      <c r="CM11" s="150">
        <f>CM10/$CN$33</f>
        <v>89301.696686780895</v>
      </c>
      <c r="CN11" s="150">
        <f>CN10/$CN$33</f>
        <v>104393.5751652553</v>
      </c>
      <c r="CO11" s="150">
        <f>CO10/$CQ$33</f>
        <v>71960.229517259097</v>
      </c>
      <c r="CP11" s="150">
        <f>CP10/$CQ$33</f>
        <v>65066.707336953063</v>
      </c>
      <c r="CQ11" s="150">
        <f>CQ10/$CQ$33</f>
        <v>67908.06314578779</v>
      </c>
      <c r="CR11" s="150">
        <f>CR10/$CT$33</f>
        <v>98304.630564212624</v>
      </c>
      <c r="CS11" s="150">
        <f>CS10/$CT$33</f>
        <v>89884.87424458738</v>
      </c>
      <c r="CT11" s="150">
        <f>CT10/$CT$33</f>
        <v>115905.39919120003</v>
      </c>
      <c r="CU11" s="150">
        <f>CU10/$CW$33</f>
        <v>72907.117567890047</v>
      </c>
      <c r="CV11" s="150">
        <f>CV10/$CW$33</f>
        <v>97682.590251594404</v>
      </c>
      <c r="CW11" s="150">
        <f>CW10/$CW$33</f>
        <v>97014.292180515549</v>
      </c>
      <c r="CX11" s="150">
        <f t="shared" ref="CX11:DK11" si="11">CX10/$CZ$33</f>
        <v>118935.43682154694</v>
      </c>
      <c r="CY11" s="150">
        <f t="shared" si="11"/>
        <v>77671.865013063798</v>
      </c>
      <c r="CZ11" s="150">
        <f t="shared" si="11"/>
        <v>87279.698165389185</v>
      </c>
      <c r="DA11" s="150">
        <f t="shared" si="11"/>
        <v>66604.2458576387</v>
      </c>
      <c r="DB11" s="150">
        <f t="shared" si="11"/>
        <v>61750.2898749749</v>
      </c>
      <c r="DC11" s="150">
        <f>DC10/$CZ$33</f>
        <v>64290.963436423299</v>
      </c>
      <c r="DD11" s="150">
        <f t="shared" si="11"/>
        <v>80976.382257509293</v>
      </c>
      <c r="DE11" s="150">
        <f t="shared" si="11"/>
        <v>74647.092047907514</v>
      </c>
      <c r="DF11" s="150">
        <f t="shared" si="11"/>
        <v>98914.396617282808</v>
      </c>
      <c r="DG11" s="150">
        <f t="shared" si="11"/>
        <v>65932.319616220848</v>
      </c>
      <c r="DH11" s="150">
        <f t="shared" si="11"/>
        <v>93117.994238095082</v>
      </c>
      <c r="DI11" s="150">
        <f t="shared" si="11"/>
        <v>93171.799005307039</v>
      </c>
      <c r="DJ11" s="150">
        <f t="shared" si="11"/>
        <v>110465.62478405909</v>
      </c>
      <c r="DK11" s="150">
        <f t="shared" si="11"/>
        <v>70546.550323967167</v>
      </c>
    </row>
    <row r="12" spans="1:122" ht="14.25" customHeight="1">
      <c r="B12" s="151"/>
      <c r="C12" s="151"/>
      <c r="D12" s="152">
        <f>SUM(B11:D11)</f>
        <v>118865</v>
      </c>
      <c r="E12" s="151"/>
      <c r="F12" s="151"/>
      <c r="G12" s="152">
        <f>SUM(E11:G11)</f>
        <v>148550</v>
      </c>
      <c r="H12" s="151"/>
      <c r="I12" s="151"/>
      <c r="J12" s="152">
        <f>SUM(H11:J11)</f>
        <v>160196.00000000003</v>
      </c>
      <c r="K12" s="151"/>
      <c r="L12" s="151"/>
      <c r="M12" s="152">
        <f>SUM(K11:M11)</f>
        <v>173748.84200000003</v>
      </c>
      <c r="N12" s="151"/>
      <c r="O12" s="151"/>
      <c r="P12" s="152">
        <f>SUM(N11:P11)</f>
        <v>165635.89999999997</v>
      </c>
      <c r="Q12" s="151"/>
      <c r="R12" s="151"/>
      <c r="S12" s="152">
        <f>SUM(Q11:S11)</f>
        <v>290869.40000000002</v>
      </c>
      <c r="T12" s="151"/>
      <c r="U12" s="151"/>
      <c r="V12" s="152">
        <f>SUM(T11:V11)</f>
        <v>251659</v>
      </c>
      <c r="W12" s="151"/>
      <c r="X12" s="151"/>
      <c r="Y12" s="152">
        <f>SUM(W11:Y11)</f>
        <v>245772.59999999998</v>
      </c>
      <c r="Z12" s="151"/>
      <c r="AA12" s="151"/>
      <c r="AB12" s="152">
        <f>SUM(Z11:AB11)</f>
        <v>195885</v>
      </c>
      <c r="AC12" s="151"/>
      <c r="AD12" s="151"/>
      <c r="AE12" s="152">
        <f>SUM(AC11:AE11)</f>
        <v>263126</v>
      </c>
      <c r="AF12" s="151"/>
      <c r="AG12" s="151"/>
      <c r="AH12" s="152">
        <f>SUM(AF11:AH11)</f>
        <v>253749</v>
      </c>
      <c r="AI12" s="151"/>
      <c r="AJ12" s="151"/>
      <c r="AK12" s="152">
        <f>SUM(AI11:AK11)</f>
        <v>279372</v>
      </c>
      <c r="AL12" s="151"/>
      <c r="AM12" s="151"/>
      <c r="AN12" s="152">
        <f>SUM(AL11:AN11)</f>
        <v>176532</v>
      </c>
      <c r="AO12" s="151"/>
      <c r="AP12" s="151"/>
      <c r="AQ12" s="152">
        <f>SUM(AO11:AQ11)</f>
        <v>190308.99999999997</v>
      </c>
      <c r="AR12" s="151"/>
      <c r="AS12" s="151"/>
      <c r="AT12" s="152">
        <f>SUM(AR11:AT11)</f>
        <v>202499.88300000003</v>
      </c>
      <c r="AU12" s="151"/>
      <c r="AV12" s="151"/>
      <c r="AW12" s="152">
        <f>SUM(AU11:AW11)</f>
        <v>145064</v>
      </c>
      <c r="AX12" s="151"/>
      <c r="AY12" s="151"/>
      <c r="AZ12" s="152">
        <f>SUM(AX11:AZ11)</f>
        <v>262121.99999999997</v>
      </c>
      <c r="BA12" s="151"/>
      <c r="BB12" s="151"/>
      <c r="BC12" s="152">
        <f>SUM(BA11:BC11)</f>
        <v>301870</v>
      </c>
      <c r="BD12" s="151"/>
      <c r="BE12" s="151"/>
      <c r="BF12" s="152">
        <f>SUM(BD11:BF11)</f>
        <v>214465</v>
      </c>
      <c r="BG12" s="151"/>
      <c r="BH12" s="151"/>
      <c r="BI12" s="152">
        <f>SUM(BG11:BI11)</f>
        <v>281537</v>
      </c>
      <c r="BJ12" s="151"/>
      <c r="BK12" s="151"/>
      <c r="BL12" s="152">
        <f>SUM(BJ11:BL11)</f>
        <v>238473</v>
      </c>
      <c r="BM12" s="151"/>
      <c r="BN12" s="151"/>
      <c r="BO12" s="152">
        <v>289950.92499999999</v>
      </c>
      <c r="BP12" s="151"/>
      <c r="BQ12" s="151"/>
      <c r="BR12" s="152">
        <v>217101.45499999999</v>
      </c>
      <c r="BS12" s="151"/>
      <c r="BT12" s="151"/>
      <c r="BU12" s="152">
        <v>232377.424</v>
      </c>
      <c r="BX12" s="152">
        <v>182521.43100000001</v>
      </c>
      <c r="CA12" s="152">
        <v>214646.84700000001</v>
      </c>
      <c r="CD12" s="152">
        <v>275832.72700000001</v>
      </c>
      <c r="CG12" s="123">
        <v>276954.49200000003</v>
      </c>
      <c r="CK12" s="123">
        <v>203871</v>
      </c>
      <c r="CN12" s="123">
        <v>270888</v>
      </c>
      <c r="CQ12" s="123">
        <f>CQ32</f>
        <v>204935</v>
      </c>
      <c r="CT12" s="123">
        <v>304094.90399999998</v>
      </c>
      <c r="CW12" s="123">
        <v>267604</v>
      </c>
    </row>
    <row r="13" spans="1:122" s="148" customFormat="1">
      <c r="A13" s="144" t="s">
        <v>460</v>
      </c>
      <c r="B13" s="145"/>
      <c r="C13" s="146">
        <f>C11/B11*100</f>
        <v>117.63303310513803</v>
      </c>
      <c r="D13" s="146">
        <f t="shared" ref="D13:BO13" si="12">D11/C11*100</f>
        <v>129.38521135684994</v>
      </c>
      <c r="E13" s="146">
        <f t="shared" si="12"/>
        <v>103.95704927716203</v>
      </c>
      <c r="F13" s="146">
        <f t="shared" si="12"/>
        <v>92.937574181943603</v>
      </c>
      <c r="G13" s="146">
        <f t="shared" si="12"/>
        <v>106.71570965499598</v>
      </c>
      <c r="H13" s="146">
        <f t="shared" si="12"/>
        <v>98.518421566219743</v>
      </c>
      <c r="I13" s="146">
        <f t="shared" si="12"/>
        <v>107.2960730318368</v>
      </c>
      <c r="J13" s="146">
        <f t="shared" si="12"/>
        <v>107.27902116466304</v>
      </c>
      <c r="K13" s="146">
        <f t="shared" si="12"/>
        <v>99.396830334724854</v>
      </c>
      <c r="L13" s="146">
        <f t="shared" si="12"/>
        <v>95.055186071513901</v>
      </c>
      <c r="M13" s="146">
        <f t="shared" si="12"/>
        <v>116.32783100431941</v>
      </c>
      <c r="N13" s="146">
        <f t="shared" si="12"/>
        <v>68.250185314997466</v>
      </c>
      <c r="O13" s="146">
        <f t="shared" si="12"/>
        <v>121.85307641848252</v>
      </c>
      <c r="P13" s="146">
        <f t="shared" si="12"/>
        <v>134.76660039293102</v>
      </c>
      <c r="Q13" s="146">
        <f t="shared" si="12"/>
        <v>120.22030146731413</v>
      </c>
      <c r="R13" s="146">
        <f t="shared" si="12"/>
        <v>134.01158618145109</v>
      </c>
      <c r="S13" s="146">
        <f t="shared" si="12"/>
        <v>81.6338220774078</v>
      </c>
      <c r="T13" s="146">
        <f t="shared" si="12"/>
        <v>89.416239090787244</v>
      </c>
      <c r="U13" s="146">
        <f t="shared" si="12"/>
        <v>112.70826010534387</v>
      </c>
      <c r="V13" s="146">
        <f t="shared" si="12"/>
        <v>80.765702389812404</v>
      </c>
      <c r="W13" s="146">
        <f t="shared" si="12"/>
        <v>97.140486042002721</v>
      </c>
      <c r="X13" s="146">
        <f t="shared" si="12"/>
        <v>91.057106311559494</v>
      </c>
      <c r="Y13" s="146">
        <f t="shared" si="12"/>
        <v>158.581770960282</v>
      </c>
      <c r="Z13" s="146">
        <f t="shared" si="12"/>
        <v>48.548487896021392</v>
      </c>
      <c r="AA13" s="146">
        <f t="shared" si="12"/>
        <v>116.08045861192164</v>
      </c>
      <c r="AB13" s="146">
        <f t="shared" si="12"/>
        <v>142.40381966149124</v>
      </c>
      <c r="AC13" s="146">
        <f t="shared" si="12"/>
        <v>122.50319062516101</v>
      </c>
      <c r="AD13" s="146">
        <f t="shared" si="12"/>
        <v>81.640558860285623</v>
      </c>
      <c r="AE13" s="146">
        <f t="shared" si="12"/>
        <v>87.389560282531278</v>
      </c>
      <c r="AF13" s="146">
        <f t="shared" si="12"/>
        <v>112.87615903395161</v>
      </c>
      <c r="AG13" s="146">
        <f t="shared" si="12"/>
        <v>110.22493587069953</v>
      </c>
      <c r="AH13" s="146">
        <f t="shared" si="12"/>
        <v>84.122328396145562</v>
      </c>
      <c r="AI13" s="146">
        <f t="shared" si="12"/>
        <v>119.96776201346412</v>
      </c>
      <c r="AJ13" s="146">
        <f t="shared" si="12"/>
        <v>108.31156457268416</v>
      </c>
      <c r="AK13" s="146">
        <f t="shared" si="12"/>
        <v>84.506291189913284</v>
      </c>
      <c r="AL13" s="146">
        <f t="shared" si="12"/>
        <v>54.959138306020463</v>
      </c>
      <c r="AM13" s="146">
        <f t="shared" si="12"/>
        <v>112.96755498950277</v>
      </c>
      <c r="AN13" s="146">
        <f t="shared" si="12"/>
        <v>144.8862353644106</v>
      </c>
      <c r="AO13" s="146">
        <f t="shared" si="12"/>
        <v>96.326662880584522</v>
      </c>
      <c r="AP13" s="146">
        <f t="shared" si="12"/>
        <v>77.84370182572502</v>
      </c>
      <c r="AQ13" s="146">
        <f t="shared" si="12"/>
        <v>102.37422533423717</v>
      </c>
      <c r="AR13" s="146">
        <f t="shared" si="12"/>
        <v>128.09873312614022</v>
      </c>
      <c r="AS13" s="146">
        <f t="shared" si="12"/>
        <v>88.176165038210186</v>
      </c>
      <c r="AT13" s="146">
        <f t="shared" si="12"/>
        <v>91.024245354653672</v>
      </c>
      <c r="AU13" s="146">
        <f t="shared" si="12"/>
        <v>95.409846012400919</v>
      </c>
      <c r="AV13" s="146">
        <f t="shared" si="12"/>
        <v>63.723858873862106</v>
      </c>
      <c r="AW13" s="146">
        <f t="shared" si="12"/>
        <v>137.14444873212318</v>
      </c>
      <c r="AX13" s="146">
        <f t="shared" si="12"/>
        <v>84.994680062048104</v>
      </c>
      <c r="AY13" s="146">
        <f t="shared" si="12"/>
        <v>251.09632875186603</v>
      </c>
      <c r="AZ13" s="146">
        <f t="shared" si="12"/>
        <v>103.45585219162751</v>
      </c>
      <c r="BA13" s="146">
        <f t="shared" si="12"/>
        <v>102.29982689583434</v>
      </c>
      <c r="BB13" s="146">
        <f t="shared" si="12"/>
        <v>86.775572304388504</v>
      </c>
      <c r="BC13" s="146">
        <f t="shared" si="12"/>
        <v>89.828854321716605</v>
      </c>
      <c r="BD13" s="146">
        <f t="shared" si="12"/>
        <v>89.337046685062134</v>
      </c>
      <c r="BE13" s="146">
        <f t="shared" si="12"/>
        <v>83.588250563654313</v>
      </c>
      <c r="BF13" s="146">
        <f t="shared" si="12"/>
        <v>103.46924894258103</v>
      </c>
      <c r="BG13" s="146">
        <f t="shared" si="12"/>
        <v>148.21114870902818</v>
      </c>
      <c r="BH13" s="146">
        <f t="shared" si="12"/>
        <v>80.094616818236048</v>
      </c>
      <c r="BI13" s="146">
        <f t="shared" si="12"/>
        <v>120.47020739853629</v>
      </c>
      <c r="BJ13" s="146">
        <f t="shared" si="12"/>
        <v>55.550881816031058</v>
      </c>
      <c r="BK13" s="146">
        <f t="shared" si="12"/>
        <v>156.68445190652034</v>
      </c>
      <c r="BL13" s="146">
        <f t="shared" si="12"/>
        <v>115.13117293187278</v>
      </c>
      <c r="BM13" s="146">
        <f t="shared" si="12"/>
        <v>98.093615597380918</v>
      </c>
      <c r="BN13" s="146">
        <f t="shared" si="12"/>
        <v>116.47035409933133</v>
      </c>
      <c r="BO13" s="146">
        <f t="shared" si="12"/>
        <v>71.991971593367339</v>
      </c>
      <c r="BP13" s="146">
        <f t="shared" ref="BP13:CF13" si="13">BP11/BO11*100</f>
        <v>91.5558937904825</v>
      </c>
      <c r="BQ13" s="146">
        <f t="shared" si="13"/>
        <v>94.92544141039906</v>
      </c>
      <c r="BR13" s="146">
        <f t="shared" si="13"/>
        <v>103.22409342369691</v>
      </c>
      <c r="BS13" s="146">
        <f t="shared" si="13"/>
        <v>98.247555160784529</v>
      </c>
      <c r="BT13" s="146">
        <f t="shared" si="13"/>
        <v>107.07594094084511</v>
      </c>
      <c r="BU13" s="146">
        <f t="shared" si="13"/>
        <v>110.7599151033226</v>
      </c>
      <c r="BV13" s="146">
        <f>BV11/BU11*100</f>
        <v>55.15420087810076</v>
      </c>
      <c r="BW13" s="146">
        <f>BW11/BV11*100</f>
        <v>139.88609983129572</v>
      </c>
      <c r="BX13" s="146">
        <f>BX11/BW11*100</f>
        <v>108.07275350966803</v>
      </c>
      <c r="BY13" s="146">
        <f>BY11/BX11*100</f>
        <v>104.38627311333215</v>
      </c>
      <c r="BZ13" s="146">
        <f t="shared" si="13"/>
        <v>96.603049357151335</v>
      </c>
      <c r="CA13" s="146">
        <f t="shared" si="13"/>
        <v>98.15520467326597</v>
      </c>
      <c r="CB13" s="146">
        <f t="shared" si="13"/>
        <v>108.80164483623076</v>
      </c>
      <c r="CC13" s="146">
        <f>CC11/CB11*100</f>
        <v>130.23789251111208</v>
      </c>
      <c r="CD13" s="146">
        <f>CD11/CC11*100</f>
        <v>101.9383468342201</v>
      </c>
      <c r="CE13" s="146">
        <f>CE11/CD11*100</f>
        <v>82.882850849937824</v>
      </c>
      <c r="CF13" s="146">
        <f t="shared" si="13"/>
        <v>91.918314352669</v>
      </c>
      <c r="CG13" s="146">
        <f>CG11/CF11*100</f>
        <v>151.56052089084633</v>
      </c>
      <c r="CH13" s="147">
        <f>H21</f>
        <v>848667.71307058854</v>
      </c>
      <c r="CI13" s="146">
        <f>CI11/CG11*100</f>
        <v>52.160950786619424</v>
      </c>
      <c r="CJ13" s="146">
        <f>CJ11/CI11*100</f>
        <v>125.06844127263199</v>
      </c>
      <c r="CK13" s="146">
        <f>CK11/CJ11*100</f>
        <v>88.328275139693076</v>
      </c>
      <c r="CL13" s="146">
        <f>CL11/CK11*100</f>
        <v>115.00501106681</v>
      </c>
      <c r="CM13" s="146">
        <f>CM11/CL11*100</f>
        <v>115.68667001327697</v>
      </c>
      <c r="CN13" s="146">
        <f>CN11/CM11*100</f>
        <v>116.8998787687182</v>
      </c>
      <c r="CO13" s="146">
        <f t="shared" ref="CO13:DK13" si="14">CO11/CN11*100</f>
        <v>68.93166500270334</v>
      </c>
      <c r="CP13" s="146">
        <f t="shared" si="14"/>
        <v>90.420372160357445</v>
      </c>
      <c r="CQ13" s="146">
        <f>CQ11/CP11*100</f>
        <v>104.36683509144015</v>
      </c>
      <c r="CR13" s="146">
        <f t="shared" si="14"/>
        <v>144.76135234952622</v>
      </c>
      <c r="CS13" s="146">
        <f t="shared" si="14"/>
        <v>91.435035896782651</v>
      </c>
      <c r="CT13" s="146">
        <f>CT11/CS11*100</f>
        <v>128.94872487200431</v>
      </c>
      <c r="CU13" s="146">
        <f t="shared" si="14"/>
        <v>62.902261738144659</v>
      </c>
      <c r="CV13" s="146">
        <f t="shared" si="14"/>
        <v>133.9822413917733</v>
      </c>
      <c r="CW13" s="146">
        <f t="shared" si="14"/>
        <v>99.315847307736661</v>
      </c>
      <c r="CX13" s="146">
        <f t="shared" si="14"/>
        <v>122.59578887638791</v>
      </c>
      <c r="CY13" s="146">
        <f t="shared" si="14"/>
        <v>65.305906371373723</v>
      </c>
      <c r="CZ13" s="146">
        <f t="shared" si="14"/>
        <v>112.3697726978867</v>
      </c>
      <c r="DA13" s="146">
        <f t="shared" si="14"/>
        <v>76.311269696909477</v>
      </c>
      <c r="DB13" s="146">
        <f t="shared" si="14"/>
        <v>92.712242410132916</v>
      </c>
      <c r="DC13" s="146">
        <f t="shared" si="14"/>
        <v>104.1144317971502</v>
      </c>
      <c r="DD13" s="146">
        <f t="shared" si="14"/>
        <v>125.95297679367651</v>
      </c>
      <c r="DE13" s="146">
        <f t="shared" si="14"/>
        <v>92.183782439830054</v>
      </c>
      <c r="DF13" s="146">
        <f t="shared" si="14"/>
        <v>132.50937699462006</v>
      </c>
      <c r="DG13" s="146">
        <f t="shared" si="14"/>
        <v>66.65593874198575</v>
      </c>
      <c r="DH13" s="146">
        <f t="shared" si="14"/>
        <v>141.23269859170242</v>
      </c>
      <c r="DI13" s="146">
        <f t="shared" si="14"/>
        <v>100.05778127810009</v>
      </c>
      <c r="DJ13" s="146">
        <f t="shared" si="14"/>
        <v>118.56122342101283</v>
      </c>
      <c r="DK13" s="146">
        <f t="shared" si="14"/>
        <v>63.862898944240158</v>
      </c>
    </row>
    <row r="14" spans="1:122" ht="14.25" customHeight="1">
      <c r="A14" s="153" t="s">
        <v>463</v>
      </c>
      <c r="B14" s="154">
        <f>B11/SUM(B11:M11)*100</f>
        <v>5.3445872045978344</v>
      </c>
      <c r="C14" s="151">
        <f>C11/SUM(B11:M11)*100</f>
        <v>6.2870000357175408</v>
      </c>
      <c r="D14" s="151">
        <f>D11/SUM(B11:M11)*100</f>
        <v>8.1344482842183705</v>
      </c>
      <c r="E14" s="151">
        <f>E11/SUM(B11:M11)*100</f>
        <v>8.4563324112501519</v>
      </c>
      <c r="F14" s="151">
        <f>F11/SUM(B11:M11)*100</f>
        <v>7.8591102077773503</v>
      </c>
      <c r="G14" s="151">
        <f>G11/SUM(B11:M11)*100</f>
        <v>8.3869052307978276</v>
      </c>
      <c r="H14" s="151">
        <f>H11/SUM(B11:M11)*100</f>
        <v>8.2626466516367394</v>
      </c>
      <c r="I14" s="151">
        <f>I11/SUM(B11:M11)*100</f>
        <v>8.8654953857027738</v>
      </c>
      <c r="J14" s="151">
        <f>J11/SUM(B11:M11)*100</f>
        <v>9.5108166711803026</v>
      </c>
      <c r="K14" s="151">
        <f>K11/SUM(B11:M11)*100</f>
        <v>9.4534503100998126</v>
      </c>
      <c r="L14" s="151">
        <f>L11/SUM(B11:M11)*100</f>
        <v>8.985994782443484</v>
      </c>
      <c r="M14" s="151">
        <f>M11/SUM(B11:M11)*100</f>
        <v>10.453212824577816</v>
      </c>
      <c r="N14" s="154">
        <f>N11/SUM(N11:Y11)*100</f>
        <v>4.4974713167619766</v>
      </c>
      <c r="O14" s="151">
        <f>O11/SUM(N11:Y11)*100</f>
        <v>5.4803071605133029</v>
      </c>
      <c r="P14" s="151">
        <f>P11/SUM(N11:Y11)*100</f>
        <v>7.3856236513141482</v>
      </c>
      <c r="Q14" s="151">
        <f>Q11/SUM(N11:Y11)*100</f>
        <v>8.8790190188511229</v>
      </c>
      <c r="R14" s="151">
        <f>R11/SUM(N11:Y11)*100</f>
        <v>11.898914224515105</v>
      </c>
      <c r="S14" s="151">
        <f>S11/SUM(N11:Y11)*100</f>
        <v>9.7135384671840281</v>
      </c>
      <c r="T14" s="151">
        <f>T11/SUM(N11:Y11)*100</f>
        <v>8.6854807799928615</v>
      </c>
      <c r="U14" s="151">
        <f>U11/SUM(N11:Y11)*100</f>
        <v>9.7892542689140019</v>
      </c>
      <c r="V14" s="151">
        <f>V11/SUM(N11:Y11)*100</f>
        <v>7.9063599690130886</v>
      </c>
      <c r="W14" s="151">
        <f>W11/SUM(N11:Y11)*100</f>
        <v>7.6802765021296517</v>
      </c>
      <c r="X14" s="151">
        <f>X11/SUM(N11:Y11)*100</f>
        <v>6.9934375395659192</v>
      </c>
      <c r="Y14" s="151">
        <f>Y11/SUM(N11:Y11)*100</f>
        <v>11.090317101244807</v>
      </c>
      <c r="Z14" s="154">
        <f>Z11/SUM(Z11:AK11)*100</f>
        <v>5.1769010332664438</v>
      </c>
      <c r="AA14" s="151">
        <f>AA11/SUM(Z11:AK11)*100</f>
        <v>6.0093704613009988</v>
      </c>
      <c r="AB14" s="151">
        <f>AB11/SUM(Z11:AK11)*100</f>
        <v>8.5575730745019971</v>
      </c>
      <c r="AC14" s="151">
        <f>AC11/SUM(Z11:AK11)*100</f>
        <v>10.483300056344635</v>
      </c>
      <c r="AD14" s="151">
        <f>AD11/SUM(Z11:AK11)*100</f>
        <v>8.558624753000398</v>
      </c>
      <c r="AE14" s="151">
        <f>AE11/SUM(Z11:AK11)*100</f>
        <v>7.4793445378789265</v>
      </c>
      <c r="AF14" s="151">
        <f>AF11/SUM(Z11:AK11)*100</f>
        <v>8.4423968352733905</v>
      </c>
      <c r="AG14" s="151">
        <f>AG11/SUM(Z11:AK11)*100</f>
        <v>9.30562649763006</v>
      </c>
      <c r="AH14" s="151">
        <f>AH11/SUM(Z11:AK11)*100</f>
        <v>7.828109681655099</v>
      </c>
      <c r="AI14" s="151">
        <f>AI11/SUM(Z11:AK11)*100</f>
        <v>9.3912079930409327</v>
      </c>
      <c r="AJ14" s="151">
        <f>AJ11/SUM(Z11:AK11)*100</f>
        <v>10.171764309537606</v>
      </c>
      <c r="AK14" s="151">
        <f>AK11/SUM(Z11:AK11)*100</f>
        <v>8.5957807665695221</v>
      </c>
      <c r="AL14" s="154">
        <f>AL11/SUM(AL11:AW11)*100</f>
        <v>6.5607016486625511</v>
      </c>
      <c r="AM14" s="151">
        <f>AM11/SUM(AL11:AW11)*100</f>
        <v>7.4114642426500819</v>
      </c>
      <c r="AN14" s="151">
        <f>AN11/SUM(AL11:AW11)*100</f>
        <v>10.738191526555131</v>
      </c>
      <c r="AO14" s="151">
        <f>AO11/SUM(AL11:AW11)*100</f>
        <v>10.343741551256254</v>
      </c>
      <c r="AP14" s="151">
        <f>AP11/SUM(AL11:AW11)*100</f>
        <v>8.0519513307835417</v>
      </c>
      <c r="AQ14" s="151">
        <f>AQ11/SUM(AL11:AW11)*100</f>
        <v>8.2431227991794511</v>
      </c>
      <c r="AR14" s="151">
        <f>AR11/SUM(AL11:AW11)*100</f>
        <v>10.559335875780903</v>
      </c>
      <c r="AS14" s="151">
        <f>AS11/SUM(AL11:AW11)*100</f>
        <v>9.310817428767507</v>
      </c>
      <c r="AT14" s="151">
        <f>AT11/SUM(AL11:AW11)*100</f>
        <v>8.4751013008851928</v>
      </c>
      <c r="AU14" s="151">
        <f>AU11/SUM(AL11:AW11)*100</f>
        <v>8.0860811005695492</v>
      </c>
      <c r="AV14" s="151">
        <f>AV11/SUM(AL11:AW11)*100</f>
        <v>5.1527629089529752</v>
      </c>
      <c r="AW14" s="151">
        <f>AW11/SUM(AL11:AW11)*100</f>
        <v>7.0667282859568719</v>
      </c>
      <c r="AX14" s="154">
        <f>AX11/SUM(AX11:BI11)*100</f>
        <v>4.0480991758724123</v>
      </c>
      <c r="AY14" s="151">
        <f>AY11/SUM(AX11:BI11)*100</f>
        <v>10.164628414850171</v>
      </c>
      <c r="AZ14" s="151">
        <f>AZ11/SUM(AX11:BI11)*100</f>
        <v>10.515902948695564</v>
      </c>
      <c r="BA14" s="151">
        <f>BA11/SUM(AX11:BI11)*100</f>
        <v>10.757750513049501</v>
      </c>
      <c r="BB14" s="151">
        <f>BB11/SUM(AX11:BI11)*100</f>
        <v>9.3350995747769954</v>
      </c>
      <c r="BC14" s="151">
        <f>BC11/SUM(AX11:BI11)*100</f>
        <v>8.3856129978136131</v>
      </c>
      <c r="BD14" s="151">
        <f>BD11/SUM(AX11:BI11)*100</f>
        <v>7.4914589986853866</v>
      </c>
      <c r="BE14" s="151">
        <f>BE11/SUM(AX11:BI11)*100</f>
        <v>6.2619795186945701</v>
      </c>
      <c r="BF14" s="151">
        <f>BF11/SUM(AX11:BI11)*100</f>
        <v>6.4792231769315212</v>
      </c>
      <c r="BG14" s="151">
        <f>BG11/SUM(AX11:BI11)*100</f>
        <v>9.6029310979517977</v>
      </c>
      <c r="BH14" s="151">
        <f>BH11/SUM(AX11:BI11)*100</f>
        <v>7.6914308662237199</v>
      </c>
      <c r="BI14" s="151">
        <f>BI11/SUM(AX11:BI11)*100</f>
        <v>9.2658827164547528</v>
      </c>
      <c r="BJ14" s="154">
        <f>BJ11/SUM(BJ11:BU11)*100</f>
        <v>5.5793739668776698</v>
      </c>
      <c r="BK14" s="151">
        <f>BK11/SUM(BJ11:BU11)*100</f>
        <v>8.7420115198173587</v>
      </c>
      <c r="BL14" s="151">
        <f>BL11/SUM(BJ11:BU11)*100</f>
        <v>10.064780400605162</v>
      </c>
      <c r="BM14" s="151">
        <f>BM11/SUM(BJ11:BU11)*100</f>
        <v>9.8729069968901637</v>
      </c>
      <c r="BN14" s="151">
        <f>BN11/SUM(BJ11:BU11)*100</f>
        <v>11.499009739175634</v>
      </c>
      <c r="BO14" s="151">
        <f>BO11/SUM(BJ11:BU11)*100</f>
        <v>8.2783638249458669</v>
      </c>
      <c r="BP14" s="151">
        <f>BP11/SUM(BJ11:BU11)*100</f>
        <v>7.5793299911571621</v>
      </c>
      <c r="BQ14" s="151">
        <f>BQ11/SUM(BJ11:BU11)*100</f>
        <v>7.1947124500566968</v>
      </c>
      <c r="BR14" s="151">
        <f>BR11/SUM(BJ11:BU11)*100</f>
        <v>7.4266767010128767</v>
      </c>
      <c r="BS14" s="151">
        <f>BS11/SUM(BJ11:BU11)*100</f>
        <v>7.2965282884407596</v>
      </c>
      <c r="BT14" s="151">
        <f>BT11/SUM(BJ11:BU11)*100</f>
        <v>7.8128263208628841</v>
      </c>
      <c r="BU14" s="151">
        <f>BU11/SUM(BJ11:BU11)*100</f>
        <v>8.653479800157772</v>
      </c>
      <c r="BV14" s="151">
        <f t="shared" ref="BV14:CC14" si="15">BV11/$CH$13*100</f>
        <v>5.4995530043023368</v>
      </c>
      <c r="BW14" s="151">
        <f t="shared" si="15"/>
        <v>7.6931102058733893</v>
      </c>
      <c r="BX14" s="151">
        <f t="shared" si="15"/>
        <v>8.3141560300206638</v>
      </c>
      <c r="BY14" s="151">
        <f t="shared" si="15"/>
        <v>8.678837620565945</v>
      </c>
      <c r="BZ14" s="151">
        <f t="shared" si="15"/>
        <v>8.384021790222338</v>
      </c>
      <c r="CA14" s="151">
        <f t="shared" si="15"/>
        <v>8.2293537480439536</v>
      </c>
      <c r="CB14" s="151">
        <f t="shared" si="15"/>
        <v>8.9536722372638273</v>
      </c>
      <c r="CC14" s="151">
        <f t="shared" si="15"/>
        <v>11.661074024164948</v>
      </c>
      <c r="CD14" s="151">
        <f>CD11/$CH$13*100</f>
        <v>11.887106083348412</v>
      </c>
      <c r="CE14" s="151">
        <f>AVERAGE(BS14,BG14,AU14,AI14,K14)*CC18</f>
        <v>9.3796625410820127</v>
      </c>
      <c r="CF14" s="151">
        <f>AVERAGE(BT14,BH14,AV14,AJ14,L14)*CC18</f>
        <v>8.5203627462364242</v>
      </c>
      <c r="CG14" s="151">
        <f>100-CF14-CE14-CD14-CC14-CB14-CA14-BZ14-BY14-BX14-BW14-BV14</f>
        <v>2.7990899688757356</v>
      </c>
    </row>
    <row r="15" spans="1:122" ht="14.25" customHeight="1">
      <c r="A15" s="155"/>
      <c r="B15" s="156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6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4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4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4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4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</row>
    <row r="16" spans="1:122" ht="14.25" customHeight="1">
      <c r="A16" s="157" t="s">
        <v>464</v>
      </c>
      <c r="B16" s="158"/>
      <c r="C16" s="159">
        <f>C13/C9</f>
        <v>1.1769230159924591</v>
      </c>
      <c r="D16" s="159">
        <f t="shared" ref="D16:BO16" si="16">D13/D9</f>
        <v>1.3111324983342647</v>
      </c>
      <c r="E16" s="160">
        <f t="shared" si="16"/>
        <v>1.0326949928368341</v>
      </c>
      <c r="F16" s="160">
        <f t="shared" si="16"/>
        <v>0.92468675753407537</v>
      </c>
      <c r="G16" s="160">
        <f t="shared" si="16"/>
        <v>1.0466927753856805</v>
      </c>
      <c r="H16" s="160">
        <f t="shared" si="16"/>
        <v>0.97843541903680908</v>
      </c>
      <c r="I16" s="160">
        <f t="shared" si="16"/>
        <v>1.0810465204113562</v>
      </c>
      <c r="J16" s="160">
        <f t="shared" si="16"/>
        <v>1.0765625701865151</v>
      </c>
      <c r="K16" s="160">
        <f t="shared" si="16"/>
        <v>0.98759592212484215</v>
      </c>
      <c r="L16" s="160">
        <f t="shared" si="16"/>
        <v>0.94396062988421381</v>
      </c>
      <c r="M16" s="160">
        <f t="shared" si="16"/>
        <v>1.1615811718734426</v>
      </c>
      <c r="N16" s="160">
        <f t="shared" si="16"/>
        <v>0.69643970598754035</v>
      </c>
      <c r="O16" s="160">
        <f t="shared" si="16"/>
        <v>1.2199797997216306</v>
      </c>
      <c r="P16" s="160">
        <f t="shared" si="16"/>
        <v>1.3631779012887884</v>
      </c>
      <c r="Q16" s="160">
        <f t="shared" si="16"/>
        <v>1.215692740594116</v>
      </c>
      <c r="R16" s="160">
        <f t="shared" si="16"/>
        <v>1.3654655660808384</v>
      </c>
      <c r="S16" s="160">
        <f t="shared" si="16"/>
        <v>0.81843469493370458</v>
      </c>
      <c r="T16" s="160">
        <f t="shared" si="16"/>
        <v>0.89640890090266256</v>
      </c>
      <c r="U16" s="160">
        <f t="shared" si="16"/>
        <v>1.1335642112867146</v>
      </c>
      <c r="V16" s="160">
        <f t="shared" si="16"/>
        <v>0.80812751692228602</v>
      </c>
      <c r="W16" s="160">
        <f t="shared" si="16"/>
        <v>0.96703493302665178</v>
      </c>
      <c r="X16" s="160">
        <f t="shared" si="16"/>
        <v>0.91911645951527599</v>
      </c>
      <c r="Y16" s="160">
        <f t="shared" si="16"/>
        <v>1.60567982562726</v>
      </c>
      <c r="Z16" s="160">
        <f t="shared" si="16"/>
        <v>0.48107657584104946</v>
      </c>
      <c r="AA16" s="160">
        <f t="shared" si="16"/>
        <v>1.1689939527212754</v>
      </c>
      <c r="AB16" s="160">
        <f t="shared" si="16"/>
        <v>1.4369990512644357</v>
      </c>
      <c r="AC16" s="160">
        <f t="shared" si="16"/>
        <v>1.2380507266252587</v>
      </c>
      <c r="AD16" s="160">
        <f t="shared" si="16"/>
        <v>0.8166278361313376</v>
      </c>
      <c r="AE16" s="160">
        <f t="shared" si="16"/>
        <v>0.87102020286696291</v>
      </c>
      <c r="AF16" s="160">
        <f t="shared" si="16"/>
        <v>1.1450493797666701</v>
      </c>
      <c r="AG16" s="160">
        <f t="shared" si="16"/>
        <v>1.0986815911266481</v>
      </c>
      <c r="AH16" s="160">
        <f t="shared" si="16"/>
        <v>0.85084017415172986</v>
      </c>
      <c r="AI16" s="160">
        <f t="shared" si="16"/>
        <v>1.2207767399359755</v>
      </c>
      <c r="AJ16" s="160">
        <f t="shared" si="16"/>
        <v>1.1022020656970406</v>
      </c>
      <c r="AK16" s="160">
        <f t="shared" si="16"/>
        <v>0.84118042985316521</v>
      </c>
      <c r="AL16" s="160">
        <f t="shared" si="16"/>
        <v>0.55127894915799702</v>
      </c>
      <c r="AM16" s="160">
        <f t="shared" si="16"/>
        <v>1.1285446676571282</v>
      </c>
      <c r="AN16" s="160">
        <f t="shared" si="16"/>
        <v>1.4956294921379916</v>
      </c>
      <c r="AO16" s="160">
        <f t="shared" si="16"/>
        <v>0.97340472115498677</v>
      </c>
      <c r="AP16" s="160">
        <f t="shared" si="16"/>
        <v>0.7716536127316278</v>
      </c>
      <c r="AQ16" s="160">
        <f t="shared" si="16"/>
        <v>1.0270491584748569</v>
      </c>
      <c r="AR16" s="160">
        <f t="shared" si="16"/>
        <v>1.2971912893541522</v>
      </c>
      <c r="AS16" s="160">
        <f t="shared" si="16"/>
        <v>0.85235756639421401</v>
      </c>
      <c r="AT16" s="160">
        <f t="shared" si="16"/>
        <v>0.87002177104956702</v>
      </c>
      <c r="AU16" s="160">
        <f t="shared" si="16"/>
        <v>0.91476925403537024</v>
      </c>
      <c r="AV16" s="160">
        <f t="shared" si="16"/>
        <v>0.61445399953968149</v>
      </c>
      <c r="AW16" s="160">
        <f t="shared" si="16"/>
        <v>1.3316148277294613</v>
      </c>
      <c r="AX16" s="160">
        <f t="shared" si="16"/>
        <v>0.73639350990087782</v>
      </c>
      <c r="AY16" s="160">
        <f t="shared" si="16"/>
        <v>2.2780464353383669</v>
      </c>
      <c r="AZ16" s="160">
        <f t="shared" si="16"/>
        <v>1.0690871961665469</v>
      </c>
      <c r="BA16" s="160">
        <f t="shared" si="16"/>
        <v>1.0557268091929417</v>
      </c>
      <c r="BB16" s="160">
        <f t="shared" si="16"/>
        <v>0.91083753187263228</v>
      </c>
      <c r="BC16" s="160">
        <f t="shared" si="16"/>
        <v>0.92538369418402011</v>
      </c>
      <c r="BD16" s="160">
        <f t="shared" si="16"/>
        <v>0.88060701898027993</v>
      </c>
      <c r="BE16" s="160">
        <f t="shared" si="16"/>
        <v>0.83214516686970785</v>
      </c>
      <c r="BF16" s="160">
        <f t="shared" si="16"/>
        <v>1.0612884860424558</v>
      </c>
      <c r="BG16" s="160">
        <f t="shared" si="16"/>
        <v>1.5521585680451693</v>
      </c>
      <c r="BH16" s="160">
        <f t="shared" si="16"/>
        <v>0.81588864608694234</v>
      </c>
      <c r="BI16" s="160">
        <f t="shared" si="16"/>
        <v>1.163823296802621</v>
      </c>
      <c r="BJ16" s="160">
        <f t="shared" si="16"/>
        <v>0.55541097876331202</v>
      </c>
      <c r="BK16" s="160">
        <f t="shared" si="16"/>
        <v>1.5542184943779378</v>
      </c>
      <c r="BL16" s="160">
        <f t="shared" si="16"/>
        <v>1.1738940108334976</v>
      </c>
      <c r="BM16" s="160">
        <f t="shared" si="16"/>
        <v>0.99444220797298633</v>
      </c>
      <c r="BN16" s="160">
        <f t="shared" si="16"/>
        <v>1.1204999340229371</v>
      </c>
      <c r="BO16" s="160">
        <f t="shared" si="16"/>
        <v>0.71991971593367343</v>
      </c>
      <c r="BP16" s="160">
        <f t="shared" ref="BP16:CG16" si="17">BP13/BP9</f>
        <v>0.89192724452615546</v>
      </c>
      <c r="BQ16" s="160">
        <f t="shared" si="17"/>
        <v>0.97486409495072057</v>
      </c>
      <c r="BR16" s="160">
        <f t="shared" si="17"/>
        <v>1.0157523152441361</v>
      </c>
      <c r="BS16" s="160">
        <f t="shared" si="17"/>
        <v>0.99916349076439037</v>
      </c>
      <c r="BT16" s="160">
        <f t="shared" si="17"/>
        <v>1.048453583298377</v>
      </c>
      <c r="BU16" s="160">
        <f t="shared" si="17"/>
        <v>1.1116445654975551</v>
      </c>
      <c r="BV16" s="160">
        <f t="shared" si="17"/>
        <v>0.57354852113937149</v>
      </c>
      <c r="BW16" s="160">
        <f t="shared" si="17"/>
        <v>1.4341467111245834</v>
      </c>
      <c r="BX16" s="160">
        <f t="shared" si="17"/>
        <v>1.1001144870101276</v>
      </c>
      <c r="BY16" s="160">
        <f t="shared" si="17"/>
        <v>1.079164270768012</v>
      </c>
      <c r="BZ16" s="160">
        <f t="shared" si="17"/>
        <v>0.94641391425780619</v>
      </c>
      <c r="CA16" s="160">
        <f t="shared" si="17"/>
        <v>0.98120249116046154</v>
      </c>
      <c r="CB16" s="160">
        <f t="shared" si="17"/>
        <v>1.1029423057766641</v>
      </c>
      <c r="CC16" s="160">
        <f>CC13/CC9</f>
        <v>1.2500310542473336</v>
      </c>
      <c r="CD16" s="160">
        <f>CD13/CD9</f>
        <v>0.92281702937126464</v>
      </c>
      <c r="CE16" s="160">
        <f>CE13/CE9</f>
        <v>0.84181574322468145</v>
      </c>
      <c r="CF16" s="160">
        <f t="shared" si="17"/>
        <v>0.93603760432703231</v>
      </c>
      <c r="CG16" s="160">
        <f t="shared" si="17"/>
        <v>1.4834493524698535</v>
      </c>
      <c r="CI16" s="160">
        <f t="shared" ref="CI16:CW16" si="18">CI13/CI9</f>
        <v>0.52119437764180998</v>
      </c>
      <c r="CJ16" s="160">
        <f t="shared" si="18"/>
        <v>1.3189985272459499</v>
      </c>
      <c r="CK16" s="160">
        <f t="shared" si="18"/>
        <v>0.89880527020991496</v>
      </c>
      <c r="CL16" s="160">
        <f t="shared" si="18"/>
        <v>1.1458868391347987</v>
      </c>
      <c r="CM16" s="160">
        <f t="shared" si="18"/>
        <v>1.1120627341029066</v>
      </c>
      <c r="CN16" s="160">
        <f t="shared" si="18"/>
        <v>1.0889190910463735</v>
      </c>
      <c r="CO16" s="160">
        <f t="shared" si="18"/>
        <v>0.69812032679035785</v>
      </c>
      <c r="CP16" s="160">
        <f t="shared" si="18"/>
        <v>0.91913530824659739</v>
      </c>
      <c r="CQ16" s="160">
        <f t="shared" si="18"/>
        <v>1.0744773519163762</v>
      </c>
      <c r="CR16" s="160">
        <f t="shared" si="18"/>
        <v>1.4459467529200443</v>
      </c>
      <c r="CS16" s="160">
        <f t="shared" si="18"/>
        <v>0.9052001885342752</v>
      </c>
      <c r="CT16" s="160">
        <f t="shared" si="18"/>
        <v>1.3174365979179223</v>
      </c>
      <c r="CU16" s="160">
        <f t="shared" si="18"/>
        <v>0.63905937194790063</v>
      </c>
      <c r="CV16" s="160">
        <f t="shared" si="18"/>
        <v>1.3441180121653498</v>
      </c>
      <c r="CW16" s="160">
        <f t="shared" si="18"/>
        <v>0.97260438440675656</v>
      </c>
      <c r="CX16" s="143">
        <f t="shared" ref="CX16:DI16" si="19">CL16</f>
        <v>1.1458868391347987</v>
      </c>
      <c r="CY16" s="143">
        <f t="shared" si="19"/>
        <v>1.1120627341029066</v>
      </c>
      <c r="CZ16" s="143">
        <f t="shared" si="19"/>
        <v>1.0889190910463735</v>
      </c>
      <c r="DA16" s="143">
        <f t="shared" si="19"/>
        <v>0.69812032679035785</v>
      </c>
      <c r="DB16" s="143">
        <f t="shared" si="19"/>
        <v>0.91913530824659739</v>
      </c>
      <c r="DC16" s="143">
        <f t="shared" si="19"/>
        <v>1.0744773519163762</v>
      </c>
      <c r="DD16" s="143">
        <f t="shared" si="19"/>
        <v>1.4459467529200443</v>
      </c>
      <c r="DE16" s="143">
        <f t="shared" si="19"/>
        <v>0.9052001885342752</v>
      </c>
      <c r="DF16" s="143">
        <f t="shared" si="19"/>
        <v>1.3174365979179223</v>
      </c>
      <c r="DG16" s="143">
        <f t="shared" si="19"/>
        <v>0.63905937194790063</v>
      </c>
      <c r="DH16" s="143">
        <f t="shared" si="19"/>
        <v>1.3441180121653498</v>
      </c>
      <c r="DI16" s="143">
        <f t="shared" si="19"/>
        <v>0.97260438440675656</v>
      </c>
      <c r="DJ16" s="143">
        <f>CX16*0.9</f>
        <v>1.031298155221319</v>
      </c>
      <c r="DK16" s="143">
        <f>CY16*0.9</f>
        <v>1.000856460692616</v>
      </c>
    </row>
    <row r="17" spans="1:104" s="162" customFormat="1" ht="14.25" customHeight="1">
      <c r="A17" s="157"/>
      <c r="B17" s="156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</row>
    <row r="18" spans="1:104" s="162" customFormat="1" ht="14.25" customHeight="1">
      <c r="A18" s="157"/>
      <c r="B18" s="156">
        <v>2005</v>
      </c>
      <c r="C18" s="156">
        <v>2006</v>
      </c>
      <c r="D18" s="156">
        <v>2007</v>
      </c>
      <c r="E18" s="156">
        <v>2008</v>
      </c>
      <c r="F18" s="156">
        <v>2009</v>
      </c>
      <c r="G18" s="156">
        <v>2010</v>
      </c>
      <c r="H18" s="156">
        <v>2011</v>
      </c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3">
        <v>1.07</v>
      </c>
      <c r="CD18" s="161"/>
      <c r="CE18" s="161"/>
      <c r="CF18" s="161"/>
      <c r="CG18" s="161"/>
    </row>
    <row r="19" spans="1:104" ht="14.25" customHeight="1">
      <c r="A19" s="164" t="s">
        <v>465</v>
      </c>
      <c r="B19" s="156">
        <v>28.78</v>
      </c>
      <c r="C19" s="151">
        <v>26.33</v>
      </c>
      <c r="D19" s="151">
        <v>24.55</v>
      </c>
      <c r="E19" s="160">
        <v>29.38</v>
      </c>
      <c r="F19" s="160">
        <v>30.24</v>
      </c>
      <c r="G19" s="160">
        <v>30.48</v>
      </c>
      <c r="H19" s="161">
        <v>28.9</v>
      </c>
      <c r="I19" s="151"/>
      <c r="J19" s="151"/>
      <c r="K19" s="165"/>
      <c r="L19" s="151"/>
      <c r="M19" s="151"/>
      <c r="N19" s="156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4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4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4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4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66"/>
      <c r="CC19" s="151"/>
      <c r="CD19" s="151"/>
      <c r="CE19" s="151"/>
      <c r="CF19" s="151"/>
      <c r="CG19" s="151"/>
    </row>
    <row r="20" spans="1:104" ht="14.25" customHeight="1">
      <c r="A20" s="123" t="s">
        <v>466</v>
      </c>
      <c r="B20" s="151"/>
      <c r="C20" s="151">
        <f t="shared" ref="C20:H20" si="20">C19/B19*100</f>
        <v>91.487143849895745</v>
      </c>
      <c r="D20" s="151">
        <f t="shared" si="20"/>
        <v>93.239650588682125</v>
      </c>
      <c r="E20" s="151">
        <f t="shared" si="20"/>
        <v>119.67413441955192</v>
      </c>
      <c r="F20" s="151">
        <f t="shared" si="20"/>
        <v>102.92716133424098</v>
      </c>
      <c r="G20" s="151">
        <f t="shared" si="20"/>
        <v>100.79365079365078</v>
      </c>
      <c r="H20" s="151">
        <f t="shared" si="20"/>
        <v>94.81627296587925</v>
      </c>
      <c r="I20" s="151"/>
      <c r="J20" s="151"/>
      <c r="K20" s="165"/>
      <c r="L20" s="151"/>
      <c r="M20" s="151"/>
      <c r="N20" s="156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4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4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4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4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>
        <f>CC9/CC16</f>
        <v>83.348109855160573</v>
      </c>
      <c r="CD20" s="151"/>
      <c r="CE20" s="151"/>
      <c r="CF20" s="151"/>
      <c r="CG20" s="151"/>
    </row>
    <row r="21" spans="1:104" ht="14.25" customHeight="1">
      <c r="A21" s="149" t="s">
        <v>462</v>
      </c>
      <c r="B21" s="139">
        <f>SUM(B11:M11)</f>
        <v>601359.84200000006</v>
      </c>
      <c r="C21" s="139">
        <f>SUM(N11:Y11)</f>
        <v>953936.89999999991</v>
      </c>
      <c r="D21" s="139">
        <f>SUM(Z11:AK11)</f>
        <v>992131.99999999988</v>
      </c>
      <c r="E21" s="139">
        <f>SUM(AL11:AW11)</f>
        <v>714404.88299999991</v>
      </c>
      <c r="F21" s="139">
        <f>SUM(AX11:BI11)</f>
        <v>1059994</v>
      </c>
      <c r="G21" s="139">
        <f>SUM(BJ11:BU11)</f>
        <v>977902.80399999989</v>
      </c>
      <c r="H21" s="139">
        <f>G21*H22/100</f>
        <v>848667.71307058854</v>
      </c>
      <c r="I21" s="151"/>
      <c r="J21" s="151"/>
      <c r="K21" s="165"/>
      <c r="L21" s="151"/>
      <c r="M21" s="151"/>
      <c r="N21" s="156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4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4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4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4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</row>
    <row r="22" spans="1:104" ht="14.25" customHeight="1">
      <c r="A22" s="123" t="s">
        <v>466</v>
      </c>
      <c r="B22" s="151"/>
      <c r="C22" s="151">
        <f>C21/B21*100</f>
        <v>158.62996385448696</v>
      </c>
      <c r="D22" s="151">
        <f>D21/C21*100</f>
        <v>104.00394407638494</v>
      </c>
      <c r="E22" s="151">
        <f>E21/D21*100</f>
        <v>72.007039688267284</v>
      </c>
      <c r="F22" s="151">
        <f>F21/E21*100</f>
        <v>148.37440577796278</v>
      </c>
      <c r="G22" s="151">
        <f>G21/F21*100</f>
        <v>92.255503710398344</v>
      </c>
      <c r="H22" s="156">
        <f>H20*H24</f>
        <v>86.784464631782427</v>
      </c>
      <c r="I22" s="151"/>
      <c r="J22" s="151"/>
      <c r="K22" s="165"/>
      <c r="L22" s="151"/>
      <c r="M22" s="151"/>
      <c r="N22" s="156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4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4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4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4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</row>
    <row r="23" spans="1:104" ht="14.25" customHeight="1">
      <c r="A23" s="155"/>
      <c r="B23" s="156"/>
      <c r="C23" s="151"/>
      <c r="D23" s="151"/>
      <c r="E23" s="151"/>
      <c r="F23" s="151"/>
      <c r="G23" s="151"/>
      <c r="H23" s="151"/>
      <c r="I23" s="151"/>
      <c r="J23" s="151"/>
      <c r="K23" s="165"/>
      <c r="L23" s="151"/>
      <c r="M23" s="151"/>
      <c r="N23" s="156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4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4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4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4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</row>
    <row r="24" spans="1:104" ht="14.25" customHeight="1">
      <c r="A24" s="157" t="s">
        <v>464</v>
      </c>
      <c r="B24" s="156"/>
      <c r="C24" s="151">
        <f>C22/C20</f>
        <v>1.7339044283069258</v>
      </c>
      <c r="D24" s="151">
        <f>D22/D20</f>
        <v>1.1154475957357293</v>
      </c>
      <c r="E24" s="151">
        <f>E22/E20</f>
        <v>0.6016925882733023</v>
      </c>
      <c r="F24" s="151">
        <f>F22/F20</f>
        <v>1.4415476328560008</v>
      </c>
      <c r="G24" s="151">
        <f>G22/G20</f>
        <v>0.91529082421340102</v>
      </c>
      <c r="H24" s="151">
        <f>G24</f>
        <v>0.91529082421340102</v>
      </c>
      <c r="I24" s="151"/>
      <c r="J24" s="151"/>
      <c r="K24" s="165"/>
      <c r="L24" s="151"/>
      <c r="M24" s="151"/>
      <c r="N24" s="156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4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4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4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4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</row>
    <row r="25" spans="1:104" ht="14.25" customHeight="1">
      <c r="A25" s="155"/>
      <c r="B25" s="156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6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4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4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4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4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</row>
    <row r="26" spans="1:104" ht="14.25" customHeight="1">
      <c r="A26" s="155"/>
      <c r="B26" s="156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6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4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4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4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4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67"/>
      <c r="CI26" s="167"/>
    </row>
    <row r="27" spans="1:104" ht="14.25" customHeight="1">
      <c r="A27" s="155"/>
      <c r="B27" s="156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6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4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4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4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4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I27" s="168"/>
    </row>
    <row r="28" spans="1:104" ht="14.25" customHeight="1">
      <c r="A28" s="155"/>
      <c r="B28" s="156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6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4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4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4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4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</row>
    <row r="29" spans="1:104" ht="12" customHeight="1">
      <c r="A29" s="162"/>
      <c r="B29" s="139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</row>
    <row r="30" spans="1:104">
      <c r="A30" s="123" t="s">
        <v>467</v>
      </c>
    </row>
    <row r="31" spans="1:104">
      <c r="A31" s="123" t="s">
        <v>468</v>
      </c>
      <c r="D31" s="169">
        <f>SUM(B10:D10)</f>
        <v>130777.13747029661</v>
      </c>
      <c r="E31" s="169"/>
      <c r="F31" s="169"/>
      <c r="G31" s="169">
        <f>SUM(E10:G10)</f>
        <v>162416.37639522221</v>
      </c>
      <c r="H31" s="169"/>
      <c r="I31" s="169"/>
      <c r="J31" s="169">
        <f>SUM(H10:J10)</f>
        <v>171458.95235313635</v>
      </c>
      <c r="K31" s="169"/>
      <c r="L31" s="169"/>
      <c r="M31" s="169">
        <f>SUM(K10:M10)</f>
        <v>185548.72590152378</v>
      </c>
      <c r="N31" s="169"/>
      <c r="O31" s="169"/>
      <c r="P31" s="169">
        <f>SUM(N10:P10)</f>
        <v>176955.90954443224</v>
      </c>
      <c r="Q31" s="169"/>
      <c r="R31" s="169"/>
      <c r="S31" s="169">
        <f>SUM(Q10:S10)</f>
        <v>310775.84465491428</v>
      </c>
      <c r="T31" s="169"/>
      <c r="U31" s="169"/>
      <c r="V31" s="169">
        <f>SUM(T10:V10)</f>
        <v>269350.97547604353</v>
      </c>
      <c r="W31" s="169"/>
      <c r="X31" s="169"/>
      <c r="Y31" s="169">
        <f>SUM(W10:Y10)</f>
        <v>262282.21964092209</v>
      </c>
      <c r="Z31" s="169"/>
      <c r="AA31" s="169"/>
      <c r="AB31" s="169">
        <f>SUM(Z10:AB10)</f>
        <v>211647.91580900113</v>
      </c>
      <c r="AC31" s="169"/>
      <c r="AD31" s="169"/>
      <c r="AE31" s="169">
        <f>SUM(AC10:AE10)</f>
        <v>286378.20852419996</v>
      </c>
      <c r="AF31" s="169"/>
      <c r="AG31" s="169"/>
      <c r="AH31" s="169">
        <f>SUM(AF10:AH10)</f>
        <v>274016.40408710146</v>
      </c>
      <c r="AI31" s="169"/>
      <c r="AJ31" s="169"/>
      <c r="AK31" s="169">
        <f>SUM(AI10:AK10)</f>
        <v>310927.42955748056</v>
      </c>
      <c r="AL31" s="169"/>
      <c r="AM31" s="169"/>
      <c r="AN31" s="169">
        <f>SUM(AL10:AN10)</f>
        <v>200018.92241956474</v>
      </c>
      <c r="AO31" s="169"/>
      <c r="AP31" s="169"/>
      <c r="AQ31" s="169">
        <f>SUM(AO10:AQ10)</f>
        <v>206038.42276381762</v>
      </c>
      <c r="AR31" s="169"/>
      <c r="AS31" s="169"/>
      <c r="AT31" s="169">
        <f>SUM(AR10:AT10)</f>
        <v>217846.22018442291</v>
      </c>
      <c r="AU31" s="169"/>
      <c r="AV31" s="169"/>
      <c r="AW31" s="169">
        <f>SUM(AU10:AW10)</f>
        <v>158160.18703208698</v>
      </c>
      <c r="AX31" s="169"/>
      <c r="AY31" s="169"/>
      <c r="AZ31" s="169">
        <f>SUM(AX10:AZ10)</f>
        <v>280745.80595283082</v>
      </c>
      <c r="BA31" s="169"/>
      <c r="BB31" s="169"/>
      <c r="BC31" s="169">
        <f>SUM(BA10:BC10)</f>
        <v>318681.06194648636</v>
      </c>
      <c r="BD31" s="169"/>
      <c r="BE31" s="169"/>
      <c r="BF31" s="169">
        <f>SUM(BD10:BF10)</f>
        <v>226318.12671864789</v>
      </c>
      <c r="BG31" s="169"/>
      <c r="BH31" s="169"/>
      <c r="BI31" s="169">
        <f>SUM(BG10:BI10)</f>
        <v>300580.1749597512</v>
      </c>
      <c r="BJ31" s="169"/>
      <c r="BK31" s="169"/>
      <c r="BL31" s="169">
        <f>SUM(BJ10:BL10)</f>
        <v>252013.35179204514</v>
      </c>
      <c r="BM31" s="169"/>
      <c r="BN31" s="169"/>
      <c r="BO31" s="169">
        <f>SUM(BM10:BO10)</f>
        <v>305767.22910783096</v>
      </c>
      <c r="BP31" s="169"/>
      <c r="BQ31" s="169"/>
      <c r="BR31" s="169">
        <f>SUM(BP10:BR10)</f>
        <v>227180.57567162046</v>
      </c>
      <c r="BS31" s="169"/>
      <c r="BT31" s="169"/>
      <c r="BU31" s="169">
        <f>SUM(BS10:BU10)</f>
        <v>244825.86975389998</v>
      </c>
      <c r="BX31" s="169">
        <f>SUM(BV10:BX10)</f>
        <v>183734.1532</v>
      </c>
      <c r="CA31" s="169">
        <f>SUM(BY10:CA10)</f>
        <v>215780.43449999997</v>
      </c>
      <c r="CD31" s="169">
        <f>SUM(CB10:CD10)</f>
        <v>283317.71799999999</v>
      </c>
      <c r="CG31" s="169">
        <f>SUM(CE10:CG10)</f>
        <v>278909.37778874743</v>
      </c>
      <c r="CK31" s="169">
        <f>SUM(CI10:CK10)</f>
        <v>215411.155818</v>
      </c>
      <c r="CN31" s="169">
        <f>SUM(CL10:CN10)</f>
        <v>283322.06288999994</v>
      </c>
      <c r="CQ31" s="123">
        <f>SUM(CO10:CQ10)</f>
        <v>231218.96020000003</v>
      </c>
      <c r="CT31" s="123">
        <f>SUM(CR10:CT10)</f>
        <v>297932.26052699995</v>
      </c>
      <c r="CW31" s="169">
        <f>SUM(CU10:CW10)</f>
        <v>268401.92908699997</v>
      </c>
      <c r="CZ31" s="169">
        <f>SUM(CX10:CZ10)</f>
        <v>284614.05376128352</v>
      </c>
    </row>
    <row r="32" spans="1:104">
      <c r="A32" s="123" t="s">
        <v>469</v>
      </c>
      <c r="D32" s="168">
        <f>'[18]динам квартал (мэр) '!N22</f>
        <v>118865</v>
      </c>
      <c r="G32" s="168">
        <f>'[18]динам квартал (мэр) '!O22</f>
        <v>148550</v>
      </c>
      <c r="J32" s="168">
        <f>'[18]динам квартал (мэр) '!P22</f>
        <v>160196</v>
      </c>
      <c r="M32" s="168">
        <f>'[18]динам квартал (мэр) '!Q22</f>
        <v>173748.842</v>
      </c>
      <c r="P32" s="168">
        <f>'[18]динам квартал (мэр) '!R22</f>
        <v>165635.9</v>
      </c>
      <c r="S32" s="168">
        <f>'[18]динам квартал (мэр) '!S22</f>
        <v>290869.40000000002</v>
      </c>
      <c r="V32" s="168">
        <f>'[18]динам квартал (мэр) '!T22</f>
        <v>251659</v>
      </c>
      <c r="Y32" s="168">
        <f>'[18]динам квартал (мэр) '!U22</f>
        <v>245772.6</v>
      </c>
      <c r="AB32" s="168">
        <f>'[18]динам квартал (мэр) '!V22</f>
        <v>195885</v>
      </c>
      <c r="AE32" s="168">
        <f>'[18]динам квартал (мэр) '!W22</f>
        <v>263126</v>
      </c>
      <c r="AH32" s="168">
        <f>'[18]динам квартал (мэр) '!X22</f>
        <v>253749</v>
      </c>
      <c r="AK32" s="168">
        <f>'[18]динам квартал (мэр) '!Y22</f>
        <v>279372</v>
      </c>
      <c r="AN32" s="168">
        <f>'[18]динам квартал (мэр) '!Z22</f>
        <v>176532</v>
      </c>
      <c r="AQ32" s="168">
        <f>'[18]динам квартал (мэр) '!AA22</f>
        <v>190309</v>
      </c>
      <c r="AT32" s="168">
        <f>'[18]динам квартал (мэр) '!AB22</f>
        <v>202499.883</v>
      </c>
      <c r="AW32" s="168">
        <f>'[18]динам квартал (мэр) '!AC22</f>
        <v>145064</v>
      </c>
      <c r="AZ32" s="168">
        <f>'[18]динам квартал (мэр) '!AD22</f>
        <v>262122</v>
      </c>
      <c r="BC32" s="168">
        <f>'[18]динам квартал (мэр) '!AE22</f>
        <v>301870</v>
      </c>
      <c r="BF32" s="168">
        <f>'[18]динам квартал (мэр) '!AF22</f>
        <v>214465</v>
      </c>
      <c r="BI32" s="168">
        <f>'[18]динам квартал (мэр) '!AG22</f>
        <v>281537</v>
      </c>
      <c r="BL32" s="168">
        <f>'[18]динам квартал (мэр) '!AH22</f>
        <v>238473</v>
      </c>
      <c r="BO32" s="168">
        <f>BO12</f>
        <v>289950.92499999999</v>
      </c>
      <c r="BR32" s="168">
        <f>BR12</f>
        <v>217101.45499999999</v>
      </c>
      <c r="BU32" s="168">
        <f>BU12</f>
        <v>232377.424</v>
      </c>
      <c r="BX32" s="168">
        <f>BX12</f>
        <v>182521.43100000001</v>
      </c>
      <c r="CA32" s="169">
        <f>CA12</f>
        <v>214646.84700000001</v>
      </c>
      <c r="CD32" s="169">
        <f>CD12</f>
        <v>275832.72700000001</v>
      </c>
      <c r="CG32" s="123">
        <f>CG12</f>
        <v>276954.49200000003</v>
      </c>
      <c r="CK32" s="123">
        <v>203871</v>
      </c>
      <c r="CN32" s="123">
        <f>CN12</f>
        <v>270888</v>
      </c>
      <c r="CQ32" s="123">
        <v>204935</v>
      </c>
      <c r="CT32" s="123">
        <v>304094.90399999998</v>
      </c>
      <c r="CW32" s="123">
        <f>CW12</f>
        <v>267604</v>
      </c>
      <c r="CZ32" s="123">
        <v>283887</v>
      </c>
    </row>
    <row r="33" spans="1:115" s="170" customFormat="1" ht="12.75">
      <c r="A33" s="170" t="s">
        <v>470</v>
      </c>
      <c r="D33" s="171">
        <f>D31/D32</f>
        <v>1.1002156856122207</v>
      </c>
      <c r="E33" s="171"/>
      <c r="F33" s="171"/>
      <c r="G33" s="171">
        <f>G31/G32</f>
        <v>1.0933448427817045</v>
      </c>
      <c r="H33" s="171"/>
      <c r="I33" s="171"/>
      <c r="J33" s="172">
        <f>J31/J32</f>
        <v>1.0703073257330791</v>
      </c>
      <c r="K33" s="172"/>
      <c r="L33" s="172"/>
      <c r="M33" s="172">
        <f>M31/M32</f>
        <v>1.0679134534981463</v>
      </c>
      <c r="N33" s="171"/>
      <c r="O33" s="171"/>
      <c r="P33" s="172">
        <f>P31/P32</f>
        <v>1.0683427297127752</v>
      </c>
      <c r="Q33" s="172"/>
      <c r="R33" s="172"/>
      <c r="S33" s="172">
        <f>S31/S32</f>
        <v>1.0684377409755521</v>
      </c>
      <c r="T33" s="172"/>
      <c r="U33" s="172"/>
      <c r="V33" s="172">
        <f>V31/V32</f>
        <v>1.0703013819336624</v>
      </c>
      <c r="W33" s="171"/>
      <c r="X33" s="171"/>
      <c r="Y33" s="172">
        <f>Y31/Y32</f>
        <v>1.0671743702956396</v>
      </c>
      <c r="Z33" s="171"/>
      <c r="AA33" s="171"/>
      <c r="AB33" s="172">
        <f>AB31/AB32</f>
        <v>1.0804702545320015</v>
      </c>
      <c r="AC33" s="171"/>
      <c r="AD33" s="171"/>
      <c r="AE33" s="172">
        <f>AE31/AE32</f>
        <v>1.0883691027272104</v>
      </c>
      <c r="AF33" s="171"/>
      <c r="AG33" s="171"/>
      <c r="AH33" s="172">
        <f>AH31/AH32</f>
        <v>1.0798718579663427</v>
      </c>
      <c r="AI33" s="172"/>
      <c r="AJ33" s="172"/>
      <c r="AK33" s="172">
        <f>AK31/AK32</f>
        <v>1.1129512963270498</v>
      </c>
      <c r="AL33" s="171"/>
      <c r="AM33" s="171"/>
      <c r="AN33" s="172">
        <f>AN31/AN32</f>
        <v>1.1330462602789564</v>
      </c>
      <c r="AO33" s="172"/>
      <c r="AP33" s="172"/>
      <c r="AQ33" s="172">
        <f>AQ31/AQ32</f>
        <v>1.0826520173182437</v>
      </c>
      <c r="AR33" s="171"/>
      <c r="AS33" s="171"/>
      <c r="AT33" s="172">
        <f>AT31/AT32</f>
        <v>1.0757844249442006</v>
      </c>
      <c r="AU33" s="172"/>
      <c r="AV33" s="172"/>
      <c r="AW33" s="172">
        <f>AW31/AW32</f>
        <v>1.0902786841124399</v>
      </c>
      <c r="AX33" s="171"/>
      <c r="AY33" s="171"/>
      <c r="AZ33" s="172">
        <f>AZ31/AZ32</f>
        <v>1.0710501444092095</v>
      </c>
      <c r="BA33" s="172"/>
      <c r="BB33" s="172"/>
      <c r="BC33" s="172">
        <f>BC31/BC32</f>
        <v>1.055689740439548</v>
      </c>
      <c r="BD33" s="172"/>
      <c r="BE33" s="172"/>
      <c r="BF33" s="172">
        <f>BF31/BF32</f>
        <v>1.0552683501673834</v>
      </c>
      <c r="BG33" s="172"/>
      <c r="BH33" s="172"/>
      <c r="BI33" s="172">
        <f>BI31/BI32</f>
        <v>1.067640043616829</v>
      </c>
      <c r="BJ33" s="171"/>
      <c r="BK33" s="171"/>
      <c r="BL33" s="171">
        <f>BL31/BL32</f>
        <v>1.0567793913442827</v>
      </c>
      <c r="BM33" s="171"/>
      <c r="BN33" s="171"/>
      <c r="BO33" s="172">
        <f>BO31/BO32</f>
        <v>1.0545482105560828</v>
      </c>
      <c r="BP33" s="171"/>
      <c r="BQ33" s="171"/>
      <c r="BR33" s="172">
        <f>BR31/BR32</f>
        <v>1.0464258550069159</v>
      </c>
      <c r="BS33" s="171"/>
      <c r="BT33" s="171"/>
      <c r="BU33" s="172">
        <f>BU31/BU32</f>
        <v>1.0535699447029758</v>
      </c>
      <c r="BX33" s="172">
        <f>BX31/BX32</f>
        <v>1.0066442729128064</v>
      </c>
      <c r="CA33" s="173">
        <f>CA31/CA32</f>
        <v>1.0052811747101973</v>
      </c>
      <c r="CD33" s="172">
        <f>CD31/CD32</f>
        <v>1.0271359786831966</v>
      </c>
      <c r="CG33" s="172">
        <f>CG31/CG32</f>
        <v>1.0070585090519037</v>
      </c>
      <c r="CK33" s="172">
        <f>CK31/CK32</f>
        <v>1.056605185720382</v>
      </c>
      <c r="CN33" s="172">
        <f>CN31/CN32</f>
        <v>1.045901121090635</v>
      </c>
      <c r="CQ33" s="170">
        <f>CQ31/CQ32</f>
        <v>1.1282551062532025</v>
      </c>
      <c r="CT33" s="170">
        <f>CT31/CT32</f>
        <v>0.97973447304792705</v>
      </c>
      <c r="CW33" s="174">
        <f>CW31/CW32</f>
        <v>1.0029817532137038</v>
      </c>
      <c r="CZ33" s="170">
        <f>CZ31/CZ32</f>
        <v>1.0025610674715064</v>
      </c>
    </row>
    <row r="34" spans="1:115">
      <c r="AW34" s="169">
        <f>SUM(AL36:AW36)</f>
        <v>566015</v>
      </c>
      <c r="BI34" s="169">
        <f>SUM(AX36:BI36)</f>
        <v>686466.29999999993</v>
      </c>
      <c r="BT34" s="123">
        <f>BU34/BI34*100</f>
        <v>123.11657814558252</v>
      </c>
      <c r="BU34" s="169">
        <f>SUM(BJ36:BU36)</f>
        <v>845153.81868258887</v>
      </c>
      <c r="CU34" s="123">
        <v>110815</v>
      </c>
      <c r="CV34" s="123">
        <v>121681.73312749999</v>
      </c>
      <c r="CW34" s="123">
        <v>136658.79999999999</v>
      </c>
      <c r="CX34" s="123">
        <v>110000</v>
      </c>
      <c r="CY34" s="123">
        <v>120000</v>
      </c>
      <c r="CZ34" s="123">
        <v>135000</v>
      </c>
    </row>
    <row r="35" spans="1:115" s="176" customFormat="1" ht="12">
      <c r="A35" s="175"/>
      <c r="B35" s="175"/>
      <c r="C35" s="175"/>
      <c r="D35" s="175">
        <f>SUM(B36:D36)</f>
        <v>25385</v>
      </c>
      <c r="E35" s="175"/>
      <c r="F35" s="175"/>
      <c r="G35" s="175">
        <f>SUM(E36:G36)</f>
        <v>45129</v>
      </c>
      <c r="H35" s="175"/>
      <c r="I35" s="175"/>
      <c r="J35" s="175">
        <f>SUM(H36:J36)</f>
        <v>46234</v>
      </c>
      <c r="K35" s="175"/>
      <c r="L35" s="175"/>
      <c r="M35" s="175">
        <f>SUM(K36:M36)</f>
        <v>76897.966</v>
      </c>
      <c r="N35" s="175"/>
      <c r="O35" s="175"/>
      <c r="P35" s="175">
        <f>SUM(N36:P36)</f>
        <v>62692.100000000006</v>
      </c>
      <c r="Q35" s="175"/>
      <c r="R35" s="175"/>
      <c r="S35" s="175">
        <f>SUM(Q36:S36)</f>
        <v>89679.6</v>
      </c>
      <c r="T35" s="175"/>
      <c r="U35" s="175"/>
      <c r="V35" s="175">
        <f>SUM(T36:V36)</f>
        <v>98123.3</v>
      </c>
      <c r="W35" s="175"/>
      <c r="X35" s="175"/>
      <c r="Y35" s="175">
        <f>SUM(W36:Y36)</f>
        <v>109393.2</v>
      </c>
      <c r="Z35" s="175"/>
      <c r="AA35" s="175"/>
      <c r="AB35" s="175">
        <f>SUM(Z36:AB36)</f>
        <v>86257</v>
      </c>
      <c r="AC35" s="175"/>
      <c r="AD35" s="175"/>
      <c r="AE35" s="175">
        <f>SUM(AC36:AE36)</f>
        <v>100709</v>
      </c>
      <c r="AF35" s="175"/>
      <c r="AG35" s="175"/>
      <c r="AH35" s="175">
        <f>SUM(AF36:AH36)</f>
        <v>135128</v>
      </c>
      <c r="AI35" s="175"/>
      <c r="AJ35" s="175"/>
      <c r="AK35" s="175">
        <f>SUM(AI36:AK36)</f>
        <v>149227.19413919415</v>
      </c>
      <c r="AL35" s="175"/>
      <c r="AM35" s="175"/>
      <c r="AN35" s="175">
        <f>SUM(AL36:AN36)</f>
        <v>106887</v>
      </c>
      <c r="AO35" s="175"/>
      <c r="AP35" s="175"/>
      <c r="AQ35" s="175">
        <f>SUM(AO36:AQ36)</f>
        <v>134591</v>
      </c>
      <c r="AR35" s="175"/>
      <c r="AS35" s="175"/>
      <c r="AT35" s="175">
        <f>SUM(AR36:AT36)</f>
        <v>124536.99999999999</v>
      </c>
      <c r="AU35" s="175"/>
      <c r="AV35" s="175"/>
      <c r="AW35" s="175">
        <f>SUM(AU36:AW36)</f>
        <v>200000</v>
      </c>
      <c r="AX35" s="175"/>
      <c r="AY35" s="175"/>
      <c r="AZ35" s="175">
        <f>SUM(AX36:AZ36)</f>
        <v>154888.70000000001</v>
      </c>
      <c r="BA35" s="175"/>
      <c r="BB35" s="175"/>
      <c r="BC35" s="175">
        <f>SUM(BA36:BC36)</f>
        <v>155114.04999999999</v>
      </c>
      <c r="BD35" s="175"/>
      <c r="BE35" s="175"/>
      <c r="BF35" s="175">
        <f>SUM(BD36:BF36)</f>
        <v>170213.55</v>
      </c>
      <c r="BG35" s="175"/>
      <c r="BH35" s="175"/>
      <c r="BI35" s="175">
        <f>SUM(BG36:BI36)</f>
        <v>206250</v>
      </c>
      <c r="BJ35" s="175"/>
      <c r="BK35" s="175"/>
      <c r="BL35" s="175">
        <f>SUM(BJ36:BL36)</f>
        <v>170118.03760290804</v>
      </c>
      <c r="BM35" s="175"/>
      <c r="BN35" s="175"/>
      <c r="BO35" s="175">
        <f>SUM(BM36:BO36)</f>
        <v>171175.01285084896</v>
      </c>
      <c r="BP35" s="175"/>
      <c r="BQ35" s="175"/>
      <c r="BR35" s="175">
        <f>SUM(BP36:BR36)</f>
        <v>211734.64711571997</v>
      </c>
      <c r="BS35" s="175"/>
      <c r="BT35" s="175"/>
      <c r="BU35" s="175">
        <f>SUM(BS36:BU36)</f>
        <v>292126.12111311196</v>
      </c>
    </row>
    <row r="36" spans="1:115">
      <c r="A36" s="149" t="s">
        <v>471</v>
      </c>
      <c r="B36" s="177">
        <f>B43*$D$37/100</f>
        <v>8077.045454545454</v>
      </c>
      <c r="C36" s="177">
        <f>C43*$D$37/100</f>
        <v>6923.181818181818</v>
      </c>
      <c r="D36" s="177">
        <f>D43*$D$37/100</f>
        <v>10384.772727272728</v>
      </c>
      <c r="E36" s="177">
        <f>E43*$G$37/100</f>
        <v>11135.727272727272</v>
      </c>
      <c r="F36" s="177">
        <f>F43*$G$37/100</f>
        <v>11135.727272727272</v>
      </c>
      <c r="G36" s="177">
        <f>G43*$G$37/100</f>
        <v>22857.545454545456</v>
      </c>
      <c r="H36" s="177">
        <f>H43*$J$37/100</f>
        <v>9870.179775280898</v>
      </c>
      <c r="I36" s="177">
        <f>I43*$J$37/100</f>
        <v>13506.561797752809</v>
      </c>
      <c r="J36" s="177">
        <f>J43*$J$37/100</f>
        <v>22857.258426966295</v>
      </c>
      <c r="K36" s="177">
        <f>K43*$M$37/100</f>
        <v>10554.622784313728</v>
      </c>
      <c r="L36" s="177">
        <f>L43*$M$37/100</f>
        <v>13570.229294117647</v>
      </c>
      <c r="M36" s="177">
        <f>M43*$M$37/100</f>
        <v>52773.113921568627</v>
      </c>
      <c r="N36" s="177">
        <f>N43*$P$37/100</f>
        <v>17912.028571428575</v>
      </c>
      <c r="O36" s="177">
        <f>O43*$P$37/100</f>
        <v>14926.690476190475</v>
      </c>
      <c r="P36" s="177">
        <f>P43*$P$37/100</f>
        <v>29853.38095238095</v>
      </c>
      <c r="Q36" s="177">
        <f>Q43*$S$37/100</f>
        <v>20988.842553191491</v>
      </c>
      <c r="R36" s="177">
        <f>R43*$S$37/100</f>
        <v>20988.842553191491</v>
      </c>
      <c r="S36" s="177">
        <f>S43*$S$37/100</f>
        <v>47701.914893617024</v>
      </c>
      <c r="T36" s="177">
        <f>T43*$V$37/100</f>
        <v>20201.855882352942</v>
      </c>
      <c r="U36" s="177">
        <f>U43*$V$37/100</f>
        <v>28859.794117647059</v>
      </c>
      <c r="V36" s="177">
        <f>V43*$V$37/100</f>
        <v>49061.65</v>
      </c>
      <c r="W36" s="177">
        <f>W43*$Y$37/100</f>
        <v>15501.060728744937</v>
      </c>
      <c r="X36" s="177">
        <f>X43*$Y$37/100</f>
        <v>20372.822672064769</v>
      </c>
      <c r="Y36" s="177">
        <f>Y43*$Y$37/100</f>
        <v>73519.316599190293</v>
      </c>
      <c r="Z36" s="177">
        <f>Z43*$AB$37/100</f>
        <v>26611.202127659573</v>
      </c>
      <c r="AA36" s="177">
        <f>AA43*$AB$37/100</f>
        <v>22940.691489361703</v>
      </c>
      <c r="AB36" s="177">
        <f>AB43*$AB$37/100</f>
        <v>36705.106382978724</v>
      </c>
      <c r="AC36" s="177">
        <f>AC43*$AE$37/100</f>
        <v>24962.059829059828</v>
      </c>
      <c r="AD36" s="177">
        <f>AD43*$AE$37/100</f>
        <v>24101.299145299145</v>
      </c>
      <c r="AE36" s="177">
        <f>AE43*$AE$37/100</f>
        <v>51645.641025641038</v>
      </c>
      <c r="AF36" s="177">
        <f>AF43*$AH$37/100</f>
        <v>32726.3125</v>
      </c>
      <c r="AG36" s="177">
        <f>AG43*$AH$37/100</f>
        <v>39060.4375</v>
      </c>
      <c r="AH36" s="177">
        <f>AH43*$AH$37/100</f>
        <v>63341.25</v>
      </c>
      <c r="AI36" s="177">
        <f>AI43*$AK$37/100</f>
        <v>34393.142857142862</v>
      </c>
      <c r="AJ36" s="177">
        <f>AJ43*$AH$37/100</f>
        <v>29203.48717948718</v>
      </c>
      <c r="AK36" s="177">
        <f>AK43*$AH$37/100</f>
        <v>85630.564102564094</v>
      </c>
      <c r="AL36" s="177">
        <f>AL43*$AN$37/100</f>
        <v>33533.176470588238</v>
      </c>
      <c r="AM36" s="177">
        <f>AM43*$AN$37/100</f>
        <v>27245.705882352941</v>
      </c>
      <c r="AN36" s="177">
        <f>AN43*$AN$37/100</f>
        <v>46108.117647058818</v>
      </c>
      <c r="AO36" s="177">
        <f>AO43*$AQ$37/100</f>
        <v>35110.695652173912</v>
      </c>
      <c r="AP36" s="177">
        <f>AP43*$AQ$37/100</f>
        <v>33940.339130434782</v>
      </c>
      <c r="AQ36" s="177">
        <f>AQ43*$AQ$37/100</f>
        <v>65539.965217391305</v>
      </c>
      <c r="AR36" s="177">
        <f>AR43*$AT$37/100</f>
        <v>35977.35555555555</v>
      </c>
      <c r="AS36" s="177">
        <f>AS43*$AT$37/100</f>
        <v>35054.859259259254</v>
      </c>
      <c r="AT36" s="177">
        <f>AT43*$AT$37/100</f>
        <v>53504.785185185188</v>
      </c>
      <c r="AU36" s="177">
        <f>AU43*$AW$37/100</f>
        <v>32525.951557093431</v>
      </c>
      <c r="AV36" s="177">
        <f>AV43*$AW$37/100</f>
        <v>40138.408304498269</v>
      </c>
      <c r="AW36" s="177">
        <f>AW43*$AW$37/100</f>
        <v>127335.6401384083</v>
      </c>
      <c r="AX36" s="177">
        <f>AX43*$AZ$37/100</f>
        <v>46168.74711538462</v>
      </c>
      <c r="AY36" s="177">
        <f>AY43*$AZ$37/100</f>
        <v>41700.803846153853</v>
      </c>
      <c r="AZ36" s="177">
        <f>AZ43*$AZ$37/100</f>
        <v>67019.149038461546</v>
      </c>
      <c r="BA36" s="177">
        <f>BA43*$BC$37/100</f>
        <v>45703.246874999997</v>
      </c>
      <c r="BB36" s="177">
        <f>BB43*$BC$37/100</f>
        <v>41548.406249999993</v>
      </c>
      <c r="BC36" s="177">
        <f>BC43*$BC$37/100</f>
        <v>67862.396875000006</v>
      </c>
      <c r="BD36" s="177">
        <f>BD43*$BF$37/100</f>
        <v>52471.846240601495</v>
      </c>
      <c r="BE36" s="177">
        <f>BE43*$BF$37/100</f>
        <v>51192.045112781954</v>
      </c>
      <c r="BF36" s="177">
        <f>BF43*$BF$37/100</f>
        <v>66549.658646616532</v>
      </c>
      <c r="BG36" s="177">
        <f>BG43*$BI$37/100</f>
        <v>38775</v>
      </c>
      <c r="BH36" s="177">
        <f>BH43*$BI$37/100</f>
        <v>47850</v>
      </c>
      <c r="BI36" s="177">
        <f>BI43*$BI$37/100</f>
        <v>119624.99999999999</v>
      </c>
      <c r="BJ36" s="177">
        <f>BJ43*$BL$37/100</f>
        <v>54933.949642605716</v>
      </c>
      <c r="BK36" s="177">
        <f>BK43*$BL$37/100</f>
        <v>51389.823859211792</v>
      </c>
      <c r="BL36" s="177">
        <f>BL43*$BL$37/100</f>
        <v>63794.264101090506</v>
      </c>
      <c r="BM36" s="177">
        <f>BM43*$BO$37/100</f>
        <v>54205.420736102176</v>
      </c>
      <c r="BN36" s="177">
        <f>BN43*$BO$37/100</f>
        <v>44220.211653135993</v>
      </c>
      <c r="BO36" s="177">
        <f>BO43*$BO$37/100</f>
        <v>72749.38046161081</v>
      </c>
      <c r="BP36" s="177">
        <f>BP43*$BR$37/100</f>
        <v>57576.965443748421</v>
      </c>
      <c r="BQ36" s="177">
        <f>BQ43*$BR$37/100</f>
        <v>70578.215705239985</v>
      </c>
      <c r="BR36" s="177">
        <f>BR43*$BR$37/100</f>
        <v>83579.465966731586</v>
      </c>
      <c r="BS36" s="177">
        <f>BS43*$BU$37/100</f>
        <v>54700.907140702249</v>
      </c>
      <c r="BT36" s="177">
        <f>BT43*$BU$37/100</f>
        <v>68667.096197902836</v>
      </c>
      <c r="BU36" s="177">
        <f>BU43*$BU$37/100</f>
        <v>168758.11777450691</v>
      </c>
      <c r="BV36" s="178">
        <f t="shared" ref="BV36:CG36" si="21">BU36*BV38/100</f>
        <v>64219.735579327724</v>
      </c>
      <c r="BW36" s="178">
        <f t="shared" si="21"/>
        <v>66689.725409301871</v>
      </c>
      <c r="BX36" s="178">
        <f t="shared" si="21"/>
        <v>98799.593198965711</v>
      </c>
      <c r="BY36" s="178">
        <f t="shared" si="21"/>
        <v>72545.32905939933</v>
      </c>
      <c r="BZ36" s="178">
        <f t="shared" si="21"/>
        <v>67864.985249115489</v>
      </c>
      <c r="CA36" s="178">
        <f t="shared" si="21"/>
        <v>125105.5900488867</v>
      </c>
      <c r="CB36" s="178">
        <f t="shared" si="21"/>
        <v>85998.101417384794</v>
      </c>
      <c r="CC36" s="178">
        <f t="shared" si="21"/>
        <v>90646.647439946129</v>
      </c>
      <c r="CD36" s="178">
        <f t="shared" si="21"/>
        <v>127835.01562043685</v>
      </c>
      <c r="CE36" s="178">
        <f t="shared" si="21"/>
        <v>81815.864874740786</v>
      </c>
      <c r="CF36" s="178">
        <f t="shared" si="21"/>
        <v>95460.202285561259</v>
      </c>
      <c r="CG36" s="178">
        <f t="shared" si="21"/>
        <v>249665.14443916024</v>
      </c>
      <c r="CH36" s="169">
        <f>SUM(BV36:CG36)</f>
        <v>1226645.934622227</v>
      </c>
      <c r="CI36" s="178">
        <f>CG36*CI38/100</f>
        <v>97193.424703988669</v>
      </c>
      <c r="CJ36" s="178">
        <f t="shared" ref="CJ36:DK36" si="22">CI36*CJ38/100</f>
        <v>87787.609410054269</v>
      </c>
      <c r="CK36" s="178">
        <f t="shared" si="22"/>
        <v>122275.59882114701</v>
      </c>
      <c r="CL36" s="178">
        <f t="shared" si="22"/>
        <v>86358.128132527941</v>
      </c>
      <c r="CM36" s="178">
        <f t="shared" si="22"/>
        <v>92313.861107185032</v>
      </c>
      <c r="CN36" s="178">
        <f t="shared" si="22"/>
        <v>151752.07619426289</v>
      </c>
      <c r="CO36" s="178">
        <f t="shared" si="22"/>
        <v>118063.16303567243</v>
      </c>
      <c r="CP36" s="178">
        <f t="shared" si="22"/>
        <v>117247.96500518803</v>
      </c>
      <c r="CQ36" s="178">
        <f t="shared" si="22"/>
        <v>137670.92449097542</v>
      </c>
      <c r="CR36" s="178">
        <f t="shared" si="22"/>
        <v>104523.78409510097</v>
      </c>
      <c r="CS36" s="178">
        <f t="shared" si="22"/>
        <v>115966.37105582774</v>
      </c>
      <c r="CT36" s="178">
        <f>CS36*CT38/100</f>
        <v>266722.65342840384</v>
      </c>
      <c r="CU36" s="178">
        <f>CT36*CU38/100</f>
        <v>110884.71493841719</v>
      </c>
      <c r="CV36" s="178">
        <f t="shared" si="22"/>
        <v>89323.798144836052</v>
      </c>
      <c r="CW36" s="178">
        <f>CV36*CW38/100</f>
        <v>120125.10784995191</v>
      </c>
      <c r="CX36" s="178">
        <f t="shared" si="22"/>
        <v>108243.27868248115</v>
      </c>
      <c r="CY36" s="178">
        <f t="shared" si="22"/>
        <v>99466.796627144809</v>
      </c>
      <c r="CZ36" s="178">
        <f t="shared" si="22"/>
        <v>146216.19104190287</v>
      </c>
      <c r="DA36" s="178">
        <f t="shared" si="22"/>
        <v>115986.75720665397</v>
      </c>
      <c r="DB36" s="178">
        <f t="shared" si="22"/>
        <v>136615.83045269456</v>
      </c>
      <c r="DC36" s="178">
        <f t="shared" si="22"/>
        <v>176689.80738548498</v>
      </c>
      <c r="DD36" s="178">
        <f t="shared" si="22"/>
        <v>122562.54466607973</v>
      </c>
      <c r="DE36" s="178">
        <f t="shared" si="22"/>
        <v>117826.69463897032</v>
      </c>
      <c r="DF36" s="178">
        <f t="shared" si="22"/>
        <v>244180.32112681351</v>
      </c>
      <c r="DG36" s="178">
        <f t="shared" si="22"/>
        <v>136382.15456192047</v>
      </c>
      <c r="DH36" s="178">
        <f t="shared" si="22"/>
        <v>121558.0073269291</v>
      </c>
      <c r="DI36" s="178">
        <f t="shared" si="22"/>
        <v>123485.14646747797</v>
      </c>
      <c r="DJ36" s="178">
        <f t="shared" si="22"/>
        <v>92631.700574439761</v>
      </c>
      <c r="DK36" s="178">
        <f t="shared" si="22"/>
        <v>89184.93962283268</v>
      </c>
    </row>
    <row r="37" spans="1:115" s="187" customFormat="1">
      <c r="A37" s="156" t="s">
        <v>469</v>
      </c>
      <c r="B37" s="179"/>
      <c r="C37" s="179"/>
      <c r="D37" s="180">
        <v>25385</v>
      </c>
      <c r="E37" s="179"/>
      <c r="F37" s="179"/>
      <c r="G37" s="180">
        <v>45129</v>
      </c>
      <c r="H37" s="179"/>
      <c r="I37" s="179"/>
      <c r="J37" s="180">
        <v>46234</v>
      </c>
      <c r="K37" s="179"/>
      <c r="L37" s="179"/>
      <c r="M37" s="180">
        <v>76897.966</v>
      </c>
      <c r="N37" s="179"/>
      <c r="O37" s="179"/>
      <c r="P37" s="181">
        <v>62692.1</v>
      </c>
      <c r="Q37" s="179"/>
      <c r="R37" s="179"/>
      <c r="S37" s="181">
        <v>89679.6</v>
      </c>
      <c r="T37" s="179"/>
      <c r="U37" s="179"/>
      <c r="V37" s="181">
        <v>98123.3</v>
      </c>
      <c r="W37" s="179"/>
      <c r="X37" s="179"/>
      <c r="Y37" s="181">
        <v>109393.2</v>
      </c>
      <c r="Z37" s="179"/>
      <c r="AA37" s="179"/>
      <c r="AB37" s="181">
        <v>86257</v>
      </c>
      <c r="AC37" s="179"/>
      <c r="AD37" s="179"/>
      <c r="AE37" s="181">
        <v>100709</v>
      </c>
      <c r="AF37" s="179"/>
      <c r="AG37" s="179"/>
      <c r="AH37" s="181">
        <v>135128</v>
      </c>
      <c r="AI37" s="179"/>
      <c r="AJ37" s="179"/>
      <c r="AK37" s="181">
        <v>229008</v>
      </c>
      <c r="AL37" s="179"/>
      <c r="AM37" s="179"/>
      <c r="AN37" s="181">
        <v>106887</v>
      </c>
      <c r="AO37" s="179"/>
      <c r="AP37" s="179"/>
      <c r="AQ37" s="181">
        <v>134591</v>
      </c>
      <c r="AR37" s="179"/>
      <c r="AS37" s="179"/>
      <c r="AT37" s="181">
        <v>124537</v>
      </c>
      <c r="AU37" s="179"/>
      <c r="AV37" s="179"/>
      <c r="AW37" s="181">
        <v>200000</v>
      </c>
      <c r="AX37" s="179"/>
      <c r="AY37" s="179"/>
      <c r="AZ37" s="181">
        <v>154888.70000000001</v>
      </c>
      <c r="BA37" s="179"/>
      <c r="BB37" s="179"/>
      <c r="BC37" s="182">
        <v>155114.04999999999</v>
      </c>
      <c r="BD37" s="179"/>
      <c r="BE37" s="179"/>
      <c r="BF37" s="182">
        <v>170213.55</v>
      </c>
      <c r="BG37" s="179"/>
      <c r="BH37" s="179"/>
      <c r="BI37" s="182">
        <v>206250</v>
      </c>
      <c r="BJ37" s="179"/>
      <c r="BK37" s="179"/>
      <c r="BL37" s="182">
        <v>170118.03760290801</v>
      </c>
      <c r="BM37" s="179"/>
      <c r="BN37" s="179"/>
      <c r="BO37" s="181">
        <v>171175.01285084899</v>
      </c>
      <c r="BP37" s="179"/>
      <c r="BQ37" s="179"/>
      <c r="BR37" s="181">
        <v>211734.64711572</v>
      </c>
      <c r="BS37" s="179"/>
      <c r="BT37" s="179"/>
      <c r="BU37" s="181">
        <v>292126.12111311202</v>
      </c>
      <c r="BV37" s="183"/>
      <c r="BW37" s="184"/>
      <c r="BX37" s="185">
        <f>BV37-BW37</f>
        <v>0</v>
      </c>
      <c r="BY37" s="186"/>
      <c r="BZ37" s="186"/>
      <c r="CA37" s="186"/>
      <c r="CB37" s="186"/>
      <c r="CH37" s="187">
        <f>CH36/BU34*100</f>
        <v>145.13877917919146</v>
      </c>
    </row>
    <row r="38" spans="1:115" s="187" customFormat="1" ht="12.75">
      <c r="A38" s="188" t="s">
        <v>460</v>
      </c>
      <c r="B38" s="189"/>
      <c r="C38" s="190">
        <f>C36/B36*100</f>
        <v>85.714285714285722</v>
      </c>
      <c r="D38" s="190">
        <f>D36/C36*100</f>
        <v>150.00000000000003</v>
      </c>
      <c r="E38" s="190">
        <f>E36/D36*100</f>
        <v>107.23130457619328</v>
      </c>
      <c r="F38" s="190">
        <f t="shared" ref="F38:BQ38" si="23">F36/E36*100</f>
        <v>100</v>
      </c>
      <c r="G38" s="190">
        <f t="shared" si="23"/>
        <v>205.26315789473685</v>
      </c>
      <c r="H38" s="190">
        <f t="shared" si="23"/>
        <v>43.181275937561843</v>
      </c>
      <c r="I38" s="190">
        <f t="shared" si="23"/>
        <v>136.84210526315789</v>
      </c>
      <c r="J38" s="190">
        <f t="shared" si="23"/>
        <v>169.23076923076925</v>
      </c>
      <c r="K38" s="190">
        <f t="shared" si="23"/>
        <v>46.176241205995666</v>
      </c>
      <c r="L38" s="190">
        <f t="shared" si="23"/>
        <v>128.57142857142856</v>
      </c>
      <c r="M38" s="190">
        <f t="shared" si="23"/>
        <v>388.88888888888886</v>
      </c>
      <c r="N38" s="190">
        <f t="shared" si="23"/>
        <v>33.94157979392579</v>
      </c>
      <c r="O38" s="190">
        <f t="shared" si="23"/>
        <v>83.333333333333314</v>
      </c>
      <c r="P38" s="190">
        <f t="shared" si="23"/>
        <v>200</v>
      </c>
      <c r="Q38" s="190">
        <f t="shared" si="23"/>
        <v>70.306417174894648</v>
      </c>
      <c r="R38" s="190">
        <f t="shared" si="23"/>
        <v>100</v>
      </c>
      <c r="S38" s="190">
        <f t="shared" si="23"/>
        <v>227.27272727272725</v>
      </c>
      <c r="T38" s="190">
        <f t="shared" si="23"/>
        <v>42.350198996007485</v>
      </c>
      <c r="U38" s="190">
        <f t="shared" si="23"/>
        <v>142.85714285714286</v>
      </c>
      <c r="V38" s="190">
        <f t="shared" si="23"/>
        <v>170</v>
      </c>
      <c r="W38" s="190">
        <f t="shared" si="23"/>
        <v>31.595066062280697</v>
      </c>
      <c r="X38" s="190">
        <f t="shared" si="23"/>
        <v>131.42857142857142</v>
      </c>
      <c r="Y38" s="190">
        <f t="shared" si="23"/>
        <v>360.86956521739148</v>
      </c>
      <c r="Z38" s="190">
        <f t="shared" si="23"/>
        <v>36.196204424392945</v>
      </c>
      <c r="AA38" s="190">
        <f t="shared" si="23"/>
        <v>86.206896551724142</v>
      </c>
      <c r="AB38" s="190">
        <f t="shared" si="23"/>
        <v>160</v>
      </c>
      <c r="AC38" s="190">
        <f t="shared" si="23"/>
        <v>68.007049396907604</v>
      </c>
      <c r="AD38" s="190">
        <f t="shared" si="23"/>
        <v>96.551724137931032</v>
      </c>
      <c r="AE38" s="190">
        <f t="shared" si="23"/>
        <v>214.28571428571433</v>
      </c>
      <c r="AF38" s="190">
        <f t="shared" si="23"/>
        <v>63.367037082087982</v>
      </c>
      <c r="AG38" s="190">
        <f t="shared" si="23"/>
        <v>119.35483870967742</v>
      </c>
      <c r="AH38" s="190">
        <f t="shared" si="23"/>
        <v>162.16216216216216</v>
      </c>
      <c r="AI38" s="190">
        <f t="shared" si="23"/>
        <v>54.298175134123284</v>
      </c>
      <c r="AJ38" s="190">
        <f t="shared" si="23"/>
        <v>84.910783817542622</v>
      </c>
      <c r="AK38" s="191">
        <f t="shared" si="23"/>
        <v>293.22033898305079</v>
      </c>
      <c r="AL38" s="190">
        <f t="shared" si="23"/>
        <v>39.160289111752014</v>
      </c>
      <c r="AM38" s="190">
        <f t="shared" si="23"/>
        <v>81.249999999999986</v>
      </c>
      <c r="AN38" s="190">
        <f t="shared" si="23"/>
        <v>169.2307692307692</v>
      </c>
      <c r="AO38" s="190">
        <f t="shared" si="23"/>
        <v>76.14862077201623</v>
      </c>
      <c r="AP38" s="190">
        <f t="shared" si="23"/>
        <v>96.666666666666671</v>
      </c>
      <c r="AQ38" s="190">
        <f t="shared" si="23"/>
        <v>193.10344827586206</v>
      </c>
      <c r="AR38" s="190">
        <f t="shared" si="23"/>
        <v>54.893766629599625</v>
      </c>
      <c r="AS38" s="190">
        <f t="shared" si="23"/>
        <v>97.435897435897431</v>
      </c>
      <c r="AT38" s="190">
        <f t="shared" si="23"/>
        <v>152.63157894736844</v>
      </c>
      <c r="AU38" s="190">
        <f t="shared" si="23"/>
        <v>60.790733846548484</v>
      </c>
      <c r="AV38" s="190">
        <f t="shared" si="23"/>
        <v>123.40425531914892</v>
      </c>
      <c r="AW38" s="191">
        <f t="shared" si="23"/>
        <v>317.24137931034483</v>
      </c>
      <c r="AX38" s="190">
        <f t="shared" si="23"/>
        <v>36.257521511810204</v>
      </c>
      <c r="AY38" s="190">
        <f t="shared" si="23"/>
        <v>90.322580645161295</v>
      </c>
      <c r="AZ38" s="190">
        <f t="shared" si="23"/>
        <v>160.71428571428569</v>
      </c>
      <c r="BA38" s="190">
        <f t="shared" si="23"/>
        <v>68.194310925630248</v>
      </c>
      <c r="BB38" s="190">
        <f t="shared" si="23"/>
        <v>90.909090909090892</v>
      </c>
      <c r="BC38" s="190">
        <f t="shared" si="23"/>
        <v>163.33333333333337</v>
      </c>
      <c r="BD38" s="190">
        <f t="shared" si="23"/>
        <v>77.320944524333072</v>
      </c>
      <c r="BE38" s="190">
        <f t="shared" si="23"/>
        <v>97.560975609756113</v>
      </c>
      <c r="BF38" s="190">
        <f t="shared" si="23"/>
        <v>129.99999999999997</v>
      </c>
      <c r="BG38" s="190">
        <f t="shared" si="23"/>
        <v>58.264761666018508</v>
      </c>
      <c r="BH38" s="190">
        <f t="shared" si="23"/>
        <v>123.40425531914893</v>
      </c>
      <c r="BI38" s="191">
        <f t="shared" si="23"/>
        <v>249.99999999999994</v>
      </c>
      <c r="BJ38" s="190">
        <f t="shared" si="23"/>
        <v>45.921796984414399</v>
      </c>
      <c r="BK38" s="190">
        <f t="shared" si="23"/>
        <v>93.548387096774178</v>
      </c>
      <c r="BL38" s="190">
        <f t="shared" si="23"/>
        <v>124.13793103448276</v>
      </c>
      <c r="BM38" s="190">
        <f t="shared" si="23"/>
        <v>84.969113602762889</v>
      </c>
      <c r="BN38" s="190">
        <f t="shared" si="23"/>
        <v>81.578947368421069</v>
      </c>
      <c r="BO38" s="190">
        <f t="shared" si="23"/>
        <v>164.51612903225802</v>
      </c>
      <c r="BP38" s="190">
        <f t="shared" si="23"/>
        <v>79.144269103612856</v>
      </c>
      <c r="BQ38" s="190">
        <f t="shared" si="23"/>
        <v>122.58064516129031</v>
      </c>
      <c r="BR38" s="190">
        <f>BR36/BQ36*100</f>
        <v>118.42105263157899</v>
      </c>
      <c r="BS38" s="190">
        <f>BS36/BR36*100</f>
        <v>65.447782548019262</v>
      </c>
      <c r="BT38" s="190">
        <f>BT36/BS36*100</f>
        <v>125.53191489361704</v>
      </c>
      <c r="BU38" s="191">
        <f>BU36/BT36*100</f>
        <v>245.7627118644067</v>
      </c>
      <c r="BV38" s="190">
        <f>BV44*BV39</f>
        <v>38.054308987457162</v>
      </c>
      <c r="BW38" s="190">
        <f>BW44*BW39</f>
        <v>103.84615384615385</v>
      </c>
      <c r="BX38" s="190">
        <f>BX44*BX39</f>
        <v>148.14814814814812</v>
      </c>
      <c r="BY38" s="190">
        <f t="shared" ref="BY38:CG38" si="24">BY39*BY44</f>
        <v>73.42674874511404</v>
      </c>
      <c r="BZ38" s="190">
        <f t="shared" si="24"/>
        <v>93.548387096774178</v>
      </c>
      <c r="CA38" s="190">
        <f t="shared" si="24"/>
        <v>184.34482758620692</v>
      </c>
      <c r="CB38" s="190">
        <f t="shared" si="24"/>
        <v>68.740414703915206</v>
      </c>
      <c r="CC38" s="190">
        <f t="shared" si="24"/>
        <v>105.40540540540539</v>
      </c>
      <c r="CD38" s="190">
        <f t="shared" si="24"/>
        <v>141.02564102564102</v>
      </c>
      <c r="CE38" s="190">
        <f t="shared" si="24"/>
        <v>64.001138090103197</v>
      </c>
      <c r="CF38" s="190">
        <f t="shared" si="24"/>
        <v>116.6768846503179</v>
      </c>
      <c r="CG38" s="190">
        <f t="shared" si="24"/>
        <v>261.53846153846155</v>
      </c>
      <c r="CH38" s="190"/>
      <c r="CI38" s="190">
        <f t="shared" ref="CI38:DF38" si="25">CI39*CI44</f>
        <v>38.929512937146619</v>
      </c>
      <c r="CJ38" s="190">
        <f t="shared" si="25"/>
        <v>90.322580645161281</v>
      </c>
      <c r="CK38" s="190">
        <f t="shared" si="25"/>
        <v>139.28571428571428</v>
      </c>
      <c r="CL38" s="190">
        <f t="shared" si="25"/>
        <v>70.625806755478905</v>
      </c>
      <c r="CM38" s="190">
        <f t="shared" si="25"/>
        <v>106.89655172413794</v>
      </c>
      <c r="CN38" s="190">
        <f t="shared" si="25"/>
        <v>164.38709677419357</v>
      </c>
      <c r="CO38" s="190">
        <f t="shared" si="25"/>
        <v>77.800031470103804</v>
      </c>
      <c r="CP38" s="190">
        <f t="shared" si="25"/>
        <v>99.30952380952381</v>
      </c>
      <c r="CQ38" s="190">
        <f t="shared" si="25"/>
        <v>117.41860465116278</v>
      </c>
      <c r="CR38" s="190">
        <f t="shared" si="25"/>
        <v>75.922918714730272</v>
      </c>
      <c r="CS38" s="190">
        <f t="shared" si="25"/>
        <v>110.94735237514529</v>
      </c>
      <c r="CT38" s="190">
        <f t="shared" si="25"/>
        <v>230</v>
      </c>
      <c r="CU38" s="190">
        <f>CU39*CU44</f>
        <v>41.5730398273733</v>
      </c>
      <c r="CV38" s="190">
        <f t="shared" si="25"/>
        <v>80.555555555555543</v>
      </c>
      <c r="CW38" s="190">
        <f t="shared" si="25"/>
        <v>134.48275862068962</v>
      </c>
      <c r="CX38" s="190">
        <f t="shared" si="25"/>
        <v>90.108787929404116</v>
      </c>
      <c r="CY38" s="190">
        <f t="shared" si="25"/>
        <v>91.891891891891873</v>
      </c>
      <c r="CZ38" s="190">
        <f t="shared" si="25"/>
        <v>147</v>
      </c>
      <c r="DA38" s="190">
        <f t="shared" si="25"/>
        <v>79.325522283243103</v>
      </c>
      <c r="DB38" s="190">
        <f t="shared" si="25"/>
        <v>117.78571428571428</v>
      </c>
      <c r="DC38" s="190">
        <f t="shared" si="25"/>
        <v>129.33333333333334</v>
      </c>
      <c r="DD38" s="190">
        <f t="shared" si="25"/>
        <v>69.365939371185377</v>
      </c>
      <c r="DE38" s="190">
        <f t="shared" si="25"/>
        <v>96.135972829209635</v>
      </c>
      <c r="DF38" s="190">
        <f t="shared" si="25"/>
        <v>207.23684210526318</v>
      </c>
      <c r="DG38" s="190">
        <f>DG39*DG44</f>
        <v>55.853049063315495</v>
      </c>
      <c r="DH38" s="190">
        <f>DH39*DH44</f>
        <v>89.130434782608688</v>
      </c>
      <c r="DI38" s="190">
        <f>DI39*DI44</f>
        <v>101.58536585365853</v>
      </c>
      <c r="DJ38" s="190">
        <f>DJ39*DJ44</f>
        <v>75.014447667870712</v>
      </c>
      <c r="DK38" s="190">
        <f>DK39*DK44</f>
        <v>96.27906976744184</v>
      </c>
    </row>
    <row r="39" spans="1:115" s="187" customFormat="1">
      <c r="A39" s="157" t="s">
        <v>464</v>
      </c>
      <c r="B39" s="179"/>
      <c r="C39" s="192">
        <f>C38/C44</f>
        <v>1.0000000000000002</v>
      </c>
      <c r="D39" s="192">
        <f t="shared" ref="D39:BO39" si="26">D38/D44</f>
        <v>1.0000000000000002</v>
      </c>
      <c r="E39" s="192">
        <f t="shared" si="26"/>
        <v>1.5238132755564309</v>
      </c>
      <c r="F39" s="192">
        <f t="shared" si="26"/>
        <v>1</v>
      </c>
      <c r="G39" s="192">
        <f>G38/G44</f>
        <v>1</v>
      </c>
      <c r="H39" s="192">
        <f t="shared" si="26"/>
        <v>0.88635250608679572</v>
      </c>
      <c r="I39" s="192">
        <f t="shared" si="26"/>
        <v>1</v>
      </c>
      <c r="J39" s="192">
        <f t="shared" si="26"/>
        <v>1.0000000000000002</v>
      </c>
      <c r="K39" s="192">
        <f t="shared" si="26"/>
        <v>0.72562664752278916</v>
      </c>
      <c r="L39" s="192">
        <f t="shared" si="26"/>
        <v>0.99999999999999978</v>
      </c>
      <c r="M39" s="192">
        <f t="shared" si="26"/>
        <v>1</v>
      </c>
      <c r="N39" s="193">
        <f t="shared" si="26"/>
        <v>2.6399006506386722</v>
      </c>
      <c r="O39" s="193">
        <f t="shared" si="26"/>
        <v>0.99999999999999978</v>
      </c>
      <c r="P39" s="193">
        <f t="shared" si="26"/>
        <v>1</v>
      </c>
      <c r="Q39" s="192">
        <f t="shared" si="26"/>
        <v>0.95872387056674513</v>
      </c>
      <c r="R39" s="192">
        <f t="shared" si="26"/>
        <v>1</v>
      </c>
      <c r="S39" s="192">
        <f t="shared" si="26"/>
        <v>1</v>
      </c>
      <c r="T39" s="192">
        <f t="shared" si="26"/>
        <v>1.0083380713335113</v>
      </c>
      <c r="U39" s="192">
        <f t="shared" si="26"/>
        <v>1</v>
      </c>
      <c r="V39" s="192">
        <f t="shared" si="26"/>
        <v>1</v>
      </c>
      <c r="W39" s="192">
        <f t="shared" si="26"/>
        <v>0.46038524833609018</v>
      </c>
      <c r="X39" s="192">
        <f t="shared" si="26"/>
        <v>1</v>
      </c>
      <c r="Y39" s="192">
        <f t="shared" si="26"/>
        <v>1.0000000000000002</v>
      </c>
      <c r="Z39" s="193">
        <f t="shared" si="26"/>
        <v>2.0719206670514585</v>
      </c>
      <c r="AA39" s="193">
        <f t="shared" si="26"/>
        <v>1</v>
      </c>
      <c r="AB39" s="193">
        <f t="shared" si="26"/>
        <v>1</v>
      </c>
      <c r="AC39" s="192">
        <f t="shared" si="26"/>
        <v>0.93802826754355317</v>
      </c>
      <c r="AD39" s="192">
        <f t="shared" si="26"/>
        <v>1</v>
      </c>
      <c r="AE39" s="192">
        <f t="shared" si="26"/>
        <v>1.0000000000000002</v>
      </c>
      <c r="AF39" s="192">
        <f t="shared" si="26"/>
        <v>1.2264587822339608</v>
      </c>
      <c r="AG39" s="192">
        <f t="shared" si="26"/>
        <v>1</v>
      </c>
      <c r="AH39" s="192">
        <f t="shared" si="26"/>
        <v>1</v>
      </c>
      <c r="AI39" s="192">
        <f t="shared" si="26"/>
        <v>0.79460744098717007</v>
      </c>
      <c r="AJ39" s="192">
        <f t="shared" si="26"/>
        <v>0.59005798924055042</v>
      </c>
      <c r="AK39" s="192">
        <f t="shared" si="26"/>
        <v>1</v>
      </c>
      <c r="AL39" s="193">
        <f t="shared" si="26"/>
        <v>2.1171031301040935</v>
      </c>
      <c r="AM39" s="193">
        <f t="shared" si="26"/>
        <v>0.99999999999999978</v>
      </c>
      <c r="AN39" s="193">
        <f t="shared" si="26"/>
        <v>0.99999999999999978</v>
      </c>
      <c r="AO39" s="192">
        <f t="shared" si="26"/>
        <v>1.1168464379895715</v>
      </c>
      <c r="AP39" s="192">
        <f t="shared" si="26"/>
        <v>1</v>
      </c>
      <c r="AQ39" s="192">
        <f t="shared" si="26"/>
        <v>1</v>
      </c>
      <c r="AR39" s="192">
        <f t="shared" si="26"/>
        <v>0.78821818750194317</v>
      </c>
      <c r="AS39" s="192">
        <f t="shared" si="26"/>
        <v>1</v>
      </c>
      <c r="AT39" s="192">
        <f t="shared" si="26"/>
        <v>1</v>
      </c>
      <c r="AU39" s="192">
        <f t="shared" si="26"/>
        <v>0.75018352406378974</v>
      </c>
      <c r="AV39" s="192">
        <f t="shared" si="26"/>
        <v>0.99999999999999989</v>
      </c>
      <c r="AW39" s="192">
        <f t="shared" si="26"/>
        <v>1.0000000000000002</v>
      </c>
      <c r="AX39" s="193">
        <f t="shared" si="26"/>
        <v>2.152059341346154</v>
      </c>
      <c r="AY39" s="193">
        <f t="shared" si="26"/>
        <v>1.0000000000000002</v>
      </c>
      <c r="AZ39" s="193">
        <f t="shared" si="26"/>
        <v>0.99999999999999978</v>
      </c>
      <c r="BA39" s="192">
        <f t="shared" si="26"/>
        <v>0.92992242171313977</v>
      </c>
      <c r="BB39" s="192">
        <f t="shared" si="26"/>
        <v>0.99999999999999967</v>
      </c>
      <c r="BC39" s="192">
        <f t="shared" si="26"/>
        <v>1.0000000000000002</v>
      </c>
      <c r="BD39" s="192">
        <f t="shared" si="26"/>
        <v>0.92407958090056608</v>
      </c>
      <c r="BE39" s="192">
        <f t="shared" si="26"/>
        <v>1</v>
      </c>
      <c r="BF39" s="192">
        <f t="shared" si="26"/>
        <v>0.99999999999999978</v>
      </c>
      <c r="BG39" s="192">
        <f t="shared" si="26"/>
        <v>0.64463140566658772</v>
      </c>
      <c r="BH39" s="192">
        <f t="shared" si="26"/>
        <v>1</v>
      </c>
      <c r="BI39" s="192">
        <f t="shared" si="26"/>
        <v>0.99999999999999978</v>
      </c>
      <c r="BJ39" s="193">
        <f t="shared" si="26"/>
        <v>2.1479550202387379</v>
      </c>
      <c r="BK39" s="193">
        <f t="shared" si="26"/>
        <v>0.99999999999999989</v>
      </c>
      <c r="BL39" s="193">
        <f t="shared" si="26"/>
        <v>1</v>
      </c>
      <c r="BM39" s="192">
        <f t="shared" si="26"/>
        <v>0.80497054992091155</v>
      </c>
      <c r="BN39" s="192">
        <f t="shared" si="26"/>
        <v>1</v>
      </c>
      <c r="BO39" s="192">
        <f t="shared" si="26"/>
        <v>0.99999999999999978</v>
      </c>
      <c r="BP39" s="192">
        <f t="shared" ref="BP39:BU39" si="27">BP38/BP44</f>
        <v>1.3020508788013727</v>
      </c>
      <c r="BQ39" s="192">
        <f t="shared" si="27"/>
        <v>1</v>
      </c>
      <c r="BR39" s="192">
        <f t="shared" si="27"/>
        <v>1.0000000000000002</v>
      </c>
      <c r="BS39" s="192">
        <f t="shared" si="27"/>
        <v>0.62662770524699285</v>
      </c>
      <c r="BT39" s="192">
        <f t="shared" si="27"/>
        <v>1.0000000000000002</v>
      </c>
      <c r="BU39" s="192">
        <f t="shared" si="27"/>
        <v>0.99999999999999978</v>
      </c>
      <c r="BV39" s="192">
        <f>AVERAGE(Z39,AL39,AX39,BJ39)</f>
        <v>2.1222595396851109</v>
      </c>
      <c r="BW39" s="192">
        <f>AVERAGE(AA39,AM39,AY39,BK39)</f>
        <v>1</v>
      </c>
      <c r="BX39" s="192">
        <f>AVERAGE(AB39,AN39,AZ39,BL39)</f>
        <v>0.99999999999999989</v>
      </c>
      <c r="BY39" s="192">
        <f>AVERAGE(AC39,AO39,BA39,BM39)</f>
        <v>0.947441919291794</v>
      </c>
      <c r="BZ39" s="192">
        <f>AVERAGE(AD39,AP39,BB39,BN39)</f>
        <v>0.99999999999999989</v>
      </c>
      <c r="CA39" s="192">
        <f>AVERAGE(AE39,AQ39)-0.01</f>
        <v>0.99</v>
      </c>
      <c r="CB39" s="192">
        <f>AVERAGE(AF39,AR39)-0.0041</f>
        <v>1.0032384848679519</v>
      </c>
      <c r="CC39" s="192">
        <f>AVERAGE(AG39,AS39,BE39,BQ39)</f>
        <v>1</v>
      </c>
      <c r="CD39" s="192">
        <f>AVERAGE(AH39,AT39,BF39,BR39)</f>
        <v>1</v>
      </c>
      <c r="CE39" s="192">
        <f>AVERAGE(AI39,AU39,BG39,BS39)</f>
        <v>0.70401251899113515</v>
      </c>
      <c r="CF39" s="192">
        <f>AVERAGE(AJ39,AV39,BH39,BT39)</f>
        <v>0.89751449731013766</v>
      </c>
      <c r="CG39" s="192">
        <f>AVERAGE(AK39,AW39,BI39,BU39)</f>
        <v>1</v>
      </c>
      <c r="CH39" s="192"/>
      <c r="CI39" s="192">
        <f>AVERAGE(AL39,AX39,BJ39,BV39)</f>
        <v>2.1348442578435241</v>
      </c>
      <c r="CJ39" s="192">
        <f>AVERAGE(AM39,AY39,BK39,BW39)</f>
        <v>1</v>
      </c>
      <c r="CK39" s="192">
        <f>AVERAGE(AN39,AZ39,BL39,BX39)</f>
        <v>0.99999999999999989</v>
      </c>
      <c r="CL39" s="192">
        <f>AVERAGE(AO39,BA39,BM39,BY39)</f>
        <v>0.94979533222885415</v>
      </c>
      <c r="CM39" s="192">
        <f>AVERAGE(AP39,BB39,BN39,BZ39)</f>
        <v>0.99999999999999989</v>
      </c>
      <c r="CN39" s="192">
        <f>CA39-0.01</f>
        <v>0.98</v>
      </c>
      <c r="CO39" s="192">
        <f>CB39-0.04</f>
        <v>0.96323848486795183</v>
      </c>
      <c r="CP39" s="192">
        <f>CC39-0.03</f>
        <v>0.97</v>
      </c>
      <c r="CQ39" s="192">
        <f>CD39-0.01</f>
        <v>0.99</v>
      </c>
      <c r="CR39" s="192">
        <f>CE39</f>
        <v>0.70401251899113515</v>
      </c>
      <c r="CS39" s="192">
        <f>CF39-0.05</f>
        <v>0.84751449731013762</v>
      </c>
      <c r="CT39" s="192">
        <f>CG39-0.1</f>
        <v>0.9</v>
      </c>
      <c r="CU39" s="192">
        <f>CI39-0.01</f>
        <v>2.1248442578435243</v>
      </c>
      <c r="CV39" s="192">
        <f t="shared" ref="CV39:DA39" si="28">CJ39</f>
        <v>1</v>
      </c>
      <c r="CW39" s="192">
        <f>CK39</f>
        <v>0.99999999999999989</v>
      </c>
      <c r="CX39" s="192">
        <f t="shared" si="28"/>
        <v>0.94979533222885415</v>
      </c>
      <c r="CY39" s="192">
        <f t="shared" si="28"/>
        <v>0.99999999999999989</v>
      </c>
      <c r="CZ39" s="192">
        <f t="shared" si="28"/>
        <v>0.98</v>
      </c>
      <c r="DA39" s="192">
        <f t="shared" si="28"/>
        <v>0.96323848486795183</v>
      </c>
      <c r="DB39" s="192">
        <f>CP39</f>
        <v>0.97</v>
      </c>
      <c r="DC39" s="192">
        <f>CQ39-0.02</f>
        <v>0.97</v>
      </c>
      <c r="DD39" s="192">
        <f>CR39</f>
        <v>0.70401251899113515</v>
      </c>
      <c r="DE39" s="192">
        <f>CS39</f>
        <v>0.84751449731013762</v>
      </c>
      <c r="DF39" s="192">
        <f>CT39</f>
        <v>0.9</v>
      </c>
      <c r="DG39" s="192">
        <f>CU39</f>
        <v>2.1248442578435243</v>
      </c>
      <c r="DH39" s="192">
        <f>CV39</f>
        <v>1</v>
      </c>
      <c r="DI39" s="192">
        <f>CW39*0.85</f>
        <v>0.84999999999999987</v>
      </c>
      <c r="DJ39" s="192">
        <f>CX39*0.9</f>
        <v>0.85481579900596871</v>
      </c>
      <c r="DK39" s="192">
        <f>CY39*0.9</f>
        <v>0.89999999999999991</v>
      </c>
    </row>
    <row r="41" spans="1:115">
      <c r="A41" s="194" t="s">
        <v>472</v>
      </c>
      <c r="B41" s="194">
        <v>2.1</v>
      </c>
      <c r="C41" s="194">
        <v>1.8</v>
      </c>
      <c r="D41" s="194">
        <v>2.7</v>
      </c>
      <c r="E41" s="194">
        <v>1.9</v>
      </c>
      <c r="F41" s="194">
        <v>1.9</v>
      </c>
      <c r="G41" s="194">
        <v>3.9</v>
      </c>
      <c r="H41" s="194">
        <v>1.9</v>
      </c>
      <c r="I41" s="194">
        <v>2.6</v>
      </c>
      <c r="J41" s="194">
        <v>4.4000000000000004</v>
      </c>
      <c r="K41" s="194">
        <v>2.8</v>
      </c>
      <c r="L41" s="194">
        <v>3.6</v>
      </c>
      <c r="M41" s="194">
        <v>14</v>
      </c>
      <c r="N41" s="194">
        <v>1.8</v>
      </c>
      <c r="O41" s="194">
        <v>1.5</v>
      </c>
      <c r="P41" s="194">
        <v>3</v>
      </c>
      <c r="Q41" s="194">
        <v>2.2000000000000002</v>
      </c>
      <c r="R41" s="194">
        <v>2.2000000000000002</v>
      </c>
      <c r="S41" s="194">
        <v>5</v>
      </c>
      <c r="T41" s="194">
        <v>2.1</v>
      </c>
      <c r="U41" s="194">
        <v>3</v>
      </c>
      <c r="V41" s="194">
        <v>5.0999999999999996</v>
      </c>
      <c r="W41" s="194">
        <v>3.5</v>
      </c>
      <c r="X41" s="194">
        <v>4.5999999999999996</v>
      </c>
      <c r="Y41" s="194">
        <v>16.600000000000001</v>
      </c>
      <c r="Z41" s="194">
        <v>2.9</v>
      </c>
      <c r="AA41" s="194">
        <v>2.5</v>
      </c>
      <c r="AB41" s="194">
        <v>4</v>
      </c>
      <c r="AC41" s="194">
        <v>2.9</v>
      </c>
      <c r="AD41" s="194">
        <v>2.8</v>
      </c>
      <c r="AE41" s="194">
        <v>6</v>
      </c>
      <c r="AF41" s="194">
        <v>3.1</v>
      </c>
      <c r="AG41" s="194">
        <v>3.7</v>
      </c>
      <c r="AH41" s="194">
        <v>6</v>
      </c>
      <c r="AI41" s="194">
        <v>4.0999999999999996</v>
      </c>
      <c r="AJ41" s="194">
        <v>5.9</v>
      </c>
      <c r="AK41" s="194">
        <v>17.3</v>
      </c>
      <c r="AL41" s="194">
        <v>3.2</v>
      </c>
      <c r="AM41" s="194">
        <v>2.6</v>
      </c>
      <c r="AN41" s="194">
        <v>4.4000000000000004</v>
      </c>
      <c r="AO41" s="194">
        <v>3</v>
      </c>
      <c r="AP41" s="194">
        <v>2.9</v>
      </c>
      <c r="AQ41" s="194">
        <v>5.6</v>
      </c>
      <c r="AR41" s="194">
        <v>3.9</v>
      </c>
      <c r="AS41" s="194">
        <v>3.8</v>
      </c>
      <c r="AT41" s="194">
        <v>5.8</v>
      </c>
      <c r="AU41" s="194">
        <v>4.7</v>
      </c>
      <c r="AV41" s="194">
        <v>5.8</v>
      </c>
      <c r="AW41" s="194">
        <v>18.399999999999999</v>
      </c>
      <c r="AX41" s="194">
        <v>3.1</v>
      </c>
      <c r="AY41" s="194">
        <v>2.8</v>
      </c>
      <c r="AZ41" s="194">
        <v>4.5</v>
      </c>
      <c r="BA41" s="194">
        <v>3.3</v>
      </c>
      <c r="BB41" s="194">
        <v>3</v>
      </c>
      <c r="BC41" s="194">
        <v>4.9000000000000004</v>
      </c>
      <c r="BD41" s="194">
        <v>4.0999999999999996</v>
      </c>
      <c r="BE41" s="194">
        <v>4</v>
      </c>
      <c r="BF41" s="194">
        <v>5.2</v>
      </c>
      <c r="BG41" s="194">
        <v>4.7</v>
      </c>
      <c r="BH41" s="194">
        <v>5.8</v>
      </c>
      <c r="BI41" s="194">
        <v>14.5</v>
      </c>
      <c r="BJ41" s="194">
        <v>3.1</v>
      </c>
      <c r="BK41" s="194">
        <v>2.9</v>
      </c>
      <c r="BL41" s="194">
        <v>3.6</v>
      </c>
      <c r="BM41" s="194">
        <v>3.8</v>
      </c>
      <c r="BN41" s="194">
        <v>3.1</v>
      </c>
      <c r="BO41" s="194">
        <v>5.0999999999999996</v>
      </c>
      <c r="BP41" s="194">
        <v>3.1</v>
      </c>
      <c r="BQ41" s="194">
        <v>3.8</v>
      </c>
      <c r="BR41" s="194">
        <v>4.5</v>
      </c>
      <c r="BS41" s="194">
        <v>4.7</v>
      </c>
      <c r="BT41" s="194">
        <v>5.9</v>
      </c>
      <c r="BU41" s="194">
        <v>14.5</v>
      </c>
      <c r="BV41" s="195">
        <v>2.6</v>
      </c>
      <c r="BW41" s="195">
        <v>2.7</v>
      </c>
      <c r="BX41" s="195">
        <v>4</v>
      </c>
      <c r="BY41" s="195">
        <v>3.1</v>
      </c>
      <c r="BZ41" s="195">
        <v>2.9</v>
      </c>
      <c r="CA41" s="195">
        <v>5.4</v>
      </c>
      <c r="CB41" s="195">
        <v>3.7</v>
      </c>
      <c r="CC41" s="196">
        <v>3.9</v>
      </c>
      <c r="CD41" s="196">
        <v>5.5</v>
      </c>
      <c r="CE41" s="196">
        <v>5</v>
      </c>
      <c r="CF41" s="196">
        <v>6.5</v>
      </c>
      <c r="CG41" s="196">
        <v>17</v>
      </c>
      <c r="CI41" s="123">
        <v>3.1</v>
      </c>
      <c r="CJ41" s="123">
        <v>2.8</v>
      </c>
      <c r="CK41" s="123">
        <v>3.9</v>
      </c>
      <c r="CL41" s="123">
        <v>2.9</v>
      </c>
      <c r="CM41" s="123">
        <v>3.1</v>
      </c>
      <c r="CN41" s="123">
        <v>5.2</v>
      </c>
      <c r="CO41" s="123">
        <v>4.2</v>
      </c>
      <c r="CP41" s="123">
        <v>4.3</v>
      </c>
      <c r="CQ41" s="123">
        <v>5.0999999999999996</v>
      </c>
      <c r="CR41" s="123">
        <v>5.5</v>
      </c>
      <c r="CS41" s="123">
        <v>7.2</v>
      </c>
      <c r="CT41" s="123">
        <v>18.399999999999999</v>
      </c>
      <c r="CU41" s="197">
        <v>3.6</v>
      </c>
      <c r="CV41" s="197">
        <v>2.9</v>
      </c>
      <c r="CW41" s="196">
        <v>3.9</v>
      </c>
      <c r="CX41" s="196">
        <v>3.7</v>
      </c>
      <c r="CY41" s="196">
        <v>3.4</v>
      </c>
      <c r="CZ41" s="123">
        <v>5.0999999999999996</v>
      </c>
      <c r="DA41" s="123">
        <v>4.2</v>
      </c>
      <c r="DB41" s="123">
        <v>5.0999999999999996</v>
      </c>
      <c r="DC41" s="123">
        <v>6.8</v>
      </c>
      <c r="DD41" s="123">
        <v>6.7</v>
      </c>
      <c r="DE41" s="123">
        <v>7.6</v>
      </c>
      <c r="DF41" s="123">
        <v>17.5</v>
      </c>
      <c r="DG41" s="123">
        <v>4.5999999999999996</v>
      </c>
      <c r="DH41" s="123">
        <v>4.0999999999999996</v>
      </c>
      <c r="DI41" s="123">
        <v>4.9000000000000004</v>
      </c>
      <c r="DJ41" s="123">
        <v>4.3</v>
      </c>
      <c r="DK41" s="123">
        <v>4.5999999999999996</v>
      </c>
    </row>
    <row r="42" spans="1:115">
      <c r="D42" s="123">
        <f>SUM(B41:D41)</f>
        <v>6.6000000000000005</v>
      </c>
      <c r="G42" s="123">
        <f>SUM(E41:G41)</f>
        <v>7.6999999999999993</v>
      </c>
      <c r="J42" s="123">
        <f>SUM(H41:J41)</f>
        <v>8.9</v>
      </c>
      <c r="M42" s="123">
        <f>SUM(K41:M41)</f>
        <v>20.399999999999999</v>
      </c>
      <c r="P42" s="123">
        <f>SUM(N41:P41)</f>
        <v>6.3</v>
      </c>
      <c r="S42" s="123">
        <f>SUM(Q41:S41)</f>
        <v>9.4</v>
      </c>
      <c r="V42" s="123">
        <f>SUM(T41:V41)</f>
        <v>10.199999999999999</v>
      </c>
      <c r="Y42" s="123">
        <f>SUM(W41:Y41)</f>
        <v>24.700000000000003</v>
      </c>
      <c r="AB42" s="123">
        <f>SUM(Z41:AB41)</f>
        <v>9.4</v>
      </c>
      <c r="AE42" s="123">
        <f>SUM(AC41:AE41)</f>
        <v>11.7</v>
      </c>
      <c r="AH42" s="123">
        <f>SUM(AF41:AH41)</f>
        <v>12.8</v>
      </c>
      <c r="AK42" s="123">
        <f>SUM(AI41:AK41)</f>
        <v>27.3</v>
      </c>
      <c r="AN42" s="123">
        <f>SUM(AL41:AN41)</f>
        <v>10.200000000000001</v>
      </c>
      <c r="AQ42" s="123">
        <f>SUM(AO41:AQ41)</f>
        <v>11.5</v>
      </c>
      <c r="AT42" s="123">
        <f>SUM(AR41:AT41)</f>
        <v>13.5</v>
      </c>
      <c r="AW42" s="123">
        <f>SUM(AU41:AW41)</f>
        <v>28.9</v>
      </c>
      <c r="AZ42" s="123">
        <f>SUM(AX41:AZ41)</f>
        <v>10.4</v>
      </c>
      <c r="BC42" s="123">
        <f>SUM(BA41:BC41)</f>
        <v>11.2</v>
      </c>
      <c r="BF42" s="123">
        <f>SUM(BD41:BF41)</f>
        <v>13.3</v>
      </c>
      <c r="BI42" s="123">
        <f>SUM(BG41:BI41)</f>
        <v>25</v>
      </c>
      <c r="BL42" s="123">
        <f>SUM(BJ41:BL41)</f>
        <v>9.6</v>
      </c>
      <c r="BO42" s="123">
        <f>SUM(BM41:BO41)</f>
        <v>12</v>
      </c>
      <c r="BR42" s="123">
        <f>SUM(BP41:BR41)</f>
        <v>11.4</v>
      </c>
      <c r="BU42" s="123">
        <f>SUM(BS41:BU41)</f>
        <v>25.1</v>
      </c>
      <c r="BX42" s="123">
        <f>SUM(BV41:BX41)</f>
        <v>9.3000000000000007</v>
      </c>
      <c r="CA42" s="123">
        <f>SUM(BY41:CA41)</f>
        <v>11.4</v>
      </c>
    </row>
    <row r="43" spans="1:115">
      <c r="A43" s="153" t="s">
        <v>463</v>
      </c>
      <c r="B43" s="198">
        <f>B41/$D$42*100</f>
        <v>31.818181818181817</v>
      </c>
      <c r="C43" s="198">
        <f>C41/$D$42*100</f>
        <v>27.27272727272727</v>
      </c>
      <c r="D43" s="198">
        <f>D41/$D$42*100</f>
        <v>40.909090909090907</v>
      </c>
      <c r="E43" s="198">
        <f>E41/$G$42*100</f>
        <v>24.675324675324674</v>
      </c>
      <c r="F43" s="198">
        <f>F41/$G$42*100</f>
        <v>24.675324675324674</v>
      </c>
      <c r="G43" s="198">
        <f>G41/$G$42*100</f>
        <v>50.649350649350652</v>
      </c>
      <c r="H43" s="198">
        <f>H41/$J$42*100</f>
        <v>21.348314606741571</v>
      </c>
      <c r="I43" s="198">
        <f>I41/$J$42*100</f>
        <v>29.213483146067414</v>
      </c>
      <c r="J43" s="198">
        <f>J41/$J$42*100</f>
        <v>49.438202247191015</v>
      </c>
      <c r="K43" s="198">
        <f>K41/$M$42*100</f>
        <v>13.725490196078432</v>
      </c>
      <c r="L43" s="198">
        <f>L41/$M$42*100</f>
        <v>17.647058823529413</v>
      </c>
      <c r="M43" s="198">
        <f>M41/$M$42*100</f>
        <v>68.627450980392155</v>
      </c>
      <c r="N43" s="198">
        <f>N41/$P$42*100</f>
        <v>28.571428571428577</v>
      </c>
      <c r="O43" s="198">
        <f>O41/$P$42*100</f>
        <v>23.80952380952381</v>
      </c>
      <c r="P43" s="198">
        <f>P41/$P$42*100</f>
        <v>47.61904761904762</v>
      </c>
      <c r="Q43" s="198">
        <f>Q41/$S$42*100</f>
        <v>23.404255319148938</v>
      </c>
      <c r="R43" s="198">
        <f>R41/$S$42*100</f>
        <v>23.404255319148938</v>
      </c>
      <c r="S43" s="198">
        <f>S41/$S$42*100</f>
        <v>53.191489361702125</v>
      </c>
      <c r="T43" s="198">
        <f>T41/$V$42*100</f>
        <v>20.588235294117649</v>
      </c>
      <c r="U43" s="198">
        <f>U41/$V$42*100</f>
        <v>29.411764705882355</v>
      </c>
      <c r="V43" s="198">
        <f>V41/$V$42*100</f>
        <v>50</v>
      </c>
      <c r="W43" s="198">
        <f>W41/$Y$42*100</f>
        <v>14.170040485829958</v>
      </c>
      <c r="X43" s="198">
        <f>X41/$Y$42*100</f>
        <v>18.623481781376512</v>
      </c>
      <c r="Y43" s="198">
        <f>Y41/$Y$42*100</f>
        <v>67.20647773279353</v>
      </c>
      <c r="Z43" s="198">
        <f>Z41/$AB$42*100</f>
        <v>30.851063829787233</v>
      </c>
      <c r="AA43" s="198">
        <f>AA41/$AB$42*100</f>
        <v>26.595744680851062</v>
      </c>
      <c r="AB43" s="198">
        <f>AB41/$AB$42*100</f>
        <v>42.553191489361701</v>
      </c>
      <c r="AC43" s="198">
        <f>AC41/$AE$42*100</f>
        <v>24.786324786324787</v>
      </c>
      <c r="AD43" s="198">
        <f>AD41/$AE$42*100</f>
        <v>23.931623931623932</v>
      </c>
      <c r="AE43" s="198">
        <f>AE41/$AE$42*100</f>
        <v>51.282051282051292</v>
      </c>
      <c r="AF43" s="198">
        <f>AF41/$AH$42*100</f>
        <v>24.21875</v>
      </c>
      <c r="AG43" s="198">
        <f>AG41/$AH$42*100</f>
        <v>28.90625</v>
      </c>
      <c r="AH43" s="198">
        <f>AH41/$AH$42*100</f>
        <v>46.875</v>
      </c>
      <c r="AI43" s="198">
        <f>AI41/$AK$42*100</f>
        <v>15.018315018315018</v>
      </c>
      <c r="AJ43" s="198">
        <f>AJ41/$AK$42*100</f>
        <v>21.611721611721613</v>
      </c>
      <c r="AK43" s="198">
        <f>AK41/$AK$42*100</f>
        <v>63.369963369963365</v>
      </c>
      <c r="AL43" s="198">
        <f>AL41/$AN$42*100</f>
        <v>31.372549019607842</v>
      </c>
      <c r="AM43" s="198">
        <f>AM41/$AN$42*100</f>
        <v>25.490196078431371</v>
      </c>
      <c r="AN43" s="198">
        <f>AN41/$AN$42*100</f>
        <v>43.13725490196078</v>
      </c>
      <c r="AO43" s="198">
        <f>AO41/$AQ$42*100</f>
        <v>26.086956521739129</v>
      </c>
      <c r="AP43" s="198">
        <f>AP41/$AQ$42*100</f>
        <v>25.217391304347824</v>
      </c>
      <c r="AQ43" s="198">
        <f>AQ41/$AQ$42*100</f>
        <v>48.695652173913039</v>
      </c>
      <c r="AR43" s="198">
        <f>AR41/$AT$42*100</f>
        <v>28.888888888888886</v>
      </c>
      <c r="AS43" s="198">
        <f>AS41/$AT$42*100</f>
        <v>28.148148148148145</v>
      </c>
      <c r="AT43" s="198">
        <f>AT41/$AT$42*100</f>
        <v>42.962962962962962</v>
      </c>
      <c r="AU43" s="198">
        <f>AU41/$AW$42*100</f>
        <v>16.262975778546714</v>
      </c>
      <c r="AV43" s="198">
        <f>AV41/$AW$42*100</f>
        <v>20.069204152249135</v>
      </c>
      <c r="AW43" s="198">
        <f>AW41/$AW$42*100</f>
        <v>63.667820069204154</v>
      </c>
      <c r="AX43" s="198">
        <f>AX41/$AZ$42*100</f>
        <v>29.807692307692307</v>
      </c>
      <c r="AY43" s="198">
        <f>AY41/$AZ$42*100</f>
        <v>26.923076923076923</v>
      </c>
      <c r="AZ43" s="198">
        <f>AZ41/$AZ$42*100</f>
        <v>43.269230769230766</v>
      </c>
      <c r="BA43" s="198">
        <f>BA41/$BC$42*100</f>
        <v>29.464285714285715</v>
      </c>
      <c r="BB43" s="198">
        <f>BB41/$BC$42*100</f>
        <v>26.785714285714285</v>
      </c>
      <c r="BC43" s="198">
        <f>BC41/$BC$42*100</f>
        <v>43.750000000000007</v>
      </c>
      <c r="BD43" s="198">
        <f>BD41/$BF$42*100</f>
        <v>30.82706766917293</v>
      </c>
      <c r="BE43" s="198">
        <f>BE41/$BF$42*100</f>
        <v>30.075187969924812</v>
      </c>
      <c r="BF43" s="198">
        <f>BF41/$BF$42*100</f>
        <v>39.097744360902254</v>
      </c>
      <c r="BG43" s="198">
        <f>BG41/$BI$42*100</f>
        <v>18.8</v>
      </c>
      <c r="BH43" s="198">
        <f>BH41/$BI$42*100</f>
        <v>23.2</v>
      </c>
      <c r="BI43" s="198">
        <f>BI41/$BI$42*100</f>
        <v>57.999999999999993</v>
      </c>
      <c r="BJ43" s="198">
        <f>BJ41/$BL$42*100</f>
        <v>32.291666666666671</v>
      </c>
      <c r="BK43" s="198">
        <f>BK41/$BL$42*100</f>
        <v>30.208333333333332</v>
      </c>
      <c r="BL43" s="198">
        <f>BL41/$BL$42*100</f>
        <v>37.5</v>
      </c>
      <c r="BM43" s="198">
        <f>BM41/$BO$42*100</f>
        <v>31.666666666666664</v>
      </c>
      <c r="BN43" s="198">
        <f>BN41/$BO$42*100</f>
        <v>25.833333333333336</v>
      </c>
      <c r="BO43" s="198">
        <f>BO41/$BO$42*100</f>
        <v>42.5</v>
      </c>
      <c r="BP43" s="198">
        <f>BP41/$BR$42*100</f>
        <v>27.192982456140353</v>
      </c>
      <c r="BQ43" s="198">
        <f>BQ41/$BR$42*100</f>
        <v>33.333333333333329</v>
      </c>
      <c r="BR43" s="198">
        <f>BR41/$BR$42*100</f>
        <v>39.473684210526315</v>
      </c>
      <c r="BS43" s="198">
        <f>BS41/$BU$42*100</f>
        <v>18.725099601593627</v>
      </c>
      <c r="BT43" s="198">
        <f>BT41/$BU$42*100</f>
        <v>23.50597609561753</v>
      </c>
      <c r="BU43" s="198">
        <f>BU41/$BU$42*100</f>
        <v>57.768924302788839</v>
      </c>
      <c r="BV43" s="198">
        <f>BV41/$BX$42*100</f>
        <v>27.956989247311824</v>
      </c>
      <c r="BW43" s="198">
        <f>BW41/$BX$42*100</f>
        <v>29.032258064516132</v>
      </c>
      <c r="BX43" s="198">
        <f>BX41/$BX$42*100</f>
        <v>43.01075268817204</v>
      </c>
      <c r="BY43" s="198">
        <f>BY41/$CA$42*100</f>
        <v>27.192982456140353</v>
      </c>
      <c r="BZ43" s="198">
        <f>BZ41/$CA$42*100</f>
        <v>25.438596491228065</v>
      </c>
      <c r="CA43" s="198">
        <f>CA41/$CA$42*100</f>
        <v>47.368421052631582</v>
      </c>
      <c r="CB43" s="198">
        <f>CB41/$CA$42*100</f>
        <v>32.456140350877192</v>
      </c>
      <c r="CC43" s="198">
        <f>CC41/$BX$42*100</f>
        <v>41.935483870967737</v>
      </c>
      <c r="CD43" s="198">
        <f>CD41/$BX$42*100</f>
        <v>59.139784946236553</v>
      </c>
      <c r="CE43" s="198">
        <f>CE41/$BX$42*100</f>
        <v>53.763440860215049</v>
      </c>
      <c r="CF43" s="198">
        <f>CF41/$BX$42*100</f>
        <v>69.892473118279568</v>
      </c>
      <c r="CG43" s="198">
        <f>CG41/$BX$42*100</f>
        <v>182.79569892473117</v>
      </c>
      <c r="CH43" s="198"/>
      <c r="CI43" s="198"/>
      <c r="CJ43" s="198"/>
      <c r="CK43" s="198"/>
    </row>
    <row r="44" spans="1:115" s="200" customFormat="1" ht="12.75">
      <c r="A44" s="188" t="s">
        <v>460</v>
      </c>
      <c r="B44" s="199"/>
      <c r="C44" s="190">
        <f>C41/B41*100</f>
        <v>85.714285714285708</v>
      </c>
      <c r="D44" s="190">
        <f>D41/C41*100</f>
        <v>150</v>
      </c>
      <c r="E44" s="190">
        <f t="shared" ref="E44:BP44" si="29">E41/D41*100</f>
        <v>70.370370370370367</v>
      </c>
      <c r="F44" s="190">
        <f t="shared" si="29"/>
        <v>100</v>
      </c>
      <c r="G44" s="190">
        <f t="shared" si="29"/>
        <v>205.26315789473685</v>
      </c>
      <c r="H44" s="190">
        <f t="shared" si="29"/>
        <v>48.717948717948715</v>
      </c>
      <c r="I44" s="190">
        <f t="shared" si="29"/>
        <v>136.84210526315789</v>
      </c>
      <c r="J44" s="190">
        <f t="shared" si="29"/>
        <v>169.23076923076923</v>
      </c>
      <c r="K44" s="190">
        <f t="shared" si="29"/>
        <v>63.636363636363626</v>
      </c>
      <c r="L44" s="190">
        <f t="shared" si="29"/>
        <v>128.57142857142858</v>
      </c>
      <c r="M44" s="190">
        <f t="shared" si="29"/>
        <v>388.88888888888886</v>
      </c>
      <c r="N44" s="190">
        <f t="shared" si="29"/>
        <v>12.857142857142859</v>
      </c>
      <c r="O44" s="190">
        <f t="shared" si="29"/>
        <v>83.333333333333329</v>
      </c>
      <c r="P44" s="190">
        <f t="shared" si="29"/>
        <v>200</v>
      </c>
      <c r="Q44" s="190">
        <f t="shared" si="29"/>
        <v>73.333333333333343</v>
      </c>
      <c r="R44" s="190">
        <f t="shared" si="29"/>
        <v>100</v>
      </c>
      <c r="S44" s="190">
        <f t="shared" si="29"/>
        <v>227.27272727272725</v>
      </c>
      <c r="T44" s="190">
        <f t="shared" si="29"/>
        <v>42.000000000000007</v>
      </c>
      <c r="U44" s="190">
        <f t="shared" si="29"/>
        <v>142.85714285714286</v>
      </c>
      <c r="V44" s="190">
        <f t="shared" si="29"/>
        <v>170</v>
      </c>
      <c r="W44" s="190">
        <f t="shared" si="29"/>
        <v>68.627450980392155</v>
      </c>
      <c r="X44" s="190">
        <f t="shared" si="29"/>
        <v>131.42857142857142</v>
      </c>
      <c r="Y44" s="190">
        <f t="shared" si="29"/>
        <v>360.86956521739137</v>
      </c>
      <c r="Z44" s="190">
        <f t="shared" si="29"/>
        <v>17.469879518072286</v>
      </c>
      <c r="AA44" s="190">
        <f t="shared" si="29"/>
        <v>86.206896551724142</v>
      </c>
      <c r="AB44" s="190">
        <f t="shared" si="29"/>
        <v>160</v>
      </c>
      <c r="AC44" s="190">
        <f t="shared" si="29"/>
        <v>72.5</v>
      </c>
      <c r="AD44" s="190">
        <f t="shared" si="29"/>
        <v>96.551724137931032</v>
      </c>
      <c r="AE44" s="190">
        <f t="shared" si="29"/>
        <v>214.28571428571428</v>
      </c>
      <c r="AF44" s="190">
        <f t="shared" si="29"/>
        <v>51.666666666666671</v>
      </c>
      <c r="AG44" s="190">
        <f t="shared" si="29"/>
        <v>119.35483870967742</v>
      </c>
      <c r="AH44" s="190">
        <f t="shared" si="29"/>
        <v>162.16216216216216</v>
      </c>
      <c r="AI44" s="190">
        <f t="shared" si="29"/>
        <v>68.333333333333329</v>
      </c>
      <c r="AJ44" s="190">
        <f t="shared" si="29"/>
        <v>143.90243902439025</v>
      </c>
      <c r="AK44" s="190">
        <f t="shared" si="29"/>
        <v>293.22033898305079</v>
      </c>
      <c r="AL44" s="190">
        <f t="shared" si="29"/>
        <v>18.497109826589593</v>
      </c>
      <c r="AM44" s="190">
        <f t="shared" si="29"/>
        <v>81.25</v>
      </c>
      <c r="AN44" s="190">
        <f t="shared" si="29"/>
        <v>169.23076923076923</v>
      </c>
      <c r="AO44" s="190">
        <f t="shared" si="29"/>
        <v>68.181818181818173</v>
      </c>
      <c r="AP44" s="190">
        <f t="shared" si="29"/>
        <v>96.666666666666671</v>
      </c>
      <c r="AQ44" s="190">
        <f t="shared" si="29"/>
        <v>193.10344827586206</v>
      </c>
      <c r="AR44" s="190">
        <f t="shared" si="29"/>
        <v>69.642857142857153</v>
      </c>
      <c r="AS44" s="190">
        <f t="shared" si="29"/>
        <v>97.435897435897431</v>
      </c>
      <c r="AT44" s="190">
        <f t="shared" si="29"/>
        <v>152.63157894736844</v>
      </c>
      <c r="AU44" s="190">
        <f t="shared" si="29"/>
        <v>81.034482758620697</v>
      </c>
      <c r="AV44" s="190">
        <f t="shared" si="29"/>
        <v>123.40425531914893</v>
      </c>
      <c r="AW44" s="190">
        <f t="shared" si="29"/>
        <v>317.24137931034477</v>
      </c>
      <c r="AX44" s="190">
        <f t="shared" si="29"/>
        <v>16.847826086956523</v>
      </c>
      <c r="AY44" s="190">
        <f t="shared" si="29"/>
        <v>90.322580645161281</v>
      </c>
      <c r="AZ44" s="190">
        <f t="shared" si="29"/>
        <v>160.71428571428572</v>
      </c>
      <c r="BA44" s="190">
        <f t="shared" si="29"/>
        <v>73.333333333333329</v>
      </c>
      <c r="BB44" s="190">
        <f t="shared" si="29"/>
        <v>90.909090909090921</v>
      </c>
      <c r="BC44" s="190">
        <f t="shared" si="29"/>
        <v>163.33333333333334</v>
      </c>
      <c r="BD44" s="190">
        <f t="shared" si="29"/>
        <v>83.673469387755091</v>
      </c>
      <c r="BE44" s="190">
        <f t="shared" si="29"/>
        <v>97.560975609756113</v>
      </c>
      <c r="BF44" s="190">
        <f t="shared" si="29"/>
        <v>130</v>
      </c>
      <c r="BG44" s="190">
        <f t="shared" si="29"/>
        <v>90.384615384615387</v>
      </c>
      <c r="BH44" s="190">
        <f t="shared" si="29"/>
        <v>123.40425531914893</v>
      </c>
      <c r="BI44" s="190">
        <f t="shared" si="29"/>
        <v>250</v>
      </c>
      <c r="BJ44" s="190">
        <f t="shared" si="29"/>
        <v>21.379310344827587</v>
      </c>
      <c r="BK44" s="190">
        <f t="shared" si="29"/>
        <v>93.548387096774192</v>
      </c>
      <c r="BL44" s="190">
        <f t="shared" si="29"/>
        <v>124.13793103448276</v>
      </c>
      <c r="BM44" s="190">
        <f t="shared" si="29"/>
        <v>105.55555555555556</v>
      </c>
      <c r="BN44" s="190">
        <f t="shared" si="29"/>
        <v>81.578947368421069</v>
      </c>
      <c r="BO44" s="190">
        <f t="shared" si="29"/>
        <v>164.51612903225805</v>
      </c>
      <c r="BP44" s="190">
        <f t="shared" si="29"/>
        <v>60.7843137254902</v>
      </c>
      <c r="BQ44" s="190">
        <f>BQ41/BP41*100</f>
        <v>122.58064516129031</v>
      </c>
      <c r="BR44" s="190">
        <f t="shared" ref="BR44:CG44" si="30">BR41/BQ41*100</f>
        <v>118.42105263157896</v>
      </c>
      <c r="BS44" s="190">
        <f t="shared" si="30"/>
        <v>104.44444444444446</v>
      </c>
      <c r="BT44" s="190">
        <f t="shared" si="30"/>
        <v>125.53191489361701</v>
      </c>
      <c r="BU44" s="190">
        <f t="shared" si="30"/>
        <v>245.76271186440675</v>
      </c>
      <c r="BV44" s="190">
        <f t="shared" si="30"/>
        <v>17.931034482758619</v>
      </c>
      <c r="BW44" s="190">
        <f t="shared" si="30"/>
        <v>103.84615384615385</v>
      </c>
      <c r="BX44" s="190">
        <f t="shared" si="30"/>
        <v>148.14814814814815</v>
      </c>
      <c r="BY44" s="190">
        <f t="shared" si="30"/>
        <v>77.5</v>
      </c>
      <c r="BZ44" s="190">
        <f t="shared" si="30"/>
        <v>93.548387096774192</v>
      </c>
      <c r="CA44" s="190">
        <f t="shared" si="30"/>
        <v>186.20689655172416</v>
      </c>
      <c r="CB44" s="190">
        <f t="shared" si="30"/>
        <v>68.518518518518505</v>
      </c>
      <c r="CC44" s="190">
        <f t="shared" si="30"/>
        <v>105.40540540540539</v>
      </c>
      <c r="CD44" s="190">
        <f t="shared" si="30"/>
        <v>141.02564102564102</v>
      </c>
      <c r="CE44" s="190">
        <f t="shared" si="30"/>
        <v>90.909090909090907</v>
      </c>
      <c r="CF44" s="190">
        <f t="shared" si="30"/>
        <v>130</v>
      </c>
      <c r="CG44" s="190">
        <f t="shared" si="30"/>
        <v>261.53846153846155</v>
      </c>
      <c r="CH44" s="190"/>
      <c r="CI44" s="190">
        <f>CI41/CG41*100</f>
        <v>18.235294117647062</v>
      </c>
      <c r="CJ44" s="190">
        <f t="shared" ref="CJ44:DG44" si="31">CJ41/CI41*100</f>
        <v>90.322580645161281</v>
      </c>
      <c r="CK44" s="190">
        <f t="shared" si="31"/>
        <v>139.28571428571431</v>
      </c>
      <c r="CL44" s="190">
        <f t="shared" si="31"/>
        <v>74.358974358974365</v>
      </c>
      <c r="CM44" s="190">
        <f t="shared" si="31"/>
        <v>106.89655172413795</v>
      </c>
      <c r="CN44" s="190">
        <f t="shared" si="31"/>
        <v>167.74193548387098</v>
      </c>
      <c r="CO44" s="190">
        <f t="shared" si="31"/>
        <v>80.769230769230774</v>
      </c>
      <c r="CP44" s="190">
        <f t="shared" si="31"/>
        <v>102.38095238095238</v>
      </c>
      <c r="CQ44" s="190">
        <f t="shared" si="31"/>
        <v>118.60465116279069</v>
      </c>
      <c r="CR44" s="190">
        <f t="shared" si="31"/>
        <v>107.84313725490198</v>
      </c>
      <c r="CS44" s="190">
        <f t="shared" si="31"/>
        <v>130.90909090909091</v>
      </c>
      <c r="CT44" s="190">
        <f t="shared" si="31"/>
        <v>255.55555555555554</v>
      </c>
      <c r="CU44" s="190">
        <f>CU41/CT41*100</f>
        <v>19.565217391304348</v>
      </c>
      <c r="CV44" s="190">
        <f t="shared" si="31"/>
        <v>80.555555555555543</v>
      </c>
      <c r="CW44" s="190">
        <f t="shared" si="31"/>
        <v>134.48275862068965</v>
      </c>
      <c r="CX44" s="190">
        <f t="shared" si="31"/>
        <v>94.871794871794876</v>
      </c>
      <c r="CY44" s="190">
        <f t="shared" si="31"/>
        <v>91.891891891891888</v>
      </c>
      <c r="CZ44" s="190">
        <f t="shared" si="31"/>
        <v>150</v>
      </c>
      <c r="DA44" s="190">
        <f t="shared" si="31"/>
        <v>82.352941176470594</v>
      </c>
      <c r="DB44" s="190">
        <f t="shared" si="31"/>
        <v>121.42857142857142</v>
      </c>
      <c r="DC44" s="190">
        <f t="shared" si="31"/>
        <v>133.33333333333334</v>
      </c>
      <c r="DD44" s="190">
        <f t="shared" si="31"/>
        <v>98.529411764705884</v>
      </c>
      <c r="DE44" s="190">
        <f t="shared" si="31"/>
        <v>113.43283582089552</v>
      </c>
      <c r="DF44" s="190">
        <f t="shared" si="31"/>
        <v>230.26315789473685</v>
      </c>
      <c r="DG44" s="190">
        <f t="shared" si="31"/>
        <v>26.285714285714285</v>
      </c>
      <c r="DH44" s="190">
        <f>DH41/DG41*100</f>
        <v>89.130434782608688</v>
      </c>
      <c r="DI44" s="190">
        <f>DI41/DH41*100</f>
        <v>119.51219512195124</v>
      </c>
      <c r="DJ44" s="190">
        <f>DJ41/DI41*100</f>
        <v>87.755102040816311</v>
      </c>
      <c r="DK44" s="190">
        <f>DK41/DJ41*100</f>
        <v>106.9767441860465</v>
      </c>
    </row>
    <row r="45" spans="1:115">
      <c r="N45" s="123">
        <f>N36/B36*100</f>
        <v>221.76461271922599</v>
      </c>
      <c r="Z45" s="123">
        <f>Z36/N36*100</f>
        <v>148.56609915253833</v>
      </c>
      <c r="AL45" s="123">
        <f>AL36/Z36*100</f>
        <v>126.01150564233245</v>
      </c>
      <c r="AX45" s="123">
        <f>AX36/AL36*100</f>
        <v>137.68080442924628</v>
      </c>
      <c r="BJ45" s="123">
        <f>BJ36/AX36*100</f>
        <v>118.98514270988372</v>
      </c>
      <c r="BV45" s="123">
        <f>BV41/BJ41*100</f>
        <v>83.870967741935488</v>
      </c>
      <c r="BW45" s="123">
        <f>BW41/BK41*100</f>
        <v>93.103448275862078</v>
      </c>
    </row>
  </sheetData>
  <mergeCells count="51">
    <mergeCell ref="DJ3:DL3"/>
    <mergeCell ref="DM3:DO3"/>
    <mergeCell ref="CH3:CH5"/>
    <mergeCell ref="CI3:CK3"/>
    <mergeCell ref="CL3:CN3"/>
    <mergeCell ref="CO3:CQ3"/>
    <mergeCell ref="DD3:DF3"/>
    <mergeCell ref="DG3:DI3"/>
    <mergeCell ref="CR3:CT3"/>
    <mergeCell ref="CU3:CW3"/>
    <mergeCell ref="CX3:CZ3"/>
    <mergeCell ref="BS3:BU3"/>
    <mergeCell ref="DP3:DR3"/>
    <mergeCell ref="DA3:DC3"/>
    <mergeCell ref="BV3:BX3"/>
    <mergeCell ref="BY3:CA3"/>
    <mergeCell ref="CB3:CD3"/>
    <mergeCell ref="CE3:CG3"/>
    <mergeCell ref="BA3:BC3"/>
    <mergeCell ref="BD3:BF3"/>
    <mergeCell ref="BG3:BI3"/>
    <mergeCell ref="AL3:AN3"/>
    <mergeCell ref="AO3:AQ3"/>
    <mergeCell ref="AR3:AT3"/>
    <mergeCell ref="AU3:AW3"/>
    <mergeCell ref="CI2:CT2"/>
    <mergeCell ref="CU2:DF2"/>
    <mergeCell ref="DG2:DR2"/>
    <mergeCell ref="AX2:BI2"/>
    <mergeCell ref="BJ2:BU2"/>
    <mergeCell ref="BJ3:BL3"/>
    <mergeCell ref="BM3:BO3"/>
    <mergeCell ref="BP3:BR3"/>
    <mergeCell ref="BV2:CG2"/>
    <mergeCell ref="AX3:AZ3"/>
    <mergeCell ref="Q3:S3"/>
    <mergeCell ref="B2:M2"/>
    <mergeCell ref="N2:Y2"/>
    <mergeCell ref="Z2:AK2"/>
    <mergeCell ref="AC3:AE3"/>
    <mergeCell ref="AF3:AH3"/>
    <mergeCell ref="AL2:AW2"/>
    <mergeCell ref="B3:D3"/>
    <mergeCell ref="E3:G3"/>
    <mergeCell ref="H3:J3"/>
    <mergeCell ref="K3:M3"/>
    <mergeCell ref="N3:P3"/>
    <mergeCell ref="AI3:AK3"/>
    <mergeCell ref="T3:V3"/>
    <mergeCell ref="W3:Y3"/>
    <mergeCell ref="Z3:AB3"/>
  </mergeCells>
  <phoneticPr fontId="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E31"/>
  <sheetViews>
    <sheetView workbookViewId="0">
      <selection activeCell="B7" sqref="B7"/>
    </sheetView>
  </sheetViews>
  <sheetFormatPr defaultRowHeight="15.75"/>
  <cols>
    <col min="1" max="1" width="63.42578125" style="779" customWidth="1"/>
    <col min="2" max="5" width="24.140625" style="781" customWidth="1"/>
  </cols>
  <sheetData>
    <row r="3" spans="1:5" ht="20.25">
      <c r="A3" s="825" t="s">
        <v>699</v>
      </c>
      <c r="B3" s="825"/>
      <c r="C3" s="825"/>
      <c r="D3" s="825"/>
      <c r="E3" s="825"/>
    </row>
    <row r="4" spans="1:5" ht="21" thickBot="1">
      <c r="A4" s="762"/>
      <c r="B4" s="763"/>
      <c r="C4" s="763"/>
      <c r="D4" s="764"/>
      <c r="E4" s="763"/>
    </row>
    <row r="5" spans="1:5" ht="21" thickBot="1">
      <c r="A5" s="826" t="s">
        <v>700</v>
      </c>
      <c r="B5" s="765" t="s">
        <v>701</v>
      </c>
      <c r="C5" s="828" t="s">
        <v>702</v>
      </c>
      <c r="D5" s="829"/>
      <c r="E5" s="830"/>
    </row>
    <row r="6" spans="1:5" ht="21" thickBot="1">
      <c r="A6" s="827"/>
      <c r="B6" s="766" t="s">
        <v>703</v>
      </c>
      <c r="C6" s="767" t="s">
        <v>704</v>
      </c>
      <c r="D6" s="767" t="s">
        <v>705</v>
      </c>
      <c r="E6" s="768" t="s">
        <v>706</v>
      </c>
    </row>
    <row r="7" spans="1:5" ht="40.5">
      <c r="A7" s="769" t="s">
        <v>707</v>
      </c>
      <c r="B7" s="770">
        <v>111.4</v>
      </c>
      <c r="C7" s="770">
        <v>111.9</v>
      </c>
      <c r="D7" s="771">
        <v>107</v>
      </c>
      <c r="E7" s="770">
        <v>106.3</v>
      </c>
    </row>
    <row r="8" spans="1:5" ht="20.25">
      <c r="A8" s="772"/>
      <c r="B8" s="770"/>
      <c r="C8" s="770"/>
      <c r="D8" s="770"/>
      <c r="E8" s="770"/>
    </row>
    <row r="9" spans="1:5" ht="20.25">
      <c r="A9" s="773" t="s">
        <v>708</v>
      </c>
      <c r="B9" s="774">
        <v>12272</v>
      </c>
      <c r="C9" s="774">
        <v>13718.688171367348</v>
      </c>
      <c r="D9" s="774">
        <v>14725.587052457555</v>
      </c>
      <c r="E9" s="774">
        <v>15657.870359104918</v>
      </c>
    </row>
    <row r="10" spans="1:5" ht="18.75">
      <c r="A10" s="775" t="s">
        <v>709</v>
      </c>
      <c r="B10" s="776"/>
      <c r="C10" s="776"/>
      <c r="D10" s="776"/>
      <c r="E10" s="776"/>
    </row>
    <row r="11" spans="1:5" ht="18.75">
      <c r="A11" s="831"/>
      <c r="B11" s="831"/>
      <c r="C11" s="831"/>
      <c r="D11" s="831"/>
      <c r="E11" s="831"/>
    </row>
    <row r="12" spans="1:5">
      <c r="A12" s="777"/>
      <c r="B12" s="778"/>
      <c r="C12" s="778"/>
      <c r="D12" s="778"/>
      <c r="E12" s="778"/>
    </row>
    <row r="13" spans="1:5">
      <c r="B13" s="778"/>
      <c r="C13"/>
      <c r="D13" s="778"/>
      <c r="E13" s="778"/>
    </row>
    <row r="14" spans="1:5">
      <c r="B14" s="778"/>
      <c r="C14" s="778"/>
      <c r="D14" s="778"/>
      <c r="E14" s="778"/>
    </row>
    <row r="15" spans="1:5">
      <c r="B15" s="778"/>
      <c r="C15" s="778"/>
      <c r="D15" s="778"/>
      <c r="E15" s="778"/>
    </row>
    <row r="16" spans="1:5">
      <c r="B16" s="778"/>
      <c r="C16" s="778"/>
      <c r="D16" s="778"/>
      <c r="E16" s="778"/>
    </row>
    <row r="17" spans="2:5">
      <c r="B17" s="780"/>
      <c r="C17" s="778"/>
      <c r="D17" s="778"/>
      <c r="E17" s="778"/>
    </row>
    <row r="18" spans="2:5">
      <c r="B18" s="778"/>
      <c r="C18" s="778"/>
      <c r="D18" s="778"/>
      <c r="E18" s="778"/>
    </row>
    <row r="19" spans="2:5">
      <c r="B19" s="778"/>
      <c r="C19" s="778"/>
      <c r="D19" s="778"/>
      <c r="E19" s="778"/>
    </row>
    <row r="20" spans="2:5">
      <c r="B20" s="778"/>
      <c r="C20" s="778"/>
      <c r="D20" s="778"/>
      <c r="E20" s="778"/>
    </row>
    <row r="21" spans="2:5">
      <c r="B21" s="778"/>
      <c r="C21" s="778"/>
      <c r="D21" s="778"/>
      <c r="E21" s="778"/>
    </row>
    <row r="22" spans="2:5">
      <c r="B22" s="778"/>
      <c r="C22" s="778"/>
      <c r="D22" s="778"/>
      <c r="E22" s="778"/>
    </row>
    <row r="23" spans="2:5">
      <c r="B23" s="778"/>
      <c r="C23" s="778"/>
      <c r="D23" s="778"/>
      <c r="E23" s="778"/>
    </row>
    <row r="24" spans="2:5">
      <c r="B24" s="778"/>
      <c r="C24" s="778"/>
      <c r="D24" s="778"/>
      <c r="E24" s="778"/>
    </row>
    <row r="25" spans="2:5">
      <c r="B25" s="778"/>
      <c r="C25" s="778"/>
      <c r="D25" s="778"/>
      <c r="E25" s="778"/>
    </row>
    <row r="26" spans="2:5">
      <c r="B26" s="778"/>
      <c r="C26" s="778"/>
      <c r="D26" s="778"/>
      <c r="E26" s="778"/>
    </row>
    <row r="27" spans="2:5">
      <c r="B27" s="778"/>
      <c r="C27" s="778"/>
      <c r="D27" s="778"/>
      <c r="E27" s="778"/>
    </row>
    <row r="28" spans="2:5">
      <c r="B28" s="778"/>
      <c r="C28" s="778"/>
      <c r="D28" s="778"/>
      <c r="E28" s="778"/>
    </row>
    <row r="29" spans="2:5">
      <c r="B29" s="778"/>
      <c r="C29" s="778"/>
      <c r="D29" s="778"/>
      <c r="E29" s="778"/>
    </row>
    <row r="30" spans="2:5">
      <c r="B30" s="778"/>
      <c r="C30" s="778"/>
      <c r="D30" s="778"/>
      <c r="E30" s="778"/>
    </row>
    <row r="31" spans="2:5">
      <c r="B31" s="778"/>
      <c r="C31" s="778"/>
      <c r="D31" s="778"/>
      <c r="E31" s="778"/>
    </row>
  </sheetData>
  <mergeCells count="4">
    <mergeCell ref="A3:E3"/>
    <mergeCell ref="A5:A6"/>
    <mergeCell ref="C5:E5"/>
    <mergeCell ref="A11:E11"/>
  </mergeCells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9"/>
  <sheetViews>
    <sheetView topLeftCell="A47" workbookViewId="0">
      <selection activeCell="AG74" sqref="AG74"/>
    </sheetView>
  </sheetViews>
  <sheetFormatPr defaultRowHeight="15"/>
  <cols>
    <col min="1" max="1" width="9.140625" style="618"/>
    <col min="2" max="2" width="30.7109375" style="618" customWidth="1"/>
    <col min="3" max="3" width="12.140625" style="618" customWidth="1"/>
    <col min="4" max="4" width="10.5703125" style="618" bestFit="1" customWidth="1"/>
    <col min="5" max="7" width="10.7109375" style="618" bestFit="1" customWidth="1"/>
    <col min="8" max="8" width="10.140625" style="658" customWidth="1"/>
    <col min="9" max="9" width="10.7109375" style="618" bestFit="1" customWidth="1"/>
    <col min="10" max="15" width="9.28515625" style="618" hidden="1" customWidth="1"/>
    <col min="16" max="26" width="9.5703125" style="618" hidden="1" customWidth="1"/>
    <col min="27" max="28" width="0" style="618" hidden="1" customWidth="1"/>
    <col min="29" max="16384" width="9.140625" style="618"/>
  </cols>
  <sheetData>
    <row r="1" spans="1:12">
      <c r="E1" s="619">
        <v>2014</v>
      </c>
      <c r="F1" s="619">
        <v>2015</v>
      </c>
      <c r="G1" s="619">
        <v>2016</v>
      </c>
      <c r="H1" s="654">
        <v>2017</v>
      </c>
      <c r="I1" s="619">
        <v>2018</v>
      </c>
    </row>
    <row r="2" spans="1:12">
      <c r="A2" s="280" t="s">
        <v>495</v>
      </c>
      <c r="B2" s="280"/>
      <c r="C2" s="620" t="s">
        <v>494</v>
      </c>
      <c r="D2" s="620"/>
      <c r="E2" s="620">
        <v>1.0649999999999999</v>
      </c>
      <c r="F2" s="621">
        <v>1.1140000000000001</v>
      </c>
      <c r="G2" s="621">
        <v>1.1200000000000001</v>
      </c>
      <c r="H2" s="655">
        <v>1.0609999999999999</v>
      </c>
      <c r="I2" s="621">
        <v>1.044</v>
      </c>
      <c r="J2" s="621"/>
      <c r="K2" s="621"/>
      <c r="L2" s="280"/>
    </row>
    <row r="3" spans="1:12">
      <c r="A3" s="280"/>
      <c r="B3" s="280"/>
      <c r="C3" s="620" t="s">
        <v>493</v>
      </c>
      <c r="D3" s="620"/>
      <c r="E3" s="620">
        <v>1.0149999999999999</v>
      </c>
      <c r="F3" s="621">
        <v>1</v>
      </c>
      <c r="G3" s="621">
        <v>1</v>
      </c>
      <c r="H3" s="655">
        <v>1.02</v>
      </c>
      <c r="I3" s="621">
        <v>1.02</v>
      </c>
      <c r="J3" s="621"/>
      <c r="K3" s="621"/>
      <c r="L3" s="280"/>
    </row>
    <row r="4" spans="1:12">
      <c r="A4" s="280"/>
      <c r="B4" s="280"/>
      <c r="C4" s="620" t="s">
        <v>492</v>
      </c>
      <c r="D4" s="620"/>
      <c r="E4" s="621">
        <f>((1*1/12)+(E2*2/12))+(E2*E3*9/12)</f>
        <v>1.0715645833333332</v>
      </c>
      <c r="F4" s="621">
        <f>(E4*1/12)+(F2*9/12)+(2/12*E3*F2)</f>
        <v>1.1132487152777779</v>
      </c>
      <c r="G4" s="621">
        <f>(F2*1/12)+(G2*11/12)</f>
        <v>1.1194999999999999</v>
      </c>
      <c r="H4" s="655">
        <f>((G2*1/12)+(H2*2/12)+(H2*H3*9/12))</f>
        <v>1.0818316666666665</v>
      </c>
      <c r="I4" s="621">
        <f>((H4*1/12)+(I2*H3*2/12)+(I2*I3*9/12))</f>
        <v>1.0662926388888889</v>
      </c>
      <c r="J4" s="622"/>
      <c r="K4" s="623"/>
      <c r="L4" s="280"/>
    </row>
    <row r="5" spans="1:12">
      <c r="A5" s="280"/>
      <c r="B5" s="280"/>
      <c r="C5" s="280"/>
      <c r="D5" s="286"/>
      <c r="E5" s="287"/>
      <c r="F5" s="288">
        <f>F4*E4</f>
        <v>1.1929178957330004</v>
      </c>
      <c r="G5" s="288">
        <f>G4*F5</f>
        <v>1.335471584273094</v>
      </c>
      <c r="H5" s="285">
        <f>H4*G5</f>
        <v>1.4447554498001349</v>
      </c>
      <c r="I5" s="288">
        <f>I4*H5</f>
        <v>1.5405321011164896</v>
      </c>
      <c r="J5" s="287"/>
      <c r="K5" s="280"/>
      <c r="L5" s="284"/>
    </row>
    <row r="6" spans="1:12">
      <c r="A6" s="280"/>
      <c r="B6" s="280"/>
      <c r="C6" s="280"/>
      <c r="D6" s="286"/>
      <c r="E6" s="287"/>
      <c r="F6" s="287"/>
      <c r="G6" s="283"/>
      <c r="H6" s="656"/>
      <c r="I6" s="282"/>
      <c r="J6" s="282"/>
      <c r="K6" s="280"/>
      <c r="L6" s="284"/>
    </row>
    <row r="7" spans="1:12">
      <c r="A7" s="280" t="s">
        <v>491</v>
      </c>
      <c r="B7" s="280"/>
      <c r="C7" s="280"/>
      <c r="D7" s="286"/>
      <c r="E7" s="285">
        <v>11063</v>
      </c>
      <c r="F7" s="285">
        <f>E7*F4</f>
        <v>12315.870537118057</v>
      </c>
      <c r="G7" s="285">
        <f>F7*G4</f>
        <v>13787.617066303665</v>
      </c>
      <c r="H7" s="285">
        <f>G7*H4</f>
        <v>14915.88075020107</v>
      </c>
      <c r="I7" s="285">
        <f>H7*I4</f>
        <v>15904.693846483879</v>
      </c>
      <c r="J7" s="282"/>
      <c r="K7" s="280"/>
      <c r="L7" s="284"/>
    </row>
    <row r="8" spans="1:12">
      <c r="A8" s="280" t="s">
        <v>490</v>
      </c>
      <c r="B8" s="280"/>
      <c r="C8" s="280"/>
      <c r="D8" s="286"/>
      <c r="E8" s="287">
        <v>41</v>
      </c>
      <c r="F8" s="287">
        <v>41.5</v>
      </c>
      <c r="G8" s="283">
        <v>41.54</v>
      </c>
      <c r="H8" s="656">
        <v>42.03</v>
      </c>
      <c r="I8" s="282">
        <v>43.43</v>
      </c>
      <c r="J8" s="282"/>
      <c r="K8" s="280"/>
      <c r="L8" s="284"/>
    </row>
    <row r="9" spans="1:12">
      <c r="A9" s="280" t="s">
        <v>489</v>
      </c>
      <c r="B9" s="280"/>
      <c r="C9" s="280"/>
      <c r="D9" s="286"/>
      <c r="E9" s="285">
        <f>E7*E8*12/1000</f>
        <v>5442.9960000000001</v>
      </c>
      <c r="F9" s="285">
        <f>F7*F8*12/1000</f>
        <v>6133.3035274847925</v>
      </c>
      <c r="G9" s="285">
        <f>G7*G8*12/1000</f>
        <v>6872.8513552110508</v>
      </c>
      <c r="H9" s="285">
        <f>H7*H8*12/1000</f>
        <v>7522.9736151714114</v>
      </c>
      <c r="I9" s="285">
        <f>I7*I8*12/1000</f>
        <v>8288.8902450335372</v>
      </c>
      <c r="J9" s="282"/>
      <c r="K9" s="280"/>
      <c r="L9" s="284"/>
    </row>
    <row r="10" spans="1:12">
      <c r="A10" s="280"/>
      <c r="B10" s="280"/>
      <c r="C10" s="280"/>
      <c r="D10" s="286"/>
      <c r="E10" s="285"/>
      <c r="F10" s="285"/>
      <c r="G10" s="285"/>
      <c r="H10" s="285"/>
      <c r="I10" s="285"/>
      <c r="J10" s="282"/>
      <c r="K10" s="280"/>
      <c r="L10" s="284"/>
    </row>
    <row r="11" spans="1:12">
      <c r="A11" s="280"/>
      <c r="B11" s="280"/>
      <c r="C11" s="280"/>
      <c r="D11" s="286"/>
      <c r="E11" s="285"/>
      <c r="F11" s="285">
        <f>F23/F17*F4</f>
        <v>216.154091809063</v>
      </c>
      <c r="G11" s="285">
        <f>F11*G4+12.5/G17*G4</f>
        <v>255.2252948981388</v>
      </c>
      <c r="H11" s="285">
        <f>G11*H4+36/H17*H4</f>
        <v>313.34441360497198</v>
      </c>
      <c r="I11" s="285">
        <f>H11*I4</f>
        <v>334.11684166393701</v>
      </c>
      <c r="J11" s="282"/>
      <c r="K11" s="280">
        <f>6928/6513</f>
        <v>1.0637187164133273</v>
      </c>
      <c r="L11" s="284"/>
    </row>
    <row r="12" spans="1:12">
      <c r="A12" s="280"/>
      <c r="B12" s="280"/>
      <c r="C12" s="280"/>
      <c r="D12" s="286"/>
      <c r="E12" s="285"/>
      <c r="F12" s="285"/>
      <c r="G12" s="285"/>
      <c r="H12" s="285"/>
      <c r="I12" s="285"/>
      <c r="J12" s="282"/>
      <c r="K12" s="280"/>
      <c r="L12" s="284"/>
    </row>
    <row r="13" spans="1:12">
      <c r="A13" s="280"/>
      <c r="B13" s="280"/>
      <c r="C13" s="280"/>
      <c r="D13" s="286"/>
      <c r="E13" s="285"/>
      <c r="F13" s="285">
        <f>F9+F11</f>
        <v>6349.4576192938557</v>
      </c>
      <c r="G13" s="285">
        <f>G9+G11</f>
        <v>7128.0766501091894</v>
      </c>
      <c r="H13" s="285">
        <f>H9+H11</f>
        <v>7836.3180287763835</v>
      </c>
      <c r="I13" s="285">
        <f>I9+I11</f>
        <v>8623.0070866974747</v>
      </c>
      <c r="J13" s="282"/>
      <c r="K13" s="280"/>
      <c r="L13" s="284"/>
    </row>
    <row r="14" spans="1:12">
      <c r="A14" s="280"/>
      <c r="B14" s="280"/>
      <c r="C14" s="280"/>
      <c r="D14" s="286"/>
      <c r="E14" s="285"/>
      <c r="F14" s="285"/>
      <c r="G14" s="285"/>
      <c r="H14" s="285"/>
      <c r="I14" s="285"/>
      <c r="J14" s="282"/>
      <c r="K14" s="280"/>
      <c r="L14" s="284"/>
    </row>
    <row r="15" spans="1:12">
      <c r="A15" s="280"/>
      <c r="B15" s="280"/>
      <c r="C15" s="620" t="s">
        <v>494</v>
      </c>
      <c r="D15" s="286"/>
      <c r="E15" s="620">
        <v>1.0649999999999999</v>
      </c>
      <c r="F15" s="620">
        <v>1.075</v>
      </c>
      <c r="G15" s="620">
        <v>1.0549999999999999</v>
      </c>
      <c r="H15" s="655">
        <v>1.0449999999999999</v>
      </c>
      <c r="I15" s="620">
        <v>1.04</v>
      </c>
      <c r="J15" s="282"/>
      <c r="K15" s="280"/>
      <c r="L15" s="284"/>
    </row>
    <row r="16" spans="1:12">
      <c r="A16" s="280"/>
      <c r="B16" s="280"/>
      <c r="C16" s="620" t="s">
        <v>493</v>
      </c>
      <c r="D16" s="286"/>
      <c r="E16" s="620">
        <v>1.0149999999999999</v>
      </c>
      <c r="F16" s="620">
        <v>1</v>
      </c>
      <c r="G16" s="620">
        <v>1</v>
      </c>
      <c r="H16" s="655">
        <v>1</v>
      </c>
      <c r="I16" s="620">
        <v>1</v>
      </c>
      <c r="J16" s="282"/>
      <c r="K16" s="280"/>
      <c r="L16" s="284"/>
    </row>
    <row r="17" spans="1:26">
      <c r="A17" s="280"/>
      <c r="B17" s="280"/>
      <c r="C17" s="620" t="s">
        <v>492</v>
      </c>
      <c r="D17" s="286"/>
      <c r="E17" s="621">
        <f>((1*1/12)+(E15*2/12))+(E15*E16*9/12)</f>
        <v>1.0715645833333332</v>
      </c>
      <c r="F17" s="621">
        <f>(E17*1/12)+(F15*9/12)+(2/12*E16*F15)</f>
        <v>1.0774012152777777</v>
      </c>
      <c r="G17" s="621">
        <f>(F17*1/12)+(G15*9/12)+(2/12*F16*G15)</f>
        <v>1.0568667679398147</v>
      </c>
      <c r="H17" s="655">
        <f>(G17*1/12)+(H15*9/12)+(2/12*G16*H15)</f>
        <v>1.0459888973283178</v>
      </c>
      <c r="I17" s="621">
        <f>((H17*1/12)+(I15*H16*2/12)+(I15*I16*9/12))</f>
        <v>1.0404990747773597</v>
      </c>
      <c r="J17" s="282"/>
      <c r="K17" s="280"/>
      <c r="L17" s="284"/>
    </row>
    <row r="18" spans="1:26">
      <c r="A18" s="280"/>
      <c r="B18" s="280"/>
      <c r="C18" s="280"/>
      <c r="D18" s="280"/>
      <c r="E18" s="284"/>
      <c r="F18" s="284"/>
      <c r="G18" s="283"/>
      <c r="H18" s="656"/>
      <c r="I18" s="282"/>
      <c r="J18" s="282"/>
      <c r="K18" s="280"/>
      <c r="L18" s="284"/>
    </row>
    <row r="19" spans="1:26">
      <c r="A19" s="280" t="s">
        <v>491</v>
      </c>
      <c r="B19" s="280"/>
      <c r="C19" s="280"/>
      <c r="D19" s="280"/>
      <c r="E19" s="285">
        <v>11063</v>
      </c>
      <c r="F19" s="285">
        <f>E19*F17</f>
        <v>11919.289644618055</v>
      </c>
      <c r="G19" s="285">
        <f>F19*G17</f>
        <v>12597.101122845987</v>
      </c>
      <c r="H19" s="285">
        <f>G19*H17</f>
        <v>13176.427913018988</v>
      </c>
      <c r="I19" s="285">
        <f>H19*I17</f>
        <v>13710.061052366833</v>
      </c>
      <c r="J19" s="282"/>
      <c r="K19" s="280"/>
      <c r="L19" s="284"/>
    </row>
    <row r="20" spans="1:26">
      <c r="A20" s="280" t="s">
        <v>490</v>
      </c>
      <c r="B20" s="280"/>
      <c r="C20" s="280"/>
      <c r="D20" s="280"/>
      <c r="E20" s="287">
        <v>41</v>
      </c>
      <c r="F20" s="287">
        <v>41.5</v>
      </c>
      <c r="G20" s="283">
        <v>41.54</v>
      </c>
      <c r="H20" s="656">
        <v>42.03</v>
      </c>
      <c r="I20" s="282">
        <f>I8</f>
        <v>43.43</v>
      </c>
      <c r="J20" s="282"/>
      <c r="K20" s="280"/>
      <c r="L20" s="284"/>
    </row>
    <row r="21" spans="1:26">
      <c r="A21" s="280" t="s">
        <v>489</v>
      </c>
      <c r="B21" s="280"/>
      <c r="C21" s="280"/>
      <c r="D21" s="280"/>
      <c r="E21" s="285">
        <f>E19*E20*12/1000</f>
        <v>5442.9960000000001</v>
      </c>
      <c r="F21" s="285">
        <f>F19*F20*12/1000</f>
        <v>5935.8062430197915</v>
      </c>
      <c r="G21" s="285">
        <f>G19*G20*12/1000</f>
        <v>6279.4029677162671</v>
      </c>
      <c r="H21" s="285">
        <f>H19*H20*12/1000</f>
        <v>6645.6631822102563</v>
      </c>
      <c r="I21" s="285">
        <f>I19*I20*12/1000</f>
        <v>7145.1354180514982</v>
      </c>
      <c r="J21" s="282"/>
      <c r="K21" s="280"/>
      <c r="L21" s="284"/>
    </row>
    <row r="22" spans="1:26">
      <c r="A22" s="280"/>
      <c r="B22" s="280"/>
      <c r="C22" s="280"/>
      <c r="D22" s="280"/>
      <c r="E22" s="285"/>
      <c r="F22" s="285"/>
      <c r="G22" s="285"/>
      <c r="H22" s="285"/>
      <c r="I22" s="285"/>
      <c r="J22" s="282"/>
      <c r="K22" s="280"/>
      <c r="L22" s="284"/>
    </row>
    <row r="23" spans="1:26">
      <c r="A23" s="280"/>
      <c r="B23" s="280"/>
      <c r="C23" s="280"/>
      <c r="D23" s="280"/>
      <c r="E23" s="285">
        <f>5537-E21</f>
        <v>94.003999999999905</v>
      </c>
      <c r="F23" s="285">
        <f>6145-F21</f>
        <v>209.19375698020849</v>
      </c>
      <c r="G23" s="285">
        <f>F23*G17+12.5*G17</f>
        <v>234.30076441210767</v>
      </c>
      <c r="H23" s="285">
        <f>G23*H17+36*H17</f>
        <v>282.73159851442188</v>
      </c>
      <c r="I23" s="285">
        <f>H23*I17</f>
        <v>294.18196666457987</v>
      </c>
      <c r="J23" s="282"/>
      <c r="K23" s="280"/>
      <c r="L23" s="284"/>
    </row>
    <row r="24" spans="1:26">
      <c r="A24" s="280"/>
      <c r="B24" s="280"/>
      <c r="C24" s="280"/>
      <c r="D24" s="280"/>
      <c r="E24" s="284"/>
      <c r="F24" s="284"/>
      <c r="G24" s="283"/>
      <c r="H24" s="656"/>
      <c r="I24" s="282"/>
      <c r="J24" s="282"/>
      <c r="K24" s="280"/>
      <c r="L24" s="284"/>
    </row>
    <row r="25" spans="1:26">
      <c r="A25" s="280"/>
      <c r="B25" s="280"/>
      <c r="C25" s="280"/>
      <c r="D25" s="280"/>
      <c r="E25" s="284"/>
      <c r="F25" s="560">
        <f>F21+F23</f>
        <v>6145</v>
      </c>
      <c r="G25" s="560">
        <f>G21+G23</f>
        <v>6513.7037321283751</v>
      </c>
      <c r="H25" s="560">
        <f>H21+H23</f>
        <v>6928.3947807246786</v>
      </c>
      <c r="I25" s="560">
        <f>I21+I23</f>
        <v>7439.3173847160779</v>
      </c>
      <c r="J25" s="282"/>
      <c r="K25" s="280"/>
      <c r="L25" s="284"/>
    </row>
    <row r="26" spans="1:26">
      <c r="A26" s="280"/>
      <c r="B26" s="280"/>
      <c r="C26" s="280"/>
      <c r="D26" s="280"/>
      <c r="E26" s="284"/>
      <c r="F26" s="284"/>
      <c r="G26" s="283"/>
      <c r="H26" s="656"/>
      <c r="I26" s="282"/>
      <c r="J26" s="282"/>
      <c r="K26" s="280"/>
      <c r="L26" s="284"/>
    </row>
    <row r="27" spans="1:26">
      <c r="A27" s="280"/>
      <c r="B27" s="280"/>
      <c r="C27" s="280"/>
      <c r="D27" s="280"/>
      <c r="E27" s="284"/>
      <c r="F27" s="560">
        <f>F13-F25</f>
        <v>204.45761929385571</v>
      </c>
      <c r="G27" s="560">
        <f>G13-G25</f>
        <v>614.37291798081424</v>
      </c>
      <c r="H27" s="560">
        <f>H13-H25</f>
        <v>907.92324805170483</v>
      </c>
      <c r="I27" s="560">
        <f>I13-I25</f>
        <v>1183.6897019813969</v>
      </c>
      <c r="J27" s="282"/>
      <c r="K27" s="280"/>
      <c r="L27" s="284"/>
    </row>
    <row r="28" spans="1:26">
      <c r="A28" s="624" t="s">
        <v>603</v>
      </c>
      <c r="B28" s="280"/>
      <c r="C28" s="280"/>
      <c r="D28" s="280"/>
      <c r="E28" s="284"/>
      <c r="F28" s="284">
        <f>'[14]Антикризисные меры'!C7</f>
        <v>188</v>
      </c>
      <c r="G28" s="283">
        <f>(F25+F28)*G4-F25*G17</f>
        <v>595.34721100983825</v>
      </c>
      <c r="H28" s="657">
        <f>(G25+G28)*H4-G25*H17</f>
        <v>877.53464594114394</v>
      </c>
      <c r="I28" s="283">
        <f>(H25+H28)*I4-H25*I17</f>
        <v>1114.4167283036159</v>
      </c>
      <c r="J28" s="282"/>
      <c r="K28" s="280"/>
      <c r="L28" s="284"/>
    </row>
    <row r="30" spans="1:26" ht="18.75">
      <c r="A30" s="794" t="s">
        <v>712</v>
      </c>
    </row>
    <row r="31" spans="1:26">
      <c r="F31" s="618">
        <f>(F25+F28)/G4*G17</f>
        <v>5978.6844496318417</v>
      </c>
    </row>
    <row r="32" spans="1:26">
      <c r="B32" s="625"/>
      <c r="C32" s="626">
        <v>2012</v>
      </c>
      <c r="D32" s="626">
        <v>2013</v>
      </c>
      <c r="E32" s="625">
        <v>2014</v>
      </c>
      <c r="F32" s="626">
        <v>2015</v>
      </c>
      <c r="G32" s="626">
        <v>2016</v>
      </c>
      <c r="H32" s="659">
        <v>2017</v>
      </c>
      <c r="I32" s="627">
        <v>2018</v>
      </c>
      <c r="J32" s="626">
        <v>2019</v>
      </c>
      <c r="K32" s="627">
        <v>2020</v>
      </c>
      <c r="L32" s="626">
        <v>2021</v>
      </c>
      <c r="M32" s="627">
        <v>2022</v>
      </c>
      <c r="N32" s="626">
        <v>2023</v>
      </c>
      <c r="O32" s="627">
        <v>2024</v>
      </c>
      <c r="P32" s="626">
        <v>2025</v>
      </c>
      <c r="Q32" s="627">
        <v>2026</v>
      </c>
      <c r="R32" s="626">
        <v>2027</v>
      </c>
      <c r="S32" s="627">
        <v>2028</v>
      </c>
      <c r="T32" s="626">
        <v>2029</v>
      </c>
      <c r="U32" s="627">
        <v>2030</v>
      </c>
      <c r="V32" s="626">
        <v>2031</v>
      </c>
      <c r="W32" s="627">
        <v>2032</v>
      </c>
      <c r="X32" s="626">
        <v>2033</v>
      </c>
      <c r="Y32" s="627">
        <v>2034</v>
      </c>
      <c r="Z32" s="627">
        <v>2035</v>
      </c>
    </row>
    <row r="33" spans="2:28">
      <c r="B33" s="801" t="s">
        <v>604</v>
      </c>
      <c r="C33" s="802"/>
      <c r="D33" s="802"/>
      <c r="E33" s="802"/>
      <c r="F33" s="802"/>
      <c r="G33" s="802"/>
      <c r="H33" s="802"/>
      <c r="I33" s="803"/>
      <c r="J33" s="640"/>
      <c r="K33" s="640"/>
      <c r="L33" s="640"/>
      <c r="M33" s="640"/>
      <c r="N33" s="640"/>
      <c r="O33" s="640"/>
      <c r="P33" s="640"/>
      <c r="Q33" s="640"/>
      <c r="R33" s="640"/>
      <c r="S33" s="640"/>
      <c r="T33" s="640"/>
      <c r="U33" s="640"/>
      <c r="V33" s="640"/>
      <c r="W33" s="640"/>
      <c r="X33" s="640"/>
      <c r="Y33" s="640"/>
      <c r="Z33" s="647"/>
    </row>
    <row r="34" spans="2:28">
      <c r="B34" s="631" t="s">
        <v>605</v>
      </c>
      <c r="C34" s="643">
        <f t="shared" ref="C34:I34" si="0">C38*C39</f>
        <v>3226.6673213940003</v>
      </c>
      <c r="D34" s="629">
        <f t="shared" si="0"/>
        <v>3603.4352358179999</v>
      </c>
      <c r="E34" s="629">
        <f t="shared" si="0"/>
        <v>3933.0059784522573</v>
      </c>
      <c r="F34" s="629">
        <f t="shared" si="0"/>
        <v>4131.2241781400644</v>
      </c>
      <c r="G34" s="629">
        <f t="shared" si="0"/>
        <v>4410.9294440724807</v>
      </c>
      <c r="H34" s="660">
        <f t="shared" si="0"/>
        <v>4792.0351186651906</v>
      </c>
      <c r="I34" s="630">
        <f t="shared" si="0"/>
        <v>5183.0172213822489</v>
      </c>
      <c r="J34" s="660">
        <f t="shared" ref="J34:Z34" si="1">J38*J39</f>
        <v>5506.0067586444256</v>
      </c>
      <c r="K34" s="629">
        <f t="shared" si="1"/>
        <v>5774.7224917956491</v>
      </c>
      <c r="L34" s="660">
        <f t="shared" si="1"/>
        <v>6042.8326548169971</v>
      </c>
      <c r="M34" s="629">
        <f t="shared" si="1"/>
        <v>6326.6533573458892</v>
      </c>
      <c r="N34" s="660">
        <f t="shared" si="1"/>
        <v>6637.4611938310691</v>
      </c>
      <c r="O34" s="629">
        <f t="shared" si="1"/>
        <v>6973.6900440168884</v>
      </c>
      <c r="P34" s="660">
        <f t="shared" si="1"/>
        <v>7337.5711434124169</v>
      </c>
      <c r="Q34" s="629">
        <f t="shared" si="1"/>
        <v>7724.890597178869</v>
      </c>
      <c r="R34" s="660">
        <f t="shared" si="1"/>
        <v>8132.6636444276537</v>
      </c>
      <c r="S34" s="629">
        <f t="shared" si="1"/>
        <v>8554.4900092104563</v>
      </c>
      <c r="T34" s="660">
        <f t="shared" si="1"/>
        <v>9020.7055327901908</v>
      </c>
      <c r="U34" s="629">
        <f t="shared" si="1"/>
        <v>9479.3269121049416</v>
      </c>
      <c r="V34" s="660">
        <f t="shared" si="1"/>
        <v>9966.1830080938489</v>
      </c>
      <c r="W34" s="629">
        <f t="shared" si="1"/>
        <v>10502.72592952691</v>
      </c>
      <c r="X34" s="660">
        <f t="shared" si="1"/>
        <v>11064.401048755357</v>
      </c>
      <c r="Y34" s="629">
        <f t="shared" si="1"/>
        <v>11641.894294248745</v>
      </c>
      <c r="Z34" s="630">
        <f t="shared" si="1"/>
        <v>12255.634628772892</v>
      </c>
    </row>
    <row r="35" spans="2:28">
      <c r="B35" s="631" t="s">
        <v>611</v>
      </c>
      <c r="C35" s="645"/>
      <c r="D35" s="632"/>
      <c r="E35" s="632"/>
      <c r="F35" s="632">
        <f ca="1">БДДРН!O155</f>
        <v>41.5</v>
      </c>
      <c r="G35" s="632">
        <f ca="1">БДДРН!P155</f>
        <v>41.54</v>
      </c>
      <c r="H35" s="641">
        <f ca="1">БДДРН!Q155</f>
        <v>42.03</v>
      </c>
      <c r="I35" s="633">
        <f ca="1">БДДРН!R155</f>
        <v>43.23</v>
      </c>
      <c r="J35" s="632">
        <f ca="1">БДДРН!S155</f>
        <v>43.893673520769546</v>
      </c>
      <c r="K35" s="632">
        <f ca="1">БДДРН!T155</f>
        <v>44.508560667321689</v>
      </c>
      <c r="L35" s="632">
        <f ca="1">БДДРН!U155</f>
        <v>45.043252888072885</v>
      </c>
      <c r="M35" s="632">
        <f ca="1">БДДРН!V155</f>
        <v>45.42438819310064</v>
      </c>
      <c r="N35" s="632">
        <f ca="1">БДДРН!W155</f>
        <v>45.717218921765003</v>
      </c>
      <c r="O35" s="632">
        <f ca="1">БДДРН!X155</f>
        <v>45.943176294527241</v>
      </c>
      <c r="P35" s="632">
        <f ca="1">БДДРН!Y155</f>
        <v>46.161334059693687</v>
      </c>
      <c r="Q35" s="632">
        <f ca="1">БДДРН!Z155</f>
        <v>46.359534878689601</v>
      </c>
      <c r="R35" s="632">
        <f ca="1">БДДРН!AA155</f>
        <v>46.503439351777075</v>
      </c>
      <c r="S35" s="632">
        <f ca="1">БДДРН!AB155</f>
        <v>46.641595182897134</v>
      </c>
      <c r="T35" s="632">
        <f ca="1">БДДРН!AC155</f>
        <v>46.787405592306342</v>
      </c>
      <c r="U35" s="632">
        <f ca="1">БДДРН!AD155</f>
        <v>47.009263888719367</v>
      </c>
      <c r="V35" s="632">
        <f ca="1">БДДРН!AE155</f>
        <v>47.009263888719367</v>
      </c>
      <c r="W35" s="632">
        <f ca="1">БДДРН!AF155</f>
        <v>47.009263888719367</v>
      </c>
      <c r="X35" s="632">
        <f ca="1">БДДРН!AG155</f>
        <v>47.009263888719367</v>
      </c>
      <c r="Y35" s="632">
        <f ca="1">БДДРН!AH155</f>
        <v>47.009263888719367</v>
      </c>
      <c r="Z35" s="633">
        <f ca="1">БДДРН!AI155</f>
        <v>47.009263888719367</v>
      </c>
    </row>
    <row r="36" spans="2:28">
      <c r="B36" s="631"/>
      <c r="C36" s="645"/>
      <c r="D36" s="632"/>
      <c r="E36" s="632"/>
      <c r="F36" s="632"/>
      <c r="G36" s="632">
        <f>(G34/G35)/(F34/F35)</f>
        <v>1.0666770549548874</v>
      </c>
      <c r="H36" s="632">
        <f t="shared" ref="H36:Z36" si="2">(H34/H35)/(G34/G35)</f>
        <v>1.0737346873157712</v>
      </c>
      <c r="I36" s="633">
        <f t="shared" si="2"/>
        <v>1.0515666742131309</v>
      </c>
      <c r="J36" s="632">
        <f t="shared" si="2"/>
        <v>1.0462546345443318</v>
      </c>
      <c r="K36" s="632">
        <f t="shared" si="2"/>
        <v>1.0343148439588334</v>
      </c>
      <c r="L36" s="632">
        <f t="shared" si="2"/>
        <v>1.0340064608793087</v>
      </c>
      <c r="M36" s="632">
        <f t="shared" si="2"/>
        <v>1.0381835234424555</v>
      </c>
      <c r="N36" s="632">
        <f t="shared" si="2"/>
        <v>1.0424068063572698</v>
      </c>
      <c r="O36" s="632">
        <f t="shared" si="2"/>
        <v>1.0454889140842012</v>
      </c>
      <c r="P36" s="632">
        <f t="shared" si="2"/>
        <v>1.0472065502336187</v>
      </c>
      <c r="Q36" s="632">
        <f t="shared" si="2"/>
        <v>1.0482848123463704</v>
      </c>
      <c r="R36" s="632">
        <f t="shared" si="2"/>
        <v>1.0495290629992058</v>
      </c>
      <c r="S36" s="632">
        <f t="shared" si="2"/>
        <v>1.0487524572903355</v>
      </c>
      <c r="T36" s="632">
        <f t="shared" si="2"/>
        <v>1.0512132206660094</v>
      </c>
      <c r="U36" s="632">
        <f t="shared" si="2"/>
        <v>1.0458815646428401</v>
      </c>
      <c r="V36" s="632">
        <f t="shared" si="2"/>
        <v>1.0513597748556598</v>
      </c>
      <c r="W36" s="632">
        <f t="shared" si="2"/>
        <v>1.053836350486171</v>
      </c>
      <c r="X36" s="632">
        <f t="shared" si="2"/>
        <v>1.0534789846938095</v>
      </c>
      <c r="Y36" s="632">
        <f t="shared" si="2"/>
        <v>1.052193809944945</v>
      </c>
      <c r="Z36" s="633">
        <f t="shared" si="2"/>
        <v>1.0527182534913879</v>
      </c>
    </row>
    <row r="37" spans="2:28">
      <c r="B37" s="631"/>
      <c r="C37" s="645"/>
      <c r="D37" s="632">
        <f>D40/C40</f>
        <v>0.99494300213333542</v>
      </c>
      <c r="E37" s="632">
        <f>E40/D40</f>
        <v>1.0049241985605231</v>
      </c>
      <c r="F37" s="632">
        <f>F40/E40</f>
        <v>1.0154566333319139</v>
      </c>
      <c r="G37" s="632"/>
      <c r="H37" s="641"/>
      <c r="I37" s="633"/>
      <c r="J37" s="632"/>
      <c r="K37" s="632"/>
      <c r="L37" s="632"/>
      <c r="M37" s="632"/>
      <c r="N37" s="632"/>
      <c r="O37" s="632"/>
      <c r="P37" s="632"/>
      <c r="Q37" s="632"/>
      <c r="R37" s="632"/>
      <c r="S37" s="632"/>
      <c r="T37" s="632"/>
      <c r="U37" s="632"/>
      <c r="V37" s="632"/>
      <c r="W37" s="632"/>
      <c r="X37" s="632"/>
      <c r="Y37" s="632"/>
      <c r="Z37" s="633"/>
    </row>
    <row r="38" spans="2:28">
      <c r="B38" s="631" t="s">
        <v>552</v>
      </c>
      <c r="C38" s="634">
        <f ca="1">БДДРН!L10</f>
        <v>14666.669642700001</v>
      </c>
      <c r="D38" s="634">
        <f ca="1">БДДРН!M10</f>
        <v>16379.2510719</v>
      </c>
      <c r="E38" s="634">
        <f ca="1">БДДРН!N10</f>
        <v>17877.299902055714</v>
      </c>
      <c r="F38" s="634">
        <f ca="1">БДДРН!O10</f>
        <v>18778.291718818473</v>
      </c>
      <c r="G38" s="634">
        <f ca="1">БДДРН!P10</f>
        <v>20049.67929123855</v>
      </c>
      <c r="H38" s="634">
        <f ca="1">БДДРН!Q10</f>
        <v>21781.977812114503</v>
      </c>
      <c r="I38" s="635">
        <f ca="1">БДДРН!R10</f>
        <v>23559.169188101132</v>
      </c>
      <c r="J38" s="634">
        <f ca="1">БДДРН!S10</f>
        <v>25027.303448383751</v>
      </c>
      <c r="K38" s="644">
        <f ca="1">БДДРН!T10</f>
        <v>26248.738599071134</v>
      </c>
      <c r="L38" s="644">
        <f ca="1">БДДРН!U10</f>
        <v>27467.421158259076</v>
      </c>
      <c r="M38" s="644">
        <f ca="1">БДДРН!V10</f>
        <v>28757.515260663131</v>
      </c>
      <c r="N38" s="644">
        <f ca="1">БДДРН!W10</f>
        <v>30170.278153777588</v>
      </c>
      <c r="O38" s="644">
        <f ca="1">БДДРН!X10</f>
        <v>31698.591109167675</v>
      </c>
      <c r="P38" s="644">
        <f ca="1">БДДРН!Y10</f>
        <v>33352.596106420075</v>
      </c>
      <c r="Q38" s="644">
        <f ca="1">БДДРН!Z10</f>
        <v>35113.139078085769</v>
      </c>
      <c r="R38" s="644">
        <f ca="1">БДДРН!AA10</f>
        <v>36966.652929216609</v>
      </c>
      <c r="S38" s="644">
        <f ca="1">БДДРН!AB10</f>
        <v>38884.045496411163</v>
      </c>
      <c r="T38" s="644">
        <f ca="1">БДДРН!AC10</f>
        <v>41003.206967228136</v>
      </c>
      <c r="U38" s="644">
        <f ca="1">БДДРН!AD10</f>
        <v>43087.849600477006</v>
      </c>
      <c r="V38" s="644">
        <f ca="1">БДДРН!AE10</f>
        <v>45300.831854972042</v>
      </c>
      <c r="W38" s="644">
        <f ca="1">БДДРН!AF10</f>
        <v>47739.663316031409</v>
      </c>
      <c r="X38" s="644">
        <f ca="1">БДДРН!AG10</f>
        <v>50292.732039797076</v>
      </c>
      <c r="Y38" s="644">
        <f ca="1">БДДРН!AH10</f>
        <v>52917.701337494291</v>
      </c>
      <c r="Z38" s="644">
        <f ca="1">БДДРН!AI10</f>
        <v>55707.43013078587</v>
      </c>
    </row>
    <row r="39" spans="2:28">
      <c r="B39" s="636" t="s">
        <v>606</v>
      </c>
      <c r="C39" s="645">
        <v>0.22</v>
      </c>
      <c r="D39" s="632">
        <v>0.22</v>
      </c>
      <c r="E39" s="632">
        <v>0.22</v>
      </c>
      <c r="F39" s="632">
        <v>0.22</v>
      </c>
      <c r="G39" s="632">
        <v>0.22</v>
      </c>
      <c r="H39" s="641">
        <v>0.22</v>
      </c>
      <c r="I39" s="633">
        <v>0.22</v>
      </c>
      <c r="J39" s="632">
        <v>0.22</v>
      </c>
      <c r="K39" s="632">
        <v>0.22</v>
      </c>
      <c r="L39" s="632">
        <v>0.22</v>
      </c>
      <c r="M39" s="632">
        <v>0.22</v>
      </c>
      <c r="N39" s="641">
        <v>0.22</v>
      </c>
      <c r="O39" s="632">
        <v>0.22</v>
      </c>
      <c r="P39" s="632">
        <v>0.22</v>
      </c>
      <c r="Q39" s="632">
        <v>0.22</v>
      </c>
      <c r="R39" s="632">
        <v>0.22</v>
      </c>
      <c r="S39" s="632">
        <v>0.22</v>
      </c>
      <c r="T39" s="641">
        <v>0.22</v>
      </c>
      <c r="U39" s="632">
        <v>0.22</v>
      </c>
      <c r="V39" s="632">
        <v>0.22</v>
      </c>
      <c r="W39" s="632">
        <v>0.22</v>
      </c>
      <c r="X39" s="632">
        <v>0.22</v>
      </c>
      <c r="Y39" s="632">
        <v>0.22</v>
      </c>
      <c r="Z39" s="785">
        <v>0.22</v>
      </c>
    </row>
    <row r="40" spans="2:28">
      <c r="B40" s="636" t="s">
        <v>607</v>
      </c>
      <c r="C40" s="786">
        <f>[15]взносы!L23</f>
        <v>0.82485348940275816</v>
      </c>
      <c r="D40" s="637">
        <f>[15]взносы!M23</f>
        <v>0.82068220706653761</v>
      </c>
      <c r="E40" s="637">
        <f>[15]взносы!N23</f>
        <v>0.82472340920922149</v>
      </c>
      <c r="F40" s="637">
        <f>[15]взносы!O23</f>
        <v>0.83747085654561437</v>
      </c>
      <c r="G40" s="637">
        <f>[15]взносы!P23</f>
        <v>0.8486131794999533</v>
      </c>
      <c r="H40" s="641">
        <f>[15]взносы!Q23</f>
        <v>0.85885683574290161</v>
      </c>
      <c r="I40" s="791">
        <f>[15]взносы!R23</f>
        <v>0.86820182527445944</v>
      </c>
      <c r="J40" s="637">
        <f>AVERAGE($E$37)*I40</f>
        <v>0.87247702345271938</v>
      </c>
      <c r="K40" s="637">
        <f t="shared" ref="K40:U40" si="3">AVERAGE($E$37)*J40</f>
        <v>0.87677327355569468</v>
      </c>
      <c r="L40" s="637">
        <f t="shared" si="3"/>
        <v>0.88109067924724271</v>
      </c>
      <c r="M40" s="637">
        <f t="shared" si="3"/>
        <v>0.88542934470168222</v>
      </c>
      <c r="N40" s="641">
        <f t="shared" si="3"/>
        <v>0.88978937460630714</v>
      </c>
      <c r="O40" s="637">
        <f t="shared" si="3"/>
        <v>0.89417087416391228</v>
      </c>
      <c r="P40" s="637">
        <f t="shared" si="3"/>
        <v>0.89857394909533184</v>
      </c>
      <c r="Q40" s="637">
        <f t="shared" si="3"/>
        <v>0.90299870564199058</v>
      </c>
      <c r="R40" s="637">
        <f t="shared" si="3"/>
        <v>0.90744525056846703</v>
      </c>
      <c r="S40" s="637">
        <f t="shared" si="3"/>
        <v>0.91191369116506982</v>
      </c>
      <c r="T40" s="641">
        <f t="shared" si="3"/>
        <v>0.91640413525042608</v>
      </c>
      <c r="U40" s="637">
        <f t="shared" si="3"/>
        <v>0.92091669117408359</v>
      </c>
      <c r="V40" s="637">
        <f>U40</f>
        <v>0.92091669117408359</v>
      </c>
      <c r="W40" s="637">
        <f>V40</f>
        <v>0.92091669117408359</v>
      </c>
      <c r="X40" s="637">
        <f>W40</f>
        <v>0.92091669117408359</v>
      </c>
      <c r="Y40" s="637">
        <f>X40</f>
        <v>0.92091669117408359</v>
      </c>
      <c r="Z40" s="785">
        <f>Y40</f>
        <v>0.92091669117408359</v>
      </c>
    </row>
    <row r="41" spans="2:28" ht="45">
      <c r="B41" s="636" t="s">
        <v>608</v>
      </c>
      <c r="C41" s="787">
        <f>[15]взносы!L33</f>
        <v>3.5130478116695341E-2</v>
      </c>
      <c r="D41" s="638">
        <f>[15]взносы!M33</f>
        <v>3.62315229183355E-2</v>
      </c>
      <c r="E41" s="638">
        <f>[15]взносы!N10*6%*44.3%</f>
        <v>1.6585919999999997E-2</v>
      </c>
      <c r="F41" s="638">
        <f>[15]взносы!O10*6%*44.3%</f>
        <v>1.7223839999999997E-2</v>
      </c>
      <c r="G41" s="638">
        <f>[15]взносы!P33</f>
        <v>1.7888339999999999E-2</v>
      </c>
      <c r="H41" s="638">
        <f>[15]взносы!Q33</f>
        <v>1.8663801724072011E-2</v>
      </c>
      <c r="I41" s="788">
        <f>[15]взносы!R33</f>
        <v>1.9223243665140399E-2</v>
      </c>
      <c r="J41" s="638">
        <v>1.9223243665140399E-2</v>
      </c>
      <c r="K41" s="638">
        <v>1.9223243665140399E-2</v>
      </c>
      <c r="L41" s="638">
        <v>1.9223243665140399E-2</v>
      </c>
      <c r="M41" s="638">
        <v>1.9223243665140399E-2</v>
      </c>
      <c r="N41" s="638">
        <v>1.9223243665140399E-2</v>
      </c>
      <c r="O41" s="638">
        <v>1.9223243665140399E-2</v>
      </c>
      <c r="P41" s="638">
        <v>1.9223243665140399E-2</v>
      </c>
      <c r="Q41" s="638">
        <v>1.9223243665140399E-2</v>
      </c>
      <c r="R41" s="638">
        <v>1.9223243665140399E-2</v>
      </c>
      <c r="S41" s="638">
        <v>1.9223243665140399E-2</v>
      </c>
      <c r="T41" s="638">
        <v>1.9223243665140399E-2</v>
      </c>
      <c r="U41" s="638">
        <v>1.9223243665140399E-2</v>
      </c>
      <c r="V41" s="638">
        <v>1.9223243665140399E-2</v>
      </c>
      <c r="W41" s="638">
        <v>1.9223243665140399E-2</v>
      </c>
      <c r="X41" s="638">
        <v>1.9223243665140399E-2</v>
      </c>
      <c r="Y41" s="638">
        <v>1.9223243665140399E-2</v>
      </c>
      <c r="Z41" s="788">
        <v>1.9223243665140399E-2</v>
      </c>
    </row>
    <row r="42" spans="2:28" ht="30">
      <c r="B42" s="639" t="s">
        <v>609</v>
      </c>
      <c r="C42" s="645"/>
      <c r="D42" s="632"/>
      <c r="E42" s="641">
        <f>E38*E41</f>
        <v>296.51146599150388</v>
      </c>
      <c r="F42" s="641">
        <f>F38*F41</f>
        <v>323.43429203825434</v>
      </c>
      <c r="G42" s="641">
        <f>G38*G41</f>
        <v>358.65548005263418</v>
      </c>
      <c r="H42" s="641">
        <f>H38*H41</f>
        <v>406.53451504344093</v>
      </c>
      <c r="I42" s="633">
        <f>I38*I41</f>
        <v>452.88364985113594</v>
      </c>
      <c r="J42" s="640">
        <f t="shared" ref="J42:Z42" si="4">J38*J41</f>
        <v>481.10595246968938</v>
      </c>
      <c r="K42" s="648">
        <f t="shared" si="4"/>
        <v>504.58589799252042</v>
      </c>
      <c r="L42" s="648">
        <f t="shared" si="4"/>
        <v>528.0129297782471</v>
      </c>
      <c r="M42" s="648">
        <f t="shared" si="4"/>
        <v>552.81272305972084</v>
      </c>
      <c r="N42" s="648">
        <f t="shared" si="4"/>
        <v>579.97060839512881</v>
      </c>
      <c r="O42" s="640">
        <f t="shared" si="4"/>
        <v>609.34974073318324</v>
      </c>
      <c r="P42" s="640">
        <f t="shared" si="4"/>
        <v>641.145081818726</v>
      </c>
      <c r="Q42" s="648">
        <f t="shared" si="4"/>
        <v>674.988428346006</v>
      </c>
      <c r="R42" s="648">
        <f t="shared" si="4"/>
        <v>710.6189767430069</v>
      </c>
      <c r="S42" s="648">
        <f t="shared" si="4"/>
        <v>747.47748126391696</v>
      </c>
      <c r="T42" s="648">
        <f t="shared" si="4"/>
        <v>788.21463858320897</v>
      </c>
      <c r="U42" s="640">
        <f t="shared" si="4"/>
        <v>828.28823187689181</v>
      </c>
      <c r="V42" s="640">
        <f t="shared" si="4"/>
        <v>870.82892898168166</v>
      </c>
      <c r="W42" s="648">
        <f t="shared" si="4"/>
        <v>917.71118041583622</v>
      </c>
      <c r="X42" s="648">
        <f t="shared" si="4"/>
        <v>966.78944258663273</v>
      </c>
      <c r="Y42" s="648">
        <f t="shared" si="4"/>
        <v>1017.2498670097788</v>
      </c>
      <c r="Z42" s="642">
        <f t="shared" si="4"/>
        <v>1070.8775033628808</v>
      </c>
    </row>
    <row r="43" spans="2:28">
      <c r="B43" s="796" t="s">
        <v>716</v>
      </c>
      <c r="C43" s="643"/>
      <c r="D43" s="629"/>
      <c r="E43" s="660">
        <f ca="1">БДДРН!N156</f>
        <v>5442.9960000000001</v>
      </c>
      <c r="F43" s="660">
        <f ca="1">БДДРН!O156</f>
        <v>6133.3035274847925</v>
      </c>
      <c r="G43" s="660">
        <f ca="1">БДДРН!P156</f>
        <v>6771.1699471008042</v>
      </c>
      <c r="H43" s="660">
        <f ca="1">БДДРН!Q156</f>
        <v>7307.6932703174461</v>
      </c>
      <c r="I43" s="793">
        <f ca="1">БДДРН!R156</f>
        <v>7910.8627700976658</v>
      </c>
      <c r="J43" s="629" t="e">
        <f>#REF!*#REF!</f>
        <v>#REF!</v>
      </c>
      <c r="K43" s="629" t="e">
        <f>#REF!*#REF!</f>
        <v>#REF!</v>
      </c>
      <c r="L43" s="629" t="e">
        <f>#REF!*#REF!</f>
        <v>#REF!</v>
      </c>
      <c r="M43" s="629" t="e">
        <f>#REF!*#REF!</f>
        <v>#REF!</v>
      </c>
      <c r="N43" s="629" t="e">
        <f>#REF!*#REF!</f>
        <v>#REF!</v>
      </c>
      <c r="O43" s="629" t="e">
        <f>#REF!*#REF!</f>
        <v>#REF!</v>
      </c>
      <c r="P43" s="629" t="e">
        <f>#REF!*#REF!</f>
        <v>#REF!</v>
      </c>
      <c r="Q43" s="629" t="e">
        <f>#REF!*#REF!</f>
        <v>#REF!</v>
      </c>
      <c r="R43" s="629" t="e">
        <f>#REF!*#REF!</f>
        <v>#REF!</v>
      </c>
      <c r="S43" s="629" t="e">
        <f>#REF!*#REF!</f>
        <v>#REF!</v>
      </c>
      <c r="T43" s="629" t="e">
        <f>#REF!*#REF!</f>
        <v>#REF!</v>
      </c>
      <c r="U43" s="629" t="e">
        <f>#REF!*#REF!</f>
        <v>#REF!</v>
      </c>
      <c r="V43" s="629" t="e">
        <f>#REF!*#REF!</f>
        <v>#REF!</v>
      </c>
      <c r="W43" s="629" t="e">
        <f>#REF!*#REF!</f>
        <v>#REF!</v>
      </c>
      <c r="X43" s="629" t="e">
        <f>#REF!*#REF!</f>
        <v>#REF!</v>
      </c>
      <c r="Y43" s="629" t="e">
        <f>#REF!*#REF!</f>
        <v>#REF!</v>
      </c>
      <c r="Z43" s="629" t="e">
        <f>#REF!*#REF!</f>
        <v>#REF!</v>
      </c>
    </row>
    <row r="44" spans="2:28">
      <c r="B44" s="646"/>
      <c r="C44" s="646"/>
      <c r="D44" s="640"/>
      <c r="E44" s="640"/>
      <c r="F44" s="640"/>
      <c r="G44" s="640"/>
      <c r="H44" s="648"/>
      <c r="I44" s="647"/>
    </row>
    <row r="45" spans="2:28">
      <c r="B45" s="789" t="s">
        <v>714</v>
      </c>
      <c r="C45" s="625"/>
      <c r="D45" s="626"/>
      <c r="E45" s="659">
        <f>E34-E43</f>
        <v>-1509.9900215477428</v>
      </c>
      <c r="F45" s="659">
        <f>F34-F43</f>
        <v>-2002.0793493447281</v>
      </c>
      <c r="G45" s="659">
        <f>G34-G43</f>
        <v>-2360.2405030283235</v>
      </c>
      <c r="H45" s="659">
        <f>H34-H43</f>
        <v>-2515.6581516522556</v>
      </c>
      <c r="I45" s="790">
        <f t="shared" ref="I45:AB45" si="5">I34-I43</f>
        <v>-2727.845548715417</v>
      </c>
      <c r="J45" s="648" t="e">
        <f t="shared" si="5"/>
        <v>#REF!</v>
      </c>
      <c r="K45" s="648" t="e">
        <f t="shared" si="5"/>
        <v>#REF!</v>
      </c>
      <c r="L45" s="648" t="e">
        <f t="shared" si="5"/>
        <v>#REF!</v>
      </c>
      <c r="M45" s="648" t="e">
        <f t="shared" si="5"/>
        <v>#REF!</v>
      </c>
      <c r="N45" s="648" t="e">
        <f t="shared" si="5"/>
        <v>#REF!</v>
      </c>
      <c r="O45" s="648" t="e">
        <f t="shared" si="5"/>
        <v>#REF!</v>
      </c>
      <c r="P45" s="648" t="e">
        <f t="shared" si="5"/>
        <v>#REF!</v>
      </c>
      <c r="Q45" s="648" t="e">
        <f t="shared" si="5"/>
        <v>#REF!</v>
      </c>
      <c r="R45" s="648" t="e">
        <f t="shared" si="5"/>
        <v>#REF!</v>
      </c>
      <c r="S45" s="648" t="e">
        <f t="shared" si="5"/>
        <v>#REF!</v>
      </c>
      <c r="T45" s="648" t="e">
        <f t="shared" si="5"/>
        <v>#REF!</v>
      </c>
      <c r="U45" s="648" t="e">
        <f t="shared" si="5"/>
        <v>#REF!</v>
      </c>
      <c r="V45" s="648" t="e">
        <f t="shared" si="5"/>
        <v>#REF!</v>
      </c>
      <c r="W45" s="648" t="e">
        <f t="shared" si="5"/>
        <v>#REF!</v>
      </c>
      <c r="X45" s="648" t="e">
        <f t="shared" si="5"/>
        <v>#REF!</v>
      </c>
      <c r="Y45" s="648" t="e">
        <f t="shared" si="5"/>
        <v>#REF!</v>
      </c>
      <c r="Z45" s="648" t="e">
        <f t="shared" si="5"/>
        <v>#REF!</v>
      </c>
      <c r="AA45" s="648">
        <f t="shared" si="5"/>
        <v>0</v>
      </c>
      <c r="AB45" s="648">
        <f t="shared" si="5"/>
        <v>0</v>
      </c>
    </row>
    <row r="49" spans="1:26">
      <c r="B49" s="740" t="s">
        <v>684</v>
      </c>
      <c r="C49" s="649">
        <f>'[16]вар 1'!O19</f>
        <v>26628.879210273688</v>
      </c>
      <c r="D49" s="649">
        <f>'[16]вар 1'!P19</f>
        <v>29791.957273214997</v>
      </c>
      <c r="E49" s="649">
        <f>'[16]вар 1'!Q19</f>
        <v>32494.625006215891</v>
      </c>
      <c r="F49" s="649">
        <f>'[16]вар 1'!R19</f>
        <v>33773.281345940573</v>
      </c>
      <c r="G49" s="649">
        <f>'[16]вар 1'!S19</f>
        <v>36232.786042495216</v>
      </c>
      <c r="H49" s="649">
        <f>'[16]вар 1'!T19</f>
        <v>39516.270577532552</v>
      </c>
      <c r="I49" s="649">
        <f>'[16]вар 1'!U19</f>
        <v>43066.326336978447</v>
      </c>
      <c r="J49" s="649">
        <f>'[16]вар 1'!V19</f>
        <v>45927.414442829708</v>
      </c>
      <c r="K49" s="649">
        <f>'[16]вар 1'!W19</f>
        <v>48560.650534633911</v>
      </c>
      <c r="L49" s="649">
        <f>'[16]вар 1'!X19</f>
        <v>51296.57992689604</v>
      </c>
      <c r="M49" s="649">
        <f>'[16]вар 1'!Y19</f>
        <v>54199.765873213284</v>
      </c>
      <c r="N49" s="649">
        <f>'[16]вар 1'!Z19</f>
        <v>57341.457024365533</v>
      </c>
      <c r="O49" s="649">
        <f>'[16]вар 1'!AA19</f>
        <v>60675.95046121793</v>
      </c>
      <c r="P49" s="649">
        <f>'[16]вар 1'!AB19</f>
        <v>64222.824495667541</v>
      </c>
      <c r="Q49" s="649">
        <f>'[16]вар 1'!AC19</f>
        <v>67986.669195968105</v>
      </c>
      <c r="R49" s="649">
        <f>'[16]вар 1'!AD19</f>
        <v>71965.965467693735</v>
      </c>
      <c r="S49" s="649">
        <f>'[16]вар 1'!AE19</f>
        <v>76069.727750396822</v>
      </c>
      <c r="T49" s="649">
        <f>'[16]вар 1'!AF19</f>
        <v>80572.328508856692</v>
      </c>
      <c r="U49" s="649">
        <f>'[16]вар 1'!AG19</f>
        <v>85048.209871440326</v>
      </c>
      <c r="V49" s="649">
        <f>'[16]вар 1'!AH19</f>
        <v>89958.699510051243</v>
      </c>
      <c r="W49" s="649">
        <f>'[16]вар 1'!AI19</f>
        <v>94838.704962979289</v>
      </c>
      <c r="X49" s="649">
        <f>'[16]вар 1'!AJ19</f>
        <v>99912.984980044072</v>
      </c>
      <c r="Y49" s="649">
        <f>'[16]вар 1'!AK19</f>
        <v>105127.86712636483</v>
      </c>
      <c r="Z49" s="649">
        <f>'[16]вар 1'!AL19</f>
        <v>110669.900648749</v>
      </c>
    </row>
    <row r="50" spans="1:26">
      <c r="B50" s="740" t="s">
        <v>491</v>
      </c>
      <c r="E50" s="618">
        <f ca="1">БДДРН!N152</f>
        <v>11063</v>
      </c>
      <c r="F50" s="618">
        <f ca="1">БДДРН!O152</f>
        <v>12315.870537118057</v>
      </c>
      <c r="G50" s="618">
        <f ca="1">БДДРН!P152</f>
        <v>13583.634141993269</v>
      </c>
      <c r="H50" s="618">
        <f ca="1">БДДРН!Q152</f>
        <v>14489.042093578886</v>
      </c>
      <c r="I50" s="618">
        <f ca="1">БДДРН!R152</f>
        <v>15249.561974897188</v>
      </c>
      <c r="J50" s="618">
        <f ca="1">БДДРН!S152</f>
        <v>16303.789525207747</v>
      </c>
      <c r="K50" s="618">
        <f ca="1">БДДРН!T152</f>
        <v>17112.65523258183</v>
      </c>
      <c r="L50" s="618">
        <f ca="1">БДДРН!U152</f>
        <v>17862.362528789094</v>
      </c>
      <c r="M50" s="618">
        <f ca="1">БДДРН!V152</f>
        <v>18623.642591315245</v>
      </c>
      <c r="N50" s="618">
        <f ca="1">БДДРН!W152</f>
        <v>19431.300853448549</v>
      </c>
      <c r="O50" s="618">
        <f ca="1">БДДРН!X152</f>
        <v>20303.539479553496</v>
      </c>
      <c r="P50" s="618">
        <f ca="1">БДДРН!Y152</f>
        <v>21228.547460955353</v>
      </c>
      <c r="Q50" s="618">
        <f ca="1">БДДРН!Z152</f>
        <v>22203.933479658896</v>
      </c>
      <c r="R50" s="618">
        <f ca="1">БДДРН!AA152</f>
        <v>23225.909819147015</v>
      </c>
      <c r="S50" s="618">
        <f ca="1">БДДРН!AB152</f>
        <v>24310.155738548827</v>
      </c>
      <c r="T50" s="618">
        <f ca="1">БДДРН!AC152</f>
        <v>25424.154911565602</v>
      </c>
      <c r="U50" s="618">
        <f ca="1">БДДРН!AD152</f>
        <v>26654.741378714829</v>
      </c>
      <c r="V50" s="618">
        <f ca="1">БДДРН!AE152</f>
        <v>27862.99293982127</v>
      </c>
      <c r="W50" s="618">
        <f ca="1">БДДРН!AF152</f>
        <v>29170.463568721385</v>
      </c>
      <c r="X50" s="618">
        <f ca="1">БДДРН!AG152</f>
        <v>30478.64014809153</v>
      </c>
      <c r="Y50" s="618">
        <f ca="1">БДДРН!AH152</f>
        <v>31835.415045388007</v>
      </c>
      <c r="Z50" s="618">
        <f ca="1">БДДРН!AI152</f>
        <v>33229.597146473141</v>
      </c>
    </row>
    <row r="51" spans="1:26">
      <c r="B51" s="740" t="s">
        <v>683</v>
      </c>
      <c r="E51" s="759">
        <f ca="1">E50/E49*100</f>
        <v>34.045630617013614</v>
      </c>
      <c r="F51" s="759">
        <f t="shared" ref="F51:Z51" si="6">F50/F49*100</f>
        <v>36.46631315141186</v>
      </c>
      <c r="G51" s="759">
        <f t="shared" si="6"/>
        <v>37.489896929432518</v>
      </c>
      <c r="H51" s="759">
        <f t="shared" si="6"/>
        <v>36.666016002574906</v>
      </c>
      <c r="I51" s="759">
        <f t="shared" si="6"/>
        <v>35.40947945170636</v>
      </c>
      <c r="J51" s="759">
        <f t="shared" si="6"/>
        <v>35.499036301080373</v>
      </c>
      <c r="K51" s="759">
        <f t="shared" si="6"/>
        <v>35.239756972318411</v>
      </c>
      <c r="L51" s="759">
        <f t="shared" si="6"/>
        <v>34.82174163315598</v>
      </c>
      <c r="M51" s="759">
        <f t="shared" si="6"/>
        <v>34.361112619712365</v>
      </c>
      <c r="N51" s="759">
        <f t="shared" si="6"/>
        <v>33.887002287353454</v>
      </c>
      <c r="O51" s="759">
        <f t="shared" si="6"/>
        <v>33.462252054099835</v>
      </c>
      <c r="P51" s="759">
        <f t="shared" si="6"/>
        <v>33.05452170261902</v>
      </c>
      <c r="Q51" s="759">
        <f t="shared" si="6"/>
        <v>32.659245911367108</v>
      </c>
      <c r="R51" s="759">
        <f t="shared" si="6"/>
        <v>32.273463807795878</v>
      </c>
      <c r="S51" s="759">
        <f t="shared" si="6"/>
        <v>31.957726756057713</v>
      </c>
      <c r="T51" s="759">
        <f t="shared" si="6"/>
        <v>31.554449749793346</v>
      </c>
      <c r="U51" s="759">
        <f t="shared" si="6"/>
        <v>31.340743584146434</v>
      </c>
      <c r="V51" s="759">
        <f t="shared" si="6"/>
        <v>30.973094421744158</v>
      </c>
      <c r="W51" s="759">
        <f t="shared" si="6"/>
        <v>30.757973319129782</v>
      </c>
      <c r="X51" s="759">
        <f t="shared" si="6"/>
        <v>30.505184240245775</v>
      </c>
      <c r="Y51" s="759">
        <f t="shared" si="6"/>
        <v>30.282565332673872</v>
      </c>
      <c r="Z51" s="759">
        <f t="shared" si="6"/>
        <v>30.025866971670371</v>
      </c>
    </row>
    <row r="53" spans="1:26">
      <c r="B53" s="760" t="s">
        <v>697</v>
      </c>
      <c r="E53" s="649">
        <f ca="1">100*E50/173.5</f>
        <v>6376.3688760806917</v>
      </c>
      <c r="F53" s="649">
        <f ca="1">F57*E53</f>
        <v>7459.4939503915111</v>
      </c>
      <c r="G53" s="649">
        <f ca="1">G57*F53</f>
        <v>8246.7832615231309</v>
      </c>
      <c r="H53" s="649">
        <f ca="1">H57*G53</f>
        <v>8818.2184653187851</v>
      </c>
      <c r="I53" s="649">
        <f ca="1">I57*H53</f>
        <v>9817.5073461553693</v>
      </c>
      <c r="J53" s="649">
        <f ca="1">'Пенсионные выплаты'!I53*БДДРН!S102/100</f>
        <v>10093.885911569583</v>
      </c>
      <c r="K53" s="649">
        <f ca="1">'Пенсионные выплаты'!J53*БДДРН!T102/100</f>
        <v>10355.459777276363</v>
      </c>
      <c r="L53" s="649">
        <f ca="1">'Пенсионные выплаты'!K53*БДДРН!U102/100</f>
        <v>10603.027551450885</v>
      </c>
      <c r="M53" s="649">
        <f ca="1">'Пенсионные выплаты'!L53*БДДРН!V102/100</f>
        <v>10865.508790362728</v>
      </c>
      <c r="N53" s="649">
        <f ca="1">'Пенсионные выплаты'!M53*БДДРН!W102/100</f>
        <v>11147.126577392206</v>
      </c>
      <c r="O53" s="649">
        <f ca="1">'Пенсионные выплаты'!N53*БДДРН!X102/100</f>
        <v>11444.986840373784</v>
      </c>
      <c r="P53" s="649">
        <f ca="1">'Пенсионные выплаты'!O53*БДДРН!Y102/100</f>
        <v>11750.118964169933</v>
      </c>
      <c r="Q53" s="649">
        <f ca="1">'Пенсионные выплаты'!P53*БДДРН!Z102/100</f>
        <v>12055.997596032761</v>
      </c>
      <c r="R53" s="649">
        <f ca="1">'Пенсионные выплаты'!Q53*БДДРН!AA102/100</f>
        <v>12384.550552778086</v>
      </c>
      <c r="S53" s="649">
        <f ca="1">'Пенсионные выплаты'!R53*БДДРН!AB102/100</f>
        <v>12717.679168750961</v>
      </c>
      <c r="T53" s="649">
        <f ca="1">'Пенсионные выплаты'!S53*БДДРН!AC102/100</f>
        <v>13094.58451528592</v>
      </c>
      <c r="U53" s="649">
        <f ca="1">'Пенсионные выплаты'!T53*БДДРН!AD102/100</f>
        <v>13448.653684859872</v>
      </c>
      <c r="V53" s="649">
        <f ca="1">'Пенсионные выплаты'!U53*БДДРН!AE102/100</f>
        <v>13812.296657764235</v>
      </c>
      <c r="W53" s="649">
        <f ca="1">'Пенсионные выплаты'!V53*БДДРН!AF102/100</f>
        <v>14185.772303502725</v>
      </c>
      <c r="X53" s="649">
        <f ca="1">'Пенсионные выплаты'!W53*БДДРН!AG102/100</f>
        <v>14569.346491244465</v>
      </c>
      <c r="Y53" s="649">
        <f ca="1">'Пенсионные выплаты'!X53*БДДРН!AH102/100</f>
        <v>14963.292279090447</v>
      </c>
      <c r="Z53" s="649">
        <f ca="1">'Пенсионные выплаты'!Y53*БДДРН!AI102/100</f>
        <v>15367.890108457634</v>
      </c>
    </row>
    <row r="54" spans="1:26">
      <c r="B54" s="760" t="s">
        <v>710</v>
      </c>
      <c r="E54" s="782">
        <f t="shared" ref="E54:J54" si="7">E50/E53*100</f>
        <v>173.5</v>
      </c>
      <c r="F54" s="782">
        <f t="shared" si="7"/>
        <v>165.10329814627249</v>
      </c>
      <c r="G54" s="782">
        <f t="shared" si="7"/>
        <v>164.71433419828296</v>
      </c>
      <c r="H54" s="782">
        <f t="shared" si="7"/>
        <v>164.3080419311782</v>
      </c>
      <c r="I54" s="782">
        <f t="shared" si="7"/>
        <v>155.33028331136481</v>
      </c>
      <c r="J54" s="782">
        <f t="shared" si="7"/>
        <v>161.52143652149257</v>
      </c>
      <c r="K54" s="782">
        <f t="shared" ref="K54:Q54" si="8">K50/K53*100</f>
        <v>165.25249096262445</v>
      </c>
      <c r="L54" s="782">
        <f t="shared" si="8"/>
        <v>168.464737473448</v>
      </c>
      <c r="M54" s="782">
        <f t="shared" si="8"/>
        <v>171.40147737797304</v>
      </c>
      <c r="N54" s="782">
        <f t="shared" si="8"/>
        <v>174.3166789983143</v>
      </c>
      <c r="O54" s="782">
        <f t="shared" si="8"/>
        <v>177.40116054943755</v>
      </c>
      <c r="P54" s="782">
        <f t="shared" si="8"/>
        <v>180.66665984989888</v>
      </c>
      <c r="Q54" s="782">
        <f t="shared" si="8"/>
        <v>184.17334030462558</v>
      </c>
      <c r="R54" s="782">
        <f t="shared" ref="R54:W54" si="9">R50/R53*100</f>
        <v>187.53938401048401</v>
      </c>
      <c r="S54" s="782">
        <f t="shared" si="9"/>
        <v>191.15245333662867</v>
      </c>
      <c r="T54" s="782">
        <f t="shared" si="9"/>
        <v>194.15778241674485</v>
      </c>
      <c r="U54" s="782">
        <f t="shared" si="9"/>
        <v>198.19635484198699</v>
      </c>
      <c r="V54" s="782">
        <f t="shared" si="9"/>
        <v>201.72599554005953</v>
      </c>
      <c r="W54" s="782">
        <f t="shared" si="9"/>
        <v>205.63183268857816</v>
      </c>
      <c r="X54" s="782">
        <f>X50/X53*100</f>
        <v>209.19702998626497</v>
      </c>
      <c r="Y54" s="782">
        <f>Y50/Y53*100</f>
        <v>212.75675467406657</v>
      </c>
      <c r="Z54" s="782">
        <f>Z50/Z53*100</f>
        <v>216.22745160173559</v>
      </c>
    </row>
    <row r="56" spans="1:26">
      <c r="B56" s="760" t="s">
        <v>711</v>
      </c>
      <c r="D56" s="618">
        <v>7</v>
      </c>
      <c r="E56" s="618">
        <v>6617</v>
      </c>
      <c r="F56" s="618">
        <v>7741</v>
      </c>
      <c r="G56" s="618">
        <v>8558</v>
      </c>
      <c r="H56" s="658">
        <v>9151</v>
      </c>
      <c r="I56" s="618">
        <v>10188</v>
      </c>
    </row>
    <row r="57" spans="1:26">
      <c r="F57" s="783">
        <f>F56/E56</f>
        <v>1.1698654979598004</v>
      </c>
      <c r="G57" s="783">
        <f>G56/F56</f>
        <v>1.1055419196486242</v>
      </c>
      <c r="H57" s="783">
        <f>H56/G56</f>
        <v>1.0692918906286515</v>
      </c>
      <c r="I57" s="783">
        <f>I56/H56</f>
        <v>1.1133209485302153</v>
      </c>
    </row>
    <row r="60" spans="1:26" ht="18.75">
      <c r="A60" s="794" t="s">
        <v>713</v>
      </c>
    </row>
    <row r="62" spans="1:26">
      <c r="B62" s="625"/>
      <c r="C62" s="626">
        <v>2012</v>
      </c>
      <c r="D62" s="626">
        <v>2013</v>
      </c>
      <c r="E62" s="625">
        <v>2014</v>
      </c>
      <c r="F62" s="626">
        <v>2015</v>
      </c>
      <c r="G62" s="626">
        <v>2016</v>
      </c>
      <c r="H62" s="659">
        <v>2017</v>
      </c>
      <c r="I62" s="627">
        <v>2018</v>
      </c>
      <c r="J62" s="626">
        <v>2019</v>
      </c>
      <c r="K62" s="627">
        <v>2020</v>
      </c>
      <c r="L62" s="626">
        <v>2021</v>
      </c>
      <c r="M62" s="627">
        <v>2022</v>
      </c>
      <c r="N62" s="626">
        <v>2023</v>
      </c>
      <c r="O62" s="627">
        <v>2024</v>
      </c>
      <c r="P62" s="626">
        <v>2025</v>
      </c>
      <c r="Q62" s="627">
        <v>2026</v>
      </c>
      <c r="R62" s="626">
        <v>2027</v>
      </c>
      <c r="S62" s="627">
        <v>2028</v>
      </c>
      <c r="T62" s="626">
        <v>2029</v>
      </c>
      <c r="U62" s="627">
        <v>2030</v>
      </c>
      <c r="V62" s="626">
        <v>2031</v>
      </c>
      <c r="W62" s="627">
        <v>2032</v>
      </c>
      <c r="X62" s="626">
        <v>2033</v>
      </c>
      <c r="Y62" s="627">
        <v>2034</v>
      </c>
      <c r="Z62" s="626">
        <v>2035</v>
      </c>
    </row>
    <row r="63" spans="1:26">
      <c r="B63" s="804" t="s">
        <v>604</v>
      </c>
      <c r="C63" s="805"/>
      <c r="D63" s="805"/>
      <c r="E63" s="805"/>
      <c r="F63" s="805"/>
      <c r="G63" s="805"/>
      <c r="H63" s="805"/>
      <c r="I63" s="806"/>
    </row>
    <row r="64" spans="1:26">
      <c r="B64" s="628" t="s">
        <v>605</v>
      </c>
      <c r="C64" s="629">
        <f t="shared" ref="C64:I64" si="10">C68*C69</f>
        <v>3226.6673213940003</v>
      </c>
      <c r="D64" s="629">
        <f t="shared" si="10"/>
        <v>3603.4352358179999</v>
      </c>
      <c r="E64" s="629">
        <f t="shared" si="10"/>
        <v>3914.8251615439999</v>
      </c>
      <c r="F64" s="629">
        <f t="shared" si="10"/>
        <v>4059.1373366822991</v>
      </c>
      <c r="G64" s="629">
        <f t="shared" si="10"/>
        <v>4428.312507112013</v>
      </c>
      <c r="H64" s="660">
        <f t="shared" si="10"/>
        <v>4903.4443399839474</v>
      </c>
      <c r="I64" s="630">
        <f t="shared" si="10"/>
        <v>5381.537405714098</v>
      </c>
      <c r="J64" s="630">
        <f t="shared" ref="J64:Z64" si="11">J68*J69</f>
        <v>0</v>
      </c>
      <c r="K64" s="630">
        <f t="shared" si="11"/>
        <v>0</v>
      </c>
      <c r="L64" s="630">
        <f t="shared" si="11"/>
        <v>0</v>
      </c>
      <c r="M64" s="630">
        <f t="shared" si="11"/>
        <v>0</v>
      </c>
      <c r="N64" s="630">
        <f t="shared" si="11"/>
        <v>0</v>
      </c>
      <c r="O64" s="630">
        <f t="shared" si="11"/>
        <v>0</v>
      </c>
      <c r="P64" s="630">
        <f t="shared" si="11"/>
        <v>0</v>
      </c>
      <c r="Q64" s="630">
        <f t="shared" si="11"/>
        <v>0</v>
      </c>
      <c r="R64" s="630">
        <f t="shared" si="11"/>
        <v>0</v>
      </c>
      <c r="S64" s="630">
        <f t="shared" si="11"/>
        <v>0</v>
      </c>
      <c r="T64" s="630">
        <f t="shared" si="11"/>
        <v>0</v>
      </c>
      <c r="U64" s="630">
        <f t="shared" si="11"/>
        <v>0</v>
      </c>
      <c r="V64" s="630">
        <f t="shared" si="11"/>
        <v>0</v>
      </c>
      <c r="W64" s="630">
        <f t="shared" si="11"/>
        <v>0</v>
      </c>
      <c r="X64" s="630">
        <f t="shared" si="11"/>
        <v>0</v>
      </c>
      <c r="Y64" s="630">
        <f t="shared" si="11"/>
        <v>0</v>
      </c>
      <c r="Z64" s="630">
        <f t="shared" si="11"/>
        <v>0</v>
      </c>
    </row>
    <row r="65" spans="2:26">
      <c r="B65" s="631" t="s">
        <v>611</v>
      </c>
      <c r="C65" s="632"/>
      <c r="D65" s="632"/>
      <c r="E65" s="632"/>
      <c r="F65" s="632">
        <f ca="1">БДДРН!O155</f>
        <v>41.5</v>
      </c>
      <c r="G65" s="632">
        <f ca="1">БДДРН!P155</f>
        <v>41.54</v>
      </c>
      <c r="H65" s="632">
        <f ca="1">БДДРН!Q155</f>
        <v>42.03</v>
      </c>
      <c r="I65" s="633">
        <f ca="1">БДДРН!R155</f>
        <v>43.23</v>
      </c>
      <c r="J65" s="632">
        <f ca="1">БДДРН!S191</f>
        <v>0</v>
      </c>
      <c r="K65" s="632">
        <f ca="1">БДДРН!T191</f>
        <v>0</v>
      </c>
      <c r="L65" s="632">
        <f ca="1">БДДРН!U191</f>
        <v>0</v>
      </c>
      <c r="M65" s="632">
        <f ca="1">БДДРН!V191</f>
        <v>0</v>
      </c>
      <c r="N65" s="632">
        <f ca="1">БДДРН!W191</f>
        <v>0</v>
      </c>
      <c r="O65" s="632">
        <f ca="1">БДДРН!X191</f>
        <v>0</v>
      </c>
      <c r="P65" s="632">
        <f ca="1">БДДРН!Y191</f>
        <v>0</v>
      </c>
      <c r="Q65" s="632">
        <f ca="1">БДДРН!Z191</f>
        <v>0</v>
      </c>
      <c r="R65" s="632">
        <f ca="1">БДДРН!AA191</f>
        <v>0</v>
      </c>
      <c r="S65" s="632">
        <f ca="1">БДДРН!AB191</f>
        <v>0</v>
      </c>
      <c r="T65" s="632">
        <f ca="1">БДДРН!AC191</f>
        <v>0</v>
      </c>
      <c r="U65" s="632">
        <f ca="1">БДДРН!AD191</f>
        <v>0</v>
      </c>
      <c r="V65" s="632">
        <f ca="1">БДДРН!AE191</f>
        <v>0</v>
      </c>
      <c r="W65" s="632">
        <f ca="1">БДДРН!AF191</f>
        <v>0</v>
      </c>
      <c r="X65" s="632">
        <f ca="1">БДДРН!AG191</f>
        <v>0</v>
      </c>
      <c r="Y65" s="632">
        <f ca="1">БДДРН!AH191</f>
        <v>0</v>
      </c>
      <c r="Z65" s="632">
        <f ca="1">БДДРН!AI191</f>
        <v>0</v>
      </c>
    </row>
    <row r="66" spans="2:26">
      <c r="B66" s="631"/>
      <c r="C66" s="632"/>
      <c r="D66" s="632"/>
      <c r="E66" s="632"/>
      <c r="F66" s="632"/>
      <c r="G66" s="632">
        <f t="shared" ref="G66:Z66" si="12">(G64/G65)/(F64/F65)</f>
        <v>1.0898986649528883</v>
      </c>
      <c r="H66" s="632">
        <f t="shared" si="12"/>
        <v>1.0943848959253333</v>
      </c>
      <c r="I66" s="633">
        <f t="shared" si="12"/>
        <v>1.0670364811468085</v>
      </c>
      <c r="J66" s="632" t="e">
        <f t="shared" si="12"/>
        <v>#DIV/0!</v>
      </c>
      <c r="K66" s="632" t="e">
        <f t="shared" si="12"/>
        <v>#DIV/0!</v>
      </c>
      <c r="L66" s="632" t="e">
        <f t="shared" si="12"/>
        <v>#DIV/0!</v>
      </c>
      <c r="M66" s="632" t="e">
        <f t="shared" si="12"/>
        <v>#DIV/0!</v>
      </c>
      <c r="N66" s="632" t="e">
        <f t="shared" si="12"/>
        <v>#DIV/0!</v>
      </c>
      <c r="O66" s="632" t="e">
        <f t="shared" si="12"/>
        <v>#DIV/0!</v>
      </c>
      <c r="P66" s="632" t="e">
        <f t="shared" si="12"/>
        <v>#DIV/0!</v>
      </c>
      <c r="Q66" s="632" t="e">
        <f t="shared" si="12"/>
        <v>#DIV/0!</v>
      </c>
      <c r="R66" s="632" t="e">
        <f t="shared" si="12"/>
        <v>#DIV/0!</v>
      </c>
      <c r="S66" s="632" t="e">
        <f t="shared" si="12"/>
        <v>#DIV/0!</v>
      </c>
      <c r="T66" s="632" t="e">
        <f t="shared" si="12"/>
        <v>#DIV/0!</v>
      </c>
      <c r="U66" s="632" t="e">
        <f t="shared" si="12"/>
        <v>#DIV/0!</v>
      </c>
      <c r="V66" s="632" t="e">
        <f t="shared" si="12"/>
        <v>#DIV/0!</v>
      </c>
      <c r="W66" s="632" t="e">
        <f t="shared" si="12"/>
        <v>#DIV/0!</v>
      </c>
      <c r="X66" s="632" t="e">
        <f t="shared" si="12"/>
        <v>#DIV/0!</v>
      </c>
      <c r="Y66" s="632" t="e">
        <f t="shared" si="12"/>
        <v>#DIV/0!</v>
      </c>
      <c r="Z66" s="632" t="e">
        <f t="shared" si="12"/>
        <v>#DIV/0!</v>
      </c>
    </row>
    <row r="67" spans="2:26">
      <c r="B67" s="631"/>
      <c r="C67" s="632"/>
      <c r="D67" s="632">
        <f>D70/C70</f>
        <v>0.99494300213333542</v>
      </c>
      <c r="E67" s="632">
        <f>E70/D70</f>
        <v>1.0049241985605231</v>
      </c>
      <c r="F67" s="632">
        <f ca="1">F70/E70</f>
        <v>1.0154566333319139</v>
      </c>
      <c r="G67" s="632"/>
      <c r="H67" s="641"/>
      <c r="I67" s="633"/>
    </row>
    <row r="68" spans="2:26">
      <c r="B68" s="631" t="s">
        <v>552</v>
      </c>
      <c r="C68" s="634">
        <v>14666.669642700001</v>
      </c>
      <c r="D68" s="634">
        <v>16379.2510719</v>
      </c>
      <c r="E68" s="795">
        <v>17794.6598252</v>
      </c>
      <c r="F68" s="634">
        <v>18450.624257646814</v>
      </c>
      <c r="G68" s="634">
        <v>20128.693214145515</v>
      </c>
      <c r="H68" s="634">
        <v>22288.383363563396</v>
      </c>
      <c r="I68" s="635">
        <v>24461.533662336809</v>
      </c>
      <c r="J68" s="634">
        <f ca="1">БДДРН!S46</f>
        <v>0</v>
      </c>
      <c r="K68" s="634">
        <f ca="1">БДДРН!T46</f>
        <v>0</v>
      </c>
      <c r="L68" s="634">
        <f ca="1">БДДРН!U46</f>
        <v>0</v>
      </c>
      <c r="M68" s="634">
        <f ca="1">БДДРН!V46</f>
        <v>0</v>
      </c>
      <c r="N68" s="634">
        <f ca="1">БДДРН!W46</f>
        <v>0</v>
      </c>
      <c r="O68" s="634">
        <f ca="1">БДДРН!X46</f>
        <v>0</v>
      </c>
      <c r="P68" s="634">
        <f ca="1">БДДРН!Y46</f>
        <v>0</v>
      </c>
      <c r="Q68" s="634">
        <f ca="1">БДДРН!Z46</f>
        <v>0</v>
      </c>
      <c r="R68" s="634">
        <f ca="1">БДДРН!AA46</f>
        <v>0</v>
      </c>
      <c r="S68" s="634">
        <f ca="1">БДДРН!AB46</f>
        <v>0</v>
      </c>
      <c r="T68" s="634">
        <f ca="1">БДДРН!AC46</f>
        <v>0</v>
      </c>
      <c r="U68" s="634">
        <f ca="1">БДДРН!AD46</f>
        <v>0</v>
      </c>
      <c r="V68" s="634">
        <f ca="1">БДДРН!AE46</f>
        <v>0</v>
      </c>
      <c r="W68" s="634">
        <f ca="1">БДДРН!AF46</f>
        <v>0</v>
      </c>
      <c r="X68" s="634">
        <f ca="1">БДДРН!AG46</f>
        <v>0</v>
      </c>
      <c r="Y68" s="634">
        <f ca="1">БДДРН!AH46</f>
        <v>0</v>
      </c>
      <c r="Z68" s="634">
        <f ca="1">БДДРН!AI46</f>
        <v>0</v>
      </c>
    </row>
    <row r="69" spans="2:26">
      <c r="B69" s="636" t="s">
        <v>606</v>
      </c>
      <c r="C69" s="632">
        <v>0.22</v>
      </c>
      <c r="D69" s="632">
        <v>0.22</v>
      </c>
      <c r="E69" s="632">
        <v>0.22</v>
      </c>
      <c r="F69" s="632">
        <v>0.22</v>
      </c>
      <c r="G69" s="632">
        <v>0.22</v>
      </c>
      <c r="H69" s="641">
        <v>0.22</v>
      </c>
      <c r="I69" s="633">
        <v>0.22</v>
      </c>
      <c r="J69" s="633">
        <v>0.22</v>
      </c>
      <c r="K69" s="633">
        <v>0.22</v>
      </c>
      <c r="L69" s="633">
        <v>0.22</v>
      </c>
      <c r="M69" s="633">
        <v>0.22</v>
      </c>
      <c r="N69" s="633">
        <v>0.22</v>
      </c>
      <c r="O69" s="633">
        <v>0.22</v>
      </c>
      <c r="P69" s="633">
        <v>0.22</v>
      </c>
      <c r="Q69" s="633">
        <v>0.22</v>
      </c>
      <c r="R69" s="633">
        <v>0.22</v>
      </c>
      <c r="S69" s="633">
        <v>0.22</v>
      </c>
      <c r="T69" s="633">
        <v>0.22</v>
      </c>
      <c r="U69" s="633">
        <v>0.22</v>
      </c>
      <c r="V69" s="633">
        <v>0.22</v>
      </c>
      <c r="W69" s="633">
        <v>0.22</v>
      </c>
      <c r="X69" s="633">
        <v>0.22</v>
      </c>
      <c r="Y69" s="633">
        <v>0.22</v>
      </c>
      <c r="Z69" s="633">
        <v>0.22</v>
      </c>
    </row>
    <row r="70" spans="2:26">
      <c r="B70" s="636" t="s">
        <v>607</v>
      </c>
      <c r="C70" s="637">
        <f>C40</f>
        <v>0.82485348940275816</v>
      </c>
      <c r="D70" s="637">
        <f t="shared" ref="D70:I70" si="13">D40</f>
        <v>0.82068220706653761</v>
      </c>
      <c r="E70" s="637">
        <f t="shared" si="13"/>
        <v>0.82472340920922149</v>
      </c>
      <c r="F70" s="637">
        <f t="shared" si="13"/>
        <v>0.83747085654561437</v>
      </c>
      <c r="G70" s="637">
        <f t="shared" si="13"/>
        <v>0.8486131794999533</v>
      </c>
      <c r="H70" s="637">
        <f t="shared" si="13"/>
        <v>0.85885683574290161</v>
      </c>
      <c r="I70" s="791">
        <f t="shared" si="13"/>
        <v>0.86820182527445944</v>
      </c>
      <c r="J70" s="650">
        <f t="shared" ref="J70:U70" si="14">AVERAGE($E$37)*I70</f>
        <v>0.87247702345271938</v>
      </c>
      <c r="K70" s="650">
        <f t="shared" si="14"/>
        <v>0.87677327355569468</v>
      </c>
      <c r="L70" s="650">
        <f t="shared" si="14"/>
        <v>0.88109067924724271</v>
      </c>
      <c r="M70" s="650">
        <f t="shared" si="14"/>
        <v>0.88542934470168222</v>
      </c>
      <c r="N70" s="650">
        <f t="shared" si="14"/>
        <v>0.88978937460630714</v>
      </c>
      <c r="O70" s="650">
        <f t="shared" si="14"/>
        <v>0.89417087416391228</v>
      </c>
      <c r="P70" s="650">
        <f t="shared" si="14"/>
        <v>0.89857394909533184</v>
      </c>
      <c r="Q70" s="650">
        <f t="shared" si="14"/>
        <v>0.90299870564199058</v>
      </c>
      <c r="R70" s="650">
        <f t="shared" si="14"/>
        <v>0.90744525056846703</v>
      </c>
      <c r="S70" s="650">
        <f t="shared" si="14"/>
        <v>0.91191369116506982</v>
      </c>
      <c r="T70" s="650">
        <f t="shared" si="14"/>
        <v>0.91640413525042608</v>
      </c>
      <c r="U70" s="650">
        <f t="shared" si="14"/>
        <v>0.92091669117408359</v>
      </c>
      <c r="V70" s="650">
        <f>U70</f>
        <v>0.92091669117408359</v>
      </c>
      <c r="W70" s="650">
        <f>V70</f>
        <v>0.92091669117408359</v>
      </c>
      <c r="X70" s="650">
        <f>W70</f>
        <v>0.92091669117408359</v>
      </c>
      <c r="Y70" s="650">
        <f>X70</f>
        <v>0.92091669117408359</v>
      </c>
      <c r="Z70" s="650">
        <f>Y70</f>
        <v>0.92091669117408359</v>
      </c>
    </row>
    <row r="71" spans="2:26" ht="45">
      <c r="B71" s="636" t="s">
        <v>608</v>
      </c>
      <c r="C71" s="638">
        <f>C41</f>
        <v>3.5130478116695341E-2</v>
      </c>
      <c r="D71" s="638">
        <f t="shared" ref="D71:I71" si="15">D41</f>
        <v>3.62315229183355E-2</v>
      </c>
      <c r="E71" s="638">
        <f t="shared" si="15"/>
        <v>1.6585919999999997E-2</v>
      </c>
      <c r="F71" s="638">
        <f t="shared" si="15"/>
        <v>1.7223839999999997E-2</v>
      </c>
      <c r="G71" s="638">
        <f t="shared" si="15"/>
        <v>1.7888339999999999E-2</v>
      </c>
      <c r="H71" s="638">
        <f t="shared" si="15"/>
        <v>1.8663801724072011E-2</v>
      </c>
      <c r="I71" s="788">
        <f t="shared" si="15"/>
        <v>1.9223243665140399E-2</v>
      </c>
      <c r="J71" s="651">
        <v>1.9223243665140399E-2</v>
      </c>
      <c r="K71" s="651">
        <v>1.9223243665140399E-2</v>
      </c>
      <c r="L71" s="651">
        <v>1.9223243665140399E-2</v>
      </c>
      <c r="M71" s="651">
        <v>1.9223243665140399E-2</v>
      </c>
      <c r="N71" s="651">
        <v>1.9223243665140399E-2</v>
      </c>
      <c r="O71" s="651">
        <v>1.9223243665140399E-2</v>
      </c>
      <c r="P71" s="651">
        <v>1.9223243665140399E-2</v>
      </c>
      <c r="Q71" s="651">
        <v>1.9223243665140399E-2</v>
      </c>
      <c r="R71" s="651">
        <v>1.9223243665140399E-2</v>
      </c>
      <c r="S71" s="651">
        <v>1.9223243665140399E-2</v>
      </c>
      <c r="T71" s="651">
        <v>1.9223243665140399E-2</v>
      </c>
      <c r="U71" s="651">
        <v>1.9223243665140399E-2</v>
      </c>
      <c r="V71" s="651">
        <v>1.9223243665140399E-2</v>
      </c>
      <c r="W71" s="651">
        <v>1.9223243665140399E-2</v>
      </c>
      <c r="X71" s="651">
        <v>1.9223243665140399E-2</v>
      </c>
      <c r="Y71" s="651">
        <v>1.9223243665140399E-2</v>
      </c>
      <c r="Z71" s="651">
        <v>1.9223243665140399E-2</v>
      </c>
    </row>
    <row r="72" spans="2:26" ht="30">
      <c r="B72" s="639" t="s">
        <v>609</v>
      </c>
      <c r="C72" s="632"/>
      <c r="D72" s="632"/>
      <c r="E72" s="641">
        <f>E68*E71</f>
        <v>295.14080428798115</v>
      </c>
      <c r="F72" s="641">
        <f>F68*F71</f>
        <v>317.79060011382745</v>
      </c>
      <c r="G72" s="641">
        <f>G68*G71</f>
        <v>360.06890797032776</v>
      </c>
      <c r="H72" s="641">
        <f>H68*H71</f>
        <v>415.98596784765243</v>
      </c>
      <c r="I72" s="785">
        <f>I68*I71</f>
        <v>470.2300220141347</v>
      </c>
      <c r="J72" s="642">
        <f t="shared" ref="J72:Z72" si="16">J68*J71</f>
        <v>0</v>
      </c>
      <c r="K72" s="642">
        <f t="shared" si="16"/>
        <v>0</v>
      </c>
      <c r="L72" s="642">
        <f t="shared" si="16"/>
        <v>0</v>
      </c>
      <c r="M72" s="642">
        <f t="shared" si="16"/>
        <v>0</v>
      </c>
      <c r="N72" s="642">
        <f t="shared" si="16"/>
        <v>0</v>
      </c>
      <c r="O72" s="642">
        <f t="shared" si="16"/>
        <v>0</v>
      </c>
      <c r="P72" s="642">
        <f t="shared" si="16"/>
        <v>0</v>
      </c>
      <c r="Q72" s="642">
        <f t="shared" si="16"/>
        <v>0</v>
      </c>
      <c r="R72" s="642">
        <f t="shared" si="16"/>
        <v>0</v>
      </c>
      <c r="S72" s="642">
        <f t="shared" si="16"/>
        <v>0</v>
      </c>
      <c r="T72" s="642">
        <f t="shared" si="16"/>
        <v>0</v>
      </c>
      <c r="U72" s="642">
        <f t="shared" si="16"/>
        <v>0</v>
      </c>
      <c r="V72" s="642">
        <f t="shared" si="16"/>
        <v>0</v>
      </c>
      <c r="W72" s="642">
        <f t="shared" si="16"/>
        <v>0</v>
      </c>
      <c r="X72" s="642">
        <f t="shared" si="16"/>
        <v>0</v>
      </c>
      <c r="Y72" s="642">
        <f t="shared" si="16"/>
        <v>0</v>
      </c>
      <c r="Z72" s="642">
        <f t="shared" si="16"/>
        <v>0</v>
      </c>
    </row>
    <row r="73" spans="2:26">
      <c r="B73" s="796" t="s">
        <v>716</v>
      </c>
      <c r="C73" s="792"/>
      <c r="D73" s="660"/>
      <c r="E73" s="660">
        <f ca="1">БДДРН!N168</f>
        <v>5442.9960000000001</v>
      </c>
      <c r="F73" s="660">
        <f ca="1">БДДРН!O168</f>
        <v>6133.3035274847925</v>
      </c>
      <c r="G73" s="660">
        <f ca="1">БДДРН!P168</f>
        <v>6476.8719783364513</v>
      </c>
      <c r="H73" s="660">
        <f ca="1">БДДРН!Q168</f>
        <v>6848.1695008595989</v>
      </c>
      <c r="I73" s="793">
        <f ca="1">БДДРН!R168</f>
        <v>7325.4395009052305</v>
      </c>
      <c r="J73" s="629" t="e">
        <f>#REF!*#REF!</f>
        <v>#REF!</v>
      </c>
      <c r="K73" s="629" t="e">
        <f>#REF!*#REF!</f>
        <v>#REF!</v>
      </c>
      <c r="L73" s="629" t="e">
        <f>#REF!*#REF!</f>
        <v>#REF!</v>
      </c>
      <c r="M73" s="629" t="e">
        <f>#REF!*#REF!</f>
        <v>#REF!</v>
      </c>
      <c r="N73" s="629" t="e">
        <f>#REF!*#REF!</f>
        <v>#REF!</v>
      </c>
      <c r="O73" s="629" t="e">
        <f>#REF!*#REF!</f>
        <v>#REF!</v>
      </c>
      <c r="P73" s="629" t="e">
        <f>#REF!*#REF!</f>
        <v>#REF!</v>
      </c>
      <c r="Q73" s="629" t="e">
        <f>#REF!*#REF!</f>
        <v>#REF!</v>
      </c>
      <c r="R73" s="629" t="e">
        <f>#REF!*#REF!</f>
        <v>#REF!</v>
      </c>
      <c r="S73" s="629" t="e">
        <f>#REF!*#REF!</f>
        <v>#REF!</v>
      </c>
      <c r="T73" s="629" t="e">
        <f>#REF!*#REF!</f>
        <v>#REF!</v>
      </c>
      <c r="U73" s="629" t="e">
        <f>#REF!*#REF!</f>
        <v>#REF!</v>
      </c>
      <c r="V73" s="629" t="e">
        <f>#REF!*#REF!</f>
        <v>#REF!</v>
      </c>
      <c r="W73" s="629" t="e">
        <f>#REF!*#REF!</f>
        <v>#REF!</v>
      </c>
      <c r="X73" s="629" t="e">
        <f>#REF!*#REF!</f>
        <v>#REF!</v>
      </c>
      <c r="Y73" s="629" t="e">
        <f>#REF!*#REF!</f>
        <v>#REF!</v>
      </c>
      <c r="Z73" s="629" t="e">
        <f>#REF!*#REF!</f>
        <v>#REF!</v>
      </c>
    </row>
    <row r="74" spans="2:26">
      <c r="B74" s="646"/>
      <c r="C74" s="646"/>
      <c r="D74" s="640"/>
      <c r="E74" s="640"/>
      <c r="F74" s="640"/>
      <c r="G74" s="640"/>
      <c r="H74" s="648"/>
      <c r="I74" s="647"/>
    </row>
    <row r="75" spans="2:26">
      <c r="B75" s="789" t="s">
        <v>714</v>
      </c>
      <c r="C75" s="625"/>
      <c r="D75" s="626"/>
      <c r="E75" s="659"/>
      <c r="F75" s="659">
        <f>F64-F73</f>
        <v>-2074.1661908024935</v>
      </c>
      <c r="G75" s="659">
        <f>G64-G73</f>
        <v>-2048.5594712244383</v>
      </c>
      <c r="H75" s="659">
        <f>H64-H73</f>
        <v>-1944.7251608756515</v>
      </c>
      <c r="I75" s="790">
        <f>I64-I73</f>
        <v>-1943.9020951911325</v>
      </c>
    </row>
    <row r="77" spans="2:26">
      <c r="F77" s="649"/>
      <c r="G77" s="649"/>
    </row>
    <row r="78" spans="2:26" s="797" customFormat="1">
      <c r="B78" s="797" t="s">
        <v>715</v>
      </c>
      <c r="F78" s="798">
        <f>F45-F75</f>
        <v>72.086841457765331</v>
      </c>
      <c r="G78" s="798">
        <f>G45-G75</f>
        <v>-311.68103180388516</v>
      </c>
      <c r="H78" s="798">
        <f>H45-H75</f>
        <v>-570.93299077660413</v>
      </c>
      <c r="I78" s="798">
        <f>I45-I75</f>
        <v>-783.94345352428445</v>
      </c>
    </row>
    <row r="81" spans="2:26">
      <c r="B81" s="740" t="s">
        <v>684</v>
      </c>
      <c r="C81" s="649">
        <f>'[16]вар 1'!O19</f>
        <v>26628.879210273688</v>
      </c>
      <c r="D81" s="649">
        <f>'[16]вар 1'!P19</f>
        <v>29791.957273214997</v>
      </c>
      <c r="E81" s="649">
        <f>'[16]вар 1'!Q19</f>
        <v>32494.625006215891</v>
      </c>
      <c r="F81" s="649">
        <f>'[16]вар 1'!R19</f>
        <v>33773.281345940573</v>
      </c>
      <c r="G81" s="649">
        <f>'[16]вар 1'!S19</f>
        <v>36232.786042495216</v>
      </c>
      <c r="H81" s="649">
        <f>'[16]вар 1'!T19</f>
        <v>39516.270577532552</v>
      </c>
      <c r="I81" s="649">
        <f>'[16]вар 1'!U19</f>
        <v>43066.326336978447</v>
      </c>
      <c r="J81" s="649">
        <f>'[16]вар 1'!V19</f>
        <v>45927.414442829708</v>
      </c>
      <c r="K81" s="649">
        <f>'[16]вар 1'!W19</f>
        <v>48560.650534633911</v>
      </c>
      <c r="L81" s="649">
        <f>'[16]вар 1'!X19</f>
        <v>51296.57992689604</v>
      </c>
      <c r="M81" s="649">
        <f>'[16]вар 1'!Y19</f>
        <v>54199.765873213284</v>
      </c>
      <c r="N81" s="649">
        <f>'[16]вар 1'!Z19</f>
        <v>57341.457024365533</v>
      </c>
      <c r="O81" s="649">
        <f>'[16]вар 1'!AA19</f>
        <v>60675.95046121793</v>
      </c>
      <c r="P81" s="649">
        <f>'[16]вар 1'!AB19</f>
        <v>64222.824495667541</v>
      </c>
      <c r="Q81" s="649">
        <f>'[16]вар 1'!AC19</f>
        <v>67986.669195968105</v>
      </c>
      <c r="R81" s="649">
        <f>'[16]вар 1'!AD19</f>
        <v>71965.965467693735</v>
      </c>
      <c r="S81" s="649">
        <f>'[16]вар 1'!AE19</f>
        <v>76069.727750396822</v>
      </c>
      <c r="T81" s="649">
        <f>'[16]вар 1'!AF19</f>
        <v>80572.328508856692</v>
      </c>
      <c r="U81" s="649">
        <f>'[16]вар 1'!AG19</f>
        <v>85048.209871440326</v>
      </c>
      <c r="V81" s="649">
        <f>'[16]вар 1'!AH19</f>
        <v>89958.699510051243</v>
      </c>
      <c r="W81" s="649">
        <f>'[16]вар 1'!AI19</f>
        <v>94838.704962979289</v>
      </c>
      <c r="X81" s="649">
        <f>'[16]вар 1'!AJ19</f>
        <v>99912.984980044072</v>
      </c>
      <c r="Y81" s="649">
        <f>'[16]вар 1'!AK19</f>
        <v>105127.86712636483</v>
      </c>
      <c r="Z81" s="649">
        <f>'[16]вар 1'!AL19</f>
        <v>110669.900648749</v>
      </c>
    </row>
    <row r="82" spans="2:26">
      <c r="B82" s="740" t="s">
        <v>491</v>
      </c>
      <c r="E82" s="618">
        <f ca="1">БДДРН!N164</f>
        <v>11063</v>
      </c>
      <c r="F82" s="618">
        <f ca="1">БДДРН!O164</f>
        <v>12315.870537118057</v>
      </c>
      <c r="G82" s="618">
        <f ca="1">БДДРН!P164</f>
        <v>12993.243416659549</v>
      </c>
      <c r="H82" s="618">
        <f ca="1">БДДРН!Q164</f>
        <v>13577.939370409229</v>
      </c>
      <c r="I82" s="618">
        <f ca="1">БДДРН!R164</f>
        <v>14121.056945225599</v>
      </c>
      <c r="J82" s="618">
        <f ca="1">БДДРН!S164</f>
        <v>15097.269068279806</v>
      </c>
      <c r="K82" s="618">
        <f ca="1">БДДРН!T164</f>
        <v>15846.276727232358</v>
      </c>
      <c r="L82" s="618">
        <f ca="1">БДДРН!U164</f>
        <v>16540.503842701048</v>
      </c>
      <c r="M82" s="618">
        <f ca="1">БДДРН!V164</f>
        <v>17245.447311365439</v>
      </c>
      <c r="N82" s="618">
        <f ca="1">БДДРН!W164</f>
        <v>17993.336878989772</v>
      </c>
      <c r="O82" s="618">
        <f ca="1">БДДРН!X164</f>
        <v>18801.027705082262</v>
      </c>
      <c r="P82" s="618">
        <f ca="1">БДДРН!Y164</f>
        <v>19657.582824610661</v>
      </c>
      <c r="Q82" s="618">
        <f ca="1">БДДРН!Z164</f>
        <v>20560.787882983001</v>
      </c>
      <c r="R82" s="618">
        <f ca="1">БДДРН!AA164</f>
        <v>21507.135464004728</v>
      </c>
      <c r="S82" s="618">
        <f ca="1">БДДРН!AB164</f>
        <v>22511.144523130817</v>
      </c>
      <c r="T82" s="618">
        <f ca="1">БДДРН!AC164</f>
        <v>23542.705022048696</v>
      </c>
      <c r="U82" s="618">
        <f ca="1">БДДРН!AD164</f>
        <v>24682.225069066662</v>
      </c>
      <c r="V82" s="618">
        <f ca="1">БДДРН!AE164</f>
        <v>25801.063047929776</v>
      </c>
      <c r="W82" s="618">
        <f ca="1">БДДРН!AF164</f>
        <v>27011.77763994893</v>
      </c>
      <c r="X82" s="618">
        <f ca="1">БДДРН!AG164</f>
        <v>28223.145940369955</v>
      </c>
      <c r="Y82" s="618">
        <f ca="1">БДДРН!AH164</f>
        <v>29479.516163863234</v>
      </c>
      <c r="Z82" s="618">
        <f ca="1">БДДРН!AI164</f>
        <v>30770.525366215756</v>
      </c>
    </row>
    <row r="83" spans="2:26">
      <c r="B83" s="740" t="s">
        <v>683</v>
      </c>
      <c r="E83" s="759">
        <f ca="1">E82/E81*100</f>
        <v>34.045630617013614</v>
      </c>
      <c r="F83" s="759">
        <f t="shared" ref="F83:Z83" si="17">F82/F81*100</f>
        <v>36.46631315141186</v>
      </c>
      <c r="G83" s="759">
        <f t="shared" si="17"/>
        <v>35.860459091996319</v>
      </c>
      <c r="H83" s="759">
        <f t="shared" si="17"/>
        <v>34.360376553674904</v>
      </c>
      <c r="I83" s="759">
        <f t="shared" si="17"/>
        <v>32.789091028413772</v>
      </c>
      <c r="J83" s="759">
        <f t="shared" si="17"/>
        <v>32.872020451037656</v>
      </c>
      <c r="K83" s="759">
        <f t="shared" si="17"/>
        <v>32.631928429234378</v>
      </c>
      <c r="L83" s="759">
        <f t="shared" si="17"/>
        <v>32.244847251558113</v>
      </c>
      <c r="M83" s="759">
        <f t="shared" si="17"/>
        <v>31.818305916130385</v>
      </c>
      <c r="N83" s="759">
        <f t="shared" si="17"/>
        <v>31.379280912488923</v>
      </c>
      <c r="O83" s="759">
        <f t="shared" si="17"/>
        <v>30.985963239420965</v>
      </c>
      <c r="P83" s="759">
        <f t="shared" si="17"/>
        <v>30.608405935084278</v>
      </c>
      <c r="Q83" s="759">
        <f t="shared" si="17"/>
        <v>30.242381522938828</v>
      </c>
      <c r="R83" s="759">
        <f t="shared" si="17"/>
        <v>29.885148242275029</v>
      </c>
      <c r="S83" s="759">
        <f t="shared" si="17"/>
        <v>29.592776507621178</v>
      </c>
      <c r="T83" s="759">
        <f t="shared" si="17"/>
        <v>29.219342990020237</v>
      </c>
      <c r="U83" s="759">
        <f t="shared" si="17"/>
        <v>29.021451605361882</v>
      </c>
      <c r="V83" s="759">
        <f t="shared" si="17"/>
        <v>28.681009383697216</v>
      </c>
      <c r="W83" s="759">
        <f t="shared" si="17"/>
        <v>28.481807770881201</v>
      </c>
      <c r="X83" s="759">
        <f t="shared" si="17"/>
        <v>28.247725704528847</v>
      </c>
      <c r="Y83" s="759">
        <f t="shared" si="17"/>
        <v>28.041581142732152</v>
      </c>
      <c r="Z83" s="759">
        <f t="shared" si="17"/>
        <v>27.803879090735933</v>
      </c>
    </row>
    <row r="85" spans="2:26">
      <c r="B85" s="760" t="s">
        <v>697</v>
      </c>
      <c r="E85" s="649">
        <f ca="1">100*E82/173.5</f>
        <v>6376.3688760806917</v>
      </c>
      <c r="F85" s="649">
        <f ca="1">F89*E85</f>
        <v>7459.4939503915111</v>
      </c>
      <c r="G85" s="649">
        <f ca="1">G89*F85</f>
        <v>8246.7832615231309</v>
      </c>
      <c r="H85" s="649">
        <f ca="1">H89*G85</f>
        <v>8818.2184653187851</v>
      </c>
      <c r="I85" s="649">
        <f ca="1">I89*H85</f>
        <v>9817.5073461553693</v>
      </c>
      <c r="J85" s="649">
        <f ca="1">'Пенсионные выплаты'!I85*БДДРН!S138/100</f>
        <v>1186388.5312692963</v>
      </c>
      <c r="K85" s="649">
        <f ca="1">'Пенсионные выплаты'!J85*БДДРН!T138/100</f>
        <v>150848089.94088972</v>
      </c>
      <c r="L85" s="649">
        <f ca="1">'Пенсионные выплаты'!K85*БДДРН!U138/100</f>
        <v>20647142711.168285</v>
      </c>
      <c r="M85" s="649">
        <f ca="1">'Пенсионные выплаты'!L85*БДДРН!V138/100</f>
        <v>3051791906521.8076</v>
      </c>
      <c r="N85" s="649">
        <f ca="1">'Пенсионные выплаты'!M85*БДДРН!W138/100</f>
        <v>487434940667253.19</v>
      </c>
      <c r="O85" s="649">
        <f ca="1">'Пенсионные выплаты'!N85*БДДРН!X138/100</f>
        <v>8.4221233249546384E+16</v>
      </c>
      <c r="P85" s="649">
        <f ca="1">'Пенсионные выплаты'!O85*БДДРН!Y138/100</f>
        <v>1.5760019084504773E+19</v>
      </c>
      <c r="Q85" s="649">
        <f ca="1">'Пенсионные выплаты'!P85*БДДРН!Z138/100</f>
        <v>3.200994273541616E+21</v>
      </c>
      <c r="R85" s="649">
        <f ca="1">'Пенсионные выплаты'!Q85*БДДРН!AA138/100</f>
        <v>7.0425349408471332E+23</v>
      </c>
      <c r="S85" s="649">
        <f ca="1">'Пенсионные выплаты'!R85*БДДРН!AB138/100</f>
        <v>1.6774024275582879E+26</v>
      </c>
      <c r="T85" s="649">
        <f ca="1">'Пенсионные выплаты'!S85*БДДРН!AC138/100</f>
        <v>4.3119242823856822E+28</v>
      </c>
      <c r="U85" s="649">
        <f ca="1">'Пенсионные выплаты'!T85*БДДРН!AD138/100</f>
        <v>1.195978322708573E+31</v>
      </c>
      <c r="V85" s="649">
        <f ca="1">'Пенсионные выплаты'!U85*БДДРН!AE138/100</f>
        <v>3.5134947903779116E+33</v>
      </c>
      <c r="W85" s="649">
        <f ca="1">'Пенсионные выплаты'!V85*БДДРН!AF138/100</f>
        <v>1.0922368251148807E+36</v>
      </c>
      <c r="X85" s="649">
        <f ca="1">'Пенсионные выплаты'!W85*БДДРН!AG138/100</f>
        <v>3.5919755263465884E+38</v>
      </c>
      <c r="Y85" s="649">
        <f ca="1">'Пенсионные выплаты'!X85*БДДРН!AH138/100</f>
        <v>1.2459410407683861E+41</v>
      </c>
      <c r="Z85" s="649">
        <f ca="1">'Пенсионные выплаты'!Y85*БДДРН!AI138/100</f>
        <v>4.5477544164771023E+43</v>
      </c>
    </row>
    <row r="86" spans="2:26">
      <c r="B86" s="760" t="s">
        <v>710</v>
      </c>
      <c r="E86" s="782">
        <f t="shared" ref="E86:J86" si="18">E82/E85*100</f>
        <v>173.5</v>
      </c>
      <c r="F86" s="782">
        <f t="shared" si="18"/>
        <v>165.10329814627249</v>
      </c>
      <c r="G86" s="782">
        <f t="shared" si="18"/>
        <v>157.55529161633109</v>
      </c>
      <c r="H86" s="782">
        <f t="shared" si="18"/>
        <v>153.97599213276439</v>
      </c>
      <c r="I86" s="782">
        <f t="shared" si="18"/>
        <v>143.83546095084452</v>
      </c>
      <c r="J86" s="782">
        <f t="shared" si="18"/>
        <v>1.2725400381380543</v>
      </c>
      <c r="K86" s="782">
        <f t="shared" ref="K86:Q86" si="19">K82/K85*100</f>
        <v>1.0504791100398932E-2</v>
      </c>
      <c r="L86" s="782">
        <f t="shared" si="19"/>
        <v>8.0110376888876204E-5</v>
      </c>
      <c r="M86" s="782">
        <f t="shared" si="19"/>
        <v>5.6509250432544871E-7</v>
      </c>
      <c r="N86" s="782">
        <f t="shared" si="19"/>
        <v>3.6914335386705276E-9</v>
      </c>
      <c r="O86" s="782">
        <f t="shared" si="19"/>
        <v>2.2323382096976743E-11</v>
      </c>
      <c r="P86" s="782">
        <f t="shared" si="19"/>
        <v>1.2473070444399375E-13</v>
      </c>
      <c r="Q86" s="782">
        <f t="shared" si="19"/>
        <v>6.4232504421928609E-16</v>
      </c>
      <c r="R86" s="782">
        <f t="shared" ref="R86:W86" si="20">R82/R85*100</f>
        <v>3.0538911975092986E-18</v>
      </c>
      <c r="S86" s="782">
        <f t="shared" si="20"/>
        <v>1.3420240815973529E-20</v>
      </c>
      <c r="T86" s="782">
        <f t="shared" si="20"/>
        <v>5.459906872256832E-23</v>
      </c>
      <c r="U86" s="782">
        <f t="shared" si="20"/>
        <v>2.0637685985117174E-25</v>
      </c>
      <c r="V86" s="782">
        <f t="shared" si="20"/>
        <v>7.3434186151602669E-28</v>
      </c>
      <c r="W86" s="782">
        <f t="shared" si="20"/>
        <v>2.4730696694013999E-30</v>
      </c>
      <c r="X86" s="782">
        <f>X82/X85*100</f>
        <v>7.8572767919373382E-33</v>
      </c>
      <c r="Y86" s="782">
        <f>Y82/Y85*100</f>
        <v>2.3660442347803937E-35</v>
      </c>
      <c r="Z86" s="782">
        <f>Z82/Z85*100</f>
        <v>6.7660921299378353E-38</v>
      </c>
    </row>
    <row r="88" spans="2:26">
      <c r="B88" s="760" t="s">
        <v>711</v>
      </c>
      <c r="E88" s="618">
        <v>6617</v>
      </c>
      <c r="F88" s="618">
        <v>7741</v>
      </c>
      <c r="G88" s="618">
        <v>8558</v>
      </c>
      <c r="H88" s="658">
        <v>9151</v>
      </c>
      <c r="I88" s="618">
        <v>10188</v>
      </c>
    </row>
    <row r="89" spans="2:26">
      <c r="F89" s="783">
        <f>F88/E88</f>
        <v>1.1698654979598004</v>
      </c>
      <c r="G89" s="783">
        <f>G88/F88</f>
        <v>1.1055419196486242</v>
      </c>
      <c r="H89" s="783">
        <f>H88/G88</f>
        <v>1.0692918906286515</v>
      </c>
      <c r="I89" s="783">
        <f>I88/H88</f>
        <v>1.1133209485302153</v>
      </c>
    </row>
  </sheetData>
  <mergeCells count="2">
    <mergeCell ref="B33:I33"/>
    <mergeCell ref="B63:I6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AB24"/>
  <sheetViews>
    <sheetView view="pageBreakPreview" zoomScaleNormal="85" zoomScaleSheetLayoutView="100" workbookViewId="0">
      <selection activeCell="G24" sqref="G24"/>
    </sheetView>
  </sheetViews>
  <sheetFormatPr defaultRowHeight="15"/>
  <cols>
    <col min="1" max="1" width="36.140625" style="562" customWidth="1"/>
    <col min="2" max="2" width="9.42578125" style="563" customWidth="1"/>
    <col min="3" max="4" width="9.42578125" style="562" customWidth="1"/>
    <col min="5" max="8" width="9.28515625" style="562" customWidth="1"/>
    <col min="9" max="16384" width="9.140625" style="562"/>
  </cols>
  <sheetData>
    <row r="2" spans="1:27">
      <c r="A2" s="562" t="s">
        <v>565</v>
      </c>
      <c r="I2" s="564"/>
      <c r="J2" s="564"/>
      <c r="K2" s="564"/>
      <c r="L2" s="564"/>
      <c r="M2" s="564"/>
      <c r="N2" s="564"/>
    </row>
    <row r="3" spans="1:27" ht="32.25" customHeight="1">
      <c r="A3" s="811"/>
      <c r="B3" s="807" t="s">
        <v>566</v>
      </c>
      <c r="C3" s="807" t="s">
        <v>567</v>
      </c>
      <c r="D3" s="807" t="s">
        <v>568</v>
      </c>
      <c r="E3" s="807" t="s">
        <v>569</v>
      </c>
      <c r="F3" s="809" t="s">
        <v>570</v>
      </c>
      <c r="G3" s="809" t="s">
        <v>571</v>
      </c>
      <c r="H3" s="809" t="s">
        <v>572</v>
      </c>
      <c r="I3" s="809" t="s">
        <v>573</v>
      </c>
      <c r="J3" s="809" t="s">
        <v>574</v>
      </c>
      <c r="K3" s="809" t="s">
        <v>577</v>
      </c>
      <c r="L3" s="809" t="s">
        <v>578</v>
      </c>
      <c r="M3" s="809" t="s">
        <v>579</v>
      </c>
      <c r="N3" s="809" t="s">
        <v>580</v>
      </c>
      <c r="O3" s="809" t="s">
        <v>581</v>
      </c>
      <c r="P3" s="809" t="s">
        <v>582</v>
      </c>
      <c r="Q3" s="809" t="s">
        <v>583</v>
      </c>
      <c r="R3" s="809" t="s">
        <v>584</v>
      </c>
      <c r="S3" s="809" t="s">
        <v>585</v>
      </c>
      <c r="T3" s="809" t="s">
        <v>586</v>
      </c>
      <c r="U3" s="809" t="s">
        <v>587</v>
      </c>
      <c r="V3" s="809" t="s">
        <v>588</v>
      </c>
      <c r="W3" s="809" t="s">
        <v>612</v>
      </c>
      <c r="X3" s="809" t="s">
        <v>613</v>
      </c>
      <c r="Y3" s="809" t="s">
        <v>614</v>
      </c>
      <c r="Z3" s="809" t="s">
        <v>615</v>
      </c>
      <c r="AA3" s="809" t="s">
        <v>616</v>
      </c>
    </row>
    <row r="4" spans="1:27" ht="24" customHeight="1">
      <c r="A4" s="812"/>
      <c r="B4" s="808"/>
      <c r="C4" s="808"/>
      <c r="D4" s="808" t="s">
        <v>575</v>
      </c>
      <c r="E4" s="808" t="s">
        <v>576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P4" s="810"/>
      <c r="Q4" s="810"/>
      <c r="R4" s="810"/>
      <c r="S4" s="810"/>
      <c r="T4" s="810"/>
      <c r="U4" s="810"/>
      <c r="V4" s="810"/>
      <c r="W4" s="810"/>
      <c r="X4" s="810"/>
      <c r="Y4" s="810"/>
      <c r="Z4" s="810"/>
      <c r="AA4" s="810"/>
    </row>
    <row r="5" spans="1:27">
      <c r="A5" s="565" t="s">
        <v>589</v>
      </c>
      <c r="B5" s="566">
        <v>243.63984927599</v>
      </c>
      <c r="C5" s="566">
        <v>294.56917658941995</v>
      </c>
      <c r="D5" s="566">
        <v>474.50060306867999</v>
      </c>
      <c r="E5" s="566">
        <v>495.26411109999998</v>
      </c>
      <c r="F5" s="566">
        <v>586.604062</v>
      </c>
      <c r="G5" s="567">
        <f>F5*G15*0.95</f>
        <v>620.38440747831464</v>
      </c>
      <c r="H5" s="567">
        <f>G5*H15*0.92</f>
        <v>629.50554812427265</v>
      </c>
      <c r="I5" s="567">
        <f>H5*I15</f>
        <v>671.46481490671442</v>
      </c>
      <c r="J5" s="567">
        <f>I5*J15*0.96</f>
        <v>678.44116077789897</v>
      </c>
      <c r="K5" s="567">
        <f t="shared" ref="K5:V5" si="0">K24*J5/100</f>
        <v>708.29257185212657</v>
      </c>
      <c r="L5" s="567">
        <f t="shared" si="0"/>
        <v>728.23214286540372</v>
      </c>
      <c r="M5" s="567">
        <f t="shared" si="0"/>
        <v>747.1036159937953</v>
      </c>
      <c r="N5" s="567">
        <f t="shared" si="0"/>
        <v>764.9646075158895</v>
      </c>
      <c r="O5" s="567">
        <f t="shared" si="0"/>
        <v>783.90154387016764</v>
      </c>
      <c r="P5" s="567">
        <f t="shared" si="0"/>
        <v>804.21910306532607</v>
      </c>
      <c r="Q5" s="567">
        <f t="shared" si="0"/>
        <v>825.70848975800732</v>
      </c>
      <c r="R5" s="567">
        <f t="shared" si="0"/>
        <v>847.72251114836695</v>
      </c>
      <c r="S5" s="567">
        <f t="shared" si="0"/>
        <v>869.79039000985563</v>
      </c>
      <c r="T5" s="567">
        <f t="shared" si="0"/>
        <v>893.4941276815058</v>
      </c>
      <c r="U5" s="567">
        <f t="shared" si="0"/>
        <v>917.52798025176833</v>
      </c>
      <c r="V5" s="567">
        <f t="shared" si="0"/>
        <v>944.72014296979341</v>
      </c>
      <c r="W5" s="567">
        <f>W24*V5/100</f>
        <v>970.26476991924926</v>
      </c>
      <c r="X5" s="567">
        <f>X24*W5/100</f>
        <v>996.50010720323394</v>
      </c>
      <c r="Y5" s="567">
        <f>Y24*X5/100</f>
        <v>1023.4448311863375</v>
      </c>
      <c r="Z5" s="567">
        <f>Z24*Y5/100</f>
        <v>1051.1181232300742</v>
      </c>
      <c r="AA5" s="567">
        <f>AA24*Z5/100</f>
        <v>1079.5396833476748</v>
      </c>
    </row>
    <row r="6" spans="1:27">
      <c r="A6" s="568" t="s">
        <v>590</v>
      </c>
      <c r="B6" s="566">
        <v>3669.6676909514258</v>
      </c>
      <c r="C6" s="566">
        <v>4108.907984429864</v>
      </c>
      <c r="D6" s="566">
        <v>4673.806381148117</v>
      </c>
      <c r="E6" s="569">
        <v>5214.1415016174897</v>
      </c>
      <c r="F6" s="569">
        <f ca="1">БДДРН!N156</f>
        <v>5442.9960000000001</v>
      </c>
      <c r="G6" s="569">
        <f ca="1">БДДРН!O156</f>
        <v>6133.3035274847925</v>
      </c>
      <c r="H6" s="569">
        <f ca="1">БДДРН!P156</f>
        <v>6771.1699471008042</v>
      </c>
      <c r="I6" s="569">
        <f ca="1">БДДРН!Q156</f>
        <v>7307.6932703174461</v>
      </c>
      <c r="J6" s="569">
        <f ca="1">БДДРН!R156</f>
        <v>7910.8627700976658</v>
      </c>
      <c r="K6" s="569">
        <f ca="1">БДДРН!S156</f>
        <v>8587.5985748497333</v>
      </c>
      <c r="L6" s="569">
        <f ca="1">БДДРН!T156</f>
        <v>9139.9158431799406</v>
      </c>
      <c r="M6" s="569">
        <f ca="1">БДДРН!U156</f>
        <v>9654.9469507522117</v>
      </c>
      <c r="N6" s="569">
        <f ca="1">БДДРН!V156</f>
        <v>10151.610847649597</v>
      </c>
      <c r="O6" s="569">
        <f ca="1">БДДРН!W156</f>
        <v>10660.140420621437</v>
      </c>
      <c r="P6" s="569">
        <f ca="1">БДДРН!X156</f>
        <v>11193.709124544241</v>
      </c>
      <c r="Q6" s="569">
        <f ca="1">БДДРН!Y156</f>
        <v>11759.256851366667</v>
      </c>
      <c r="R6" s="569">
        <f ca="1">БДДРН!Z156</f>
        <v>12352.368343132204</v>
      </c>
      <c r="S6" s="569">
        <f ca="1">БДДРН!AA156</f>
        <v>12961.016263974563</v>
      </c>
      <c r="T6" s="569">
        <f ca="1">БДДРН!AB156</f>
        <v>13606.373313486938</v>
      </c>
      <c r="U6" s="569">
        <f ca="1">БДДРН!AC156</f>
        <v>14274.362972268567</v>
      </c>
      <c r="V6" s="569">
        <f ca="1">БДДРН!AD156</f>
        <v>15036.237256290875</v>
      </c>
      <c r="W6" s="569">
        <f ca="1">БДДРН!AE156</f>
        <v>15717.825454050992</v>
      </c>
      <c r="X6" s="569">
        <f ca="1">БДДРН!AF156</f>
        <v>16455.384235899575</v>
      </c>
      <c r="Y6" s="569">
        <f ca="1">БДДРН!AG156</f>
        <v>17193.341252291419</v>
      </c>
      <c r="Z6" s="569">
        <f ca="1">БДДРН!AH156</f>
        <v>17958.713122506619</v>
      </c>
      <c r="AA6" s="569">
        <f ca="1">БДДРН!AI156</f>
        <v>18745.186814092704</v>
      </c>
    </row>
    <row r="7" spans="1:27">
      <c r="A7" s="755"/>
      <c r="B7" s="570">
        <f t="shared" ref="B7:AA7" si="1">B5+B6</f>
        <v>3913.3075402274158</v>
      </c>
      <c r="C7" s="570">
        <f t="shared" si="1"/>
        <v>4403.4771610192838</v>
      </c>
      <c r="D7" s="570">
        <f>D5+D6</f>
        <v>5148.306984216797</v>
      </c>
      <c r="E7" s="571">
        <f ca="1">E5+E6</f>
        <v>5709.4056127174899</v>
      </c>
      <c r="F7" s="571">
        <f ca="1">F5+F6</f>
        <v>6029.6000620000004</v>
      </c>
      <c r="G7" s="571">
        <f ca="1">G5+G6</f>
        <v>6753.6879349631072</v>
      </c>
      <c r="H7" s="571">
        <f ca="1">H5+H6</f>
        <v>7400.6754952250767</v>
      </c>
      <c r="I7" s="571">
        <f t="shared" si="1"/>
        <v>7979.1580852241605</v>
      </c>
      <c r="J7" s="572">
        <f t="shared" si="1"/>
        <v>8589.3039308755651</v>
      </c>
      <c r="K7" s="571">
        <f t="shared" si="1"/>
        <v>9295.8911467018606</v>
      </c>
      <c r="L7" s="571">
        <f t="shared" si="1"/>
        <v>9868.1479860453437</v>
      </c>
      <c r="M7" s="571">
        <f t="shared" si="1"/>
        <v>10402.050566746007</v>
      </c>
      <c r="N7" s="571">
        <f t="shared" si="1"/>
        <v>10916.575455165486</v>
      </c>
      <c r="O7" s="571">
        <f t="shared" si="1"/>
        <v>11444.041964491606</v>
      </c>
      <c r="P7" s="571">
        <f t="shared" si="1"/>
        <v>11997.928227609567</v>
      </c>
      <c r="Q7" s="571">
        <f t="shared" si="1"/>
        <v>12584.965341124675</v>
      </c>
      <c r="R7" s="571">
        <f t="shared" si="1"/>
        <v>13200.090854280572</v>
      </c>
      <c r="S7" s="571">
        <f t="shared" si="1"/>
        <v>13830.806653984419</v>
      </c>
      <c r="T7" s="571">
        <f t="shared" si="1"/>
        <v>14499.867441168444</v>
      </c>
      <c r="U7" s="571">
        <f t="shared" si="1"/>
        <v>15191.890952520336</v>
      </c>
      <c r="V7" s="571">
        <f t="shared" si="1"/>
        <v>15980.957399260667</v>
      </c>
      <c r="W7" s="571">
        <f t="shared" si="1"/>
        <v>16688.090223970241</v>
      </c>
      <c r="X7" s="571">
        <f t="shared" si="1"/>
        <v>17451.884343102811</v>
      </c>
      <c r="Y7" s="571">
        <f t="shared" si="1"/>
        <v>18216.786083477757</v>
      </c>
      <c r="Z7" s="571">
        <f t="shared" si="1"/>
        <v>19009.831245736692</v>
      </c>
      <c r="AA7" s="571">
        <f t="shared" si="1"/>
        <v>19824.726497440377</v>
      </c>
    </row>
    <row r="8" spans="1:27" s="758" customFormat="1">
      <c r="A8" s="755" t="s">
        <v>693</v>
      </c>
      <c r="B8" s="756"/>
      <c r="C8" s="756"/>
      <c r="D8" s="756"/>
      <c r="E8" s="757"/>
      <c r="F8" s="757"/>
      <c r="G8" s="757">
        <f ca="1">БДДРН!O168</f>
        <v>6133.3035274847925</v>
      </c>
      <c r="H8" s="757">
        <f ca="1">БДДРН!P168</f>
        <v>6476.8719783364513</v>
      </c>
      <c r="I8" s="757">
        <f ca="1">БДДРН!Q168</f>
        <v>6848.1695008595989</v>
      </c>
      <c r="J8" s="757">
        <f ca="1">БДДРН!R168</f>
        <v>7325.4395009052305</v>
      </c>
      <c r="K8" s="757">
        <f ca="1">БДДРН!S168</f>
        <v>7952.0951944594372</v>
      </c>
      <c r="L8" s="757">
        <f ca="1">БДДРН!T168</f>
        <v>8463.5396287822696</v>
      </c>
      <c r="M8" s="757">
        <f ca="1">БДДРН!U168</f>
        <v>8940.457169795096</v>
      </c>
      <c r="N8" s="757">
        <f ca="1">БДДРН!V168</f>
        <v>9400.3667188215295</v>
      </c>
      <c r="O8" s="757">
        <f ca="1">БДДРН!W168</f>
        <v>9871.2638547581191</v>
      </c>
      <c r="P8" s="757">
        <f ca="1">БДДРН!X168</f>
        <v>10365.347164474624</v>
      </c>
      <c r="Q8" s="757">
        <f ca="1">БДДРН!Y168</f>
        <v>10889.042970875398</v>
      </c>
      <c r="R8" s="757">
        <f ca="1">БДДРН!Z168</f>
        <v>11438.262755933867</v>
      </c>
      <c r="S8" s="757">
        <f ca="1">БДДРН!AA168</f>
        <v>12001.869236169572</v>
      </c>
      <c r="T8" s="757">
        <f ca="1">БДДРН!AB168</f>
        <v>12599.468279418714</v>
      </c>
      <c r="U8" s="757">
        <f ca="1">БДДРН!AC168</f>
        <v>13218.025063279438</v>
      </c>
      <c r="V8" s="757">
        <f ca="1">БДДРН!AD168</f>
        <v>13923.518779590231</v>
      </c>
      <c r="W8" s="757">
        <f ca="1">БДДРН!AE168</f>
        <v>14554.667777155402</v>
      </c>
      <c r="X8" s="757">
        <f ca="1">БДДРН!AF168</f>
        <v>15237.645398157225</v>
      </c>
      <c r="Y8" s="757">
        <f ca="1">БДДРН!AG168</f>
        <v>15920.991783368278</v>
      </c>
      <c r="Z8" s="757">
        <f ca="1">БДДРН!AH168</f>
        <v>16629.724255905778</v>
      </c>
      <c r="AA8" s="757">
        <f ca="1">БДДРН!AI168</f>
        <v>17357.996963219633</v>
      </c>
    </row>
    <row r="9" spans="1:27" ht="5.25" customHeight="1">
      <c r="A9" s="568"/>
      <c r="B9" s="573"/>
      <c r="C9" s="573"/>
      <c r="D9" s="573"/>
      <c r="E9" s="573"/>
      <c r="F9" s="573"/>
      <c r="G9" s="573"/>
      <c r="H9" s="573"/>
      <c r="I9" s="564"/>
      <c r="J9" s="574"/>
      <c r="K9" s="564"/>
      <c r="L9" s="564"/>
      <c r="M9" s="564"/>
      <c r="N9" s="564"/>
    </row>
    <row r="10" spans="1:27">
      <c r="A10" s="575" t="s">
        <v>591</v>
      </c>
      <c r="B10" s="576">
        <v>3987.2188270000001</v>
      </c>
      <c r="C10" s="553">
        <v>4415.5470539999997</v>
      </c>
      <c r="D10" s="553">
        <v>4994.112521</v>
      </c>
      <c r="E10" s="577">
        <f ca="1">БДДРН!$M$18</f>
        <v>5849.6815059999999</v>
      </c>
      <c r="F10" s="577">
        <f ca="1">БДДРН!N18</f>
        <v>6184.5987015344199</v>
      </c>
      <c r="G10" s="577">
        <f ca="1">G7*AVERAGE($D$14:$F$14)</f>
        <v>6799.4442475228288</v>
      </c>
      <c r="H10" s="577">
        <f t="shared" ref="H10:AA10" si="2">H7*AVERAGE($D$14:$F$14)</f>
        <v>7450.815155862867</v>
      </c>
      <c r="I10" s="577">
        <f t="shared" si="2"/>
        <v>8033.2169719874764</v>
      </c>
      <c r="J10" s="577">
        <f ca="1">J7*AVERAGE($D$14:$F$14)</f>
        <v>8647.4965626815138</v>
      </c>
      <c r="K10" s="577">
        <f t="shared" si="2"/>
        <v>9358.8709149300703</v>
      </c>
      <c r="L10" s="577">
        <f t="shared" si="2"/>
        <v>9935.0048008675913</v>
      </c>
      <c r="M10" s="577">
        <f t="shared" si="2"/>
        <v>10472.524577623837</v>
      </c>
      <c r="N10" s="577">
        <f t="shared" si="2"/>
        <v>10990.535378013337</v>
      </c>
      <c r="O10" s="577">
        <f t="shared" si="2"/>
        <v>11521.575478938288</v>
      </c>
      <c r="P10" s="577">
        <f t="shared" si="2"/>
        <v>12079.214327787455</v>
      </c>
      <c r="Q10" s="577">
        <f t="shared" si="2"/>
        <v>12670.228624422189</v>
      </c>
      <c r="R10" s="577">
        <f t="shared" si="2"/>
        <v>13289.521619924688</v>
      </c>
      <c r="S10" s="577">
        <f t="shared" si="2"/>
        <v>13924.510526343785</v>
      </c>
      <c r="T10" s="577">
        <f t="shared" si="2"/>
        <v>14598.104207969285</v>
      </c>
      <c r="U10" s="577">
        <f t="shared" si="2"/>
        <v>15294.816186480013</v>
      </c>
      <c r="V10" s="577">
        <f t="shared" si="2"/>
        <v>16089.22856736997</v>
      </c>
      <c r="W10" s="577">
        <f t="shared" si="2"/>
        <v>16801.152225008194</v>
      </c>
      <c r="X10" s="577">
        <f t="shared" si="2"/>
        <v>17570.121057983462</v>
      </c>
      <c r="Y10" s="577">
        <f t="shared" si="2"/>
        <v>18340.205016347616</v>
      </c>
      <c r="Z10" s="577">
        <f t="shared" si="2"/>
        <v>19138.623068599059</v>
      </c>
      <c r="AA10" s="577">
        <f t="shared" si="2"/>
        <v>19959.039244899715</v>
      </c>
    </row>
    <row r="11" spans="1:27" ht="25.5">
      <c r="A11" s="575" t="s">
        <v>694</v>
      </c>
      <c r="B11" s="576"/>
      <c r="C11" s="553"/>
      <c r="D11" s="553"/>
      <c r="E11" s="577"/>
      <c r="F11" s="577"/>
      <c r="G11" s="577">
        <f>(G5+G8)*AVERAGE($D$14:$F$14)</f>
        <v>6799.4442475228288</v>
      </c>
      <c r="H11" s="577">
        <f t="shared" ref="H11:AA11" si="3">(H5+H8)*AVERAGE($D$14:$F$14)</f>
        <v>7154.5233150134918</v>
      </c>
      <c r="I11" s="577">
        <f t="shared" si="3"/>
        <v>7570.579923766024</v>
      </c>
      <c r="J11" s="577">
        <f t="shared" si="3"/>
        <v>8058.1070441830907</v>
      </c>
      <c r="K11" s="577">
        <f t="shared" si="3"/>
        <v>8719.0619919109286</v>
      </c>
      <c r="L11" s="577">
        <f t="shared" si="3"/>
        <v>9254.0461299258859</v>
      </c>
      <c r="M11" s="577">
        <f t="shared" si="3"/>
        <v>9753.1941202758335</v>
      </c>
      <c r="N11" s="577">
        <f t="shared" si="3"/>
        <v>10234.201561669599</v>
      </c>
      <c r="O11" s="577">
        <f t="shared" si="3"/>
        <v>10727.354265370444</v>
      </c>
      <c r="P11" s="577">
        <f t="shared" si="3"/>
        <v>11245.240206018554</v>
      </c>
      <c r="Q11" s="577">
        <f t="shared" si="3"/>
        <v>11794.119034994854</v>
      </c>
      <c r="R11" s="577">
        <f t="shared" si="3"/>
        <v>12369.222956978225</v>
      </c>
      <c r="S11" s="577">
        <f t="shared" si="3"/>
        <v>12958.865266518365</v>
      </c>
      <c r="T11" s="577">
        <f t="shared" si="3"/>
        <v>13584.377380845111</v>
      </c>
      <c r="U11" s="577">
        <f t="shared" si="3"/>
        <v>14231.321576145212</v>
      </c>
      <c r="V11" s="577">
        <f t="shared" si="3"/>
        <v>14968.971410336273</v>
      </c>
      <c r="W11" s="577">
        <f t="shared" si="3"/>
        <v>15630.114141624656</v>
      </c>
      <c r="X11" s="577">
        <f t="shared" si="3"/>
        <v>16344.132025767745</v>
      </c>
      <c r="Y11" s="577">
        <f t="shared" si="3"/>
        <v>17059.235365303852</v>
      </c>
      <c r="Z11" s="577">
        <f t="shared" si="3"/>
        <v>17800.630287314249</v>
      </c>
      <c r="AA11" s="577">
        <f t="shared" si="3"/>
        <v>18562.451167012387</v>
      </c>
    </row>
    <row r="12" spans="1:27">
      <c r="A12" s="575" t="s">
        <v>610</v>
      </c>
      <c r="B12" s="576"/>
      <c r="C12" s="553"/>
      <c r="D12" s="553"/>
      <c r="E12" s="577"/>
      <c r="F12" s="577"/>
      <c r="G12" s="577">
        <f>G10-G11</f>
        <v>0</v>
      </c>
      <c r="H12" s="577">
        <f t="shared" ref="H12:AA12" si="4">H10-H11</f>
        <v>296.29184084937515</v>
      </c>
      <c r="I12" s="577">
        <f t="shared" si="4"/>
        <v>462.63704822145246</v>
      </c>
      <c r="J12" s="577">
        <f t="shared" si="4"/>
        <v>589.38951849842306</v>
      </c>
      <c r="K12" s="577">
        <f t="shared" si="4"/>
        <v>639.80892301914173</v>
      </c>
      <c r="L12" s="577">
        <f t="shared" si="4"/>
        <v>680.95867094170535</v>
      </c>
      <c r="M12" s="577">
        <f t="shared" si="4"/>
        <v>719.33045734800362</v>
      </c>
      <c r="N12" s="577">
        <f t="shared" si="4"/>
        <v>756.33381634373836</v>
      </c>
      <c r="O12" s="577">
        <f t="shared" si="4"/>
        <v>794.22121356784373</v>
      </c>
      <c r="P12" s="577">
        <f t="shared" si="4"/>
        <v>833.97412176890066</v>
      </c>
      <c r="Q12" s="577">
        <f t="shared" si="4"/>
        <v>876.10958942733487</v>
      </c>
      <c r="R12" s="577">
        <f t="shared" si="4"/>
        <v>920.29866294646308</v>
      </c>
      <c r="S12" s="577">
        <f t="shared" si="4"/>
        <v>965.64525982542</v>
      </c>
      <c r="T12" s="577">
        <f t="shared" si="4"/>
        <v>1013.7268271241737</v>
      </c>
      <c r="U12" s="577">
        <f t="shared" si="4"/>
        <v>1063.4946103348011</v>
      </c>
      <c r="V12" s="577">
        <f t="shared" si="4"/>
        <v>1120.2571570336968</v>
      </c>
      <c r="W12" s="577">
        <f t="shared" si="4"/>
        <v>1171.0380833835388</v>
      </c>
      <c r="X12" s="577">
        <f t="shared" si="4"/>
        <v>1225.9890322157171</v>
      </c>
      <c r="Y12" s="577">
        <f t="shared" si="4"/>
        <v>1280.9696510437643</v>
      </c>
      <c r="Z12" s="577">
        <f t="shared" si="4"/>
        <v>1337.9927812848109</v>
      </c>
      <c r="AA12" s="577">
        <f t="shared" si="4"/>
        <v>1396.5880778873288</v>
      </c>
    </row>
    <row r="13" spans="1:27">
      <c r="A13" s="575"/>
      <c r="B13" s="576"/>
      <c r="C13" s="553"/>
      <c r="D13" s="553"/>
      <c r="E13" s="577"/>
      <c r="F13" s="577"/>
      <c r="G13" s="577"/>
      <c r="H13" s="577"/>
      <c r="I13" s="577"/>
      <c r="J13" s="577"/>
      <c r="K13" s="577"/>
      <c r="L13" s="577"/>
      <c r="M13" s="577"/>
      <c r="N13" s="577"/>
      <c r="O13" s="577"/>
      <c r="P13" s="577"/>
      <c r="Q13" s="577"/>
      <c r="R13" s="577"/>
      <c r="S13" s="577"/>
      <c r="T13" s="577"/>
      <c r="U13" s="577"/>
      <c r="V13" s="577"/>
      <c r="W13" s="577"/>
      <c r="X13" s="577"/>
      <c r="Y13" s="577"/>
      <c r="Z13" s="577"/>
      <c r="AA13" s="577"/>
    </row>
    <row r="14" spans="1:27">
      <c r="A14" s="568"/>
      <c r="B14" s="573">
        <f>B10/B7</f>
        <v>1.0188871653998064</v>
      </c>
      <c r="C14" s="573">
        <f>C10/C7</f>
        <v>1.0027409913891598</v>
      </c>
      <c r="D14" s="573">
        <f>D10/D7</f>
        <v>0.97004948156947279</v>
      </c>
      <c r="E14" s="573">
        <f>E10/E7</f>
        <v>1.0245692639125255</v>
      </c>
      <c r="F14" s="573">
        <f>F10/F7</f>
        <v>1.0257062886328496</v>
      </c>
      <c r="G14" s="573"/>
      <c r="H14" s="573"/>
      <c r="I14" s="573"/>
      <c r="J14" s="573"/>
      <c r="K14" s="564"/>
      <c r="L14" s="564"/>
      <c r="M14" s="564"/>
      <c r="N14" s="564"/>
    </row>
    <row r="15" spans="1:27" ht="18" customHeight="1">
      <c r="A15" s="578" t="s">
        <v>592</v>
      </c>
      <c r="B15" s="579"/>
      <c r="C15" s="579"/>
      <c r="D15" s="579"/>
      <c r="E15" s="580"/>
      <c r="F15" s="579">
        <f ca="1">БДДРН!N149</f>
        <v>1.0715645833333332</v>
      </c>
      <c r="G15" s="579">
        <f ca="1">БДДРН!O149</f>
        <v>1.1132487152777779</v>
      </c>
      <c r="H15" s="579">
        <f ca="1">БДДРН!P149</f>
        <v>1.102937392939815</v>
      </c>
      <c r="I15" s="579">
        <f ca="1">БДДРН!Q149</f>
        <v>1.0666543240285444</v>
      </c>
      <c r="J15" s="579">
        <f ca="1">БДДРН!R149</f>
        <v>1.0524893140903595</v>
      </c>
      <c r="K15" s="579">
        <f ca="1">БДДРН!S149</f>
        <v>1.0523230977184295</v>
      </c>
      <c r="L15" s="579">
        <f ca="1">БДДРН!T149</f>
        <v>1.036546369989108</v>
      </c>
      <c r="M15" s="579">
        <f ca="1">БДДРН!U149</f>
        <v>1.0320368871699879</v>
      </c>
      <c r="N15" s="579">
        <f ca="1">БДДРН!V149</f>
        <v>1.0299900525931216</v>
      </c>
      <c r="O15" s="579">
        <f ca="1">БДДРН!W149</f>
        <v>1.0304983358645026</v>
      </c>
      <c r="P15" s="579">
        <f ca="1">БДДРН!X149</f>
        <v>1.0316412483445416</v>
      </c>
      <c r="Q15" s="579">
        <f ca="1">БДДРН!Y149</f>
        <v>1.0323693005840102</v>
      </c>
      <c r="R15" s="579">
        <f ca="1">БДДРН!Z149</f>
        <v>1.032435685243456</v>
      </c>
      <c r="S15" s="579">
        <f ca="1">БДДРН!AA149</f>
        <v>1.0319946155511723</v>
      </c>
      <c r="T15" s="579">
        <f ca="1">БДДРН!AB149</f>
        <v>1.0328604885452815</v>
      </c>
      <c r="U15" s="579">
        <f ca="1">БДДРН!AC149</f>
        <v>1.0324163598371852</v>
      </c>
      <c r="V15" s="579">
        <f ca="1">БДДРН!AD149</f>
        <v>1.0347936849583121</v>
      </c>
      <c r="W15" s="579">
        <f ca="1">БДДРН!AE149</f>
        <v>1.0324375093042311</v>
      </c>
      <c r="X15" s="579">
        <f ca="1">БДДРН!AF149</f>
        <v>1.0326055980636515</v>
      </c>
      <c r="Y15" s="579">
        <f ca="1">БДДРН!AG149</f>
        <v>1.0320378483909229</v>
      </c>
      <c r="Z15" s="579">
        <f ca="1">БДДРН!AH149</f>
        <v>1.0318667257902985</v>
      </c>
      <c r="AA15" s="579">
        <f ca="1">БДДРН!AI149</f>
        <v>1.0316341193277903</v>
      </c>
    </row>
    <row r="16" spans="1:27" ht="127.5">
      <c r="A16" s="581" t="s">
        <v>593</v>
      </c>
      <c r="B16" s="566">
        <v>233.22881703477</v>
      </c>
      <c r="C16" s="566">
        <v>258.14122440049999</v>
      </c>
      <c r="D16" s="566">
        <v>461.00262878372001</v>
      </c>
      <c r="E16" s="566">
        <v>477.99968109999998</v>
      </c>
      <c r="F16" s="566">
        <v>506.9181256</v>
      </c>
      <c r="G16" s="566">
        <v>502.00114480000002</v>
      </c>
      <c r="H16" s="582"/>
      <c r="I16" s="564"/>
      <c r="J16" s="564"/>
      <c r="K16" s="564"/>
      <c r="L16" s="564"/>
      <c r="M16" s="564"/>
      <c r="N16" s="564"/>
    </row>
    <row r="17" spans="1:28">
      <c r="A17" s="581" t="s">
        <v>594</v>
      </c>
      <c r="B17" s="583"/>
      <c r="C17" s="584"/>
      <c r="D17" s="584"/>
      <c r="E17" s="584"/>
      <c r="F17" s="584"/>
      <c r="G17" s="584"/>
      <c r="H17" s="584"/>
      <c r="I17" s="584"/>
      <c r="J17" s="584"/>
      <c r="K17" s="584"/>
      <c r="L17" s="584"/>
    </row>
    <row r="18" spans="1:28" ht="89.25">
      <c r="A18" s="581" t="s">
        <v>595</v>
      </c>
      <c r="B18" s="566">
        <v>10.411032241219999</v>
      </c>
      <c r="C18" s="566">
        <v>11.762109560720001</v>
      </c>
      <c r="D18" s="566">
        <v>13.256064596430001</v>
      </c>
      <c r="E18" s="566">
        <v>15.1296982</v>
      </c>
      <c r="F18" s="566">
        <v>15.794890199999999</v>
      </c>
      <c r="G18" s="566">
        <v>15.7950237</v>
      </c>
      <c r="H18" s="584"/>
      <c r="I18" s="584"/>
      <c r="J18" s="584"/>
      <c r="K18" s="584"/>
      <c r="L18" s="584"/>
    </row>
    <row r="19" spans="1:28">
      <c r="A19" s="581"/>
      <c r="B19" s="566"/>
      <c r="C19" s="566"/>
      <c r="D19" s="566"/>
      <c r="E19" s="584"/>
      <c r="F19" s="584"/>
      <c r="G19" s="584"/>
      <c r="H19" s="584"/>
      <c r="I19" s="584"/>
      <c r="J19" s="584"/>
    </row>
    <row r="20" spans="1:28" ht="63.75">
      <c r="A20" s="581" t="s">
        <v>596</v>
      </c>
      <c r="B20" s="583"/>
      <c r="C20" s="566">
        <v>24.6658426282</v>
      </c>
      <c r="D20" s="566">
        <v>0.24190968853</v>
      </c>
      <c r="E20" s="566">
        <v>0.26443</v>
      </c>
      <c r="F20" s="585">
        <v>4.0619999999999996E-3</v>
      </c>
      <c r="G20" s="585">
        <v>4.0619999999999996E-3</v>
      </c>
      <c r="H20" s="584"/>
      <c r="I20" s="584"/>
      <c r="J20" s="584"/>
    </row>
    <row r="21" spans="1:28" hidden="1">
      <c r="D21" s="562">
        <v>5.7450783000000003</v>
      </c>
      <c r="E21" s="562">
        <v>6.4227666000000001</v>
      </c>
      <c r="F21" s="562">
        <v>6.4227666000000001</v>
      </c>
    </row>
    <row r="22" spans="1:28" hidden="1">
      <c r="D22" s="562">
        <v>7.2983000000000002</v>
      </c>
      <c r="E22" s="562">
        <v>7.6997</v>
      </c>
      <c r="F22" s="562">
        <v>7.6997</v>
      </c>
    </row>
    <row r="24" spans="1:28">
      <c r="A24" s="586" t="s">
        <v>42</v>
      </c>
      <c r="H24" s="587">
        <v>110.2</v>
      </c>
      <c r="I24" s="587">
        <v>106</v>
      </c>
      <c r="J24" s="587">
        <v>104.4</v>
      </c>
      <c r="K24" s="587">
        <v>104.4</v>
      </c>
      <c r="L24" s="587">
        <f ca="1">БДДРН!S102</f>
        <v>102.81516026084205</v>
      </c>
      <c r="M24" s="587">
        <f ca="1">БДДРН!T102</f>
        <v>102.5914089776561</v>
      </c>
      <c r="N24" s="587">
        <f ca="1">БДДРН!U102</f>
        <v>102.39069804237737</v>
      </c>
      <c r="O24" s="587">
        <f ca="1">БДДРН!V102</f>
        <v>102.47553104656346</v>
      </c>
      <c r="P24" s="587">
        <f ca="1">БДДРН!W102</f>
        <v>102.59185089684215</v>
      </c>
      <c r="Q24" s="587">
        <f ca="1">БДДРН!X102</f>
        <v>102.67208110461108</v>
      </c>
      <c r="R24" s="587">
        <f ca="1">БДДРН!Y102</f>
        <v>102.66607666790628</v>
      </c>
      <c r="S24" s="587">
        <f ca="1">БДДРН!Z102</f>
        <v>102.60319604248735</v>
      </c>
      <c r="T24" s="587">
        <f ca="1">БДДРН!AA102</f>
        <v>102.7252241395058</v>
      </c>
      <c r="U24" s="587">
        <f ca="1">БДДРН!AB102</f>
        <v>102.6898724709727</v>
      </c>
      <c r="V24" s="587">
        <f ca="1">БДДРН!AC102</f>
        <v>102.9636330774963</v>
      </c>
      <c r="W24" s="587">
        <f ca="1">БДДРН!AD102</f>
        <v>102.70393588403381</v>
      </c>
      <c r="X24" s="587">
        <f ca="1">БДДРН!AE102</f>
        <v>102.70393588403381</v>
      </c>
      <c r="Y24" s="587">
        <f ca="1">БДДРН!AF102</f>
        <v>102.70393588403381</v>
      </c>
      <c r="Z24" s="587">
        <f ca="1">БДДРН!AG102</f>
        <v>102.70393588403381</v>
      </c>
      <c r="AA24" s="587">
        <f ca="1">БДДРН!AH102</f>
        <v>102.70393588403381</v>
      </c>
      <c r="AB24" s="562">
        <v>102.21058265009792</v>
      </c>
    </row>
  </sheetData>
  <mergeCells count="27">
    <mergeCell ref="Y3:Y4"/>
    <mergeCell ref="P3:P4"/>
    <mergeCell ref="Q3:Q4"/>
    <mergeCell ref="R3:R4"/>
    <mergeCell ref="S3:S4"/>
    <mergeCell ref="Z3:Z4"/>
    <mergeCell ref="AA3:AA4"/>
    <mergeCell ref="U3:U4"/>
    <mergeCell ref="V3:V4"/>
    <mergeCell ref="W3:W4"/>
    <mergeCell ref="X3:X4"/>
    <mergeCell ref="G3:G4"/>
    <mergeCell ref="H3:H4"/>
    <mergeCell ref="I3:I4"/>
    <mergeCell ref="J3:J4"/>
    <mergeCell ref="T3:T4"/>
    <mergeCell ref="K3:K4"/>
    <mergeCell ref="L3:L4"/>
    <mergeCell ref="M3:M4"/>
    <mergeCell ref="N3:N4"/>
    <mergeCell ref="O3:O4"/>
    <mergeCell ref="E3:E4"/>
    <mergeCell ref="F3:F4"/>
    <mergeCell ref="A3:A4"/>
    <mergeCell ref="B3:B4"/>
    <mergeCell ref="C3:C4"/>
    <mergeCell ref="D3:D4"/>
  </mergeCells>
  <phoneticPr fontId="0" type="noConversion"/>
  <pageMargins left="0.75" right="0.75" top="1" bottom="1" header="0.5" footer="0.5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9"/>
  <sheetViews>
    <sheetView topLeftCell="A148" workbookViewId="0">
      <pane xSplit="1" topLeftCell="R1" activePane="topRight" state="frozen"/>
      <selection pane="topRight" activeCell="AH171" sqref="AH171"/>
    </sheetView>
  </sheetViews>
  <sheetFormatPr defaultRowHeight="15"/>
  <cols>
    <col min="2" max="2" width="9.5703125" customWidth="1"/>
    <col min="3" max="3" width="9.5703125" style="49" customWidth="1"/>
    <col min="4" max="5" width="9.5703125" style="2" hidden="1" customWidth="1"/>
    <col min="6" max="6" width="9.5703125" style="55" hidden="1" customWidth="1"/>
    <col min="7" max="7" width="9.5703125" style="49" customWidth="1"/>
    <col min="8" max="9" width="9.5703125" hidden="1" customWidth="1"/>
    <col min="10" max="12" width="10.140625" hidden="1" customWidth="1"/>
    <col min="13" max="13" width="10.140625" style="44" hidden="1" customWidth="1"/>
    <col min="14" max="14" width="9.85546875" customWidth="1"/>
    <col min="15" max="15" width="9.140625" style="44"/>
    <col min="16" max="17" width="0" hidden="1" customWidth="1"/>
    <col min="20" max="21" width="0" hidden="1" customWidth="1"/>
    <col min="22" max="22" width="9.5703125" bestFit="1" customWidth="1"/>
    <col min="23" max="23" width="9.5703125" customWidth="1"/>
    <col min="25" max="25" width="9.140625" style="42"/>
    <col min="26" max="26" width="10" customWidth="1"/>
    <col min="28" max="28" width="9.140625" style="44"/>
    <col min="29" max="29" width="4" customWidth="1"/>
    <col min="30" max="30" width="11.5703125" style="44" customWidth="1"/>
    <col min="32" max="32" width="3.85546875" customWidth="1"/>
    <col min="33" max="36" width="9" customWidth="1"/>
  </cols>
  <sheetData>
    <row r="1" spans="1:50" ht="30">
      <c r="B1" s="38" t="s">
        <v>0</v>
      </c>
      <c r="C1" s="52" t="s">
        <v>348</v>
      </c>
      <c r="D1" s="53"/>
      <c r="E1" s="53" t="s">
        <v>342</v>
      </c>
      <c r="F1" s="54" t="s">
        <v>344</v>
      </c>
      <c r="G1" s="52" t="s">
        <v>2</v>
      </c>
      <c r="H1" s="38" t="s">
        <v>343</v>
      </c>
      <c r="I1" s="38" t="s">
        <v>345</v>
      </c>
      <c r="J1" s="38" t="s">
        <v>1</v>
      </c>
      <c r="K1" s="38" t="s">
        <v>346</v>
      </c>
      <c r="L1" s="38"/>
      <c r="M1" s="45" t="s">
        <v>347</v>
      </c>
      <c r="N1" s="38" t="s">
        <v>3</v>
      </c>
      <c r="O1" s="45" t="s">
        <v>356</v>
      </c>
      <c r="P1" s="38" t="s">
        <v>349</v>
      </c>
      <c r="Q1" s="38" t="s">
        <v>350</v>
      </c>
      <c r="R1" s="38" t="s">
        <v>7</v>
      </c>
      <c r="S1" s="45" t="s">
        <v>355</v>
      </c>
      <c r="T1" s="38" t="s">
        <v>351</v>
      </c>
      <c r="U1" s="38" t="s">
        <v>352</v>
      </c>
      <c r="V1" s="38" t="s">
        <v>4</v>
      </c>
      <c r="W1" s="38"/>
      <c r="X1" s="38"/>
      <c r="Y1" s="46" t="s">
        <v>353</v>
      </c>
      <c r="Z1" s="45" t="s">
        <v>357</v>
      </c>
      <c r="AA1" s="38" t="s">
        <v>5</v>
      </c>
      <c r="AB1" s="45" t="s">
        <v>354</v>
      </c>
      <c r="AC1" s="38"/>
      <c r="AD1" s="45" t="s">
        <v>6</v>
      </c>
      <c r="AE1" s="38" t="s">
        <v>358</v>
      </c>
      <c r="AF1" s="38"/>
      <c r="AG1" s="38" t="s">
        <v>485</v>
      </c>
      <c r="AH1" s="38" t="s">
        <v>486</v>
      </c>
      <c r="AI1" s="38"/>
      <c r="AJ1" s="38"/>
      <c r="AK1" s="38" t="s">
        <v>480</v>
      </c>
      <c r="AL1" s="38" t="s">
        <v>482</v>
      </c>
      <c r="AM1" s="38"/>
      <c r="AN1" s="38" t="s">
        <v>484</v>
      </c>
      <c r="AO1" s="38"/>
      <c r="AP1" s="38"/>
      <c r="AQ1" s="38" t="s">
        <v>481</v>
      </c>
      <c r="AR1" s="38"/>
      <c r="AS1" s="38" t="s">
        <v>483</v>
      </c>
      <c r="AV1" s="38" t="s">
        <v>487</v>
      </c>
      <c r="AW1" s="38" t="s">
        <v>488</v>
      </c>
      <c r="AX1" t="s">
        <v>486</v>
      </c>
    </row>
    <row r="2" spans="1:50" ht="15.75" thickBot="1">
      <c r="A2" s="1">
        <v>38353</v>
      </c>
      <c r="B2">
        <v>18049.900000000001</v>
      </c>
      <c r="C2" s="49">
        <f t="shared" ref="C2:C33" si="0">B2/Y2</f>
        <v>16021.064315868776</v>
      </c>
      <c r="E2" s="2">
        <v>1</v>
      </c>
      <c r="F2" s="55">
        <f>E2/AVERAGE($E$2:$E$13)</f>
        <v>0.31439254045325915</v>
      </c>
      <c r="G2" s="49">
        <v>7.8847530330261568</v>
      </c>
      <c r="J2" s="47">
        <v>28.113600000000002</v>
      </c>
      <c r="L2">
        <v>1</v>
      </c>
      <c r="M2" s="44">
        <f>L2/AVERAGE($L$2:$L$13)</f>
        <v>0.99263679741733291</v>
      </c>
      <c r="N2" s="2">
        <v>788.33831209999994</v>
      </c>
      <c r="O2" s="48">
        <f t="shared" ref="O2:O33" si="1">N2/Y2</f>
        <v>699.72790989520888</v>
      </c>
      <c r="P2" s="6"/>
      <c r="Q2" s="6"/>
      <c r="R2" s="2">
        <v>687.6141654763328</v>
      </c>
      <c r="S2" s="44">
        <f t="shared" ref="S2:S33" si="2">R2/Y2</f>
        <v>610.32530759720339</v>
      </c>
      <c r="V2" s="47">
        <v>102.62</v>
      </c>
      <c r="W2" s="277">
        <f>V2/100</f>
        <v>1.0262</v>
      </c>
      <c r="X2" s="277">
        <f>W2/AVERAGE($W$2:$W$13)</f>
        <v>0.9552774195516639</v>
      </c>
      <c r="Y2" s="276">
        <v>1.1266355121065006</v>
      </c>
      <c r="Z2" s="49">
        <f>(Y2-1)*100</f>
        <v>12.663551210650059</v>
      </c>
      <c r="AA2" s="2">
        <v>7346</v>
      </c>
      <c r="AB2" s="49">
        <f>AA2/Y2</f>
        <v>6520.2986423399589</v>
      </c>
      <c r="AC2" s="2"/>
      <c r="AD2" s="50">
        <v>10.199999999999999</v>
      </c>
      <c r="AE2">
        <v>65.01737</v>
      </c>
      <c r="AG2">
        <v>65.073700000000002</v>
      </c>
      <c r="AH2">
        <v>32.140201169121752</v>
      </c>
      <c r="AK2" s="275">
        <v>27.94</v>
      </c>
      <c r="AL2">
        <v>1.0007127481635094</v>
      </c>
      <c r="AM2">
        <f>AL2</f>
        <v>1.0007127481635094</v>
      </c>
      <c r="AN2">
        <f>AM2/AVERAGE($AM$2:$AM$13)</f>
        <v>0.98778904422689362</v>
      </c>
      <c r="AO2">
        <v>-3.3886583679114799</v>
      </c>
      <c r="AQ2">
        <v>1.0249999999999999</v>
      </c>
      <c r="AR2">
        <f>AQ2</f>
        <v>1.0249999999999999</v>
      </c>
      <c r="AS2">
        <f t="shared" ref="AS2:AS33" si="3">AR2/AVERAGE($AR$2:$AR$13)</f>
        <v>0.95299710835721174</v>
      </c>
      <c r="AT2">
        <v>2.4999999999999858</v>
      </c>
      <c r="AU2">
        <v>100</v>
      </c>
      <c r="AV2">
        <v>65.073700000000002</v>
      </c>
      <c r="AW2">
        <v>65.073700000000002</v>
      </c>
      <c r="AX2">
        <v>32.140201169999997</v>
      </c>
    </row>
    <row r="3" spans="1:50" ht="15.75" thickBot="1">
      <c r="A3" s="1">
        <v>38384</v>
      </c>
      <c r="B3">
        <v>56157.918999999994</v>
      </c>
      <c r="C3" s="49">
        <f t="shared" si="0"/>
        <v>49742.250414325586</v>
      </c>
      <c r="D3" s="2">
        <f>C3/C2</f>
        <v>3.1048031162983447</v>
      </c>
      <c r="E3" s="2">
        <f>E2*D3</f>
        <v>3.1048031162983447</v>
      </c>
      <c r="F3" s="55">
        <f t="shared" ref="F3:F66" si="4">E3/AVERAGE($E$2:$E$13)</f>
        <v>0.97612693934023254</v>
      </c>
      <c r="G3" s="49">
        <v>7.8811801359437315</v>
      </c>
      <c r="J3" s="47">
        <v>27.77</v>
      </c>
      <c r="K3">
        <f>J3/J2</f>
        <v>0.98777815719082573</v>
      </c>
      <c r="L3">
        <f>K3*L2</f>
        <v>0.98777815719082573</v>
      </c>
      <c r="M3" s="44">
        <f t="shared" ref="M3:M66" si="5">L3/AVERAGE($L$2:$L$13)</f>
        <v>0.98050494651269604</v>
      </c>
      <c r="N3" s="2">
        <v>956.63536580000005</v>
      </c>
      <c r="O3" s="48">
        <f t="shared" si="1"/>
        <v>847.34614045836645</v>
      </c>
      <c r="P3" s="6"/>
      <c r="Q3" s="6"/>
      <c r="R3" s="2">
        <v>836.01389050048726</v>
      </c>
      <c r="S3" s="44">
        <f t="shared" si="2"/>
        <v>740.50486612813791</v>
      </c>
      <c r="V3" s="2">
        <v>101.23</v>
      </c>
      <c r="W3" s="277">
        <f>V3/100*W2</f>
        <v>1.0388222599999999</v>
      </c>
      <c r="X3" s="277">
        <f t="shared" ref="X3:X66" si="6">W3/AVERAGE($W$2:$W$13)</f>
        <v>0.96702733181214928</v>
      </c>
      <c r="Y3" s="276">
        <v>1.1289782535417159</v>
      </c>
      <c r="Z3" s="49">
        <f t="shared" ref="Z3:Z66" si="7">(Y3-1)*100</f>
        <v>12.897825354171587</v>
      </c>
      <c r="AA3" s="2">
        <v>7465</v>
      </c>
      <c r="AB3" s="49">
        <f t="shared" ref="AB3:AB66" si="8">AA3/Y3</f>
        <v>6612.1734201536301</v>
      </c>
      <c r="AC3" s="2"/>
      <c r="AD3" s="50">
        <v>10.1</v>
      </c>
      <c r="AE3">
        <v>66.9465</v>
      </c>
      <c r="AG3">
        <v>68.881416000000002</v>
      </c>
      <c r="AH3">
        <v>37.807493481330951</v>
      </c>
      <c r="AK3" s="275">
        <v>27.974</v>
      </c>
      <c r="AL3">
        <f>AK3/AK2</f>
        <v>1.0012168933428776</v>
      </c>
      <c r="AM3">
        <f>AL3*AM2</f>
        <v>1.0019305088448822</v>
      </c>
      <c r="AN3">
        <f t="shared" ref="AN3:AN66" si="9">AM3/AVERAGE($AM$2:$AM$13)</f>
        <v>0.98899107813898068</v>
      </c>
      <c r="AO3">
        <v>-1.9144460028050503</v>
      </c>
      <c r="AQ3">
        <v>1.0129999999999999</v>
      </c>
      <c r="AR3">
        <f>AQ3*AR2</f>
        <v>1.0383249999999997</v>
      </c>
      <c r="AS3">
        <f t="shared" si="3"/>
        <v>0.96538607076585525</v>
      </c>
      <c r="AT3">
        <v>1.2999999999999829</v>
      </c>
      <c r="AV3">
        <v>68.881416000000002</v>
      </c>
      <c r="AW3">
        <v>68.881416000000002</v>
      </c>
      <c r="AX3">
        <v>37.807493479999998</v>
      </c>
    </row>
    <row r="4" spans="1:50" ht="15.75" thickBot="1">
      <c r="A4" s="1">
        <v>38412</v>
      </c>
      <c r="B4">
        <v>62566.3</v>
      </c>
      <c r="C4" s="49">
        <f t="shared" si="0"/>
        <v>55117.62625735344</v>
      </c>
      <c r="D4" s="2">
        <f t="shared" ref="D4:D67" si="10">C4/C3</f>
        <v>1.1080645889209662</v>
      </c>
      <c r="E4" s="2">
        <f>E3*D4</f>
        <v>3.4403223887416599</v>
      </c>
      <c r="F4" s="55">
        <f t="shared" si="4"/>
        <v>1.0816116957747155</v>
      </c>
      <c r="G4" s="49">
        <v>7.5527417470729246</v>
      </c>
      <c r="J4" s="47">
        <v>27.83</v>
      </c>
      <c r="K4">
        <f t="shared" ref="K4:K67" si="11">J4/J3</f>
        <v>1.0021606049693914</v>
      </c>
      <c r="L4">
        <f t="shared" ref="L4:L67" si="12">K4*L3</f>
        <v>0.98991235558590851</v>
      </c>
      <c r="M4" s="44">
        <f t="shared" si="5"/>
        <v>0.98262343037264421</v>
      </c>
      <c r="N4" s="2">
        <v>1066.0525628000003</v>
      </c>
      <c r="O4" s="48">
        <f t="shared" si="1"/>
        <v>939.13635179168682</v>
      </c>
      <c r="R4" s="2">
        <v>925.98068472318016</v>
      </c>
      <c r="S4" s="44">
        <f t="shared" si="2"/>
        <v>815.74037943909855</v>
      </c>
      <c r="V4" s="2">
        <v>101.34</v>
      </c>
      <c r="W4" s="277">
        <f t="shared" ref="W4:W67" si="13">V4/100*W3</f>
        <v>1.052742478284</v>
      </c>
      <c r="X4" s="277">
        <f t="shared" si="6"/>
        <v>0.97998549805843227</v>
      </c>
      <c r="Y4" s="276">
        <v>1.1351414102608022</v>
      </c>
      <c r="Z4" s="49">
        <f t="shared" si="7"/>
        <v>13.514141026080218</v>
      </c>
      <c r="AA4" s="2">
        <v>8093</v>
      </c>
      <c r="AB4" s="49">
        <f t="shared" si="8"/>
        <v>7129.5082065067199</v>
      </c>
      <c r="AC4" s="2"/>
      <c r="AD4" s="50">
        <v>9.6999999999999993</v>
      </c>
      <c r="AE4">
        <v>77.69019999999999</v>
      </c>
      <c r="AG4">
        <v>78.780500000000004</v>
      </c>
      <c r="AH4">
        <v>48.917305349547306</v>
      </c>
      <c r="AK4" s="275">
        <v>27.62</v>
      </c>
      <c r="AL4">
        <f t="shared" ref="AL4:AL9" si="14">AK4/AK3</f>
        <v>0.98734539214985351</v>
      </c>
      <c r="AM4">
        <f t="shared" ref="AM4:AM67" si="15">AL4*AM3</f>
        <v>0.98925147116235246</v>
      </c>
      <c r="AN4">
        <f t="shared" si="9"/>
        <v>0.97647578387783818</v>
      </c>
      <c r="AO4">
        <v>-3.1896249561864636</v>
      </c>
      <c r="AQ4">
        <v>1.012</v>
      </c>
      <c r="AR4">
        <f t="shared" ref="AR4:AR67" si="16">AQ4*AR3</f>
        <v>1.0507848999999998</v>
      </c>
      <c r="AS4">
        <f t="shared" si="3"/>
        <v>0.97697070361504557</v>
      </c>
      <c r="AT4">
        <v>1.2000000000000028</v>
      </c>
      <c r="AV4">
        <v>78.780500000000004</v>
      </c>
      <c r="AW4">
        <v>78.780500000000004</v>
      </c>
      <c r="AX4">
        <v>48.917305349999999</v>
      </c>
    </row>
    <row r="5" spans="1:50" ht="15.75" thickBot="1">
      <c r="A5" s="1">
        <v>38443</v>
      </c>
      <c r="B5">
        <v>66298.100000000006</v>
      </c>
      <c r="C5" s="49">
        <f t="shared" si="0"/>
        <v>58341.59953122335</v>
      </c>
      <c r="D5" s="2">
        <f t="shared" si="10"/>
        <v>1.0584926001496624</v>
      </c>
      <c r="E5" s="2">
        <f t="shared" ref="E5:E68" si="17">E4*D5</f>
        <v>3.6415557906122573</v>
      </c>
      <c r="F5" s="55">
        <f t="shared" si="4"/>
        <v>1.1448779762128642</v>
      </c>
      <c r="G5" s="49">
        <v>7.2270100281273901</v>
      </c>
      <c r="J5" s="47">
        <v>27.77</v>
      </c>
      <c r="K5">
        <f t="shared" si="11"/>
        <v>0.99784405318002156</v>
      </c>
      <c r="L5">
        <f t="shared" si="12"/>
        <v>0.98777815719082573</v>
      </c>
      <c r="M5" s="44">
        <f t="shared" si="5"/>
        <v>0.98050494651269604</v>
      </c>
      <c r="N5" s="2">
        <v>1124.9853760000001</v>
      </c>
      <c r="O5" s="48">
        <f t="shared" si="1"/>
        <v>989.97476979090993</v>
      </c>
      <c r="R5" s="2">
        <v>975.19666149998409</v>
      </c>
      <c r="S5" s="44">
        <f t="shared" si="2"/>
        <v>858.16234687597444</v>
      </c>
      <c r="V5" s="2">
        <v>101.12</v>
      </c>
      <c r="W5" s="277">
        <f>V5/100*W4</f>
        <v>1.064533194040781</v>
      </c>
      <c r="X5" s="277">
        <f t="shared" si="6"/>
        <v>0.99096133563668676</v>
      </c>
      <c r="Y5" s="276">
        <v>1.1363778253031696</v>
      </c>
      <c r="Z5" s="49">
        <f t="shared" si="7"/>
        <v>13.637782530316954</v>
      </c>
      <c r="AA5" s="2">
        <v>8002</v>
      </c>
      <c r="AB5" s="49">
        <f t="shared" si="8"/>
        <v>7041.6720758038191</v>
      </c>
      <c r="AC5" s="2"/>
      <c r="AD5" s="50">
        <v>8.6999999999999993</v>
      </c>
      <c r="AE5">
        <v>74.286144000000007</v>
      </c>
      <c r="AG5">
        <v>83.490868000000006</v>
      </c>
      <c r="AH5">
        <v>50.852987227288708</v>
      </c>
      <c r="AK5" s="275">
        <v>27.82</v>
      </c>
      <c r="AL5">
        <f t="shared" si="14"/>
        <v>1.00724112961622</v>
      </c>
      <c r="AM5">
        <f t="shared" si="15"/>
        <v>0.99641476928807537</v>
      </c>
      <c r="AN5">
        <f t="shared" si="9"/>
        <v>0.98354657159599768</v>
      </c>
      <c r="AO5">
        <v>-2.9867661674193187</v>
      </c>
      <c r="AQ5">
        <v>1.0158</v>
      </c>
      <c r="AR5">
        <f t="shared" si="16"/>
        <v>1.0673873014199999</v>
      </c>
      <c r="AS5">
        <f t="shared" si="3"/>
        <v>0.99240684073216345</v>
      </c>
      <c r="AT5">
        <v>1.5799999999999983</v>
      </c>
      <c r="AV5">
        <v>83.490868000000006</v>
      </c>
      <c r="AW5">
        <v>83.490868000000006</v>
      </c>
      <c r="AX5">
        <v>50.852987229999897</v>
      </c>
    </row>
    <row r="6" spans="1:50" ht="15.75" thickBot="1">
      <c r="A6" s="1">
        <v>38473</v>
      </c>
      <c r="B6">
        <v>35296.561000000023</v>
      </c>
      <c r="C6" s="49">
        <f t="shared" si="0"/>
        <v>31042.097405280598</v>
      </c>
      <c r="D6" s="2">
        <f t="shared" si="10"/>
        <v>0.53207484290291762</v>
      </c>
      <c r="E6" s="2">
        <f t="shared" si="17"/>
        <v>1.9375802252122267</v>
      </c>
      <c r="F6" s="55">
        <f t="shared" si="4"/>
        <v>0.60916076933647001</v>
      </c>
      <c r="G6" s="49">
        <v>6.9039530176712995</v>
      </c>
      <c r="J6" s="47">
        <v>28.091899999999999</v>
      </c>
      <c r="K6">
        <f t="shared" si="11"/>
        <v>1.011591645660785</v>
      </c>
      <c r="L6">
        <f t="shared" si="12"/>
        <v>0.99922813158044499</v>
      </c>
      <c r="M6" s="44">
        <f t="shared" si="5"/>
        <v>0.99187061242131824</v>
      </c>
      <c r="N6" s="2">
        <v>1054.4521095</v>
      </c>
      <c r="O6" s="48">
        <f t="shared" si="1"/>
        <v>927.35394511387619</v>
      </c>
      <c r="R6" s="2">
        <v>911.67904949917693</v>
      </c>
      <c r="S6" s="44">
        <f t="shared" si="2"/>
        <v>801.79000602656629</v>
      </c>
      <c r="V6" s="2">
        <v>100.8</v>
      </c>
      <c r="W6" s="277">
        <f t="shared" si="13"/>
        <v>1.0730494595931073</v>
      </c>
      <c r="X6" s="277">
        <f t="shared" si="6"/>
        <v>0.99888902632178034</v>
      </c>
      <c r="Y6" s="276">
        <v>1.1370546435433739</v>
      </c>
      <c r="Z6" s="49">
        <f t="shared" si="7"/>
        <v>13.705464354337394</v>
      </c>
      <c r="AA6" s="2">
        <v>8089</v>
      </c>
      <c r="AB6" s="49">
        <f t="shared" si="8"/>
        <v>7113.9940775339155</v>
      </c>
      <c r="AC6" s="2"/>
      <c r="AD6" s="50">
        <v>9.1</v>
      </c>
      <c r="AE6">
        <v>82.770707000000002</v>
      </c>
      <c r="AG6">
        <v>77.055490000000006</v>
      </c>
      <c r="AH6">
        <v>47.261532728095752</v>
      </c>
      <c r="AK6" s="275">
        <v>27.92</v>
      </c>
      <c r="AL6">
        <f>AK6/AK5</f>
        <v>1.0035945363048167</v>
      </c>
      <c r="AM6">
        <f t="shared" si="15"/>
        <v>0.99999641835093689</v>
      </c>
      <c r="AN6">
        <f t="shared" si="9"/>
        <v>0.98708196545507743</v>
      </c>
      <c r="AO6">
        <v>-3.6909279061745366</v>
      </c>
      <c r="AQ6">
        <v>1.0085</v>
      </c>
      <c r="AR6">
        <f t="shared" si="16"/>
        <v>1.0764600934820698</v>
      </c>
      <c r="AS6">
        <f t="shared" si="3"/>
        <v>1.0008422988783867</v>
      </c>
      <c r="AT6">
        <v>0.84999999999999432</v>
      </c>
      <c r="AV6">
        <v>77.055490000000006</v>
      </c>
      <c r="AW6">
        <v>77.055490000000006</v>
      </c>
      <c r="AX6">
        <v>47.261532729999999</v>
      </c>
    </row>
    <row r="7" spans="1:50" ht="15.75" thickBot="1">
      <c r="A7" s="1">
        <v>38504</v>
      </c>
      <c r="B7">
        <v>56077.9</v>
      </c>
      <c r="C7" s="49">
        <f t="shared" si="0"/>
        <v>49406.806005196093</v>
      </c>
      <c r="D7" s="2">
        <f t="shared" si="10"/>
        <v>1.5916065644711062</v>
      </c>
      <c r="E7" s="2">
        <f t="shared" si="17"/>
        <v>3.0838654056371841</v>
      </c>
      <c r="F7" s="55">
        <f t="shared" si="4"/>
        <v>0.96954427929419496</v>
      </c>
      <c r="G7" s="49">
        <v>6.8707263103224534</v>
      </c>
      <c r="J7" s="47">
        <v>28.6721</v>
      </c>
      <c r="K7">
        <f t="shared" si="11"/>
        <v>1.0206536403732036</v>
      </c>
      <c r="L7">
        <f t="shared" si="12"/>
        <v>1.0198658300608956</v>
      </c>
      <c r="M7" s="44">
        <f t="shared" si="5"/>
        <v>1.0123563513470173</v>
      </c>
      <c r="N7" s="2">
        <v>1136.9724795000002</v>
      </c>
      <c r="O7" s="48">
        <f t="shared" si="1"/>
        <v>1001.7168747029275</v>
      </c>
      <c r="R7" s="2">
        <v>970.84735400083923</v>
      </c>
      <c r="S7" s="44">
        <f t="shared" si="2"/>
        <v>855.35419264589791</v>
      </c>
      <c r="V7" s="2">
        <v>100.64</v>
      </c>
      <c r="W7" s="277">
        <f t="shared" si="13"/>
        <v>1.0799169761345031</v>
      </c>
      <c r="X7" s="277">
        <f t="shared" si="6"/>
        <v>1.0052819160902398</v>
      </c>
      <c r="Y7" s="276">
        <v>1.1350237858748107</v>
      </c>
      <c r="Z7" s="49">
        <f t="shared" si="7"/>
        <v>13.502378587481068</v>
      </c>
      <c r="AA7" s="2">
        <v>8637</v>
      </c>
      <c r="AB7" s="49">
        <f t="shared" si="8"/>
        <v>7609.5321591371758</v>
      </c>
      <c r="AC7" s="2"/>
      <c r="AD7" s="50">
        <v>9.1</v>
      </c>
      <c r="AE7">
        <v>83.148200000000003</v>
      </c>
      <c r="AG7">
        <v>103.68360000000001</v>
      </c>
      <c r="AH7">
        <v>50.435480044615559</v>
      </c>
      <c r="AK7" s="275">
        <v>28.504200000000001</v>
      </c>
      <c r="AL7">
        <f t="shared" si="14"/>
        <v>1.0209240687679082</v>
      </c>
      <c r="AM7">
        <f t="shared" si="15"/>
        <v>1.0209204121761737</v>
      </c>
      <c r="AN7">
        <f t="shared" si="9"/>
        <v>1.0077357363798214</v>
      </c>
      <c r="AO7">
        <v>-1.8112297623148521</v>
      </c>
      <c r="AQ7">
        <v>1.01</v>
      </c>
      <c r="AR7">
        <f t="shared" si="16"/>
        <v>1.0872246944168906</v>
      </c>
      <c r="AS7">
        <f t="shared" si="3"/>
        <v>1.0108507218671707</v>
      </c>
      <c r="AT7">
        <v>1</v>
      </c>
      <c r="AV7">
        <v>103.6836</v>
      </c>
      <c r="AW7">
        <v>103.6836</v>
      </c>
      <c r="AX7">
        <v>50.435480040000002</v>
      </c>
    </row>
    <row r="8" spans="1:50" ht="15.75" thickBot="1">
      <c r="A8" s="1">
        <v>38534</v>
      </c>
      <c r="B8">
        <v>53233.058530000089</v>
      </c>
      <c r="C8" s="49">
        <f t="shared" si="0"/>
        <v>47096.391906940844</v>
      </c>
      <c r="D8" s="2">
        <f t="shared" si="10"/>
        <v>0.95323692654788772</v>
      </c>
      <c r="E8" s="2">
        <f t="shared" si="17"/>
        <v>2.9396543811569447</v>
      </c>
      <c r="F8" s="55">
        <f t="shared" si="4"/>
        <v>0.92420540894648529</v>
      </c>
      <c r="G8" s="49">
        <v>6.8376895354851568</v>
      </c>
      <c r="J8" s="47">
        <v>28.63</v>
      </c>
      <c r="K8">
        <f t="shared" si="11"/>
        <v>0.99853167364790152</v>
      </c>
      <c r="L8">
        <f t="shared" si="12"/>
        <v>1.0183683341870124</v>
      </c>
      <c r="M8" s="44">
        <f t="shared" si="5"/>
        <v>1.0108698818386201</v>
      </c>
      <c r="N8" s="2">
        <v>1156.2196648500001</v>
      </c>
      <c r="O8" s="48">
        <f t="shared" si="1"/>
        <v>1022.9315385964412</v>
      </c>
      <c r="R8" s="2">
        <v>995.53784622541832</v>
      </c>
      <c r="S8" s="44">
        <f t="shared" si="2"/>
        <v>880.77299818496897</v>
      </c>
      <c r="V8" s="2">
        <v>100.46</v>
      </c>
      <c r="W8" s="277">
        <f t="shared" si="13"/>
        <v>1.0848845942247218</v>
      </c>
      <c r="X8" s="277">
        <f t="shared" si="6"/>
        <v>1.0099062129042549</v>
      </c>
      <c r="Y8" s="276">
        <v>1.1303001434841307</v>
      </c>
      <c r="Z8" s="49">
        <f t="shared" si="7"/>
        <v>13.030014348413065</v>
      </c>
      <c r="AA8" s="2">
        <v>8651</v>
      </c>
      <c r="AB8" s="49">
        <f t="shared" si="8"/>
        <v>7653.7192796715408</v>
      </c>
      <c r="AC8" s="2"/>
      <c r="AD8" s="50">
        <v>8.9</v>
      </c>
      <c r="AE8">
        <v>83.906924820000015</v>
      </c>
      <c r="AG8">
        <v>103.832173</v>
      </c>
      <c r="AH8">
        <v>49.688238849300987</v>
      </c>
      <c r="AK8" s="275">
        <v>28.69</v>
      </c>
      <c r="AL8">
        <f t="shared" si="14"/>
        <v>1.006518337648487</v>
      </c>
      <c r="AM8">
        <f t="shared" si="15"/>
        <v>1.0275751161349704</v>
      </c>
      <c r="AN8">
        <f t="shared" si="9"/>
        <v>1.0143044981699916</v>
      </c>
      <c r="AO8">
        <v>-1.3411279229711113</v>
      </c>
      <c r="AQ8">
        <v>1.0039</v>
      </c>
      <c r="AR8">
        <f t="shared" si="16"/>
        <v>1.0914648707251164</v>
      </c>
      <c r="AS8">
        <f t="shared" si="3"/>
        <v>1.0147930396824527</v>
      </c>
      <c r="AT8">
        <v>0.39000000000000057</v>
      </c>
      <c r="AV8">
        <v>103.832173</v>
      </c>
      <c r="AW8">
        <v>103.832173</v>
      </c>
      <c r="AX8">
        <v>49.688238849999998</v>
      </c>
    </row>
    <row r="9" spans="1:50" ht="15.75" thickBot="1">
      <c r="A9" s="1">
        <v>38565</v>
      </c>
      <c r="B9">
        <v>37498.98799999991</v>
      </c>
      <c r="C9" s="49">
        <f t="shared" si="0"/>
        <v>33348.821677873791</v>
      </c>
      <c r="D9" s="2">
        <f t="shared" si="10"/>
        <v>0.7080971668438788</v>
      </c>
      <c r="E9" s="2">
        <f t="shared" si="17"/>
        <v>2.0815609387974283</v>
      </c>
      <c r="F9" s="55">
        <f t="shared" si="4"/>
        <v>0.65442723165679462</v>
      </c>
      <c r="G9" s="49">
        <v>6.8048409774989622</v>
      </c>
      <c r="J9" s="47">
        <v>28.55</v>
      </c>
      <c r="K9">
        <f t="shared" si="11"/>
        <v>0.9972057282570731</v>
      </c>
      <c r="L9">
        <f t="shared" si="12"/>
        <v>1.0155227363269022</v>
      </c>
      <c r="M9" s="44">
        <f t="shared" si="5"/>
        <v>1.0080452366920227</v>
      </c>
      <c r="N9" s="2">
        <v>1124.7080091000003</v>
      </c>
      <c r="O9" s="48">
        <f t="shared" si="1"/>
        <v>1000.2319751976361</v>
      </c>
      <c r="R9" s="2">
        <v>957.48791825826788</v>
      </c>
      <c r="S9" s="44">
        <f t="shared" si="2"/>
        <v>851.51881551346537</v>
      </c>
      <c r="V9" s="2">
        <v>99.86</v>
      </c>
      <c r="W9" s="277">
        <f t="shared" si="13"/>
        <v>1.0833657557928074</v>
      </c>
      <c r="X9" s="277">
        <f>W9/AVERAGE($W$2:$W$13)</f>
        <v>1.0084923442061891</v>
      </c>
      <c r="Y9" s="276">
        <v>1.1244471652466108</v>
      </c>
      <c r="Z9" s="49">
        <f t="shared" si="7"/>
        <v>12.444716524661082</v>
      </c>
      <c r="AA9" s="2">
        <v>8616</v>
      </c>
      <c r="AB9" s="49">
        <f t="shared" si="8"/>
        <v>7662.4320522079497</v>
      </c>
      <c r="AC9" s="2"/>
      <c r="AD9" s="50">
        <v>8.6999999999999993</v>
      </c>
      <c r="AE9">
        <v>96.387387000000004</v>
      </c>
      <c r="AG9">
        <v>106.91760000000001</v>
      </c>
      <c r="AH9">
        <v>53.313529043979493</v>
      </c>
      <c r="AK9" s="275">
        <v>28.48</v>
      </c>
      <c r="AL9">
        <f t="shared" si="14"/>
        <v>0.99268037643778317</v>
      </c>
      <c r="AM9">
        <f t="shared" si="15"/>
        <v>1.0200536531029611</v>
      </c>
      <c r="AN9">
        <f t="shared" si="9"/>
        <v>1.0068801710659241</v>
      </c>
      <c r="AO9">
        <v>-2.4991441287230458</v>
      </c>
      <c r="AQ9">
        <v>0.99199999999999999</v>
      </c>
      <c r="AR9">
        <f t="shared" si="16"/>
        <v>1.0827331517593155</v>
      </c>
      <c r="AS9">
        <f t="shared" si="3"/>
        <v>1.006674695364993</v>
      </c>
      <c r="AT9">
        <v>-0.79999999999999716</v>
      </c>
      <c r="AV9">
        <v>106.91759999999999</v>
      </c>
      <c r="AW9">
        <v>106.91759999999999</v>
      </c>
      <c r="AX9">
        <v>53.313529039999999</v>
      </c>
    </row>
    <row r="10" spans="1:50" ht="15.75" thickBot="1">
      <c r="A10" s="1">
        <v>38596</v>
      </c>
      <c r="B10">
        <v>51751.002000000095</v>
      </c>
      <c r="C10" s="49">
        <f t="shared" si="0"/>
        <v>46083.158621333168</v>
      </c>
      <c r="D10" s="2">
        <f t="shared" si="10"/>
        <v>1.3818526803274831</v>
      </c>
      <c r="E10" s="2">
        <f t="shared" si="17"/>
        <v>2.8764105625422185</v>
      </c>
      <c r="F10" s="55">
        <f t="shared" si="4"/>
        <v>0.90432202414423646</v>
      </c>
      <c r="G10" s="49">
        <v>6.8430911638700866</v>
      </c>
      <c r="J10" s="47">
        <v>28.5</v>
      </c>
      <c r="K10">
        <f t="shared" si="11"/>
        <v>0.99824868651488619</v>
      </c>
      <c r="L10">
        <f t="shared" si="12"/>
        <v>1.0137442376643331</v>
      </c>
      <c r="M10" s="44">
        <f t="shared" si="5"/>
        <v>1.0062798334753991</v>
      </c>
      <c r="N10" s="2">
        <v>1198.5396568000001</v>
      </c>
      <c r="O10" s="48">
        <f t="shared" si="1"/>
        <v>1067.2738881127852</v>
      </c>
      <c r="R10" s="2">
        <v>1017.926566266314</v>
      </c>
      <c r="S10" s="44">
        <f t="shared" si="2"/>
        <v>906.44180025962532</v>
      </c>
      <c r="V10" s="2">
        <v>100.25</v>
      </c>
      <c r="W10" s="277">
        <f t="shared" si="13"/>
        <v>1.0860741701822894</v>
      </c>
      <c r="X10" s="277">
        <f t="shared" si="6"/>
        <v>1.0110135750667044</v>
      </c>
      <c r="Y10" s="276">
        <v>1.1229916426788316</v>
      </c>
      <c r="Z10" s="49">
        <f t="shared" si="7"/>
        <v>12.299164267883157</v>
      </c>
      <c r="AA10" s="2">
        <v>8829</v>
      </c>
      <c r="AB10" s="49">
        <f t="shared" si="8"/>
        <v>7862.0353566825588</v>
      </c>
      <c r="AC10" s="2"/>
      <c r="AD10" s="50">
        <v>8.8000000000000007</v>
      </c>
      <c r="AE10">
        <v>87.8874</v>
      </c>
      <c r="AG10">
        <v>103.54689999999999</v>
      </c>
      <c r="AH10">
        <v>57.194232106719539</v>
      </c>
      <c r="AK10" s="275">
        <v>28.36</v>
      </c>
      <c r="AL10">
        <f>AK10/AK9</f>
        <v>0.9957865168539326</v>
      </c>
      <c r="AM10">
        <f t="shared" si="15"/>
        <v>1.0157556742275273</v>
      </c>
      <c r="AN10">
        <f t="shared" si="9"/>
        <v>1.0026376984350283</v>
      </c>
      <c r="AO10">
        <v>-2.9431895961670023</v>
      </c>
      <c r="AQ10">
        <v>1.0006999999999999</v>
      </c>
      <c r="AR10">
        <f t="shared" si="16"/>
        <v>1.0834910649655469</v>
      </c>
      <c r="AS10">
        <f t="shared" si="3"/>
        <v>1.0073793676517484</v>
      </c>
      <c r="AT10">
        <v>6.9999999999993179E-2</v>
      </c>
      <c r="AV10">
        <v>103.54689999999999</v>
      </c>
      <c r="AW10">
        <v>103.54689999999999</v>
      </c>
      <c r="AX10">
        <v>57.194232110000002</v>
      </c>
    </row>
    <row r="11" spans="1:50" ht="15.75" thickBot="1">
      <c r="A11" s="1">
        <v>38626</v>
      </c>
      <c r="B11">
        <v>35158.641999999905</v>
      </c>
      <c r="C11" s="49">
        <f t="shared" si="0"/>
        <v>31476.07246350967</v>
      </c>
      <c r="D11" s="2">
        <f t="shared" si="10"/>
        <v>0.683027670089839</v>
      </c>
      <c r="E11" s="2">
        <f t="shared" si="17"/>
        <v>1.9646680047550147</v>
      </c>
      <c r="F11" s="55">
        <f t="shared" si="4"/>
        <v>0.61767696516216497</v>
      </c>
      <c r="G11" s="49">
        <v>6.8814045058496882</v>
      </c>
      <c r="J11" s="47">
        <v>28.424399999999999</v>
      </c>
      <c r="K11">
        <f t="shared" si="11"/>
        <v>0.99734736842105254</v>
      </c>
      <c r="L11">
        <f t="shared" si="12"/>
        <v>1.0110551476865286</v>
      </c>
      <c r="M11" s="44">
        <f t="shared" si="5"/>
        <v>1.0036105438118643</v>
      </c>
      <c r="N11" s="2">
        <v>1206.5834441999998</v>
      </c>
      <c r="O11" s="48">
        <f t="shared" si="1"/>
        <v>1080.2040625718812</v>
      </c>
      <c r="R11" s="2">
        <v>1035.1988775673212</v>
      </c>
      <c r="S11" s="44">
        <f t="shared" si="2"/>
        <v>926.77057562271511</v>
      </c>
      <c r="V11" s="2">
        <v>100.55</v>
      </c>
      <c r="W11" s="277">
        <f t="shared" si="13"/>
        <v>1.0920475781182921</v>
      </c>
      <c r="X11" s="277">
        <f t="shared" si="6"/>
        <v>1.0165741497295715</v>
      </c>
      <c r="Y11" s="276">
        <v>1.1169958399593676</v>
      </c>
      <c r="Z11" s="49">
        <f t="shared" si="7"/>
        <v>11.699583995936758</v>
      </c>
      <c r="AA11" s="2">
        <v>8701</v>
      </c>
      <c r="AB11" s="49">
        <f t="shared" si="8"/>
        <v>7789.6440512406134</v>
      </c>
      <c r="AC11" s="2"/>
      <c r="AD11" s="50">
        <v>8.6999999999999993</v>
      </c>
      <c r="AE11">
        <v>87.937502000000009</v>
      </c>
      <c r="AG11">
        <v>106.3052</v>
      </c>
      <c r="AH11">
        <v>56.849253848364746</v>
      </c>
      <c r="AK11" s="275">
        <v>28.55</v>
      </c>
      <c r="AL11">
        <f>AK11/AK10</f>
        <v>1.0066995768688294</v>
      </c>
      <c r="AM11">
        <f t="shared" si="15"/>
        <v>1.0225608074469643</v>
      </c>
      <c r="AN11">
        <f t="shared" si="9"/>
        <v>1.00935494676728</v>
      </c>
      <c r="AO11">
        <v>-1.8225584594222681</v>
      </c>
      <c r="AQ11">
        <v>1.0089999999999999</v>
      </c>
      <c r="AR11">
        <f t="shared" si="16"/>
        <v>1.0932424845502366</v>
      </c>
      <c r="AS11">
        <f t="shared" si="3"/>
        <v>1.0164457819606139</v>
      </c>
      <c r="AT11">
        <v>0.89999999999999147</v>
      </c>
      <c r="AV11">
        <v>106.3052</v>
      </c>
      <c r="AW11">
        <v>106.3052</v>
      </c>
      <c r="AX11">
        <v>56.849253849999997</v>
      </c>
    </row>
    <row r="12" spans="1:50" ht="15.75" thickBot="1">
      <c r="A12" s="1">
        <v>38657</v>
      </c>
      <c r="B12">
        <v>54868.784</v>
      </c>
      <c r="C12" s="49">
        <f t="shared" si="0"/>
        <v>49316.865398152993</v>
      </c>
      <c r="D12" s="2">
        <f t="shared" si="10"/>
        <v>1.5668049263556063</v>
      </c>
      <c r="E12" s="2">
        <f t="shared" si="17"/>
        <v>3.0782515085033966</v>
      </c>
      <c r="F12" s="55">
        <f t="shared" si="4"/>
        <v>0.96777931191246014</v>
      </c>
      <c r="G12" s="49">
        <v>6.9197799019184938</v>
      </c>
      <c r="J12" s="47">
        <v>28.731200000000001</v>
      </c>
      <c r="K12">
        <f t="shared" si="11"/>
        <v>1.0107935435752382</v>
      </c>
      <c r="L12">
        <f t="shared" si="12"/>
        <v>1.0219680154800521</v>
      </c>
      <c r="M12" s="44">
        <f t="shared" si="5"/>
        <v>1.0144430579490662</v>
      </c>
      <c r="N12" s="2">
        <v>1243.0067245</v>
      </c>
      <c r="O12" s="48">
        <f t="shared" si="1"/>
        <v>1117.2326203031134</v>
      </c>
      <c r="R12" s="2">
        <v>1069.4420111800521</v>
      </c>
      <c r="S12" s="44">
        <f t="shared" si="2"/>
        <v>961.23011795735556</v>
      </c>
      <c r="V12" s="2">
        <v>100.74</v>
      </c>
      <c r="W12" s="277">
        <f t="shared" si="13"/>
        <v>1.1001287301963674</v>
      </c>
      <c r="X12" s="277">
        <f t="shared" si="6"/>
        <v>1.0240967984375702</v>
      </c>
      <c r="Y12" s="276">
        <v>1.1125764696726839</v>
      </c>
      <c r="Z12" s="49">
        <f t="shared" si="7"/>
        <v>11.257646967268386</v>
      </c>
      <c r="AA12" s="2">
        <v>8931</v>
      </c>
      <c r="AB12" s="49">
        <f t="shared" si="8"/>
        <v>8027.3133968287766</v>
      </c>
      <c r="AC12" s="2"/>
      <c r="AD12" s="50">
        <v>8.9</v>
      </c>
      <c r="AE12">
        <v>76.529209000000009</v>
      </c>
      <c r="AG12">
        <v>111.51889999999999</v>
      </c>
      <c r="AH12">
        <v>54.03816402583039</v>
      </c>
      <c r="AK12" s="275">
        <v>28.756499999999999</v>
      </c>
      <c r="AL12">
        <f t="shared" ref="AL12:AL74" si="18">AK12/AK11</f>
        <v>1.0072329246935201</v>
      </c>
      <c r="AM12">
        <f t="shared" si="15"/>
        <v>1.0299569127617734</v>
      </c>
      <c r="AN12">
        <f t="shared" si="9"/>
        <v>1.0166555350862798</v>
      </c>
      <c r="AO12">
        <v>0.61756473058083827</v>
      </c>
      <c r="AQ12">
        <v>1.0109999999999999</v>
      </c>
      <c r="AR12">
        <f t="shared" si="16"/>
        <v>1.1052681518802892</v>
      </c>
      <c r="AS12">
        <f t="shared" si="3"/>
        <v>1.0276266855621805</v>
      </c>
      <c r="AT12">
        <v>1.0999999999999943</v>
      </c>
      <c r="AV12">
        <v>111.5189</v>
      </c>
      <c r="AW12">
        <v>111.5189</v>
      </c>
      <c r="AX12">
        <v>54.038164029999997</v>
      </c>
    </row>
    <row r="13" spans="1:50" ht="15.75" thickBot="1">
      <c r="A13" s="1">
        <v>38687</v>
      </c>
      <c r="B13">
        <v>160241</v>
      </c>
      <c r="C13" s="49">
        <f t="shared" si="0"/>
        <v>144512.75918482197</v>
      </c>
      <c r="D13" s="2">
        <f t="shared" si="10"/>
        <v>2.9302908450915908</v>
      </c>
      <c r="E13" s="2">
        <f t="shared" si="17"/>
        <v>9.0201722142568812</v>
      </c>
      <c r="F13" s="55">
        <f t="shared" si="4"/>
        <v>2.8358748577661208</v>
      </c>
      <c r="G13" s="49">
        <v>7.1979854473363272</v>
      </c>
      <c r="J13" s="47">
        <v>28.782499999999999</v>
      </c>
      <c r="K13">
        <f t="shared" si="11"/>
        <v>1.001785515397895</v>
      </c>
      <c r="L13">
        <f t="shared" si="12"/>
        <v>1.0237927551078478</v>
      </c>
      <c r="M13" s="44">
        <f t="shared" si="5"/>
        <v>1.0162543616493218</v>
      </c>
      <c r="N13" s="2">
        <v>1762.4811617</v>
      </c>
      <c r="O13" s="48">
        <f t="shared" si="1"/>
        <v>1589.487182983989</v>
      </c>
      <c r="R13" s="2">
        <v>1489.9263236526265</v>
      </c>
      <c r="S13" s="44">
        <f t="shared" si="2"/>
        <v>1343.6846001531389</v>
      </c>
      <c r="V13" s="2">
        <v>100.82</v>
      </c>
      <c r="W13" s="277">
        <f t="shared" si="13"/>
        <v>1.1091497857839776</v>
      </c>
      <c r="X13" s="277">
        <f t="shared" si="6"/>
        <v>1.0324943921847582</v>
      </c>
      <c r="Y13" s="276">
        <v>1.1088363470734282</v>
      </c>
      <c r="Z13" s="49">
        <f t="shared" si="7"/>
        <v>10.883634707342814</v>
      </c>
      <c r="AA13" s="2">
        <v>11319</v>
      </c>
      <c r="AB13" s="49">
        <f t="shared" si="8"/>
        <v>10207.998709525027</v>
      </c>
      <c r="AC13" s="2"/>
      <c r="AD13" s="50">
        <v>8.4</v>
      </c>
      <c r="AE13">
        <v>73.973300000000009</v>
      </c>
      <c r="AG13">
        <v>163.88509999999999</v>
      </c>
      <c r="AH13">
        <v>62.861424125804902</v>
      </c>
      <c r="AK13" s="275">
        <v>28.81</v>
      </c>
      <c r="AL13">
        <f t="shared" si="18"/>
        <v>1.0018604489419782</v>
      </c>
      <c r="AM13">
        <f t="shared" si="15"/>
        <v>1.0318730950104043</v>
      </c>
      <c r="AN13">
        <f t="shared" si="9"/>
        <v>1.0185469708008874</v>
      </c>
      <c r="AO13">
        <v>3.1873095010404739</v>
      </c>
      <c r="AQ13">
        <v>1</v>
      </c>
      <c r="AR13">
        <f t="shared" si="16"/>
        <v>1.1052681518802892</v>
      </c>
      <c r="AS13">
        <f t="shared" si="3"/>
        <v>1.0276266855621805</v>
      </c>
      <c r="AT13">
        <v>0</v>
      </c>
      <c r="AV13">
        <v>163.88509999999999</v>
      </c>
      <c r="AW13">
        <v>163.88509999999999</v>
      </c>
      <c r="AX13">
        <v>62.861424130000003</v>
      </c>
    </row>
    <row r="14" spans="1:50" ht="15.75" thickBot="1">
      <c r="A14" s="1">
        <v>38718</v>
      </c>
      <c r="B14">
        <v>10668.743</v>
      </c>
      <c r="C14" s="49">
        <f t="shared" si="0"/>
        <v>9640.3589374438125</v>
      </c>
      <c r="D14" s="2">
        <f t="shared" si="10"/>
        <v>6.6709396400870397E-2</v>
      </c>
      <c r="E14" s="2">
        <f t="shared" si="17"/>
        <v>0.6017302438449792</v>
      </c>
      <c r="F14" s="55">
        <f t="shared" si="4"/>
        <v>0.18917950002998213</v>
      </c>
      <c r="G14" s="49">
        <v>7.4765467261028604</v>
      </c>
      <c r="J14" s="47">
        <v>28.120699999999999</v>
      </c>
      <c r="K14">
        <f t="shared" si="11"/>
        <v>0.97700686180839058</v>
      </c>
      <c r="L14">
        <f t="shared" si="12"/>
        <v>1.0002525468100845</v>
      </c>
      <c r="M14" s="44">
        <f t="shared" si="5"/>
        <v>0.99288748467409305</v>
      </c>
      <c r="N14" s="2">
        <v>979.96543900000006</v>
      </c>
      <c r="O14" s="48">
        <f t="shared" si="1"/>
        <v>885.50437275035108</v>
      </c>
      <c r="R14" s="2">
        <v>833.23537197106293</v>
      </c>
      <c r="S14" s="44">
        <f t="shared" si="2"/>
        <v>752.91794592629662</v>
      </c>
      <c r="V14" s="2">
        <v>102.43</v>
      </c>
      <c r="W14" s="277">
        <f t="shared" si="13"/>
        <v>1.1361021255785282</v>
      </c>
      <c r="X14" s="277">
        <f t="shared" si="6"/>
        <v>1.0575840059148478</v>
      </c>
      <c r="Y14" s="276">
        <v>1.1066748727126616</v>
      </c>
      <c r="Z14" s="49">
        <f t="shared" si="7"/>
        <v>10.667487271266163</v>
      </c>
      <c r="AA14" s="2">
        <v>9016</v>
      </c>
      <c r="AB14" s="49">
        <f t="shared" si="8"/>
        <v>8146.9275415101292</v>
      </c>
      <c r="AC14" s="2"/>
      <c r="AD14" s="50">
        <v>8.5</v>
      </c>
      <c r="AE14">
        <v>71.849399999999989</v>
      </c>
      <c r="AG14">
        <v>71.243095999999994</v>
      </c>
      <c r="AH14">
        <v>42.903038457508373</v>
      </c>
      <c r="AK14">
        <v>28.412199999999999</v>
      </c>
      <c r="AL14">
        <f t="shared" si="18"/>
        <v>0.98619229434224231</v>
      </c>
      <c r="AM14">
        <f t="shared" si="15"/>
        <v>1.0176252950383411</v>
      </c>
      <c r="AN14">
        <f t="shared" si="9"/>
        <v>1.004483174029468</v>
      </c>
      <c r="AO14">
        <f>(AK14/AK2)*100-100</f>
        <v>1.6900501073729259</v>
      </c>
      <c r="AQ14">
        <v>1.0225</v>
      </c>
      <c r="AR14">
        <f t="shared" si="16"/>
        <v>1.1301366852975956</v>
      </c>
      <c r="AS14">
        <f t="shared" si="3"/>
        <v>1.0507482859873296</v>
      </c>
      <c r="AT14">
        <v>2.25</v>
      </c>
      <c r="AV14">
        <v>71.243095999999994</v>
      </c>
      <c r="AW14">
        <v>71.243095999999994</v>
      </c>
      <c r="AX14">
        <v>42.903038459999998</v>
      </c>
    </row>
    <row r="15" spans="1:50" ht="15.75" thickBot="1">
      <c r="A15" s="1">
        <v>38749</v>
      </c>
      <c r="B15">
        <v>76302.342999999993</v>
      </c>
      <c r="C15" s="49">
        <f t="shared" si="0"/>
        <v>68608.414668522673</v>
      </c>
      <c r="D15" s="2">
        <f t="shared" si="10"/>
        <v>7.1167904757200384</v>
      </c>
      <c r="E15" s="2">
        <f t="shared" si="17"/>
        <v>4.2823880683486442</v>
      </c>
      <c r="F15" s="55">
        <f t="shared" si="4"/>
        <v>1.3463508640148556</v>
      </c>
      <c r="G15" s="49">
        <v>7.7554657751393075</v>
      </c>
      <c r="J15" s="47">
        <v>28.12</v>
      </c>
      <c r="K15">
        <f t="shared" si="11"/>
        <v>0.99997510730529471</v>
      </c>
      <c r="L15">
        <f t="shared" si="12"/>
        <v>1.0002276478288086</v>
      </c>
      <c r="M15" s="44">
        <f t="shared" si="5"/>
        <v>0.99286276902906045</v>
      </c>
      <c r="N15" s="2">
        <v>1185.3253743999999</v>
      </c>
      <c r="O15" s="48">
        <f t="shared" si="1"/>
        <v>1065.8033764960151</v>
      </c>
      <c r="R15" s="2">
        <v>1003.9200116863307</v>
      </c>
      <c r="S15" s="44">
        <f t="shared" si="2"/>
        <v>902.68997972714817</v>
      </c>
      <c r="V15" s="2">
        <v>101.66</v>
      </c>
      <c r="W15" s="277">
        <f t="shared" si="13"/>
        <v>1.1549614208631318</v>
      </c>
      <c r="X15" s="277">
        <f t="shared" si="6"/>
        <v>1.0751399004130344</v>
      </c>
      <c r="Y15" s="276">
        <v>1.1121426339414788</v>
      </c>
      <c r="Z15" s="49">
        <f t="shared" si="7"/>
        <v>11.214263394147883</v>
      </c>
      <c r="AA15" s="2">
        <v>9255</v>
      </c>
      <c r="AB15" s="49">
        <f t="shared" si="8"/>
        <v>8321.7743098292194</v>
      </c>
      <c r="AC15" s="2"/>
      <c r="AD15" s="50">
        <v>8.6999999999999993</v>
      </c>
      <c r="AE15">
        <v>68.992699999999999</v>
      </c>
      <c r="AG15">
        <v>84.35257399999999</v>
      </c>
      <c r="AH15">
        <v>52.278672237478617</v>
      </c>
      <c r="AK15">
        <v>28.2</v>
      </c>
      <c r="AL15">
        <f t="shared" si="18"/>
        <v>0.99253137736606112</v>
      </c>
      <c r="AM15">
        <f t="shared" si="15"/>
        <v>1.0100250357269489</v>
      </c>
      <c r="AN15">
        <f t="shared" si="9"/>
        <v>0.99698106826050059</v>
      </c>
      <c r="AO15">
        <f t="shared" ref="AO15:AO78" si="19">(AK15/AK3)*100-100</f>
        <v>0.80789304354043168</v>
      </c>
      <c r="AQ15">
        <v>1.0225</v>
      </c>
      <c r="AR15">
        <f t="shared" si="16"/>
        <v>1.1555647607167914</v>
      </c>
      <c r="AS15">
        <f t="shared" si="3"/>
        <v>1.0743901224220445</v>
      </c>
      <c r="AT15">
        <v>2.25</v>
      </c>
      <c r="AV15">
        <v>84.352574000000004</v>
      </c>
      <c r="AW15">
        <v>84.352574000000004</v>
      </c>
      <c r="AX15">
        <v>52.278672239999999</v>
      </c>
    </row>
    <row r="16" spans="1:50" ht="15.75" thickBot="1">
      <c r="A16" s="1">
        <v>38777</v>
      </c>
      <c r="B16">
        <v>84407.3</v>
      </c>
      <c r="C16" s="49">
        <f t="shared" si="0"/>
        <v>76272.579087577556</v>
      </c>
      <c r="D16" s="2">
        <f t="shared" si="10"/>
        <v>1.1117088108810533</v>
      </c>
      <c r="E16" s="2">
        <f t="shared" si="17"/>
        <v>4.7607685471950818</v>
      </c>
      <c r="F16" s="55">
        <f t="shared" si="4"/>
        <v>1.4967501180626337</v>
      </c>
      <c r="G16" s="49">
        <v>7.6312002390437987</v>
      </c>
      <c r="J16" s="47">
        <v>27.762599999999999</v>
      </c>
      <c r="K16">
        <f t="shared" si="11"/>
        <v>0.98729018492176379</v>
      </c>
      <c r="L16">
        <f t="shared" si="12"/>
        <v>0.98751493938876522</v>
      </c>
      <c r="M16" s="44">
        <f t="shared" si="5"/>
        <v>0.98024366683663544</v>
      </c>
      <c r="N16" s="2">
        <v>1317.8524999999997</v>
      </c>
      <c r="O16" s="48">
        <f t="shared" si="1"/>
        <v>1190.8449746883477</v>
      </c>
      <c r="R16" s="2">
        <v>1095.3468297426057</v>
      </c>
      <c r="S16" s="44">
        <f t="shared" si="2"/>
        <v>989.78320239920276</v>
      </c>
      <c r="V16" s="2">
        <v>100.82</v>
      </c>
      <c r="W16" s="277">
        <f t="shared" si="13"/>
        <v>1.1644321045142094</v>
      </c>
      <c r="X16" s="277">
        <f t="shared" si="6"/>
        <v>1.0839560475964212</v>
      </c>
      <c r="Y16" s="276">
        <v>1.1066532823425574</v>
      </c>
      <c r="Z16" s="49">
        <f t="shared" si="7"/>
        <v>10.665328234255744</v>
      </c>
      <c r="AA16" s="2">
        <v>9914</v>
      </c>
      <c r="AB16" s="49">
        <f t="shared" si="8"/>
        <v>8958.5420819555166</v>
      </c>
      <c r="AC16" s="2"/>
      <c r="AD16" s="50">
        <v>8.5</v>
      </c>
      <c r="AE16">
        <v>79.755099999999999</v>
      </c>
      <c r="AG16">
        <v>103.61019999999999</v>
      </c>
      <c r="AH16">
        <v>70.454189305012989</v>
      </c>
      <c r="AK16">
        <v>27.88</v>
      </c>
      <c r="AL16">
        <f t="shared" si="18"/>
        <v>0.98865248226950353</v>
      </c>
      <c r="AM16">
        <f t="shared" si="15"/>
        <v>0.99856375872579206</v>
      </c>
      <c r="AN16">
        <f t="shared" si="9"/>
        <v>0.98566780791144526</v>
      </c>
      <c r="AO16">
        <f t="shared" si="19"/>
        <v>0.94134685010860153</v>
      </c>
      <c r="AQ16">
        <v>1.0155000000000001</v>
      </c>
      <c r="AR16">
        <f t="shared" si="16"/>
        <v>1.1734760145079017</v>
      </c>
      <c r="AS16">
        <f t="shared" si="3"/>
        <v>1.0910431693195861</v>
      </c>
      <c r="AT16">
        <v>1.5500000000000114</v>
      </c>
      <c r="AV16">
        <v>103.61020000000001</v>
      </c>
      <c r="AW16">
        <v>103.61020000000001</v>
      </c>
      <c r="AX16">
        <v>70.454189310000004</v>
      </c>
    </row>
    <row r="17" spans="1:50" ht="15.75" thickBot="1">
      <c r="A17" s="1">
        <v>38808</v>
      </c>
      <c r="B17">
        <v>94354.312999999936</v>
      </c>
      <c r="C17" s="49">
        <f t="shared" si="0"/>
        <v>85855.40142680952</v>
      </c>
      <c r="D17" s="2">
        <f t="shared" si="10"/>
        <v>1.1256391543837634</v>
      </c>
      <c r="E17" s="2">
        <f t="shared" si="17"/>
        <v>5.3589074816814897</v>
      </c>
      <c r="F17" s="55">
        <f t="shared" si="4"/>
        <v>1.6848005372198209</v>
      </c>
      <c r="G17" s="49">
        <v>7.5076372797954631</v>
      </c>
      <c r="J17" s="47">
        <v>27.273900000000001</v>
      </c>
      <c r="K17">
        <f t="shared" si="11"/>
        <v>0.98239718182014657</v>
      </c>
      <c r="L17">
        <f t="shared" si="12"/>
        <v>0.97013189346081585</v>
      </c>
      <c r="M17" s="44">
        <f t="shared" si="5"/>
        <v>0.96298861579735739</v>
      </c>
      <c r="N17" s="2">
        <v>1368.2128693999998</v>
      </c>
      <c r="O17" s="48">
        <f t="shared" si="1"/>
        <v>1244.9718662003716</v>
      </c>
      <c r="R17" s="2">
        <v>1145.6917880679694</v>
      </c>
      <c r="S17" s="44">
        <f t="shared" si="2"/>
        <v>1042.4942458748521</v>
      </c>
      <c r="V17" s="2">
        <v>100.35</v>
      </c>
      <c r="W17" s="2">
        <f t="shared" si="13"/>
        <v>1.168507616880009</v>
      </c>
      <c r="X17" s="277">
        <f t="shared" si="6"/>
        <v>1.0877498937630086</v>
      </c>
      <c r="Y17" s="55">
        <v>1.098990994532075</v>
      </c>
      <c r="Z17" s="49">
        <f t="shared" si="7"/>
        <v>9.899099453207505</v>
      </c>
      <c r="AA17" s="2">
        <v>9833</v>
      </c>
      <c r="AB17" s="49">
        <f t="shared" si="8"/>
        <v>8947.2980660652865</v>
      </c>
      <c r="AC17" s="2"/>
      <c r="AD17" s="50">
        <v>9.1</v>
      </c>
      <c r="AE17">
        <v>72.745453999999995</v>
      </c>
      <c r="AG17">
        <v>87.7196</v>
      </c>
      <c r="AH17">
        <v>84.700238778838795</v>
      </c>
      <c r="AK17">
        <v>27.572800000000001</v>
      </c>
      <c r="AL17">
        <f t="shared" si="18"/>
        <v>0.98898134863701581</v>
      </c>
      <c r="AM17">
        <f t="shared" si="15"/>
        <v>0.98756093280468149</v>
      </c>
      <c r="AN17">
        <f t="shared" si="9"/>
        <v>0.97480707797635224</v>
      </c>
      <c r="AO17">
        <f t="shared" si="19"/>
        <v>-0.88856937455068419</v>
      </c>
      <c r="AQ17">
        <v>0.99980999999999998</v>
      </c>
      <c r="AR17">
        <f t="shared" si="16"/>
        <v>1.1732530540651451</v>
      </c>
      <c r="AS17">
        <f t="shared" si="3"/>
        <v>1.0908358711174153</v>
      </c>
      <c r="AT17">
        <v>-1.9000000000005457E-2</v>
      </c>
      <c r="AV17">
        <v>87.7196</v>
      </c>
      <c r="AW17">
        <v>87.7196</v>
      </c>
      <c r="AX17">
        <v>84.700238780000006</v>
      </c>
    </row>
    <row r="18" spans="1:50" ht="15.75" thickBot="1">
      <c r="A18" s="1">
        <v>38838</v>
      </c>
      <c r="B18">
        <v>83750.14099999996</v>
      </c>
      <c r="C18" s="49">
        <f t="shared" si="0"/>
        <v>76433.876017938426</v>
      </c>
      <c r="D18" s="2">
        <f t="shared" si="10"/>
        <v>0.89026286928606579</v>
      </c>
      <c r="E18" s="2">
        <f t="shared" si="17"/>
        <v>4.7708363508803284</v>
      </c>
      <c r="F18" s="55">
        <f t="shared" si="4"/>
        <v>1.499915360440023</v>
      </c>
      <c r="G18" s="49">
        <v>7.3847709558102297</v>
      </c>
      <c r="J18" s="47">
        <v>26.984000000000002</v>
      </c>
      <c r="K18">
        <f t="shared" si="11"/>
        <v>0.98937079038934661</v>
      </c>
      <c r="L18">
        <f t="shared" si="12"/>
        <v>0.9598201582152408</v>
      </c>
      <c r="M18" s="44">
        <f t="shared" si="5"/>
        <v>0.95275280794737438</v>
      </c>
      <c r="N18" s="2">
        <v>1374.2797126000005</v>
      </c>
      <c r="O18" s="48">
        <f t="shared" si="1"/>
        <v>1254.2250545803445</v>
      </c>
      <c r="R18" s="2">
        <v>1125.2877365598104</v>
      </c>
      <c r="S18" s="44">
        <f t="shared" si="2"/>
        <v>1026.9845795330559</v>
      </c>
      <c r="V18" s="2">
        <v>100.48</v>
      </c>
      <c r="W18" s="2">
        <f t="shared" si="13"/>
        <v>1.1741164534410333</v>
      </c>
      <c r="X18" s="277">
        <f t="shared" si="6"/>
        <v>1.0929710932530712</v>
      </c>
      <c r="Y18" s="55">
        <v>1.0957201880007297</v>
      </c>
      <c r="Z18" s="49">
        <f t="shared" si="7"/>
        <v>9.5720188000729678</v>
      </c>
      <c r="AA18" s="2">
        <v>10257</v>
      </c>
      <c r="AB18" s="49">
        <f t="shared" si="8"/>
        <v>9360.9665244145071</v>
      </c>
      <c r="AC18" s="2"/>
      <c r="AD18" s="50">
        <v>8.6999999999999993</v>
      </c>
      <c r="AE18">
        <v>87.146985000000001</v>
      </c>
      <c r="AG18">
        <v>96.313817</v>
      </c>
      <c r="AH18">
        <v>113.50813348699842</v>
      </c>
      <c r="AK18">
        <v>27.05</v>
      </c>
      <c r="AL18">
        <f t="shared" si="18"/>
        <v>0.981039285092555</v>
      </c>
      <c r="AM18">
        <f t="shared" si="15"/>
        <v>0.9688360715040415</v>
      </c>
      <c r="AN18">
        <f t="shared" si="9"/>
        <v>0.95632403888108308</v>
      </c>
      <c r="AO18">
        <f t="shared" si="19"/>
        <v>-3.1160458452722111</v>
      </c>
      <c r="AQ18">
        <v>0.99350000000000005</v>
      </c>
      <c r="AR18">
        <f t="shared" si="16"/>
        <v>1.1656269092137217</v>
      </c>
      <c r="AS18">
        <f t="shared" si="3"/>
        <v>1.0837454379551521</v>
      </c>
      <c r="AT18">
        <v>-0.64999999999999147</v>
      </c>
      <c r="AV18">
        <v>96.313817</v>
      </c>
      <c r="AW18">
        <v>96.313817</v>
      </c>
      <c r="AX18">
        <v>113.5081335</v>
      </c>
    </row>
    <row r="19" spans="1:50" ht="15.75" thickBot="1">
      <c r="A19" s="1">
        <v>38869</v>
      </c>
      <c r="B19">
        <v>114490.34</v>
      </c>
      <c r="C19" s="49">
        <f t="shared" si="0"/>
        <v>104801.19372306093</v>
      </c>
      <c r="D19" s="2">
        <f t="shared" si="10"/>
        <v>1.3711354072697415</v>
      </c>
      <c r="E19" s="2">
        <f t="shared" si="17"/>
        <v>6.5414626429815863</v>
      </c>
      <c r="F19" s="55">
        <f t="shared" si="4"/>
        <v>2.056587058607072</v>
      </c>
      <c r="G19" s="49">
        <v>7.0712263624509646</v>
      </c>
      <c r="J19" s="47">
        <v>27.078900000000001</v>
      </c>
      <c r="K19">
        <f t="shared" si="11"/>
        <v>1.0035168989030536</v>
      </c>
      <c r="L19">
        <f t="shared" si="12"/>
        <v>0.96319574867679669</v>
      </c>
      <c r="M19" s="44">
        <f t="shared" si="5"/>
        <v>0.95610354325252567</v>
      </c>
      <c r="N19" s="2">
        <v>1477.1627361999999</v>
      </c>
      <c r="O19" s="48">
        <f t="shared" si="1"/>
        <v>1352.1526626349694</v>
      </c>
      <c r="R19" s="2">
        <v>1205.1300935722204</v>
      </c>
      <c r="S19" s="44">
        <f t="shared" si="2"/>
        <v>1103.1417357827115</v>
      </c>
      <c r="V19" s="2">
        <v>100.28</v>
      </c>
      <c r="W19" s="2">
        <f t="shared" si="13"/>
        <v>1.1774039795106681</v>
      </c>
      <c r="X19" s="277">
        <f t="shared" si="6"/>
        <v>1.0960314123141797</v>
      </c>
      <c r="Y19" s="55">
        <v>1.092452632768123</v>
      </c>
      <c r="Z19" s="49">
        <f t="shared" si="7"/>
        <v>9.2452632768122989</v>
      </c>
      <c r="AA19" s="2">
        <v>11106</v>
      </c>
      <c r="AB19" s="49">
        <f t="shared" si="8"/>
        <v>10166.115826787785</v>
      </c>
      <c r="AC19" s="2"/>
      <c r="AD19" s="50">
        <v>8.4</v>
      </c>
      <c r="AE19">
        <v>81.519199999999998</v>
      </c>
      <c r="AG19">
        <v>109.7325</v>
      </c>
      <c r="AH19">
        <v>92.661027734162829</v>
      </c>
      <c r="AK19">
        <v>26.98</v>
      </c>
      <c r="AL19">
        <f t="shared" si="18"/>
        <v>0.99741219963031424</v>
      </c>
      <c r="AM19">
        <f t="shared" si="15"/>
        <v>0.96632891716003844</v>
      </c>
      <c r="AN19">
        <f t="shared" si="9"/>
        <v>0.95384926317972729</v>
      </c>
      <c r="AO19">
        <f t="shared" si="19"/>
        <v>-5.3472821549105021</v>
      </c>
      <c r="AQ19">
        <v>1.0141199999999999</v>
      </c>
      <c r="AR19">
        <f t="shared" si="16"/>
        <v>1.1820855611718193</v>
      </c>
      <c r="AS19">
        <f t="shared" si="3"/>
        <v>1.0990479235390789</v>
      </c>
      <c r="AT19">
        <v>1.4119999999999919</v>
      </c>
      <c r="AV19">
        <v>109.7325</v>
      </c>
      <c r="AW19">
        <v>109.7325</v>
      </c>
      <c r="AX19">
        <v>92.661027730000001</v>
      </c>
    </row>
    <row r="20" spans="1:50" ht="15.75" thickBot="1">
      <c r="A20" s="1">
        <v>38899</v>
      </c>
      <c r="B20">
        <v>75596.270000000193</v>
      </c>
      <c r="C20" s="49">
        <f t="shared" si="0"/>
        <v>69061.235414549985</v>
      </c>
      <c r="D20" s="2">
        <f t="shared" si="10"/>
        <v>0.65897374792357388</v>
      </c>
      <c r="E20" s="2">
        <f t="shared" si="17"/>
        <v>4.3106521547476229</v>
      </c>
      <c r="F20" s="55">
        <f t="shared" si="4"/>
        <v>1.3552368819414209</v>
      </c>
      <c r="G20" s="49">
        <v>6.7592061302340412</v>
      </c>
      <c r="J20" s="47">
        <v>26.8718</v>
      </c>
      <c r="K20">
        <f t="shared" si="11"/>
        <v>0.99235197884699888</v>
      </c>
      <c r="L20">
        <f t="shared" si="12"/>
        <v>0.95582920721643583</v>
      </c>
      <c r="M20" s="44">
        <f t="shared" si="5"/>
        <v>0.9487912431292711</v>
      </c>
      <c r="N20" s="2">
        <v>1440.7503252000001</v>
      </c>
      <c r="O20" s="48">
        <f t="shared" si="1"/>
        <v>1316.2024711302079</v>
      </c>
      <c r="R20" s="2">
        <v>1212.6082632148875</v>
      </c>
      <c r="S20" s="44">
        <f t="shared" si="2"/>
        <v>1107.7824968283717</v>
      </c>
      <c r="V20" s="2">
        <v>100.67</v>
      </c>
      <c r="W20" s="2">
        <f t="shared" si="13"/>
        <v>1.1852925861733894</v>
      </c>
      <c r="X20" s="277">
        <f t="shared" si="6"/>
        <v>1.1033748227766846</v>
      </c>
      <c r="Y20" s="55">
        <v>1.0946266678582091</v>
      </c>
      <c r="Z20" s="49">
        <f t="shared" si="7"/>
        <v>9.4626667858209057</v>
      </c>
      <c r="AA20" s="2">
        <v>10883</v>
      </c>
      <c r="AB20" s="49">
        <f t="shared" si="8"/>
        <v>9942.2025057128558</v>
      </c>
      <c r="AC20" s="2"/>
      <c r="AD20" s="50">
        <v>7.9</v>
      </c>
      <c r="AE20">
        <v>80.045065000000008</v>
      </c>
      <c r="AG20">
        <v>109.334551</v>
      </c>
      <c r="AH20">
        <v>82.854006102759712</v>
      </c>
      <c r="AK20">
        <v>26.92</v>
      </c>
      <c r="AL20">
        <f t="shared" si="18"/>
        <v>0.99777613046701263</v>
      </c>
      <c r="AM20">
        <f t="shared" si="15"/>
        <v>0.96417992772232153</v>
      </c>
      <c r="AN20">
        <f t="shared" si="9"/>
        <v>0.95172802686427938</v>
      </c>
      <c r="AO20">
        <f t="shared" si="19"/>
        <v>-6.1693970024398652</v>
      </c>
      <c r="AQ20">
        <v>1.0075000000000001</v>
      </c>
      <c r="AR20">
        <f t="shared" si="16"/>
        <v>1.190951202880608</v>
      </c>
      <c r="AS20">
        <f t="shared" si="3"/>
        <v>1.107290782965622</v>
      </c>
      <c r="AT20">
        <v>0.75</v>
      </c>
      <c r="AV20">
        <v>109.334551</v>
      </c>
      <c r="AW20">
        <v>109.334551</v>
      </c>
      <c r="AX20">
        <v>82.854006100000007</v>
      </c>
    </row>
    <row r="21" spans="1:50" ht="15.75" thickBot="1">
      <c r="A21" s="1">
        <v>38930</v>
      </c>
      <c r="B21">
        <v>84735.155999999988</v>
      </c>
      <c r="C21" s="49">
        <f t="shared" si="0"/>
        <v>77178.329752776408</v>
      </c>
      <c r="D21" s="2">
        <f t="shared" si="10"/>
        <v>1.1175347398508353</v>
      </c>
      <c r="E21" s="2">
        <f t="shared" si="17"/>
        <v>4.8173035343433277</v>
      </c>
      <c r="F21" s="55">
        <f t="shared" si="4"/>
        <v>1.514524296296663</v>
      </c>
      <c r="G21" s="49">
        <v>6.4486965896543609</v>
      </c>
      <c r="J21" s="47">
        <v>26.7379</v>
      </c>
      <c r="K21">
        <f t="shared" si="11"/>
        <v>0.99501708110361042</v>
      </c>
      <c r="L21">
        <f t="shared" si="12"/>
        <v>0.95106638779807595</v>
      </c>
      <c r="M21" s="44">
        <f t="shared" si="5"/>
        <v>0.94406349331515327</v>
      </c>
      <c r="N21" s="2">
        <v>1466.9533901</v>
      </c>
      <c r="O21" s="48">
        <f t="shared" si="1"/>
        <v>1336.1279758910346</v>
      </c>
      <c r="R21" s="2">
        <v>1220.8749872763572</v>
      </c>
      <c r="S21" s="44">
        <f t="shared" si="2"/>
        <v>1111.9952662261151</v>
      </c>
      <c r="V21" s="2">
        <v>100.19217815593518</v>
      </c>
      <c r="W21" s="2">
        <f t="shared" si="13"/>
        <v>1.1875704596079337</v>
      </c>
      <c r="X21" s="277">
        <f t="shared" si="6"/>
        <v>1.1054952681641497</v>
      </c>
      <c r="Y21" s="55">
        <v>1.0979138350289543</v>
      </c>
      <c r="Z21" s="49">
        <f t="shared" si="7"/>
        <v>9.7913835028954352</v>
      </c>
      <c r="AA21" s="2">
        <v>10853</v>
      </c>
      <c r="AB21" s="49">
        <f t="shared" si="8"/>
        <v>9885.1108836913263</v>
      </c>
      <c r="AC21" s="2"/>
      <c r="AD21" s="50">
        <v>8.6999999999999993</v>
      </c>
      <c r="AE21">
        <v>81.242307999999994</v>
      </c>
      <c r="AG21">
        <v>117.99117</v>
      </c>
      <c r="AH21">
        <v>93.383308705995887</v>
      </c>
      <c r="AK21">
        <v>26.77</v>
      </c>
      <c r="AL21">
        <f t="shared" si="18"/>
        <v>0.99442793462109946</v>
      </c>
      <c r="AM21">
        <f t="shared" si="15"/>
        <v>0.95880745412802915</v>
      </c>
      <c r="AN21">
        <f t="shared" si="9"/>
        <v>0.94642493607565958</v>
      </c>
      <c r="AO21">
        <f t="shared" si="19"/>
        <v>-6.0042134831460743</v>
      </c>
      <c r="AQ21">
        <v>0.99909999999999999</v>
      </c>
      <c r="AR21">
        <f t="shared" si="16"/>
        <v>1.1898793467980153</v>
      </c>
      <c r="AS21">
        <f t="shared" si="3"/>
        <v>1.1062942212609528</v>
      </c>
      <c r="AT21">
        <v>-9.0000000000003411E-2</v>
      </c>
      <c r="AV21">
        <v>117.99117</v>
      </c>
      <c r="AW21">
        <v>117.99117</v>
      </c>
      <c r="AX21">
        <v>93.383308709999994</v>
      </c>
    </row>
    <row r="22" spans="1:50" ht="15.75" thickBot="1">
      <c r="A22" s="1">
        <v>38961</v>
      </c>
      <c r="B22">
        <v>82200</v>
      </c>
      <c r="C22" s="49">
        <f t="shared" si="0"/>
        <v>75018.85224177326</v>
      </c>
      <c r="D22" s="2">
        <f t="shared" si="10"/>
        <v>0.97201963921841072</v>
      </c>
      <c r="E22" s="2">
        <f t="shared" si="17"/>
        <v>4.6825136434579759</v>
      </c>
      <c r="F22" s="55">
        <f t="shared" si="4"/>
        <v>1.4721473600737998</v>
      </c>
      <c r="G22" s="49">
        <v>6.5122140958347359</v>
      </c>
      <c r="J22" s="47">
        <v>26.779900000000001</v>
      </c>
      <c r="K22">
        <f t="shared" si="11"/>
        <v>1.0015708039898421</v>
      </c>
      <c r="L22">
        <f t="shared" si="12"/>
        <v>0.95256032667463386</v>
      </c>
      <c r="M22" s="44">
        <f t="shared" si="5"/>
        <v>0.94554643201711697</v>
      </c>
      <c r="N22" s="2">
        <v>1447.5971</v>
      </c>
      <c r="O22" s="48">
        <f t="shared" si="1"/>
        <v>1321.1322743372198</v>
      </c>
      <c r="R22" s="2">
        <v>1198.0400648087557</v>
      </c>
      <c r="S22" s="44">
        <f t="shared" si="2"/>
        <v>1093.3770146181569</v>
      </c>
      <c r="V22" s="2">
        <v>100.09</v>
      </c>
      <c r="W22" s="2">
        <f t="shared" si="13"/>
        <v>1.1886392730215811</v>
      </c>
      <c r="X22" s="277">
        <f t="shared" si="6"/>
        <v>1.1064902139054977</v>
      </c>
      <c r="Y22" s="55">
        <v>1.0957245751385678</v>
      </c>
      <c r="Z22" s="49">
        <f t="shared" si="7"/>
        <v>9.5724575138567793</v>
      </c>
      <c r="AA22" s="2">
        <v>11127</v>
      </c>
      <c r="AB22" s="49">
        <f t="shared" si="8"/>
        <v>10154.924195793323</v>
      </c>
      <c r="AC22" s="2"/>
      <c r="AD22" s="50">
        <v>8.6</v>
      </c>
      <c r="AE22">
        <v>73.630399999999995</v>
      </c>
      <c r="AG22">
        <v>86.457399999999993</v>
      </c>
      <c r="AH22">
        <v>75.421685191244407</v>
      </c>
      <c r="AK22">
        <v>26.74</v>
      </c>
      <c r="AL22">
        <f t="shared" si="18"/>
        <v>0.99887934254762789</v>
      </c>
      <c r="AM22">
        <f t="shared" si="15"/>
        <v>0.95773295940917069</v>
      </c>
      <c r="AN22">
        <f t="shared" si="9"/>
        <v>0.94536431791793563</v>
      </c>
      <c r="AO22">
        <f t="shared" si="19"/>
        <v>-5.7122708039492238</v>
      </c>
      <c r="AQ22">
        <v>1.0018199999999999</v>
      </c>
      <c r="AR22">
        <f t="shared" si="16"/>
        <v>1.1920449272091875</v>
      </c>
      <c r="AS22">
        <f t="shared" si="3"/>
        <v>1.1083076767436475</v>
      </c>
      <c r="AT22">
        <v>0.18199999999998795</v>
      </c>
      <c r="AV22">
        <v>86.457400000000007</v>
      </c>
      <c r="AW22">
        <v>86.457400000000007</v>
      </c>
      <c r="AX22">
        <v>75.421685190000005</v>
      </c>
    </row>
    <row r="23" spans="1:50" ht="15.75" thickBot="1">
      <c r="A23" s="1">
        <v>38991</v>
      </c>
      <c r="B23">
        <v>74426.632000000129</v>
      </c>
      <c r="C23" s="49">
        <f t="shared" si="0"/>
        <v>68127.744648220891</v>
      </c>
      <c r="D23" s="2">
        <f t="shared" si="10"/>
        <v>0.90814165522896195</v>
      </c>
      <c r="E23" s="2">
        <f t="shared" si="17"/>
        <v>4.2523856908021234</v>
      </c>
      <c r="F23" s="55">
        <f t="shared" si="4"/>
        <v>1.3369183403183671</v>
      </c>
      <c r="G23" s="49">
        <v>6.576120975478025</v>
      </c>
      <c r="J23" s="47">
        <v>26.747699999999998</v>
      </c>
      <c r="K23">
        <f t="shared" si="11"/>
        <v>0.99879760566693665</v>
      </c>
      <c r="L23">
        <f t="shared" si="12"/>
        <v>0.95141497353593929</v>
      </c>
      <c r="M23" s="44">
        <f t="shared" si="5"/>
        <v>0.94440951234561132</v>
      </c>
      <c r="N23" s="2">
        <v>1485.4797626000004</v>
      </c>
      <c r="O23" s="48">
        <f t="shared" si="1"/>
        <v>1359.7603872026943</v>
      </c>
      <c r="R23" s="2">
        <v>1265.3863102954117</v>
      </c>
      <c r="S23" s="44">
        <f t="shared" si="2"/>
        <v>1158.2939213097814</v>
      </c>
      <c r="V23" s="2">
        <v>100.28003795563394</v>
      </c>
      <c r="W23" s="2">
        <f t="shared" si="13"/>
        <v>1.1919679141416128</v>
      </c>
      <c r="X23" s="277">
        <f t="shared" si="6"/>
        <v>1.1095888064798083</v>
      </c>
      <c r="Y23" s="55">
        <v>1.0924570068230453</v>
      </c>
      <c r="Z23" s="49">
        <f t="shared" si="7"/>
        <v>9.2457006823045251</v>
      </c>
      <c r="AA23" s="2">
        <v>11046</v>
      </c>
      <c r="AB23" s="49">
        <f t="shared" si="8"/>
        <v>10111.15305317385</v>
      </c>
      <c r="AC23" s="2"/>
      <c r="AD23" s="50">
        <v>8.6</v>
      </c>
      <c r="AE23">
        <v>84.657103000000006</v>
      </c>
      <c r="AG23">
        <v>110.042644</v>
      </c>
      <c r="AH23">
        <v>73.264991575844022</v>
      </c>
      <c r="AK23">
        <v>26.86</v>
      </c>
      <c r="AL23">
        <f t="shared" si="18"/>
        <v>1.0044876589379208</v>
      </c>
      <c r="AM23">
        <f t="shared" si="15"/>
        <v>0.96203093828460462</v>
      </c>
      <c r="AN23">
        <f t="shared" si="9"/>
        <v>0.94960679054883157</v>
      </c>
      <c r="AO23">
        <f t="shared" si="19"/>
        <v>-5.9194395796847772</v>
      </c>
      <c r="AQ23">
        <v>1.0003</v>
      </c>
      <c r="AR23">
        <f t="shared" si="16"/>
        <v>1.1924025406873502</v>
      </c>
      <c r="AS23">
        <f t="shared" si="3"/>
        <v>1.1086401690466705</v>
      </c>
      <c r="AT23">
        <v>3.0000000000001137E-2</v>
      </c>
      <c r="AV23">
        <v>110.042644</v>
      </c>
      <c r="AW23">
        <v>110.042644</v>
      </c>
      <c r="AX23">
        <v>73.26499158</v>
      </c>
    </row>
    <row r="24" spans="1:50" ht="15.75" thickBot="1">
      <c r="A24" s="1">
        <v>39022</v>
      </c>
      <c r="B24">
        <v>99119.120999999956</v>
      </c>
      <c r="C24" s="49">
        <f t="shared" si="0"/>
        <v>90820.644046957372</v>
      </c>
      <c r="D24" s="2">
        <f t="shared" si="10"/>
        <v>1.3330933603616524</v>
      </c>
      <c r="E24" s="2">
        <f t="shared" si="17"/>
        <v>5.6688271301052096</v>
      </c>
      <c r="F24" s="55">
        <f t="shared" si="4"/>
        <v>1.7822369628241352</v>
      </c>
      <c r="G24" s="49">
        <v>6.6404234211730824</v>
      </c>
      <c r="J24" s="47">
        <v>26.314699999999998</v>
      </c>
      <c r="K24">
        <f t="shared" si="11"/>
        <v>0.98381169222026565</v>
      </c>
      <c r="L24">
        <f t="shared" si="12"/>
        <v>0.93601317511809168</v>
      </c>
      <c r="M24" s="44">
        <f t="shared" si="5"/>
        <v>0.92912112048965168</v>
      </c>
      <c r="N24" s="2">
        <v>1542.4021403000002</v>
      </c>
      <c r="O24" s="48">
        <f t="shared" si="1"/>
        <v>1413.2687452045866</v>
      </c>
      <c r="R24" s="2">
        <v>1319.5238063595637</v>
      </c>
      <c r="S24" s="44">
        <f t="shared" si="2"/>
        <v>1209.0502893873352</v>
      </c>
      <c r="V24" s="2">
        <v>100.63353188621011</v>
      </c>
      <c r="W24" s="2">
        <f t="shared" si="13"/>
        <v>1.1995194109510936</v>
      </c>
      <c r="X24" s="277">
        <f t="shared" si="6"/>
        <v>1.1166184053746762</v>
      </c>
      <c r="Y24" s="55">
        <v>1.0913721438569846</v>
      </c>
      <c r="Z24" s="49">
        <f t="shared" si="7"/>
        <v>9.1372143856984565</v>
      </c>
      <c r="AA24" s="2">
        <v>11303</v>
      </c>
      <c r="AB24" s="49">
        <f t="shared" si="8"/>
        <v>10356.687279972546</v>
      </c>
      <c r="AC24" s="2"/>
      <c r="AD24" s="50">
        <v>8.8000000000000007</v>
      </c>
      <c r="AE24">
        <v>75.821214999999995</v>
      </c>
      <c r="AG24">
        <v>96.954100000000011</v>
      </c>
      <c r="AH24">
        <v>66.712981268371394</v>
      </c>
      <c r="AK24">
        <v>26.617000000000001</v>
      </c>
      <c r="AL24">
        <f t="shared" si="18"/>
        <v>0.99095309009679822</v>
      </c>
      <c r="AM24">
        <f t="shared" si="15"/>
        <v>0.95332753106185109</v>
      </c>
      <c r="AN24">
        <f t="shared" si="9"/>
        <v>0.94101578347126758</v>
      </c>
      <c r="AO24">
        <f t="shared" si="19"/>
        <v>-7.4400570305843843</v>
      </c>
      <c r="AQ24">
        <v>0.99748999999999999</v>
      </c>
      <c r="AR24">
        <f t="shared" si="16"/>
        <v>1.189409610310225</v>
      </c>
      <c r="AS24">
        <f t="shared" si="3"/>
        <v>1.1058574822223635</v>
      </c>
      <c r="AT24">
        <v>-0.25100000000000477</v>
      </c>
      <c r="AV24">
        <v>96.954099999999997</v>
      </c>
      <c r="AW24">
        <v>96.954099999999997</v>
      </c>
      <c r="AX24">
        <v>66.71298127</v>
      </c>
    </row>
    <row r="25" spans="1:50" ht="15.75" thickBot="1">
      <c r="A25" s="1">
        <v>39052</v>
      </c>
      <c r="B25">
        <v>292339.55599999998</v>
      </c>
      <c r="C25" s="49">
        <f t="shared" si="0"/>
        <v>267864.22728992498</v>
      </c>
      <c r="D25" s="2">
        <f t="shared" si="10"/>
        <v>2.9493759937600754</v>
      </c>
      <c r="E25" s="2">
        <f t="shared" si="17"/>
        <v>16.719502650308129</v>
      </c>
      <c r="F25" s="55">
        <f t="shared" si="4"/>
        <v>5.2564869133453724</v>
      </c>
      <c r="G25" s="49">
        <v>6.7910824888411394</v>
      </c>
      <c r="J25" s="47">
        <v>26.331099999999999</v>
      </c>
      <c r="K25">
        <f t="shared" si="11"/>
        <v>1.0006232258015482</v>
      </c>
      <c r="L25">
        <f t="shared" si="12"/>
        <v>0.93659652267941429</v>
      </c>
      <c r="M25" s="44">
        <f t="shared" si="5"/>
        <v>0.92970017274470418</v>
      </c>
      <c r="N25" s="2">
        <v>2204.0835899999997</v>
      </c>
      <c r="O25" s="48">
        <f t="shared" si="1"/>
        <v>2019.5527276430353</v>
      </c>
      <c r="R25" s="2">
        <v>1826.2982462450252</v>
      </c>
      <c r="S25" s="44">
        <f t="shared" si="2"/>
        <v>1673.3964271717266</v>
      </c>
      <c r="V25" s="2">
        <v>100.79</v>
      </c>
      <c r="W25" s="2">
        <f t="shared" si="13"/>
        <v>1.2089956142976073</v>
      </c>
      <c r="X25" s="277">
        <f t="shared" si="6"/>
        <v>1.125439690777136</v>
      </c>
      <c r="Y25" s="55">
        <v>1.0913721438569843</v>
      </c>
      <c r="Z25" s="49">
        <f t="shared" si="7"/>
        <v>9.1372143856984334</v>
      </c>
      <c r="AA25" s="2">
        <v>14263</v>
      </c>
      <c r="AB25" s="49">
        <f t="shared" si="8"/>
        <v>13068.869386379585</v>
      </c>
      <c r="AC25" s="2"/>
      <c r="AD25" s="50">
        <v>8.9</v>
      </c>
      <c r="AE25">
        <v>68.175200000000004</v>
      </c>
      <c r="AG25">
        <v>106.26527</v>
      </c>
      <c r="AH25">
        <v>105.79462715578457</v>
      </c>
      <c r="AK25">
        <v>26.29</v>
      </c>
      <c r="AL25">
        <f t="shared" si="18"/>
        <v>0.98771461847691322</v>
      </c>
      <c r="AM25">
        <f t="shared" si="15"/>
        <v>0.94161553862629388</v>
      </c>
      <c r="AN25">
        <f t="shared" si="9"/>
        <v>0.9294550455520767</v>
      </c>
      <c r="AO25">
        <f t="shared" si="19"/>
        <v>-8.7469628601180176</v>
      </c>
      <c r="AQ25">
        <v>0.998</v>
      </c>
      <c r="AR25">
        <f t="shared" si="16"/>
        <v>1.1870307910896045</v>
      </c>
      <c r="AS25">
        <f t="shared" si="3"/>
        <v>1.1036457672579187</v>
      </c>
      <c r="AT25">
        <v>-0.20000000000000284</v>
      </c>
      <c r="AV25">
        <v>106.26527</v>
      </c>
      <c r="AW25">
        <v>106.26527</v>
      </c>
      <c r="AX25">
        <v>105.79462719999999</v>
      </c>
    </row>
    <row r="26" spans="1:50" ht="15.75" thickBot="1">
      <c r="A26" s="1">
        <v>39083</v>
      </c>
      <c r="B26">
        <v>8418.1</v>
      </c>
      <c r="C26" s="49">
        <f t="shared" si="0"/>
        <v>7766.4083135692426</v>
      </c>
      <c r="D26" s="2">
        <f t="shared" si="10"/>
        <v>2.899382419274377E-2</v>
      </c>
      <c r="E26" s="2">
        <f t="shared" si="17"/>
        <v>0.48476232043314743</v>
      </c>
      <c r="F26" s="55">
        <f t="shared" si="4"/>
        <v>0.15240565743699408</v>
      </c>
      <c r="G26" s="49">
        <v>6.9410489936896314</v>
      </c>
      <c r="J26" s="47">
        <v>26.533100000000001</v>
      </c>
      <c r="K26">
        <f t="shared" si="11"/>
        <v>1.007671536699948</v>
      </c>
      <c r="L26">
        <f t="shared" si="12"/>
        <v>0.94378165727619312</v>
      </c>
      <c r="M26" s="44">
        <f t="shared" si="5"/>
        <v>0.93683240173986315</v>
      </c>
      <c r="N26" s="2">
        <v>1182.5753649999999</v>
      </c>
      <c r="O26" s="48">
        <f t="shared" si="1"/>
        <v>1091.0256644798922</v>
      </c>
      <c r="R26" s="2">
        <v>991.60247111297349</v>
      </c>
      <c r="S26" s="44">
        <f t="shared" si="2"/>
        <v>914.83703869134388</v>
      </c>
      <c r="V26" s="2">
        <v>101.67645199999998</v>
      </c>
      <c r="W26" s="2">
        <f t="shared" si="13"/>
        <v>1.2292638454534115</v>
      </c>
      <c r="X26" s="277">
        <f t="shared" si="6"/>
        <v>1.144307146981963</v>
      </c>
      <c r="Y26" s="55">
        <v>1.083911592092337</v>
      </c>
      <c r="Z26" s="49">
        <f t="shared" si="7"/>
        <v>8.3911592092337006</v>
      </c>
      <c r="AA26" s="2">
        <v>11430</v>
      </c>
      <c r="AB26" s="49">
        <f t="shared" si="8"/>
        <v>10545.140473990146</v>
      </c>
      <c r="AC26" s="2"/>
      <c r="AD26" s="50">
        <v>8.4</v>
      </c>
      <c r="AE26">
        <v>74.523758000000001</v>
      </c>
      <c r="AG26">
        <v>67.961708000000002</v>
      </c>
      <c r="AH26">
        <v>51.361691759367027</v>
      </c>
      <c r="AK26">
        <v>26.47</v>
      </c>
      <c r="AL26">
        <f t="shared" si="18"/>
        <v>1.00684670977558</v>
      </c>
      <c r="AM26">
        <f t="shared" si="15"/>
        <v>0.94806250693944449</v>
      </c>
      <c r="AN26">
        <f t="shared" si="9"/>
        <v>0.93581875449842011</v>
      </c>
      <c r="AO26">
        <f t="shared" si="19"/>
        <v>-6.8357958904977352</v>
      </c>
      <c r="AQ26">
        <v>1.0169999999999999</v>
      </c>
      <c r="AR26">
        <f t="shared" si="16"/>
        <v>1.2072103145381277</v>
      </c>
      <c r="AS26">
        <f t="shared" si="3"/>
        <v>1.1224077453013033</v>
      </c>
      <c r="AT26">
        <v>1.6999999999999886</v>
      </c>
      <c r="AV26">
        <v>67.961708000000002</v>
      </c>
      <c r="AW26">
        <v>67.961708000000002</v>
      </c>
      <c r="AX26">
        <v>51.361691759999999</v>
      </c>
    </row>
    <row r="27" spans="1:50" ht="15.75" thickBot="1">
      <c r="A27" s="1">
        <v>39114</v>
      </c>
      <c r="B27">
        <v>148096</v>
      </c>
      <c r="C27" s="49">
        <f t="shared" si="0"/>
        <v>137441.93631539139</v>
      </c>
      <c r="D27" s="2">
        <f t="shared" si="10"/>
        <v>17.696975328384013</v>
      </c>
      <c r="E27" s="2">
        <f t="shared" si="17"/>
        <v>8.5788268248355948</v>
      </c>
      <c r="F27" s="55">
        <f t="shared" si="4"/>
        <v>2.6971191595686297</v>
      </c>
      <c r="G27" s="49">
        <v>7.0903263642124985</v>
      </c>
      <c r="J27" s="47">
        <v>26.1599</v>
      </c>
      <c r="K27">
        <f t="shared" si="11"/>
        <v>0.98593454967568805</v>
      </c>
      <c r="L27">
        <f t="shared" si="12"/>
        <v>0.93050694325877803</v>
      </c>
      <c r="M27" s="44">
        <f t="shared" si="5"/>
        <v>0.92365543213098533</v>
      </c>
      <c r="N27" s="2">
        <v>1461.529029</v>
      </c>
      <c r="O27" s="48">
        <f t="shared" si="1"/>
        <v>1356.3862611205827</v>
      </c>
      <c r="R27" s="2">
        <v>1243.9674501655236</v>
      </c>
      <c r="S27" s="44">
        <f t="shared" si="2"/>
        <v>1154.4761172757517</v>
      </c>
      <c r="V27" s="2">
        <v>101.11008539342031</v>
      </c>
      <c r="W27" s="2">
        <f t="shared" si="13"/>
        <v>1.2429097238483866</v>
      </c>
      <c r="X27" s="277">
        <f t="shared" si="6"/>
        <v>1.1570099334764743</v>
      </c>
      <c r="Y27" s="55">
        <v>1.0775168334369247</v>
      </c>
      <c r="Z27" s="49">
        <f t="shared" si="7"/>
        <v>7.7516833436924726</v>
      </c>
      <c r="AA27" s="2">
        <v>11757</v>
      </c>
      <c r="AB27" s="49">
        <f t="shared" si="8"/>
        <v>10911.198447358853</v>
      </c>
      <c r="AC27" s="2"/>
      <c r="AD27" s="50">
        <v>8.1999999999999993</v>
      </c>
      <c r="AE27">
        <v>64.86985</v>
      </c>
      <c r="AG27">
        <v>70.028407000000001</v>
      </c>
      <c r="AH27">
        <v>59.620887345114816</v>
      </c>
      <c r="AK27">
        <v>26.34</v>
      </c>
      <c r="AL27">
        <f t="shared" si="18"/>
        <v>0.99508877975066112</v>
      </c>
      <c r="AM27">
        <f t="shared" si="15"/>
        <v>0.94340636315772453</v>
      </c>
      <c r="AN27">
        <f t="shared" si="9"/>
        <v>0.93122274248161641</v>
      </c>
      <c r="AO27">
        <f t="shared" si="19"/>
        <v>-6.5957446808510554</v>
      </c>
      <c r="AQ27">
        <v>1.0089999999999999</v>
      </c>
      <c r="AR27">
        <f t="shared" si="16"/>
        <v>1.2180752073689707</v>
      </c>
      <c r="AS27">
        <f t="shared" si="3"/>
        <v>1.1325094150090147</v>
      </c>
      <c r="AT27">
        <v>0.89999999999999147</v>
      </c>
      <c r="AV27">
        <v>70.028407000000001</v>
      </c>
      <c r="AW27">
        <v>70.028407000000001</v>
      </c>
      <c r="AX27">
        <v>59.620887349999997</v>
      </c>
    </row>
    <row r="28" spans="1:50" ht="15.75" thickBot="1">
      <c r="A28" s="1">
        <v>39142</v>
      </c>
      <c r="B28">
        <v>80484.7</v>
      </c>
      <c r="C28" s="49">
        <f t="shared" si="0"/>
        <v>74843.108563516565</v>
      </c>
      <c r="D28" s="2">
        <f t="shared" si="10"/>
        <v>0.54454346737208537</v>
      </c>
      <c r="E28" s="2">
        <f t="shared" si="17"/>
        <v>4.6715441051806321</v>
      </c>
      <c r="F28" s="55">
        <f t="shared" si="4"/>
        <v>1.4686986190671862</v>
      </c>
      <c r="G28" s="49">
        <v>6.6732749285631208</v>
      </c>
      <c r="J28" s="47">
        <v>26.011299999999999</v>
      </c>
      <c r="K28">
        <f t="shared" si="11"/>
        <v>0.99431955015118556</v>
      </c>
      <c r="L28">
        <f t="shared" si="12"/>
        <v>0.92522124523362292</v>
      </c>
      <c r="M28" s="44">
        <f t="shared" si="5"/>
        <v>0.91840865377118019</v>
      </c>
      <c r="N28" s="2">
        <v>1577.2289239999998</v>
      </c>
      <c r="O28" s="48">
        <f t="shared" si="1"/>
        <v>1466.6727413837714</v>
      </c>
      <c r="R28" s="2">
        <v>1291.5513967215031</v>
      </c>
      <c r="S28" s="44">
        <f t="shared" si="2"/>
        <v>1201.0198385555134</v>
      </c>
      <c r="V28" s="2">
        <v>100.58552721175062</v>
      </c>
      <c r="W28" s="2">
        <f t="shared" si="13"/>
        <v>1.2501872984990134</v>
      </c>
      <c r="X28" s="277">
        <f t="shared" si="6"/>
        <v>1.1637845414796368</v>
      </c>
      <c r="Y28" s="55">
        <v>1.0753789032118517</v>
      </c>
      <c r="Z28" s="49">
        <f t="shared" si="7"/>
        <v>7.53789032118517</v>
      </c>
      <c r="AA28" s="2">
        <v>12448</v>
      </c>
      <c r="AB28" s="49">
        <f t="shared" si="8"/>
        <v>11575.454905077044</v>
      </c>
      <c r="AC28" s="2"/>
      <c r="AD28" s="50">
        <v>8.3000000000000007</v>
      </c>
      <c r="AE28">
        <v>79.030500000000004</v>
      </c>
      <c r="AG28">
        <v>82.062923999999995</v>
      </c>
      <c r="AH28">
        <v>84.902420895518148</v>
      </c>
      <c r="AK28">
        <v>26.1</v>
      </c>
      <c r="AL28">
        <f t="shared" si="18"/>
        <v>0.99088838268792712</v>
      </c>
      <c r="AM28">
        <f t="shared" si="15"/>
        <v>0.93481040540685689</v>
      </c>
      <c r="AN28">
        <f t="shared" si="9"/>
        <v>0.92273779721982496</v>
      </c>
      <c r="AO28">
        <f t="shared" si="19"/>
        <v>-6.3845050215207948</v>
      </c>
      <c r="AQ28">
        <v>1.0009999999999999</v>
      </c>
      <c r="AR28">
        <f t="shared" si="16"/>
        <v>1.2192932825763396</v>
      </c>
      <c r="AS28">
        <f t="shared" si="3"/>
        <v>1.1336419244240237</v>
      </c>
      <c r="AT28">
        <v>9.9999999999994316E-2</v>
      </c>
      <c r="AV28">
        <v>82.062923999999995</v>
      </c>
      <c r="AW28">
        <v>82.062923999999995</v>
      </c>
      <c r="AX28">
        <v>84.902420899999996</v>
      </c>
    </row>
    <row r="29" spans="1:50" ht="15.75" thickBot="1">
      <c r="A29" s="1">
        <v>39173</v>
      </c>
      <c r="B29">
        <v>142593</v>
      </c>
      <c r="C29" s="49">
        <f t="shared" si="0"/>
        <v>132334.30048283323</v>
      </c>
      <c r="D29" s="2">
        <f t="shared" si="10"/>
        <v>1.7681561204867116</v>
      </c>
      <c r="E29" s="2">
        <f t="shared" si="17"/>
        <v>8.2600193016987529</v>
      </c>
      <c r="F29" s="55">
        <f t="shared" si="4"/>
        <v>2.5968884524540266</v>
      </c>
      <c r="G29" s="49">
        <v>6.2587237709856218</v>
      </c>
      <c r="J29" s="47">
        <v>25.685099999999998</v>
      </c>
      <c r="K29">
        <f t="shared" si="11"/>
        <v>0.98745929653650533</v>
      </c>
      <c r="L29">
        <f t="shared" si="12"/>
        <v>0.91361831995902276</v>
      </c>
      <c r="M29" s="44">
        <f t="shared" si="5"/>
        <v>0.90689116318592844</v>
      </c>
      <c r="N29" s="2">
        <v>1652.352108</v>
      </c>
      <c r="O29" s="48">
        <f t="shared" si="1"/>
        <v>1533.475418593584</v>
      </c>
      <c r="R29" s="2">
        <v>1360.6818736559271</v>
      </c>
      <c r="S29" s="44">
        <f t="shared" si="2"/>
        <v>1262.7890845267859</v>
      </c>
      <c r="V29" s="2">
        <v>100.56721774567202</v>
      </c>
      <c r="W29" s="2">
        <f t="shared" si="13"/>
        <v>1.2572785827102377</v>
      </c>
      <c r="X29" s="277">
        <f t="shared" si="6"/>
        <v>1.1703857339202974</v>
      </c>
      <c r="Y29" s="55">
        <v>1.0775210922620742</v>
      </c>
      <c r="Z29" s="49">
        <f t="shared" si="7"/>
        <v>7.7521092262074154</v>
      </c>
      <c r="AA29" s="2">
        <v>12494</v>
      </c>
      <c r="AB29" s="49">
        <f t="shared" si="8"/>
        <v>11595.132651900994</v>
      </c>
      <c r="AC29" s="2"/>
      <c r="AD29" s="50">
        <v>8.1999999999999993</v>
      </c>
      <c r="AE29">
        <v>74.89671700000001</v>
      </c>
      <c r="AG29">
        <v>85.258191000000011</v>
      </c>
      <c r="AH29">
        <v>104.00817451501315</v>
      </c>
      <c r="AK29">
        <v>25.83</v>
      </c>
      <c r="AL29">
        <f t="shared" si="18"/>
        <v>0.98965517241379297</v>
      </c>
      <c r="AM29">
        <f t="shared" si="15"/>
        <v>0.92513995293713069</v>
      </c>
      <c r="AN29">
        <f t="shared" si="9"/>
        <v>0.91319223380030945</v>
      </c>
      <c r="AO29">
        <f t="shared" si="19"/>
        <v>-6.3207218708292316</v>
      </c>
      <c r="AQ29">
        <v>0.99650000000000005</v>
      </c>
      <c r="AR29">
        <f t="shared" si="16"/>
        <v>1.2150257560873226</v>
      </c>
      <c r="AS29">
        <f t="shared" si="3"/>
        <v>1.1296741776885397</v>
      </c>
      <c r="AT29">
        <v>-0.34999999999999432</v>
      </c>
      <c r="AV29">
        <v>85.258190999999997</v>
      </c>
      <c r="AW29">
        <v>85.258190999999997</v>
      </c>
      <c r="AX29">
        <v>104.0081745</v>
      </c>
    </row>
    <row r="30" spans="1:50" ht="15.75" thickBot="1">
      <c r="A30" s="1">
        <v>39203</v>
      </c>
      <c r="B30">
        <v>85133.6</v>
      </c>
      <c r="C30" s="49">
        <f t="shared" si="0"/>
        <v>78930.217483282468</v>
      </c>
      <c r="D30" s="2">
        <f t="shared" si="10"/>
        <v>0.59644564708695091</v>
      </c>
      <c r="E30" s="2">
        <f t="shared" si="17"/>
        <v>4.9266525573524174</v>
      </c>
      <c r="F30" s="55">
        <f t="shared" si="4"/>
        <v>1.5489028134365725</v>
      </c>
      <c r="G30" s="49">
        <v>5.8466492278181583</v>
      </c>
      <c r="J30" s="47">
        <v>25.903099999999998</v>
      </c>
      <c r="K30">
        <f t="shared" si="11"/>
        <v>1.0084874109892505</v>
      </c>
      <c r="L30">
        <f t="shared" si="12"/>
        <v>0.92137257412782358</v>
      </c>
      <c r="M30" s="44">
        <f t="shared" si="5"/>
        <v>0.9145883212104069</v>
      </c>
      <c r="N30" s="2">
        <v>1663.9538640000001</v>
      </c>
      <c r="O30" s="48">
        <f t="shared" si="1"/>
        <v>1542.7074664723236</v>
      </c>
      <c r="R30" s="2">
        <v>1390.339709920263</v>
      </c>
      <c r="S30" s="44">
        <f t="shared" si="2"/>
        <v>1289.0306022492905</v>
      </c>
      <c r="V30" s="2">
        <v>100.62763654969986</v>
      </c>
      <c r="W30" s="2">
        <f t="shared" si="13"/>
        <v>1.2651697226268757</v>
      </c>
      <c r="X30" s="277">
        <f t="shared" si="6"/>
        <v>1.1777315025588542</v>
      </c>
      <c r="Y30" s="55">
        <v>1.0785932525528823</v>
      </c>
      <c r="Z30" s="49">
        <f t="shared" si="7"/>
        <v>7.8593252552882298</v>
      </c>
      <c r="AA30" s="2">
        <v>12787</v>
      </c>
      <c r="AB30" s="49">
        <f t="shared" si="8"/>
        <v>11855.256807638027</v>
      </c>
      <c r="AC30" s="2"/>
      <c r="AD30" s="50">
        <v>8.1999999999999993</v>
      </c>
      <c r="AE30">
        <v>89.763300000000001</v>
      </c>
      <c r="AG30">
        <v>84.717764000000003</v>
      </c>
      <c r="AH30">
        <v>84.912854934437902</v>
      </c>
      <c r="AK30">
        <v>25.82</v>
      </c>
      <c r="AL30">
        <f t="shared" si="18"/>
        <v>0.99961285327138993</v>
      </c>
      <c r="AM30">
        <f t="shared" si="15"/>
        <v>0.92478178803084465</v>
      </c>
      <c r="AN30">
        <f t="shared" si="9"/>
        <v>0.91283869441440157</v>
      </c>
      <c r="AO30">
        <f t="shared" si="19"/>
        <v>-4.5471349353049959</v>
      </c>
      <c r="AQ30">
        <v>1</v>
      </c>
      <c r="AR30">
        <f t="shared" si="16"/>
        <v>1.2150257560873226</v>
      </c>
      <c r="AS30">
        <f t="shared" si="3"/>
        <v>1.1296741776885397</v>
      </c>
      <c r="AT30">
        <v>0</v>
      </c>
      <c r="AV30">
        <v>84.717764000000003</v>
      </c>
      <c r="AW30">
        <v>84.717764000000003</v>
      </c>
      <c r="AX30">
        <v>84.912854929999995</v>
      </c>
    </row>
    <row r="31" spans="1:50" ht="15.75" thickBot="1">
      <c r="A31" s="1">
        <v>39234</v>
      </c>
      <c r="B31">
        <v>141839.5</v>
      </c>
      <c r="C31" s="49">
        <f t="shared" si="0"/>
        <v>130592.74534400074</v>
      </c>
      <c r="D31" s="2">
        <f t="shared" si="10"/>
        <v>1.6545342139930181</v>
      </c>
      <c r="E31" s="2">
        <f t="shared" si="17"/>
        <v>8.1513152165957745</v>
      </c>
      <c r="F31" s="55">
        <f t="shared" si="4"/>
        <v>2.562712698980854</v>
      </c>
      <c r="G31" s="49">
        <v>5.7311585923809885</v>
      </c>
      <c r="J31" s="47">
        <v>25.816199999999998</v>
      </c>
      <c r="K31">
        <f t="shared" si="11"/>
        <v>0.99664518918585032</v>
      </c>
      <c r="L31">
        <f t="shared" si="12"/>
        <v>0.91828154345227864</v>
      </c>
      <c r="M31" s="44">
        <f t="shared" si="5"/>
        <v>0.91152005041991524</v>
      </c>
      <c r="N31" s="2">
        <v>1755.8635999999999</v>
      </c>
      <c r="O31" s="48">
        <f t="shared" si="1"/>
        <v>1616.6374527095793</v>
      </c>
      <c r="R31" s="2">
        <v>1466.0469884238098</v>
      </c>
      <c r="S31" s="44">
        <f t="shared" si="2"/>
        <v>1349.8010146790548</v>
      </c>
      <c r="V31" s="2">
        <v>100.9515650921373</v>
      </c>
      <c r="W31" s="2">
        <f t="shared" si="13"/>
        <v>1.2772086360636832</v>
      </c>
      <c r="X31" s="277">
        <f t="shared" si="6"/>
        <v>1.1889383844163082</v>
      </c>
      <c r="Y31" s="55">
        <v>1.0861208226105794</v>
      </c>
      <c r="Z31" s="49">
        <f t="shared" si="7"/>
        <v>8.6120822610579406</v>
      </c>
      <c r="AA31" s="2">
        <v>13712</v>
      </c>
      <c r="AB31" s="49">
        <f t="shared" si="8"/>
        <v>12624.746450438264</v>
      </c>
      <c r="AC31" s="2"/>
      <c r="AD31" s="50">
        <v>8.1999999999999993</v>
      </c>
      <c r="AE31">
        <v>80.261200000000002</v>
      </c>
      <c r="AG31">
        <v>96.376999999999995</v>
      </c>
      <c r="AH31">
        <v>74.204970550548936</v>
      </c>
      <c r="AK31">
        <v>25.93</v>
      </c>
      <c r="AL31">
        <f t="shared" si="18"/>
        <v>1.004260263361735</v>
      </c>
      <c r="AM31">
        <f t="shared" si="15"/>
        <v>0.92872160199999221</v>
      </c>
      <c r="AN31">
        <f t="shared" si="9"/>
        <v>0.9167276276593892</v>
      </c>
      <c r="AO31">
        <f t="shared" si="19"/>
        <v>-3.8917716827279492</v>
      </c>
      <c r="AQ31">
        <v>1.0089999999999999</v>
      </c>
      <c r="AR31">
        <f t="shared" si="16"/>
        <v>1.2259609878921083</v>
      </c>
      <c r="AS31">
        <f t="shared" si="3"/>
        <v>1.1398412452877364</v>
      </c>
      <c r="AT31">
        <v>0.89999999999999147</v>
      </c>
      <c r="AV31">
        <v>96.376999999999995</v>
      </c>
      <c r="AW31">
        <v>96.376999999999995</v>
      </c>
      <c r="AX31">
        <v>74.204970549999999</v>
      </c>
    </row>
    <row r="32" spans="1:50" ht="15.75" thickBot="1">
      <c r="A32" s="1">
        <v>39264</v>
      </c>
      <c r="B32">
        <v>104031.1</v>
      </c>
      <c r="C32" s="49">
        <f t="shared" si="0"/>
        <v>95592.397729319564</v>
      </c>
      <c r="D32" s="2">
        <f t="shared" si="10"/>
        <v>0.73198857622232349</v>
      </c>
      <c r="E32" s="2">
        <f t="shared" si="17"/>
        <v>5.9666696197353017</v>
      </c>
      <c r="F32" s="55">
        <f t="shared" si="4"/>
        <v>1.8758764197938633</v>
      </c>
      <c r="G32" s="49">
        <v>5.6159380709804054</v>
      </c>
      <c r="J32" s="47">
        <v>25.599900000000002</v>
      </c>
      <c r="K32">
        <f t="shared" si="11"/>
        <v>0.99162153996327895</v>
      </c>
      <c r="L32">
        <f t="shared" si="12"/>
        <v>0.9105877582380052</v>
      </c>
      <c r="M32" s="44">
        <f t="shared" si="5"/>
        <v>0.90388291610480209</v>
      </c>
      <c r="N32" s="2">
        <v>1775.9086130000003</v>
      </c>
      <c r="O32" s="48">
        <f t="shared" si="1"/>
        <v>1631.8520371775389</v>
      </c>
      <c r="R32" s="2">
        <v>1494.374579930266</v>
      </c>
      <c r="S32" s="44">
        <f t="shared" si="2"/>
        <v>1373.1552314767298</v>
      </c>
      <c r="V32" s="2">
        <v>100.86791103845717</v>
      </c>
      <c r="W32" s="2">
        <f t="shared" si="13"/>
        <v>1.288293670800208</v>
      </c>
      <c r="X32" s="277">
        <f t="shared" si="6"/>
        <v>1.1992573118951115</v>
      </c>
      <c r="Y32" s="55">
        <v>1.0882779642642249</v>
      </c>
      <c r="Z32" s="49">
        <f t="shared" si="7"/>
        <v>8.8277964264224842</v>
      </c>
      <c r="AA32" s="2">
        <v>13546</v>
      </c>
      <c r="AB32" s="49">
        <f t="shared" si="8"/>
        <v>12447.187616408581</v>
      </c>
      <c r="AC32" s="2"/>
      <c r="AD32" s="50">
        <v>7.9</v>
      </c>
      <c r="AE32">
        <v>90.111193</v>
      </c>
      <c r="AG32">
        <v>96.640119999999996</v>
      </c>
      <c r="AH32">
        <v>83.759720569734583</v>
      </c>
      <c r="AK32">
        <v>25.56</v>
      </c>
      <c r="AL32">
        <f t="shared" si="18"/>
        <v>0.98573081372927107</v>
      </c>
      <c r="AM32">
        <f t="shared" si="15"/>
        <v>0.9154695004674045</v>
      </c>
      <c r="AN32">
        <f t="shared" si="9"/>
        <v>0.90364667038079394</v>
      </c>
      <c r="AO32">
        <f t="shared" si="19"/>
        <v>-5.0520059435364146</v>
      </c>
      <c r="AQ32">
        <v>1.0059</v>
      </c>
      <c r="AR32">
        <f>AQ32*AR31</f>
        <v>1.2331941577206718</v>
      </c>
      <c r="AS32">
        <f t="shared" si="3"/>
        <v>1.1465663086349343</v>
      </c>
      <c r="AT32">
        <v>0.59000000000000341</v>
      </c>
      <c r="AV32">
        <v>96.640119999999996</v>
      </c>
      <c r="AW32">
        <v>96.640119999999996</v>
      </c>
      <c r="AX32">
        <v>83.759720569999999</v>
      </c>
    </row>
    <row r="33" spans="1:50" ht="15.75" thickBot="1">
      <c r="A33" s="1">
        <v>39295</v>
      </c>
      <c r="B33">
        <v>96151</v>
      </c>
      <c r="C33" s="49">
        <f t="shared" si="0"/>
        <v>88439.771919967825</v>
      </c>
      <c r="D33" s="2">
        <f t="shared" si="10"/>
        <v>0.92517578825038793</v>
      </c>
      <c r="E33" s="2">
        <f t="shared" si="17"/>
        <v>5.5202182686682502</v>
      </c>
      <c r="F33" s="55">
        <f t="shared" si="4"/>
        <v>1.7355154453431032</v>
      </c>
      <c r="G33" s="49">
        <v>5.5009841508977102</v>
      </c>
      <c r="J33" s="47">
        <v>25.6494</v>
      </c>
      <c r="K33">
        <f t="shared" si="11"/>
        <v>1.0019336013031299</v>
      </c>
      <c r="L33">
        <f t="shared" si="12"/>
        <v>0.9123484719139483</v>
      </c>
      <c r="M33" s="44">
        <f t="shared" si="5"/>
        <v>0.90563066528925906</v>
      </c>
      <c r="N33" s="2">
        <v>1788.1949679999998</v>
      </c>
      <c r="O33" s="48">
        <f t="shared" si="1"/>
        <v>1644.7832588153442</v>
      </c>
      <c r="R33" s="2">
        <v>1488.3644322165328</v>
      </c>
      <c r="S33" s="44">
        <f t="shared" si="2"/>
        <v>1368.9988759245621</v>
      </c>
      <c r="V33" s="2">
        <v>100.09432853871157</v>
      </c>
      <c r="W33" s="2">
        <f t="shared" si="13"/>
        <v>1.2895088993941874</v>
      </c>
      <c r="X33" s="277">
        <f t="shared" si="6"/>
        <v>1.2003885537928138</v>
      </c>
      <c r="Y33" s="55">
        <v>1.0871918585114662</v>
      </c>
      <c r="Z33" s="49">
        <f t="shared" si="7"/>
        <v>8.7191858511466158</v>
      </c>
      <c r="AA33" s="2">
        <v>13270</v>
      </c>
      <c r="AB33" s="49">
        <f t="shared" si="8"/>
        <v>12205.757333547994</v>
      </c>
      <c r="AC33" s="2"/>
      <c r="AD33" s="50">
        <v>7.8</v>
      </c>
      <c r="AE33">
        <v>91.722460000000012</v>
      </c>
      <c r="AG33">
        <v>90.975307999999998</v>
      </c>
      <c r="AH33">
        <v>92.324098283467052</v>
      </c>
      <c r="AK33">
        <v>25.63</v>
      </c>
      <c r="AL33">
        <f t="shared" si="18"/>
        <v>1.0027386541471048</v>
      </c>
      <c r="AM33">
        <f t="shared" si="15"/>
        <v>0.91797665481140756</v>
      </c>
      <c r="AN33">
        <f t="shared" si="9"/>
        <v>0.90612144608214973</v>
      </c>
      <c r="AO33">
        <f t="shared" si="19"/>
        <v>-4.2584983190138246</v>
      </c>
      <c r="AQ33">
        <v>1.0002</v>
      </c>
      <c r="AR33">
        <f t="shared" si="16"/>
        <v>1.2334407965522158</v>
      </c>
      <c r="AS33">
        <f t="shared" si="3"/>
        <v>1.1467956218966611</v>
      </c>
      <c r="AT33">
        <v>1.9999999999996021E-2</v>
      </c>
      <c r="AV33">
        <v>90.975307999999998</v>
      </c>
      <c r="AW33">
        <v>90.975307999999998</v>
      </c>
      <c r="AX33">
        <v>92.324098280000001</v>
      </c>
    </row>
    <row r="34" spans="1:50" ht="15.75" thickBot="1">
      <c r="A34" s="1">
        <v>39326</v>
      </c>
      <c r="B34">
        <v>98066.1</v>
      </c>
      <c r="C34" s="49">
        <f t="shared" ref="C34:C65" si="20">B34/Y34</f>
        <v>89574.884740216788</v>
      </c>
      <c r="D34" s="2">
        <f t="shared" si="10"/>
        <v>1.0128348682454333</v>
      </c>
      <c r="E34" s="2">
        <f t="shared" si="17"/>
        <v>5.5910695428326411</v>
      </c>
      <c r="F34" s="55">
        <f t="shared" si="4"/>
        <v>1.7577905574219963</v>
      </c>
      <c r="G34" s="49">
        <v>5.5262616866025756</v>
      </c>
      <c r="J34" s="47">
        <v>24.949300000000001</v>
      </c>
      <c r="K34">
        <f t="shared" si="11"/>
        <v>0.97270501454225056</v>
      </c>
      <c r="L34">
        <f t="shared" si="12"/>
        <v>0.88744593364065716</v>
      </c>
      <c r="M34" s="44">
        <f t="shared" si="5"/>
        <v>0.88091148945009679</v>
      </c>
      <c r="N34" s="2">
        <v>1820.3464080000001</v>
      </c>
      <c r="O34" s="48">
        <f t="shared" ref="O34:O65" si="21">N34/Y34</f>
        <v>1662.7287073093316</v>
      </c>
      <c r="R34" s="2">
        <v>1502.3599768532017</v>
      </c>
      <c r="S34" s="44">
        <f t="shared" ref="S34:S65" si="22">R34/Y34</f>
        <v>1372.275656571846</v>
      </c>
      <c r="V34" s="2">
        <v>100.79412330719683</v>
      </c>
      <c r="W34" s="2">
        <f t="shared" si="13"/>
        <v>1.2997491901126541</v>
      </c>
      <c r="X34" s="277">
        <f t="shared" si="6"/>
        <v>1.2099211190754056</v>
      </c>
      <c r="Y34" s="55">
        <v>1.0947945987807772</v>
      </c>
      <c r="Z34" s="49">
        <f t="shared" si="7"/>
        <v>9.4794598780777228</v>
      </c>
      <c r="AA34" s="2">
        <v>13677</v>
      </c>
      <c r="AB34" s="49">
        <f t="shared" si="8"/>
        <v>12492.754362536543</v>
      </c>
      <c r="AC34" s="2"/>
      <c r="AD34" s="50">
        <v>7.8</v>
      </c>
      <c r="AE34">
        <v>84.881399999999999</v>
      </c>
      <c r="AG34">
        <v>91.328199999999995</v>
      </c>
      <c r="AH34">
        <v>77.665181146798346</v>
      </c>
      <c r="AK34">
        <v>24.95</v>
      </c>
      <c r="AL34">
        <f t="shared" si="18"/>
        <v>0.97346859149434262</v>
      </c>
      <c r="AM34">
        <f t="shared" si="15"/>
        <v>0.89362144118394926</v>
      </c>
      <c r="AN34">
        <f t="shared" si="9"/>
        <v>0.88208076784040723</v>
      </c>
      <c r="AO34">
        <f t="shared" si="19"/>
        <v>-6.6940912490650675</v>
      </c>
      <c r="AQ34">
        <v>0.99919999999999998</v>
      </c>
      <c r="AR34">
        <f t="shared" si="16"/>
        <v>1.232454043914974</v>
      </c>
      <c r="AS34">
        <f t="shared" ref="AS34:AS65" si="23">AR34/AVERAGE($AR$2:$AR$13)</f>
        <v>1.1458781853991438</v>
      </c>
      <c r="AT34">
        <v>-7.9999999999998295E-2</v>
      </c>
      <c r="AV34">
        <v>91.328199999999995</v>
      </c>
      <c r="AW34">
        <v>91.328199999999995</v>
      </c>
      <c r="AX34">
        <v>77.665181149999995</v>
      </c>
    </row>
    <row r="35" spans="1:50" ht="15.75" thickBot="1">
      <c r="A35" s="1">
        <v>39356</v>
      </c>
      <c r="B35">
        <v>52855.4</v>
      </c>
      <c r="C35" s="49">
        <f t="shared" si="20"/>
        <v>47661.086973447505</v>
      </c>
      <c r="D35" s="2">
        <f t="shared" si="10"/>
        <v>0.53208091879407038</v>
      </c>
      <c r="E35" s="2">
        <f t="shared" si="17"/>
        <v>2.9749014193919345</v>
      </c>
      <c r="F35" s="55">
        <f t="shared" si="4"/>
        <v>0.93528681484063692</v>
      </c>
      <c r="G35" s="49">
        <v>5.5517199191594271</v>
      </c>
      <c r="J35" s="47">
        <v>24.723800000000001</v>
      </c>
      <c r="K35">
        <f t="shared" si="11"/>
        <v>0.99096167026730209</v>
      </c>
      <c r="L35">
        <f t="shared" si="12"/>
        <v>0.87942490467247092</v>
      </c>
      <c r="M35" s="44">
        <f t="shared" si="5"/>
        <v>0.87294952094312483</v>
      </c>
      <c r="N35" s="2">
        <v>1852.2841799999997</v>
      </c>
      <c r="O35" s="48">
        <f t="shared" si="21"/>
        <v>1670.2527537871415</v>
      </c>
      <c r="R35" s="2">
        <v>1544.8178574573401</v>
      </c>
      <c r="S35" s="44">
        <f t="shared" si="22"/>
        <v>1393.0023850431387</v>
      </c>
      <c r="V35" s="2">
        <v>101.64274685752655</v>
      </c>
      <c r="W35" s="2">
        <f t="shared" si="13"/>
        <v>1.3211007790889564</v>
      </c>
      <c r="X35" s="277">
        <f t="shared" si="6"/>
        <v>1.2297970602375667</v>
      </c>
      <c r="Y35" s="55">
        <v>1.1089843592834192</v>
      </c>
      <c r="Z35" s="49">
        <f t="shared" si="7"/>
        <v>10.898435928341922</v>
      </c>
      <c r="AA35" s="2">
        <v>13986</v>
      </c>
      <c r="AB35" s="49">
        <f t="shared" si="8"/>
        <v>12611.539453123745</v>
      </c>
      <c r="AC35" s="2"/>
      <c r="AD35" s="50">
        <v>8</v>
      </c>
      <c r="AE35">
        <v>100.2915</v>
      </c>
      <c r="AG35">
        <v>103.01097999999999</v>
      </c>
      <c r="AH35">
        <v>93.173179685516857</v>
      </c>
      <c r="AK35">
        <v>24.89</v>
      </c>
      <c r="AL35">
        <f t="shared" si="18"/>
        <v>0.99759519038076161</v>
      </c>
      <c r="AM35">
        <f t="shared" si="15"/>
        <v>0.89147245174623246</v>
      </c>
      <c r="AN35">
        <f t="shared" si="9"/>
        <v>0.87995953152495954</v>
      </c>
      <c r="AO35">
        <f t="shared" si="19"/>
        <v>-7.3343261355175002</v>
      </c>
      <c r="AQ35">
        <v>1.0061</v>
      </c>
      <c r="AR35">
        <f t="shared" si="16"/>
        <v>1.2399720135828554</v>
      </c>
      <c r="AS35">
        <f t="shared" si="23"/>
        <v>1.1528680423300786</v>
      </c>
      <c r="AT35">
        <v>0.60999999999999943</v>
      </c>
      <c r="AV35">
        <v>103.01098</v>
      </c>
      <c r="AW35">
        <v>103.01098</v>
      </c>
      <c r="AX35">
        <v>93.173179689999998</v>
      </c>
    </row>
    <row r="36" spans="1:50" ht="15.75" thickBot="1">
      <c r="A36" s="1">
        <v>39387</v>
      </c>
      <c r="B36">
        <v>135342.98200000016</v>
      </c>
      <c r="C36" s="49">
        <f t="shared" si="20"/>
        <v>121318.71123944364</v>
      </c>
      <c r="D36" s="2">
        <f t="shared" si="10"/>
        <v>2.5454457492132225</v>
      </c>
      <c r="E36" s="2">
        <f t="shared" si="17"/>
        <v>7.5724501723195816</v>
      </c>
      <c r="F36" s="55">
        <f t="shared" si="4"/>
        <v>2.3807218471312734</v>
      </c>
      <c r="G36" s="49">
        <v>5.577362126675518</v>
      </c>
      <c r="J36" s="47">
        <v>24.3506</v>
      </c>
      <c r="K36">
        <f t="shared" si="11"/>
        <v>0.98490523301434241</v>
      </c>
      <c r="L36">
        <f t="shared" si="12"/>
        <v>0.86615019065505583</v>
      </c>
      <c r="M36" s="44">
        <f t="shared" si="5"/>
        <v>0.8597725513342469</v>
      </c>
      <c r="N36" s="2">
        <v>1999.5993819999999</v>
      </c>
      <c r="O36" s="48">
        <f t="shared" si="21"/>
        <v>1792.4004365400169</v>
      </c>
      <c r="R36" s="2">
        <v>1681.9325661410112</v>
      </c>
      <c r="S36" s="44">
        <f t="shared" si="22"/>
        <v>1507.6503288207255</v>
      </c>
      <c r="V36" s="2">
        <v>101.2294424249383</v>
      </c>
      <c r="W36" s="2">
        <f t="shared" si="13"/>
        <v>1.3373429525432665</v>
      </c>
      <c r="X36" s="277">
        <f t="shared" si="6"/>
        <v>1.2449167070367715</v>
      </c>
      <c r="Y36" s="55">
        <v>1.1155985801141357</v>
      </c>
      <c r="Z36" s="49">
        <f t="shared" si="7"/>
        <v>11.559858011413571</v>
      </c>
      <c r="AA36" s="2">
        <v>14656</v>
      </c>
      <c r="AB36" s="49">
        <f t="shared" si="8"/>
        <v>13137.341926789259</v>
      </c>
      <c r="AC36" s="2"/>
      <c r="AD36" s="50">
        <v>8</v>
      </c>
      <c r="AE36">
        <v>87.534499999999994</v>
      </c>
      <c r="AG36">
        <v>102.91390000000001</v>
      </c>
      <c r="AH36">
        <v>100.91732867950164</v>
      </c>
      <c r="AK36">
        <v>24.47</v>
      </c>
      <c r="AL36">
        <f t="shared" si="18"/>
        <v>0.98312575331458407</v>
      </c>
      <c r="AM36">
        <f t="shared" si="15"/>
        <v>0.87642952568221399</v>
      </c>
      <c r="AN36">
        <f t="shared" si="9"/>
        <v>0.86511087731682423</v>
      </c>
      <c r="AO36">
        <f t="shared" si="19"/>
        <v>-8.0662734342713378</v>
      </c>
      <c r="AQ36">
        <v>0.99980000000000002</v>
      </c>
      <c r="AR36">
        <f t="shared" si="16"/>
        <v>1.2397240191801389</v>
      </c>
      <c r="AS36">
        <f t="shared" si="23"/>
        <v>1.1526374687216125</v>
      </c>
      <c r="AT36">
        <v>-1.9999999999996021E-2</v>
      </c>
      <c r="AV36">
        <v>102.9139</v>
      </c>
      <c r="AW36">
        <v>102.9139</v>
      </c>
      <c r="AX36">
        <v>100.9173287</v>
      </c>
    </row>
    <row r="37" spans="1:50" ht="15.75" thickBot="1">
      <c r="A37" s="1">
        <v>39417</v>
      </c>
      <c r="B37">
        <v>303838.60000000003</v>
      </c>
      <c r="C37" s="49">
        <f t="shared" si="20"/>
        <v>271546.60034563893</v>
      </c>
      <c r="D37" s="2">
        <f t="shared" si="10"/>
        <v>2.2382911718349394</v>
      </c>
      <c r="E37" s="2">
        <f t="shared" si="17"/>
        <v>16.949348369862886</v>
      </c>
      <c r="F37" s="55">
        <f t="shared" si="4"/>
        <v>5.3287486930284995</v>
      </c>
      <c r="G37" s="49">
        <v>6.0323816569318005</v>
      </c>
      <c r="J37" s="47">
        <v>24.55</v>
      </c>
      <c r="K37">
        <f t="shared" si="11"/>
        <v>1.0081887099291189</v>
      </c>
      <c r="L37">
        <f t="shared" si="12"/>
        <v>0.87324284332138113</v>
      </c>
      <c r="M37" s="44">
        <f t="shared" si="5"/>
        <v>0.86681297936214152</v>
      </c>
      <c r="N37" s="2">
        <v>2781.6153480000003</v>
      </c>
      <c r="O37" s="48">
        <f t="shared" si="21"/>
        <v>2485.9849644470823</v>
      </c>
      <c r="R37" s="2">
        <v>2347.0885922624543</v>
      </c>
      <c r="S37" s="44">
        <f t="shared" si="22"/>
        <v>2097.6397598557287</v>
      </c>
      <c r="V37" s="2">
        <v>101.12591309163365</v>
      </c>
      <c r="W37" s="2">
        <f t="shared" si="13"/>
        <v>1.3524002719259913</v>
      </c>
      <c r="X37" s="277">
        <f t="shared" si="6"/>
        <v>1.2589333872212334</v>
      </c>
      <c r="Y37" s="55">
        <v>1.1189188139835231</v>
      </c>
      <c r="Z37" s="49">
        <f t="shared" si="7"/>
        <v>11.891881398352311</v>
      </c>
      <c r="AA37" s="2">
        <v>18591</v>
      </c>
      <c r="AB37" s="49">
        <f t="shared" si="8"/>
        <v>16615.146485751884</v>
      </c>
      <c r="AC37" s="2"/>
      <c r="AD37" s="50">
        <v>8</v>
      </c>
      <c r="AE37">
        <v>78.497199999999992</v>
      </c>
      <c r="AG37">
        <v>133.988148</v>
      </c>
      <c r="AH37">
        <v>85.281491634981521</v>
      </c>
      <c r="AK37">
        <v>24.52</v>
      </c>
      <c r="AL37">
        <f t="shared" si="18"/>
        <v>1.0020433183489987</v>
      </c>
      <c r="AM37">
        <f t="shared" si="15"/>
        <v>0.87822035021364475</v>
      </c>
      <c r="AN37">
        <f t="shared" si="9"/>
        <v>0.86687857424636416</v>
      </c>
      <c r="AO37">
        <f t="shared" si="19"/>
        <v>-6.7325979459870666</v>
      </c>
      <c r="AQ37">
        <v>1.0065999999999999</v>
      </c>
      <c r="AR37">
        <f t="shared" si="16"/>
        <v>1.2479061977067276</v>
      </c>
      <c r="AS37">
        <f t="shared" si="23"/>
        <v>1.1602448760151751</v>
      </c>
      <c r="AT37">
        <v>0.65999999999999659</v>
      </c>
      <c r="AV37">
        <v>133.988148</v>
      </c>
      <c r="AW37">
        <v>133.988148</v>
      </c>
      <c r="AX37">
        <v>85.281491630000005</v>
      </c>
    </row>
    <row r="38" spans="1:50" ht="15.75" thickBot="1">
      <c r="A38" s="1">
        <v>39448</v>
      </c>
      <c r="B38">
        <v>-35182.70300000011</v>
      </c>
      <c r="C38" s="49">
        <f t="shared" si="20"/>
        <v>-31259.062229238993</v>
      </c>
      <c r="D38" s="2">
        <f t="shared" si="10"/>
        <v>-0.11511490915169183</v>
      </c>
      <c r="E38" s="2">
        <f t="shared" si="17"/>
        <v>-1.9511226977771421</v>
      </c>
      <c r="F38" s="55">
        <f t="shared" si="4"/>
        <v>-0.61341842169017236</v>
      </c>
      <c r="G38" s="49">
        <v>6.4875469040558409</v>
      </c>
      <c r="J38" s="47">
        <v>24.48</v>
      </c>
      <c r="K38">
        <f t="shared" si="11"/>
        <v>0.99714867617107938</v>
      </c>
      <c r="L38">
        <f t="shared" si="12"/>
        <v>0.87075294519378454</v>
      </c>
      <c r="M38" s="44">
        <f t="shared" si="5"/>
        <v>0.86434141485886862</v>
      </c>
      <c r="N38" s="2">
        <v>1475.7719959999995</v>
      </c>
      <c r="O38" s="48">
        <f t="shared" si="21"/>
        <v>1311.1911458062809</v>
      </c>
      <c r="R38" s="2">
        <v>1223.2935465923044</v>
      </c>
      <c r="S38" s="44">
        <f t="shared" si="22"/>
        <v>1086.8695647845816</v>
      </c>
      <c r="V38" s="2">
        <v>102.33690009746195</v>
      </c>
      <c r="W38" s="2">
        <f t="shared" si="13"/>
        <v>1.3840045151987055</v>
      </c>
      <c r="X38" s="277">
        <f t="shared" si="6"/>
        <v>1.2883534027741874</v>
      </c>
      <c r="Y38" s="55">
        <v>1.1255201049214789</v>
      </c>
      <c r="Z38" s="49">
        <f t="shared" si="7"/>
        <v>12.552010492147891</v>
      </c>
      <c r="AA38" s="2">
        <v>14771</v>
      </c>
      <c r="AB38" s="49">
        <f t="shared" si="8"/>
        <v>13123.71048319078</v>
      </c>
      <c r="AC38" s="2"/>
      <c r="AD38" s="50">
        <v>7.6</v>
      </c>
      <c r="AE38">
        <v>88.918700000000001</v>
      </c>
      <c r="AG38">
        <v>111.23188999999999</v>
      </c>
      <c r="AH38">
        <v>46.869972937106766</v>
      </c>
      <c r="AK38">
        <v>24.5</v>
      </c>
      <c r="AL38">
        <f t="shared" si="18"/>
        <v>0.99918433931484507</v>
      </c>
      <c r="AM38">
        <f t="shared" si="15"/>
        <v>0.87750402040107245</v>
      </c>
      <c r="AN38">
        <f t="shared" si="9"/>
        <v>0.86617149547454819</v>
      </c>
      <c r="AO38">
        <f t="shared" si="19"/>
        <v>-7.4423876086135152</v>
      </c>
      <c r="AQ38">
        <v>1.0129999999999999</v>
      </c>
      <c r="AR38">
        <f t="shared" si="16"/>
        <v>1.2641289782769149</v>
      </c>
      <c r="AS38">
        <f t="shared" si="23"/>
        <v>1.1753280594033721</v>
      </c>
      <c r="AT38">
        <v>1.2999999999999829</v>
      </c>
      <c r="AV38">
        <v>111.23189000000001</v>
      </c>
      <c r="AW38">
        <v>111.23189000000001</v>
      </c>
      <c r="AX38">
        <v>46.869972939999897</v>
      </c>
    </row>
    <row r="39" spans="1:50" ht="15.75" thickBot="1">
      <c r="A39" s="1">
        <v>39479</v>
      </c>
      <c r="B39">
        <v>87793.320000000167</v>
      </c>
      <c r="C39" s="49">
        <f t="shared" si="20"/>
        <v>77925.367413697881</v>
      </c>
      <c r="D39" s="2">
        <f t="shared" si="10"/>
        <v>-2.4928888410736878</v>
      </c>
      <c r="E39" s="2">
        <f t="shared" si="17"/>
        <v>4.8639320008542271</v>
      </c>
      <c r="F39" s="55">
        <f t="shared" si="4"/>
        <v>1.5291839383404644</v>
      </c>
      <c r="G39" s="49">
        <v>6.9428566964631013</v>
      </c>
      <c r="J39" s="47">
        <v>24.1159</v>
      </c>
      <c r="K39">
        <f t="shared" si="11"/>
        <v>0.98512663398692812</v>
      </c>
      <c r="L39">
        <f t="shared" si="12"/>
        <v>0.85780191793295713</v>
      </c>
      <c r="M39" s="44">
        <f t="shared" si="5"/>
        <v>0.85148574863541637</v>
      </c>
      <c r="N39" s="2">
        <v>1826.2302709999999</v>
      </c>
      <c r="O39" s="48">
        <f t="shared" si="21"/>
        <v>1620.9623334633179</v>
      </c>
      <c r="R39" s="2">
        <v>1573.9140026663558</v>
      </c>
      <c r="S39" s="44">
        <f t="shared" si="22"/>
        <v>1397.0063660349035</v>
      </c>
      <c r="V39" s="2">
        <v>101.22291819672651</v>
      </c>
      <c r="W39" s="2">
        <f t="shared" si="13"/>
        <v>1.4009297582585869</v>
      </c>
      <c r="X39" s="277">
        <f t="shared" si="6"/>
        <v>1.304108910974858</v>
      </c>
      <c r="Y39" s="55">
        <v>1.1266333790114114</v>
      </c>
      <c r="Z39" s="49">
        <f t="shared" si="7"/>
        <v>12.663337901141137</v>
      </c>
      <c r="AA39" s="2">
        <v>15354</v>
      </c>
      <c r="AB39" s="49">
        <f t="shared" si="8"/>
        <v>13628.213299940302</v>
      </c>
      <c r="AC39" s="2"/>
      <c r="AD39" s="50">
        <v>7.4</v>
      </c>
      <c r="AE39">
        <v>84.380899999999997</v>
      </c>
      <c r="AG39">
        <v>141.50902299999998</v>
      </c>
      <c r="AH39">
        <v>52.947862451291151</v>
      </c>
      <c r="AK39">
        <v>24.53</v>
      </c>
      <c r="AL39">
        <f t="shared" si="18"/>
        <v>1.0012244897959184</v>
      </c>
      <c r="AM39">
        <f t="shared" si="15"/>
        <v>0.8785785151199309</v>
      </c>
      <c r="AN39">
        <f t="shared" si="9"/>
        <v>0.86723211363227215</v>
      </c>
      <c r="AO39">
        <f t="shared" si="19"/>
        <v>-6.8716780561883013</v>
      </c>
      <c r="AQ39">
        <v>0.99880000000000002</v>
      </c>
      <c r="AR39">
        <f t="shared" si="16"/>
        <v>1.2626120235029827</v>
      </c>
      <c r="AS39">
        <f t="shared" si="23"/>
        <v>1.1739176657320882</v>
      </c>
      <c r="AT39">
        <v>-0.12000000000000455</v>
      </c>
      <c r="AV39">
        <v>141.50902300000001</v>
      </c>
      <c r="AW39">
        <v>141.50902300000001</v>
      </c>
      <c r="AX39">
        <v>52.947862450000002</v>
      </c>
    </row>
    <row r="40" spans="1:50" ht="15.75" thickBot="1">
      <c r="A40" s="1">
        <v>39508</v>
      </c>
      <c r="B40">
        <v>87319.399999999907</v>
      </c>
      <c r="C40" s="49">
        <f t="shared" si="20"/>
        <v>77045.201806107274</v>
      </c>
      <c r="D40" s="2">
        <f t="shared" si="10"/>
        <v>0.98870501818852008</v>
      </c>
      <c r="E40" s="2">
        <f t="shared" si="17"/>
        <v>4.8089939773723032</v>
      </c>
      <c r="F40" s="55">
        <f t="shared" si="4"/>
        <v>1.5119118335705015</v>
      </c>
      <c r="G40" s="49">
        <v>6.3906920051013572</v>
      </c>
      <c r="J40" s="47">
        <v>23.515599999999999</v>
      </c>
      <c r="K40">
        <f t="shared" si="11"/>
        <v>0.97510770902184862</v>
      </c>
      <c r="L40">
        <f t="shared" si="12"/>
        <v>0.83644926299015365</v>
      </c>
      <c r="M40" s="44">
        <f t="shared" si="5"/>
        <v>0.83029031761663452</v>
      </c>
      <c r="N40" s="2">
        <v>1884.2555229999998</v>
      </c>
      <c r="O40" s="48">
        <f t="shared" si="21"/>
        <v>1662.549754393724</v>
      </c>
      <c r="R40" s="2">
        <v>1554.4256407413391</v>
      </c>
      <c r="S40" s="44">
        <f t="shared" si="22"/>
        <v>1371.5284024341006</v>
      </c>
      <c r="V40" s="2">
        <v>101.22291003047525</v>
      </c>
      <c r="W40" s="2">
        <f t="shared" si="13"/>
        <v>1.4180618687922439</v>
      </c>
      <c r="X40" s="277">
        <f t="shared" si="6"/>
        <v>1.3200569896554912</v>
      </c>
      <c r="Y40" s="55">
        <v>1.1333528623852369</v>
      </c>
      <c r="Z40" s="49">
        <f t="shared" si="7"/>
        <v>13.335286238523691</v>
      </c>
      <c r="AA40" s="2">
        <v>16172</v>
      </c>
      <c r="AB40" s="49">
        <f t="shared" si="8"/>
        <v>14269.165885340122</v>
      </c>
      <c r="AC40" s="2"/>
      <c r="AD40" s="50">
        <v>7.7</v>
      </c>
      <c r="AE40">
        <v>96.117699999999999</v>
      </c>
      <c r="AG40">
        <v>107.0077</v>
      </c>
      <c r="AH40">
        <v>76.714164611602087</v>
      </c>
      <c r="AK40">
        <v>23.76</v>
      </c>
      <c r="AL40">
        <f t="shared" si="18"/>
        <v>0.96860986547085204</v>
      </c>
      <c r="AM40">
        <f t="shared" si="15"/>
        <v>0.85099981733589725</v>
      </c>
      <c r="AN40">
        <f t="shared" si="9"/>
        <v>0.84000958091735778</v>
      </c>
      <c r="AO40">
        <f t="shared" si="19"/>
        <v>-8.9655172413793025</v>
      </c>
      <c r="AQ40">
        <v>1.0029999999999999</v>
      </c>
      <c r="AR40">
        <f t="shared" si="16"/>
        <v>1.2663998595734915</v>
      </c>
      <c r="AS40">
        <f t="shared" si="23"/>
        <v>1.1774394187292845</v>
      </c>
      <c r="AT40">
        <v>0.29999999999998295</v>
      </c>
      <c r="AV40">
        <v>107.0077</v>
      </c>
      <c r="AW40">
        <v>107.0077</v>
      </c>
      <c r="AX40">
        <v>76.714164609999997</v>
      </c>
    </row>
    <row r="41" spans="1:50" ht="15.75" thickBot="1">
      <c r="A41" s="1">
        <v>39539</v>
      </c>
      <c r="B41">
        <v>159539.30199999976</v>
      </c>
      <c r="C41" s="49">
        <f t="shared" si="20"/>
        <v>139656.95463011944</v>
      </c>
      <c r="D41" s="2">
        <f t="shared" si="10"/>
        <v>1.8126625845121611</v>
      </c>
      <c r="E41" s="2">
        <f t="shared" si="17"/>
        <v>8.7170834519270954</v>
      </c>
      <c r="F41" s="55">
        <f t="shared" si="4"/>
        <v>2.7405860117944254</v>
      </c>
      <c r="G41" s="49">
        <v>5.8429574640934216</v>
      </c>
      <c r="J41" s="47">
        <v>30.811</v>
      </c>
      <c r="K41">
        <f t="shared" si="11"/>
        <v>1.3102366088894182</v>
      </c>
      <c r="L41">
        <f t="shared" si="12"/>
        <v>1.0959464458482719</v>
      </c>
      <c r="M41" s="44">
        <f t="shared" si="5"/>
        <v>1.087876770147737</v>
      </c>
      <c r="N41" s="2">
        <v>2087.1678349999997</v>
      </c>
      <c r="O41" s="48">
        <f t="shared" si="21"/>
        <v>1827.0576590465464</v>
      </c>
      <c r="R41" s="2">
        <v>1765.0992446207515</v>
      </c>
      <c r="S41" s="44">
        <f t="shared" si="22"/>
        <v>1545.1263859964658</v>
      </c>
      <c r="V41" s="2">
        <v>101.44564497443952</v>
      </c>
      <c r="W41" s="2">
        <f t="shared" si="13"/>
        <v>1.4385620089328819</v>
      </c>
      <c r="X41" s="277">
        <f t="shared" si="6"/>
        <v>1.339140327186183</v>
      </c>
      <c r="Y41" s="55">
        <v>1.1423656088057956</v>
      </c>
      <c r="Z41" s="49">
        <f t="shared" si="7"/>
        <v>14.236560880579564</v>
      </c>
      <c r="AA41" s="2">
        <v>16538</v>
      </c>
      <c r="AB41" s="49">
        <f t="shared" si="8"/>
        <v>14476.976436018998</v>
      </c>
      <c r="AC41" s="2"/>
      <c r="AD41" s="50">
        <v>7.7</v>
      </c>
      <c r="AE41">
        <v>97.108564000000015</v>
      </c>
      <c r="AG41">
        <v>102.2291</v>
      </c>
      <c r="AH41">
        <v>73.896194727074615</v>
      </c>
      <c r="AK41">
        <v>23.51</v>
      </c>
      <c r="AL41">
        <f t="shared" si="18"/>
        <v>0.98947811447811451</v>
      </c>
      <c r="AM41">
        <f t="shared" si="15"/>
        <v>0.84204569467874346</v>
      </c>
      <c r="AN41">
        <f t="shared" si="9"/>
        <v>0.83117109626965835</v>
      </c>
      <c r="AO41">
        <f t="shared" si="19"/>
        <v>-8.9818041037553087</v>
      </c>
      <c r="AQ41">
        <v>1.0089999999999999</v>
      </c>
      <c r="AR41">
        <f t="shared" si="16"/>
        <v>1.2777974583096527</v>
      </c>
      <c r="AS41">
        <f t="shared" si="23"/>
        <v>1.1880363734978476</v>
      </c>
      <c r="AT41">
        <v>0.89999999999999147</v>
      </c>
      <c r="AV41">
        <v>102.2291</v>
      </c>
      <c r="AW41">
        <v>102.2291</v>
      </c>
      <c r="AX41">
        <v>73.896194730000005</v>
      </c>
    </row>
    <row r="42" spans="1:50" ht="15.75" thickBot="1">
      <c r="A42" s="1">
        <v>39569</v>
      </c>
      <c r="B42">
        <v>101251.72600000002</v>
      </c>
      <c r="C42" s="49">
        <f t="shared" si="20"/>
        <v>87934.103618198889</v>
      </c>
      <c r="D42" s="2">
        <f t="shared" si="10"/>
        <v>0.62964357092771939</v>
      </c>
      <c r="E42" s="2">
        <f t="shared" si="17"/>
        <v>5.488655552746307</v>
      </c>
      <c r="F42" s="55">
        <f t="shared" si="4"/>
        <v>1.725592362900799</v>
      </c>
      <c r="G42" s="49">
        <v>5.2996025368293305</v>
      </c>
      <c r="J42" s="47">
        <v>23.738399999999999</v>
      </c>
      <c r="K42">
        <f t="shared" si="11"/>
        <v>0.77045211125896595</v>
      </c>
      <c r="L42">
        <f t="shared" si="12"/>
        <v>0.84437425303056113</v>
      </c>
      <c r="M42" s="44">
        <f t="shared" si="5"/>
        <v>0.83815695434990889</v>
      </c>
      <c r="N42" s="2">
        <v>2030.5249410000001</v>
      </c>
      <c r="O42" s="48">
        <f t="shared" si="21"/>
        <v>1763.4503392192166</v>
      </c>
      <c r="R42" s="2">
        <v>1707.6555683856643</v>
      </c>
      <c r="S42" s="44">
        <f t="shared" si="22"/>
        <v>1483.0479205324293</v>
      </c>
      <c r="V42" s="2">
        <v>101.36751887863349</v>
      </c>
      <c r="W42" s="2">
        <f t="shared" si="13"/>
        <v>1.4582346159858883</v>
      </c>
      <c r="X42" s="277">
        <f t="shared" si="6"/>
        <v>1.3574533239718485</v>
      </c>
      <c r="Y42" s="55">
        <v>1.1514500271660801</v>
      </c>
      <c r="Z42" s="49">
        <f t="shared" si="7"/>
        <v>15.145002716608014</v>
      </c>
      <c r="AA42" s="2">
        <v>16643</v>
      </c>
      <c r="AB42" s="49">
        <f t="shared" si="8"/>
        <v>14453.949027176917</v>
      </c>
      <c r="AC42" s="2"/>
      <c r="AD42" s="50">
        <v>7.4</v>
      </c>
      <c r="AE42">
        <v>96.057899999999989</v>
      </c>
      <c r="AG42">
        <v>92.577634000000003</v>
      </c>
      <c r="AH42">
        <v>57.523533483901097</v>
      </c>
      <c r="AK42">
        <v>23.73</v>
      </c>
      <c r="AL42">
        <f t="shared" si="18"/>
        <v>1.0093577201190982</v>
      </c>
      <c r="AM42">
        <f t="shared" si="15"/>
        <v>0.84992532261703879</v>
      </c>
      <c r="AN42">
        <f t="shared" si="9"/>
        <v>0.83894896275963393</v>
      </c>
      <c r="AO42">
        <f t="shared" si="19"/>
        <v>-8.0945003872966623</v>
      </c>
      <c r="AQ42">
        <v>1.0029999999999999</v>
      </c>
      <c r="AR42">
        <f t="shared" si="16"/>
        <v>1.2816308506845815</v>
      </c>
      <c r="AS42">
        <f t="shared" si="23"/>
        <v>1.1916004826183411</v>
      </c>
      <c r="AT42">
        <v>0.29999999999998295</v>
      </c>
      <c r="AV42">
        <v>92.577634000000003</v>
      </c>
      <c r="AW42">
        <v>92.577634000000003</v>
      </c>
      <c r="AX42">
        <v>57.523533479999998</v>
      </c>
    </row>
    <row r="43" spans="1:50" ht="15.75" thickBot="1">
      <c r="A43" s="1">
        <v>39600</v>
      </c>
      <c r="B43">
        <v>142866.96800000034</v>
      </c>
      <c r="C43" s="49">
        <f t="shared" si="20"/>
        <v>124075.69988219194</v>
      </c>
      <c r="D43" s="2">
        <f t="shared" si="10"/>
        <v>1.4110077293892282</v>
      </c>
      <c r="E43" s="2">
        <f t="shared" si="17"/>
        <v>7.7445354088801466</v>
      </c>
      <c r="F43" s="55">
        <f t="shared" si="4"/>
        <v>2.4348241618280495</v>
      </c>
      <c r="G43" s="49">
        <v>5.4547500238468878</v>
      </c>
      <c r="J43" s="47">
        <v>23.4573</v>
      </c>
      <c r="K43">
        <f t="shared" si="11"/>
        <v>0.98815842685269439</v>
      </c>
      <c r="L43">
        <f t="shared" si="12"/>
        <v>0.83437553354959826</v>
      </c>
      <c r="M43" s="44">
        <f t="shared" si="5"/>
        <v>0.82823185746605155</v>
      </c>
      <c r="N43" s="2">
        <v>2145.8125060000002</v>
      </c>
      <c r="O43" s="48">
        <f t="shared" si="21"/>
        <v>1863.5741503096053</v>
      </c>
      <c r="R43" s="2">
        <v>1783.5423689935844</v>
      </c>
      <c r="S43" s="44">
        <f t="shared" si="22"/>
        <v>1548.9533431018224</v>
      </c>
      <c r="V43" s="2">
        <v>100.97298196609465</v>
      </c>
      <c r="W43" s="2">
        <f t="shared" si="13"/>
        <v>1.4724229758227807</v>
      </c>
      <c r="X43" s="277">
        <f t="shared" si="6"/>
        <v>1.3706611000122471</v>
      </c>
      <c r="Y43" s="55">
        <v>1.1514500271660804</v>
      </c>
      <c r="Z43" s="49">
        <f t="shared" si="7"/>
        <v>15.145002716608037</v>
      </c>
      <c r="AA43" s="2">
        <v>17715</v>
      </c>
      <c r="AB43" s="49">
        <f t="shared" si="8"/>
        <v>15384.949048635406</v>
      </c>
      <c r="AC43" s="2"/>
      <c r="AD43" s="50">
        <v>8.1999999999999993</v>
      </c>
      <c r="AE43">
        <v>102.31195600000001</v>
      </c>
      <c r="AG43">
        <v>98.860816999999997</v>
      </c>
      <c r="AH43">
        <v>58.889271789024271</v>
      </c>
      <c r="AK43">
        <v>23.64</v>
      </c>
      <c r="AL43">
        <f t="shared" si="18"/>
        <v>0.99620733249051829</v>
      </c>
      <c r="AM43">
        <f t="shared" si="15"/>
        <v>0.84670183846046343</v>
      </c>
      <c r="AN43">
        <f t="shared" si="9"/>
        <v>0.83576710828646206</v>
      </c>
      <c r="AO43">
        <f t="shared" si="19"/>
        <v>-8.8314693405321947</v>
      </c>
      <c r="AQ43">
        <v>1.0049999999999999</v>
      </c>
      <c r="AR43">
        <f t="shared" si="16"/>
        <v>1.2880390049380042</v>
      </c>
      <c r="AS43">
        <f t="shared" si="23"/>
        <v>1.1975584850314325</v>
      </c>
      <c r="AT43">
        <v>0.49999999999998579</v>
      </c>
      <c r="AV43">
        <v>98.860816999999997</v>
      </c>
      <c r="AW43">
        <v>98.860816999999997</v>
      </c>
      <c r="AX43">
        <v>58.889271790000002</v>
      </c>
    </row>
    <row r="44" spans="1:50" ht="15.75" thickBot="1">
      <c r="A44" s="1">
        <v>39630</v>
      </c>
      <c r="B44">
        <v>88727.587999999581</v>
      </c>
      <c r="C44" s="49">
        <f t="shared" si="20"/>
        <v>77363.958944964848</v>
      </c>
      <c r="D44" s="2">
        <f t="shared" si="10"/>
        <v>0.62352224503606102</v>
      </c>
      <c r="E44" s="2">
        <f t="shared" si="17"/>
        <v>4.8288901049062174</v>
      </c>
      <c r="F44" s="55">
        <f t="shared" si="4"/>
        <v>1.5181670276510708</v>
      </c>
      <c r="G44" s="49">
        <v>5.6092150224400052</v>
      </c>
      <c r="J44" s="47">
        <v>23.445599999999999</v>
      </c>
      <c r="K44">
        <f t="shared" si="11"/>
        <v>0.99950122136818809</v>
      </c>
      <c r="L44">
        <f t="shared" si="12"/>
        <v>0.83395936486255706</v>
      </c>
      <c r="M44" s="44">
        <f t="shared" si="5"/>
        <v>0.82781875311336162</v>
      </c>
      <c r="N44" s="2">
        <v>2213.2560789999993</v>
      </c>
      <c r="O44" s="48">
        <f t="shared" si="21"/>
        <v>1929.7972174161957</v>
      </c>
      <c r="R44" s="2">
        <v>1853.3581123354941</v>
      </c>
      <c r="S44" s="44">
        <f t="shared" si="22"/>
        <v>1615.9925469070724</v>
      </c>
      <c r="V44" s="2">
        <v>100.4923732879445</v>
      </c>
      <c r="W44" s="2">
        <f t="shared" si="13"/>
        <v>1.4796727932412894</v>
      </c>
      <c r="X44" s="277">
        <f t="shared" si="6"/>
        <v>1.3774098691369536</v>
      </c>
      <c r="Y44" s="55">
        <v>1.1468853095162643</v>
      </c>
      <c r="Z44" s="49">
        <f t="shared" si="7"/>
        <v>14.688530951626433</v>
      </c>
      <c r="AA44" s="2">
        <v>17758</v>
      </c>
      <c r="AB44" s="49">
        <f t="shared" si="8"/>
        <v>15483.67552766894</v>
      </c>
      <c r="AC44" s="2"/>
      <c r="AD44" s="50">
        <v>8.1999999999999993</v>
      </c>
      <c r="AE44">
        <v>110.83427399999999</v>
      </c>
      <c r="AG44">
        <v>109.684663</v>
      </c>
      <c r="AH44">
        <v>75.436411108949585</v>
      </c>
      <c r="AK44">
        <v>23.344999999999999</v>
      </c>
      <c r="AL44">
        <f t="shared" si="18"/>
        <v>0.98752115059221646</v>
      </c>
      <c r="AM44">
        <f t="shared" si="15"/>
        <v>0.8361359737250218</v>
      </c>
      <c r="AN44">
        <f t="shared" si="9"/>
        <v>0.82533769640217658</v>
      </c>
      <c r="AO44">
        <f t="shared" si="19"/>
        <v>-8.6658841940532056</v>
      </c>
      <c r="AQ44">
        <v>1.0009999999999999</v>
      </c>
      <c r="AR44">
        <f t="shared" si="16"/>
        <v>1.2893270439429421</v>
      </c>
      <c r="AS44">
        <f t="shared" si="23"/>
        <v>1.1987560435164639</v>
      </c>
      <c r="AT44">
        <v>9.9999999999994316E-2</v>
      </c>
      <c r="AV44">
        <v>109.684663</v>
      </c>
      <c r="AW44">
        <v>109.684663</v>
      </c>
      <c r="AX44">
        <v>75.436411109999995</v>
      </c>
    </row>
    <row r="45" spans="1:50" ht="15.75" thickBot="1">
      <c r="A45" s="1">
        <v>39661</v>
      </c>
      <c r="B45">
        <v>118508.86700000038</v>
      </c>
      <c r="C45" s="49">
        <f t="shared" si="20"/>
        <v>103022.29513208896</v>
      </c>
      <c r="D45" s="2">
        <f t="shared" si="10"/>
        <v>1.3316574867294075</v>
      </c>
      <c r="E45" s="2">
        <f t="shared" si="17"/>
        <v>6.4304276607919189</v>
      </c>
      <c r="F45" s="55">
        <f t="shared" si="4"/>
        <v>2.02167848847728</v>
      </c>
      <c r="G45" s="49">
        <v>5.7630033356439112</v>
      </c>
      <c r="J45" s="47">
        <v>24.576899999999998</v>
      </c>
      <c r="K45">
        <f t="shared" si="11"/>
        <v>1.0482521240659228</v>
      </c>
      <c r="L45">
        <f t="shared" si="12"/>
        <v>0.87419967560184342</v>
      </c>
      <c r="M45" s="44">
        <f t="shared" si="5"/>
        <v>0.86776276629268512</v>
      </c>
      <c r="N45" s="2">
        <v>2266.3790320000003</v>
      </c>
      <c r="O45" s="48">
        <f t="shared" si="21"/>
        <v>1970.211811373417</v>
      </c>
      <c r="R45" s="2">
        <v>1921.8194383824107</v>
      </c>
      <c r="S45" s="44">
        <f t="shared" si="22"/>
        <v>1670.6787802774077</v>
      </c>
      <c r="V45" s="2">
        <v>100.34869010622346</v>
      </c>
      <c r="W45" s="2">
        <f t="shared" si="13"/>
        <v>1.484832265875802</v>
      </c>
      <c r="X45" s="277">
        <f t="shared" si="6"/>
        <v>1.3822127610727795</v>
      </c>
      <c r="Y45" s="55">
        <v>1.1503225282261036</v>
      </c>
      <c r="Z45" s="49">
        <f t="shared" si="7"/>
        <v>15.03225282261036</v>
      </c>
      <c r="AA45" s="2">
        <v>17244</v>
      </c>
      <c r="AB45" s="49">
        <f t="shared" si="8"/>
        <v>14990.578361176438</v>
      </c>
      <c r="AC45" s="2"/>
      <c r="AD45" s="50">
        <v>8.1</v>
      </c>
      <c r="AE45">
        <v>104.5283</v>
      </c>
      <c r="AG45">
        <v>114.32618099999999</v>
      </c>
      <c r="AH45">
        <v>66.516934358330104</v>
      </c>
      <c r="AK45">
        <v>24.125</v>
      </c>
      <c r="AL45">
        <f t="shared" si="18"/>
        <v>1.0334118654958235</v>
      </c>
      <c r="AM45">
        <f t="shared" si="15"/>
        <v>0.86407283641534172</v>
      </c>
      <c r="AN45">
        <f t="shared" si="9"/>
        <v>0.85291376850299894</v>
      </c>
      <c r="AO45">
        <f t="shared" si="19"/>
        <v>-5.8720249707374137</v>
      </c>
      <c r="AQ45">
        <v>1.0009999999999999</v>
      </c>
      <c r="AR45">
        <f t="shared" si="16"/>
        <v>1.2906163709868848</v>
      </c>
      <c r="AS45">
        <f t="shared" si="23"/>
        <v>1.1999547995599802</v>
      </c>
      <c r="AT45">
        <v>9.9999999999994316E-2</v>
      </c>
      <c r="AV45">
        <v>114.32618100000001</v>
      </c>
      <c r="AW45">
        <v>114.32618100000001</v>
      </c>
      <c r="AX45">
        <v>66.516934359999894</v>
      </c>
    </row>
    <row r="46" spans="1:50" ht="15.75" thickBot="1">
      <c r="A46" s="1">
        <v>39692</v>
      </c>
      <c r="B46">
        <v>-92190.42300000001</v>
      </c>
      <c r="C46" s="49">
        <f t="shared" si="20"/>
        <v>-80143.108335160228</v>
      </c>
      <c r="D46" s="2">
        <f t="shared" si="10"/>
        <v>-0.77792004373815959</v>
      </c>
      <c r="E46" s="2">
        <f t="shared" si="17"/>
        <v>-5.0023585671383204</v>
      </c>
      <c r="F46" s="55">
        <f t="shared" si="4"/>
        <v>-1.572704218180742</v>
      </c>
      <c r="G46" s="49">
        <v>6.1154711761116314</v>
      </c>
      <c r="J46" s="47">
        <v>25.246400000000001</v>
      </c>
      <c r="K46">
        <f t="shared" si="11"/>
        <v>1.0272410271433745</v>
      </c>
      <c r="L46">
        <f t="shared" si="12"/>
        <v>0.89801377269364246</v>
      </c>
      <c r="M46" s="44">
        <f t="shared" si="5"/>
        <v>0.89140151536327394</v>
      </c>
      <c r="N46" s="2">
        <v>2136.1311839999998</v>
      </c>
      <c r="O46" s="48">
        <f t="shared" si="21"/>
        <v>1856.9845687488173</v>
      </c>
      <c r="R46" s="2">
        <v>1774.3145612820942</v>
      </c>
      <c r="S46" s="44">
        <f t="shared" si="22"/>
        <v>1542.4496328157986</v>
      </c>
      <c r="V46" s="2">
        <v>100.80145122939035</v>
      </c>
      <c r="W46" s="2">
        <f t="shared" si="13"/>
        <v>1.4967324723250481</v>
      </c>
      <c r="X46" s="277">
        <f t="shared" si="6"/>
        <v>1.3932905222391876</v>
      </c>
      <c r="Y46" s="55">
        <v>1.1503225282261034</v>
      </c>
      <c r="Z46" s="49">
        <f t="shared" si="7"/>
        <v>15.032252822610337</v>
      </c>
      <c r="AA46" s="2">
        <v>17739</v>
      </c>
      <c r="AB46" s="49">
        <f t="shared" si="8"/>
        <v>15420.892458183071</v>
      </c>
      <c r="AC46" s="2"/>
      <c r="AD46" s="50">
        <v>8.1999999999999993</v>
      </c>
      <c r="AE46">
        <v>116.96680000000001</v>
      </c>
      <c r="AG46">
        <v>149.05600000000001</v>
      </c>
      <c r="AH46">
        <v>60.546537532720329</v>
      </c>
      <c r="AK46">
        <v>25.274999999999999</v>
      </c>
      <c r="AL46">
        <f t="shared" si="18"/>
        <v>1.0476683937823834</v>
      </c>
      <c r="AM46">
        <f t="shared" si="15"/>
        <v>0.90526180063824924</v>
      </c>
      <c r="AN46">
        <f t="shared" si="9"/>
        <v>0.89357079788241656</v>
      </c>
      <c r="AO46">
        <f t="shared" si="19"/>
        <v>1.3026052104208503</v>
      </c>
      <c r="AQ46">
        <v>0.99629999999999996</v>
      </c>
      <c r="AR46">
        <f t="shared" si="16"/>
        <v>1.2858410904142332</v>
      </c>
      <c r="AS46">
        <f t="shared" si="23"/>
        <v>1.1955149668016081</v>
      </c>
      <c r="AT46">
        <v>-0.37000000000000455</v>
      </c>
      <c r="AV46">
        <v>149.05600000000001</v>
      </c>
      <c r="AW46">
        <v>149.05600000000001</v>
      </c>
      <c r="AX46">
        <v>60.546537530000002</v>
      </c>
    </row>
    <row r="47" spans="1:50" ht="15.75" thickBot="1">
      <c r="A47" s="1">
        <v>39722</v>
      </c>
      <c r="B47">
        <v>-423294.21</v>
      </c>
      <c r="C47" s="49">
        <f t="shared" si="20"/>
        <v>-370531.59382966161</v>
      </c>
      <c r="D47" s="2">
        <f t="shared" si="10"/>
        <v>4.6233743802410361</v>
      </c>
      <c r="E47" s="2">
        <f t="shared" si="17"/>
        <v>-23.127776440086571</v>
      </c>
      <c r="F47" s="55">
        <f t="shared" si="4"/>
        <v>-7.2712003900338518</v>
      </c>
      <c r="G47" s="49">
        <v>6.4702071062106823</v>
      </c>
      <c r="J47" s="47">
        <v>30.994</v>
      </c>
      <c r="K47">
        <f t="shared" si="11"/>
        <v>1.2276601812535648</v>
      </c>
      <c r="L47">
        <f t="shared" si="12"/>
        <v>1.1024557509532746</v>
      </c>
      <c r="M47" s="44">
        <f t="shared" si="5"/>
        <v>1.0943381459205792</v>
      </c>
      <c r="N47" s="2">
        <v>2157.3535400000001</v>
      </c>
      <c r="O47" s="48">
        <f t="shared" si="21"/>
        <v>1888.4445540378701</v>
      </c>
      <c r="R47" s="2">
        <v>1808.1825302170976</v>
      </c>
      <c r="S47" s="44">
        <f t="shared" si="22"/>
        <v>1582.7968798729644</v>
      </c>
      <c r="V47" s="2">
        <v>100.9280992246746</v>
      </c>
      <c r="W47" s="2">
        <f t="shared" si="13"/>
        <v>1.5106236347961499</v>
      </c>
      <c r="X47" s="277">
        <f t="shared" si="6"/>
        <v>1.4062216407735542</v>
      </c>
      <c r="Y47" s="55">
        <v>1.1423970777363566</v>
      </c>
      <c r="Z47" s="49">
        <f t="shared" si="7"/>
        <v>14.239707773635658</v>
      </c>
      <c r="AA47" s="2">
        <v>17643</v>
      </c>
      <c r="AB47" s="49">
        <f t="shared" si="8"/>
        <v>15443.842026416376</v>
      </c>
      <c r="AC47" s="2"/>
      <c r="AD47" s="50">
        <v>9.6</v>
      </c>
      <c r="AE47">
        <v>124.87512099999998</v>
      </c>
      <c r="AG47">
        <v>289.46643599999999</v>
      </c>
      <c r="AH47">
        <v>57.767358225808998</v>
      </c>
      <c r="AK47">
        <v>26.35</v>
      </c>
      <c r="AL47">
        <f t="shared" si="18"/>
        <v>1.0425321463897133</v>
      </c>
      <c r="AM47">
        <f t="shared" si="15"/>
        <v>0.94376452806401068</v>
      </c>
      <c r="AN47">
        <f t="shared" si="9"/>
        <v>0.93157628186752439</v>
      </c>
      <c r="AO47">
        <f t="shared" si="19"/>
        <v>5.8658095620731245</v>
      </c>
      <c r="AQ47">
        <v>1.0269999999999999</v>
      </c>
      <c r="AR47">
        <f t="shared" si="16"/>
        <v>1.3205587998554174</v>
      </c>
      <c r="AS47">
        <f t="shared" si="23"/>
        <v>1.2277938709052514</v>
      </c>
      <c r="AT47">
        <v>2.6999999999999886</v>
      </c>
      <c r="AV47">
        <v>289.46643599999999</v>
      </c>
      <c r="AW47">
        <v>289.46643599999999</v>
      </c>
      <c r="AX47">
        <v>57.767358229999999</v>
      </c>
    </row>
    <row r="48" spans="1:50" ht="15.75" thickBot="1">
      <c r="A48" s="1">
        <v>39753</v>
      </c>
      <c r="B48">
        <v>-168910.38300000029</v>
      </c>
      <c r="C48" s="49">
        <f t="shared" si="20"/>
        <v>-148442.83621036651</v>
      </c>
      <c r="D48" s="2">
        <f t="shared" si="10"/>
        <v>0.4006212659927933</v>
      </c>
      <c r="E48" s="2">
        <f t="shared" si="17"/>
        <v>-9.2654790770257804</v>
      </c>
      <c r="F48" s="55">
        <f t="shared" si="4"/>
        <v>-2.9129975055426542</v>
      </c>
      <c r="G48" s="49">
        <v>6.8272330889459258</v>
      </c>
      <c r="J48" s="47">
        <v>27.606000000000002</v>
      </c>
      <c r="K48">
        <f t="shared" si="11"/>
        <v>0.89068852035877921</v>
      </c>
      <c r="L48">
        <f t="shared" si="12"/>
        <v>0.98194468157759895</v>
      </c>
      <c r="M48" s="44">
        <f t="shared" si="5"/>
        <v>0.97471442396217056</v>
      </c>
      <c r="N48" s="2">
        <v>2186.5922909999995</v>
      </c>
      <c r="O48" s="48">
        <f t="shared" si="21"/>
        <v>1921.6341562126613</v>
      </c>
      <c r="R48" s="2">
        <v>1879.4273928645287</v>
      </c>
      <c r="S48" s="44">
        <f t="shared" si="22"/>
        <v>1651.6896575165833</v>
      </c>
      <c r="V48" s="2">
        <v>100.85002023561758</v>
      </c>
      <c r="W48" s="2">
        <f t="shared" si="13"/>
        <v>1.5234642413759389</v>
      </c>
      <c r="X48" s="277">
        <f t="shared" si="6"/>
        <v>1.4181748092777628</v>
      </c>
      <c r="Y48" s="55">
        <v>1.137881674267043</v>
      </c>
      <c r="Z48" s="49">
        <f t="shared" si="7"/>
        <v>13.788167426704302</v>
      </c>
      <c r="AA48" s="2">
        <v>17598</v>
      </c>
      <c r="AB48" s="49">
        <f t="shared" si="8"/>
        <v>15465.579943833443</v>
      </c>
      <c r="AC48" s="2"/>
      <c r="AD48" s="50">
        <v>10.5</v>
      </c>
      <c r="AE48">
        <v>112.69151799999999</v>
      </c>
      <c r="AG48">
        <v>266.29578900000001</v>
      </c>
      <c r="AH48">
        <v>36.811589830972892</v>
      </c>
      <c r="AK48">
        <v>27.31</v>
      </c>
      <c r="AL48">
        <f t="shared" si="18"/>
        <v>1.0364326375711574</v>
      </c>
      <c r="AM48">
        <f t="shared" si="15"/>
        <v>0.97814835906748121</v>
      </c>
      <c r="AN48">
        <f t="shared" si="9"/>
        <v>0.96551606291469028</v>
      </c>
      <c r="AO48">
        <f t="shared" si="19"/>
        <v>11.606048222313035</v>
      </c>
      <c r="AQ48">
        <v>1.0249999999999999</v>
      </c>
      <c r="AR48">
        <f t="shared" si="16"/>
        <v>1.3535727698518027</v>
      </c>
      <c r="AS48">
        <f t="shared" si="23"/>
        <v>1.2584887176778827</v>
      </c>
      <c r="AT48">
        <v>2.4999999999999858</v>
      </c>
      <c r="AV48">
        <v>266.29578900000001</v>
      </c>
      <c r="AW48">
        <v>266.29578900000001</v>
      </c>
      <c r="AX48">
        <v>36.811589830000003</v>
      </c>
    </row>
    <row r="49" spans="1:50" ht="15.75" thickBot="1">
      <c r="A49" s="1">
        <v>39783</v>
      </c>
      <c r="B49">
        <v>-66374.412999999869</v>
      </c>
      <c r="C49" s="49">
        <f t="shared" si="20"/>
        <v>-58563.264172711541</v>
      </c>
      <c r="D49" s="2">
        <f t="shared" si="10"/>
        <v>0.39451728131708774</v>
      </c>
      <c r="E49" s="2">
        <f t="shared" si="17"/>
        <v>-3.6553916155685702</v>
      </c>
      <c r="F49" s="55">
        <f t="shared" si="4"/>
        <v>-1.1492278563701461</v>
      </c>
      <c r="G49" s="49">
        <v>7.6305743693922787</v>
      </c>
      <c r="J49" s="47">
        <v>29.380400000000002</v>
      </c>
      <c r="K49">
        <f t="shared" si="11"/>
        <v>1.0642758820546259</v>
      </c>
      <c r="L49">
        <f t="shared" si="12"/>
        <v>1.0450600421148479</v>
      </c>
      <c r="M49" s="44">
        <f t="shared" si="5"/>
        <v>1.0373650533137058</v>
      </c>
      <c r="N49" s="2">
        <v>2832.1430089999994</v>
      </c>
      <c r="O49" s="48">
        <f t="shared" si="21"/>
        <v>2498.8475485420181</v>
      </c>
      <c r="R49" s="2">
        <v>2374.3972169183735</v>
      </c>
      <c r="S49" s="44">
        <f t="shared" si="22"/>
        <v>2094.9707150757336</v>
      </c>
      <c r="V49" s="2">
        <v>100.71010196005038</v>
      </c>
      <c r="W49" s="2">
        <f t="shared" si="13"/>
        <v>1.5342823908146164</v>
      </c>
      <c r="X49" s="277">
        <f t="shared" si="6"/>
        <v>1.4282452963953851</v>
      </c>
      <c r="Y49" s="55">
        <v>1.1333796696210805</v>
      </c>
      <c r="Z49" s="49">
        <f t="shared" si="7"/>
        <v>13.33796696210805</v>
      </c>
      <c r="AA49" s="2">
        <v>21681</v>
      </c>
      <c r="AB49" s="49">
        <f t="shared" si="8"/>
        <v>19129.512008318048</v>
      </c>
      <c r="AC49" s="2"/>
      <c r="AD49" s="50">
        <v>11.2</v>
      </c>
      <c r="AE49">
        <v>112.7615</v>
      </c>
      <c r="AG49">
        <v>421.89095700000007</v>
      </c>
      <c r="AH49">
        <v>50.485051943218096</v>
      </c>
      <c r="AK49">
        <v>28.13</v>
      </c>
      <c r="AL49">
        <f t="shared" si="18"/>
        <v>1.0300256316367631</v>
      </c>
      <c r="AM49">
        <f t="shared" si="15"/>
        <v>1.0075178813829457</v>
      </c>
      <c r="AN49">
        <f t="shared" si="9"/>
        <v>0.99450629255914469</v>
      </c>
      <c r="AO49">
        <f t="shared" si="19"/>
        <v>14.722675367047302</v>
      </c>
      <c r="AQ49">
        <v>0.96199999999999997</v>
      </c>
      <c r="AR49">
        <f t="shared" si="16"/>
        <v>1.3021370045974341</v>
      </c>
      <c r="AS49">
        <f t="shared" si="23"/>
        <v>1.210666146406123</v>
      </c>
      <c r="AT49">
        <v>-3.7999999999999972</v>
      </c>
      <c r="AV49">
        <v>421.89095700000001</v>
      </c>
      <c r="AW49">
        <v>421.89095700000001</v>
      </c>
      <c r="AX49">
        <v>50.485051939999998</v>
      </c>
    </row>
    <row r="50" spans="1:50" ht="15.75" thickBot="1">
      <c r="A50" s="1">
        <v>39814</v>
      </c>
      <c r="B50">
        <v>-281027.25299999997</v>
      </c>
      <c r="C50" s="49">
        <f t="shared" si="20"/>
        <v>-247712.94196330998</v>
      </c>
      <c r="D50" s="2">
        <f t="shared" si="10"/>
        <v>4.2298349564800324</v>
      </c>
      <c r="E50" s="2">
        <f t="shared" si="17"/>
        <v>-15.461703235155959</v>
      </c>
      <c r="F50" s="55">
        <f t="shared" si="4"/>
        <v>-4.8610441598350578</v>
      </c>
      <c r="G50" s="49">
        <v>8.4380877330987545</v>
      </c>
      <c r="J50" s="47">
        <v>35.4146</v>
      </c>
      <c r="K50">
        <f t="shared" si="11"/>
        <v>1.205381819171965</v>
      </c>
      <c r="L50">
        <f t="shared" si="12"/>
        <v>1.2596963747083256</v>
      </c>
      <c r="M50" s="44">
        <f t="shared" si="5"/>
        <v>1.2504209751086968</v>
      </c>
      <c r="N50" s="2">
        <v>1592.5943597999997</v>
      </c>
      <c r="O50" s="48">
        <f t="shared" si="21"/>
        <v>1403.8006279064764</v>
      </c>
      <c r="R50" s="2">
        <v>1327.7676043063184</v>
      </c>
      <c r="S50" s="44">
        <f t="shared" si="22"/>
        <v>1170.3676992006688</v>
      </c>
      <c r="V50" s="2">
        <v>102.45857402143703</v>
      </c>
      <c r="W50" s="2">
        <f t="shared" si="13"/>
        <v>1.5720038590906675</v>
      </c>
      <c r="X50" s="277">
        <f t="shared" si="6"/>
        <v>1.4633597642149585</v>
      </c>
      <c r="Y50" s="55">
        <v>1.1344875676363504</v>
      </c>
      <c r="Z50" s="49">
        <f t="shared" si="7"/>
        <v>13.448756763635039</v>
      </c>
      <c r="AA50" s="2">
        <v>17119</v>
      </c>
      <c r="AB50" s="49">
        <f t="shared" si="8"/>
        <v>15089.632084436678</v>
      </c>
      <c r="AC50" s="2"/>
      <c r="AD50" s="50">
        <v>11.5</v>
      </c>
      <c r="AE50">
        <v>94.234798999999995</v>
      </c>
      <c r="AG50">
        <v>348.81240000000003</v>
      </c>
      <c r="AH50">
        <v>42.909608378297015</v>
      </c>
      <c r="AK50">
        <v>31.47</v>
      </c>
      <c r="AL50">
        <f t="shared" si="18"/>
        <v>1.118734447209385</v>
      </c>
      <c r="AM50">
        <f t="shared" si="15"/>
        <v>1.1271449600825205</v>
      </c>
      <c r="AN50">
        <f t="shared" si="9"/>
        <v>1.1125884474524097</v>
      </c>
      <c r="AO50">
        <f t="shared" si="19"/>
        <v>28.448979591836718</v>
      </c>
      <c r="AQ50">
        <v>0.92200000000000004</v>
      </c>
      <c r="AR50">
        <f t="shared" si="16"/>
        <v>1.2005703182388343</v>
      </c>
      <c r="AS50">
        <f t="shared" si="23"/>
        <v>1.1162341869864454</v>
      </c>
      <c r="AT50">
        <v>-7.7999999999999972</v>
      </c>
      <c r="AV50">
        <v>348.81240000000003</v>
      </c>
      <c r="AW50">
        <v>348.81240000000003</v>
      </c>
      <c r="AX50">
        <v>42.909608380000002</v>
      </c>
    </row>
    <row r="51" spans="1:50" ht="15.75" thickBot="1">
      <c r="A51" s="1">
        <v>39845</v>
      </c>
      <c r="B51">
        <v>69583.854000000007</v>
      </c>
      <c r="C51" s="49">
        <f t="shared" si="20"/>
        <v>61033.503111838712</v>
      </c>
      <c r="D51" s="2">
        <f t="shared" si="10"/>
        <v>-0.2463880273194555</v>
      </c>
      <c r="E51" s="2">
        <f t="shared" si="17"/>
        <v>3.8095785591089197</v>
      </c>
      <c r="F51" s="55">
        <f t="shared" si="4"/>
        <v>1.1977030812545197</v>
      </c>
      <c r="G51" s="49">
        <v>9.2498083075747921</v>
      </c>
      <c r="J51" s="47">
        <v>35.720500000000001</v>
      </c>
      <c r="K51">
        <f t="shared" si="11"/>
        <v>1.0086376805046506</v>
      </c>
      <c r="L51">
        <f t="shared" si="12"/>
        <v>1.2705772295259228</v>
      </c>
      <c r="M51" s="44">
        <f t="shared" si="5"/>
        <v>1.2612217119879994</v>
      </c>
      <c r="N51" s="2">
        <v>2133.7173892000001</v>
      </c>
      <c r="O51" s="48">
        <f t="shared" si="21"/>
        <v>1871.5296642454234</v>
      </c>
      <c r="R51" s="2">
        <v>1781.7340340341393</v>
      </c>
      <c r="S51" s="44">
        <f t="shared" si="22"/>
        <v>1562.797451700384</v>
      </c>
      <c r="V51" s="2">
        <v>101.65700756377348</v>
      </c>
      <c r="W51" s="2">
        <f t="shared" si="13"/>
        <v>1.5980520819386108</v>
      </c>
      <c r="X51" s="277">
        <f t="shared" si="6"/>
        <v>1.487607746193218</v>
      </c>
      <c r="Y51" s="55">
        <v>1.140092743365779</v>
      </c>
      <c r="Z51" s="49">
        <f t="shared" si="7"/>
        <v>14.009274336577903</v>
      </c>
      <c r="AA51" s="2">
        <v>17098</v>
      </c>
      <c r="AB51" s="49">
        <f t="shared" si="8"/>
        <v>14997.025548573642</v>
      </c>
      <c r="AC51" s="2"/>
      <c r="AD51" s="50">
        <v>11.6</v>
      </c>
      <c r="AE51">
        <v>98.686047000000002</v>
      </c>
      <c r="AG51">
        <v>155.38206500000001</v>
      </c>
      <c r="AH51">
        <v>107.74445131970691</v>
      </c>
      <c r="AK51">
        <v>35.76</v>
      </c>
      <c r="AL51">
        <f t="shared" si="18"/>
        <v>1.1363203050524309</v>
      </c>
      <c r="AM51">
        <f t="shared" si="15"/>
        <v>1.2807977048792798</v>
      </c>
      <c r="AN51">
        <f t="shared" si="9"/>
        <v>1.2642568440069326</v>
      </c>
      <c r="AO51">
        <f t="shared" si="19"/>
        <v>45.780676722380747</v>
      </c>
      <c r="AQ51">
        <v>0.94399999999999995</v>
      </c>
      <c r="AR51">
        <f t="shared" si="16"/>
        <v>1.1333383804174595</v>
      </c>
      <c r="AS51">
        <f t="shared" si="23"/>
        <v>1.0537250725152045</v>
      </c>
      <c r="AT51">
        <v>-5.6000000000000085</v>
      </c>
      <c r="AV51">
        <v>155.38206500000001</v>
      </c>
      <c r="AW51">
        <v>155.38206500000001</v>
      </c>
      <c r="AX51">
        <v>107.74445129999999</v>
      </c>
    </row>
    <row r="52" spans="1:50" ht="15.75" thickBot="1">
      <c r="A52" s="1">
        <v>39873</v>
      </c>
      <c r="B52">
        <v>54497.97899999997</v>
      </c>
      <c r="C52" s="49">
        <f t="shared" si="20"/>
        <v>47754.168000433085</v>
      </c>
      <c r="D52" s="2">
        <f t="shared" si="10"/>
        <v>0.78242548052546856</v>
      </c>
      <c r="E52" s="2">
        <f t="shared" si="17"/>
        <v>2.9807113347103185</v>
      </c>
      <c r="F52" s="55">
        <f t="shared" si="4"/>
        <v>0.93711340887740191</v>
      </c>
      <c r="G52" s="49">
        <v>8.9730329255616592</v>
      </c>
      <c r="J52" s="47">
        <v>34.013399999999997</v>
      </c>
      <c r="K52">
        <f t="shared" si="11"/>
        <v>0.95220951554429523</v>
      </c>
      <c r="L52">
        <f t="shared" si="12"/>
        <v>1.2098557281884916</v>
      </c>
      <c r="M52" s="44">
        <f t="shared" si="5"/>
        <v>1.2009473153660395</v>
      </c>
      <c r="N52" s="2">
        <v>2244.8826751999995</v>
      </c>
      <c r="O52" s="48">
        <f t="shared" si="21"/>
        <v>1967.0913743932135</v>
      </c>
      <c r="R52" s="2">
        <v>1842.0145858595417</v>
      </c>
      <c r="S52" s="44">
        <f t="shared" si="22"/>
        <v>1614.0758906377937</v>
      </c>
      <c r="V52" s="2">
        <v>101.30615232853611</v>
      </c>
      <c r="W52" s="2">
        <f t="shared" si="13"/>
        <v>1.618925076418072</v>
      </c>
      <c r="X52" s="277">
        <f t="shared" si="6"/>
        <v>1.5070381694096047</v>
      </c>
      <c r="Y52" s="55">
        <v>1.1412193172228595</v>
      </c>
      <c r="Z52" s="49">
        <f t="shared" si="7"/>
        <v>14.121931722285952</v>
      </c>
      <c r="AA52" s="2">
        <v>18129</v>
      </c>
      <c r="AB52" s="49">
        <f t="shared" si="8"/>
        <v>15885.640670819221</v>
      </c>
      <c r="AC52" s="2"/>
      <c r="AD52" s="50">
        <v>12.1</v>
      </c>
      <c r="AE52">
        <v>115.78059500000001</v>
      </c>
      <c r="AG52">
        <v>97.639336</v>
      </c>
      <c r="AH52">
        <v>111.46794030199604</v>
      </c>
      <c r="AK52">
        <v>34.67</v>
      </c>
      <c r="AL52">
        <f t="shared" si="18"/>
        <v>0.96951901565995535</v>
      </c>
      <c r="AM52">
        <f t="shared" si="15"/>
        <v>1.2417577300940894</v>
      </c>
      <c r="AN52">
        <f t="shared" si="9"/>
        <v>1.225721050942963</v>
      </c>
      <c r="AO52">
        <f t="shared" si="19"/>
        <v>45.917508417508401</v>
      </c>
      <c r="AQ52">
        <v>1.034</v>
      </c>
      <c r="AR52">
        <f t="shared" si="16"/>
        <v>1.1718718853516532</v>
      </c>
      <c r="AS52">
        <f t="shared" si="23"/>
        <v>1.0895517249807214</v>
      </c>
      <c r="AT52">
        <v>3.4000000000000057</v>
      </c>
      <c r="AV52">
        <v>97.639336</v>
      </c>
      <c r="AW52">
        <v>97.639336</v>
      </c>
      <c r="AX52">
        <v>111.4679403</v>
      </c>
    </row>
    <row r="53" spans="1:50" ht="15.75" thickBot="1">
      <c r="A53" s="1">
        <v>39904</v>
      </c>
      <c r="B53">
        <v>160083.5</v>
      </c>
      <c r="C53" s="49">
        <f t="shared" si="20"/>
        <v>141249.18190810218</v>
      </c>
      <c r="D53" s="2">
        <f t="shared" si="10"/>
        <v>2.957839866602245</v>
      </c>
      <c r="E53" s="2">
        <f t="shared" si="17"/>
        <v>8.8164668166393678</v>
      </c>
      <c r="F53" s="55">
        <f t="shared" si="4"/>
        <v>2.7718314003051097</v>
      </c>
      <c r="G53" s="49">
        <v>8.6986420692506066</v>
      </c>
      <c r="J53" s="47">
        <v>33.249099999999999</v>
      </c>
      <c r="K53">
        <f t="shared" si="11"/>
        <v>0.9775294442778435</v>
      </c>
      <c r="L53">
        <f t="shared" si="12"/>
        <v>1.1826695976324619</v>
      </c>
      <c r="M53" s="44">
        <f t="shared" si="5"/>
        <v>1.1739613617967326</v>
      </c>
      <c r="N53" s="2">
        <v>2409.7526585999999</v>
      </c>
      <c r="O53" s="48">
        <f t="shared" si="21"/>
        <v>2126.237817314865</v>
      </c>
      <c r="R53" s="2">
        <v>2019.2037017517055</v>
      </c>
      <c r="S53" s="44">
        <f t="shared" si="22"/>
        <v>1781.6381512038402</v>
      </c>
      <c r="V53" s="2">
        <v>100.67976891684215</v>
      </c>
      <c r="W53" s="2">
        <f t="shared" si="13"/>
        <v>1.6299300258745253</v>
      </c>
      <c r="X53" s="277">
        <f t="shared" si="6"/>
        <v>1.5172825464501982</v>
      </c>
      <c r="Y53" s="55">
        <v>1.1333410773603743</v>
      </c>
      <c r="Z53" s="49">
        <f t="shared" si="7"/>
        <v>13.334107736037426</v>
      </c>
      <c r="AA53" s="2">
        <v>18009</v>
      </c>
      <c r="AB53" s="49">
        <f t="shared" si="8"/>
        <v>15890.185540564842</v>
      </c>
      <c r="AC53" s="2"/>
      <c r="AD53" s="50">
        <v>12.5</v>
      </c>
      <c r="AE53">
        <v>111.97513600000001</v>
      </c>
      <c r="AG53">
        <v>83.330199999999991</v>
      </c>
      <c r="AH53">
        <v>114.03150997329392</v>
      </c>
      <c r="AK53">
        <v>33.56</v>
      </c>
      <c r="AL53">
        <f t="shared" si="18"/>
        <v>0.96798384770695123</v>
      </c>
      <c r="AM53">
        <f t="shared" si="15"/>
        <v>1.2020014254963265</v>
      </c>
      <c r="AN53">
        <f t="shared" si="9"/>
        <v>1.1864781791071775</v>
      </c>
      <c r="AO53">
        <f t="shared" si="19"/>
        <v>42.74776690769886</v>
      </c>
      <c r="AQ53">
        <v>1.024</v>
      </c>
      <c r="AR53">
        <f t="shared" si="16"/>
        <v>1.1999968106000929</v>
      </c>
      <c r="AS53">
        <f t="shared" si="23"/>
        <v>1.1157009663802588</v>
      </c>
      <c r="AT53">
        <v>2.4000000000000057</v>
      </c>
      <c r="AV53">
        <v>83.330200000000005</v>
      </c>
      <c r="AW53">
        <v>83.330200000000005</v>
      </c>
      <c r="AX53">
        <v>114.03151</v>
      </c>
    </row>
    <row r="54" spans="1:50" ht="15.75" thickBot="1">
      <c r="A54" s="1">
        <v>39934</v>
      </c>
      <c r="B54">
        <v>136654.70100000003</v>
      </c>
      <c r="C54" s="49">
        <f t="shared" si="20"/>
        <v>121535.71511321531</v>
      </c>
      <c r="D54" s="2">
        <f t="shared" si="10"/>
        <v>0.86043482497680868</v>
      </c>
      <c r="E54" s="2">
        <f t="shared" si="17"/>
        <v>7.5859950822889362</v>
      </c>
      <c r="F54" s="55">
        <f t="shared" si="4"/>
        <v>2.3849802657867496</v>
      </c>
      <c r="G54" s="49">
        <v>8.4266051662598933</v>
      </c>
      <c r="J54" s="47">
        <v>30.984300000000001</v>
      </c>
      <c r="K54">
        <f t="shared" si="11"/>
        <v>0.93188387054085686</v>
      </c>
      <c r="L54">
        <f t="shared" si="12"/>
        <v>1.1021107222127364</v>
      </c>
      <c r="M54" s="44">
        <f t="shared" si="5"/>
        <v>1.0939956576965544</v>
      </c>
      <c r="N54" s="2">
        <v>2346.8112111</v>
      </c>
      <c r="O54" s="48">
        <f t="shared" si="21"/>
        <v>2087.1684375991526</v>
      </c>
      <c r="R54" s="2">
        <v>1992.4638094633385</v>
      </c>
      <c r="S54" s="44">
        <f t="shared" si="22"/>
        <v>1772.0247613020497</v>
      </c>
      <c r="V54" s="2">
        <v>100.56478118411388</v>
      </c>
      <c r="W54" s="2">
        <f t="shared" si="13"/>
        <v>1.6391355639748872</v>
      </c>
      <c r="X54" s="277">
        <f t="shared" si="6"/>
        <v>1.5258518727823929</v>
      </c>
      <c r="Y54" s="55">
        <v>1.1243995303989514</v>
      </c>
      <c r="Z54" s="49">
        <f t="shared" si="7"/>
        <v>12.439953039895135</v>
      </c>
      <c r="AA54" s="2">
        <v>18007</v>
      </c>
      <c r="AB54" s="49">
        <f t="shared" si="8"/>
        <v>16014.770117887621</v>
      </c>
      <c r="AC54" s="2"/>
      <c r="AD54" s="50">
        <v>12.6</v>
      </c>
      <c r="AE54">
        <v>110.7565</v>
      </c>
      <c r="AG54">
        <v>71.512027000000003</v>
      </c>
      <c r="AH54">
        <v>98.951495386661662</v>
      </c>
      <c r="AK54">
        <v>32.06</v>
      </c>
      <c r="AL54">
        <f t="shared" si="18"/>
        <v>0.95530393325387364</v>
      </c>
      <c r="AM54">
        <f t="shared" si="15"/>
        <v>1.1482766895534036</v>
      </c>
      <c r="AN54">
        <f t="shared" si="9"/>
        <v>1.1334472712209804</v>
      </c>
      <c r="AO54">
        <f t="shared" si="19"/>
        <v>35.103244837758126</v>
      </c>
      <c r="AQ54">
        <v>1.0229999999999999</v>
      </c>
      <c r="AR54">
        <f t="shared" si="16"/>
        <v>1.227596737243895</v>
      </c>
      <c r="AS54">
        <f t="shared" si="23"/>
        <v>1.1413620886070046</v>
      </c>
      <c r="AT54">
        <v>2.2999999999999972</v>
      </c>
      <c r="AV54">
        <v>71.512027000000003</v>
      </c>
      <c r="AW54">
        <v>71.512027000000003</v>
      </c>
      <c r="AX54">
        <v>98.951495390000005</v>
      </c>
    </row>
    <row r="55" spans="1:50" ht="15.75" thickBot="1">
      <c r="A55" s="1">
        <v>39965</v>
      </c>
      <c r="B55">
        <v>154385.55700000009</v>
      </c>
      <c r="C55" s="49">
        <f t="shared" si="20"/>
        <v>137850.83672043422</v>
      </c>
      <c r="D55" s="2">
        <f t="shared" si="10"/>
        <v>1.1342413758130334</v>
      </c>
      <c r="E55" s="2">
        <f t="shared" si="17"/>
        <v>8.6043494990463092</v>
      </c>
      <c r="F55" s="55">
        <f t="shared" si="4"/>
        <v>2.7051432979528971</v>
      </c>
      <c r="G55" s="49">
        <v>8.2146144508936469</v>
      </c>
      <c r="J55" s="47">
        <v>31.290400000000002</v>
      </c>
      <c r="K55">
        <f t="shared" si="11"/>
        <v>1.009879196883583</v>
      </c>
      <c r="L55">
        <f t="shared" si="12"/>
        <v>1.1129986910249838</v>
      </c>
      <c r="M55" s="44">
        <f t="shared" si="5"/>
        <v>1.1048034561887234</v>
      </c>
      <c r="N55" s="2">
        <v>2446.9507565999997</v>
      </c>
      <c r="O55" s="48">
        <f t="shared" si="21"/>
        <v>2184.8819006496146</v>
      </c>
      <c r="R55" s="2">
        <v>2048.5895650849552</v>
      </c>
      <c r="S55" s="44">
        <f t="shared" si="22"/>
        <v>1829.1852627361468</v>
      </c>
      <c r="V55" s="2">
        <v>100.57625739861389</v>
      </c>
      <c r="W55" s="2">
        <f t="shared" si="13"/>
        <v>1.648581203935604</v>
      </c>
      <c r="X55" s="277">
        <f t="shared" si="6"/>
        <v>1.5346447070911902</v>
      </c>
      <c r="Y55" s="55">
        <v>1.1199464629518265</v>
      </c>
      <c r="Z55" s="49">
        <f t="shared" si="7"/>
        <v>11.994646295182655</v>
      </c>
      <c r="AA55" s="2">
        <v>19247</v>
      </c>
      <c r="AB55" s="49">
        <f t="shared" si="8"/>
        <v>17185.642918386442</v>
      </c>
      <c r="AC55" s="2"/>
      <c r="AD55" s="50">
        <v>12.5</v>
      </c>
      <c r="AE55">
        <v>124.634739</v>
      </c>
      <c r="AG55">
        <v>92.708199999999991</v>
      </c>
      <c r="AH55">
        <v>88.886994640044435</v>
      </c>
      <c r="AK55">
        <v>31.03</v>
      </c>
      <c r="AL55">
        <f t="shared" si="18"/>
        <v>0.96787273861509671</v>
      </c>
      <c r="AM55">
        <f t="shared" si="15"/>
        <v>1.1113857042059299</v>
      </c>
      <c r="AN55">
        <f t="shared" si="9"/>
        <v>1.0970327144724585</v>
      </c>
      <c r="AO55">
        <f t="shared" si="19"/>
        <v>31.260575296108271</v>
      </c>
      <c r="AQ55">
        <v>1.0149999999999999</v>
      </c>
      <c r="AR55">
        <f t="shared" si="16"/>
        <v>1.2460106883025532</v>
      </c>
      <c r="AS55">
        <f t="shared" si="23"/>
        <v>1.1584825199361095</v>
      </c>
      <c r="AT55">
        <v>1.4999999999999858</v>
      </c>
      <c r="AV55">
        <v>92.708200000000005</v>
      </c>
      <c r="AW55">
        <v>92.708200000000005</v>
      </c>
      <c r="AX55">
        <v>88.886994639999998</v>
      </c>
    </row>
    <row r="56" spans="1:50" ht="15.75" thickBot="1">
      <c r="A56" s="1">
        <v>39995</v>
      </c>
      <c r="B56">
        <v>66619.5</v>
      </c>
      <c r="C56" s="49">
        <f t="shared" si="20"/>
        <v>59425.4100839682</v>
      </c>
      <c r="D56" s="2">
        <f t="shared" si="10"/>
        <v>0.43108487041311744</v>
      </c>
      <c r="E56" s="2">
        <f t="shared" si="17"/>
        <v>3.7092048887855502</v>
      </c>
      <c r="F56" s="55">
        <f t="shared" si="4"/>
        <v>1.1661463480469378</v>
      </c>
      <c r="G56" s="49">
        <v>8.0034022258422635</v>
      </c>
      <c r="J56" s="47">
        <v>31.755500000000001</v>
      </c>
      <c r="K56">
        <f t="shared" si="11"/>
        <v>1.0148639838416895</v>
      </c>
      <c r="L56">
        <f t="shared" si="12"/>
        <v>1.1295422855842008</v>
      </c>
      <c r="M56" s="44">
        <f t="shared" si="5"/>
        <v>1.1212252369097555</v>
      </c>
      <c r="N56" s="2">
        <v>2432.2241984000002</v>
      </c>
      <c r="O56" s="48">
        <f t="shared" si="21"/>
        <v>2169.5737795400873</v>
      </c>
      <c r="R56" s="2">
        <v>2026.5137362608732</v>
      </c>
      <c r="S56" s="44">
        <f t="shared" si="22"/>
        <v>1807.675077388707</v>
      </c>
      <c r="V56" s="2">
        <v>100.61977893119384</v>
      </c>
      <c r="W56" s="2">
        <f t="shared" si="13"/>
        <v>1.6587987629012184</v>
      </c>
      <c r="X56" s="277">
        <f t="shared" si="6"/>
        <v>1.5441561116544225</v>
      </c>
      <c r="Y56" s="55">
        <v>1.1210608375418283</v>
      </c>
      <c r="Z56" s="49">
        <f t="shared" si="7"/>
        <v>12.106083754182828</v>
      </c>
      <c r="AA56" s="2">
        <v>18872</v>
      </c>
      <c r="AB56" s="49">
        <f t="shared" si="8"/>
        <v>16834.055180610001</v>
      </c>
      <c r="AC56" s="2"/>
      <c r="AD56" s="50">
        <v>12.6</v>
      </c>
      <c r="AE56">
        <v>130.62909999999999</v>
      </c>
      <c r="AG56">
        <v>144.13283100000001</v>
      </c>
      <c r="AH56">
        <v>79.409015898525183</v>
      </c>
      <c r="AK56">
        <v>31.52</v>
      </c>
      <c r="AL56">
        <f t="shared" si="18"/>
        <v>1.0157911698356428</v>
      </c>
      <c r="AM56">
        <f t="shared" si="15"/>
        <v>1.1289357846139512</v>
      </c>
      <c r="AN56">
        <f t="shared" si="9"/>
        <v>1.1143561443819494</v>
      </c>
      <c r="AO56">
        <f t="shared" si="19"/>
        <v>35.018205183122717</v>
      </c>
      <c r="AQ56">
        <v>0.98499999999999999</v>
      </c>
      <c r="AR56">
        <f t="shared" si="16"/>
        <v>1.2273205279780148</v>
      </c>
      <c r="AS56">
        <f t="shared" si="23"/>
        <v>1.141105282137068</v>
      </c>
      <c r="AT56">
        <v>-1.5</v>
      </c>
      <c r="AV56">
        <v>144.13283100000001</v>
      </c>
      <c r="AW56">
        <v>144.13283100000001</v>
      </c>
      <c r="AX56">
        <v>79.4090159</v>
      </c>
    </row>
    <row r="57" spans="1:50" ht="15.75" thickBot="1">
      <c r="A57" s="1">
        <v>40026</v>
      </c>
      <c r="B57">
        <v>17664.612000000136</v>
      </c>
      <c r="C57" s="49">
        <f t="shared" si="20"/>
        <v>15820.078495372838</v>
      </c>
      <c r="D57" s="2">
        <f t="shared" si="10"/>
        <v>0.26621740553441769</v>
      </c>
      <c r="E57" s="2">
        <f t="shared" si="17"/>
        <v>0.98745490208806752</v>
      </c>
      <c r="F57" s="55">
        <f t="shared" si="4"/>
        <v>0.31044845525049186</v>
      </c>
      <c r="G57" s="49">
        <v>7.7929628005787146</v>
      </c>
      <c r="J57" s="47">
        <v>31.5687</v>
      </c>
      <c r="K57">
        <f t="shared" si="11"/>
        <v>0.99411755443938843</v>
      </c>
      <c r="L57">
        <f t="shared" si="12"/>
        <v>1.122897814580843</v>
      </c>
      <c r="M57" s="44">
        <f t="shared" si="5"/>
        <v>1.1146296904924502</v>
      </c>
      <c r="N57" s="2">
        <v>2297.7052976999998</v>
      </c>
      <c r="O57" s="48">
        <f t="shared" si="21"/>
        <v>2057.7795973581378</v>
      </c>
      <c r="R57" s="2">
        <v>1956.1125454078265</v>
      </c>
      <c r="S57" s="44">
        <f t="shared" si="22"/>
        <v>1751.8558581493407</v>
      </c>
      <c r="V57" s="2">
        <v>99.96653082979698</v>
      </c>
      <c r="W57" s="2">
        <f t="shared" si="13"/>
        <v>1.6582435767199375</v>
      </c>
      <c r="X57" s="277">
        <f t="shared" si="6"/>
        <v>1.5436392954172127</v>
      </c>
      <c r="Y57" s="55">
        <v>1.116594459703016</v>
      </c>
      <c r="Z57" s="49">
        <f t="shared" si="7"/>
        <v>11.659445970301597</v>
      </c>
      <c r="AA57" s="2">
        <v>18335</v>
      </c>
      <c r="AB57" s="49">
        <f t="shared" si="8"/>
        <v>16420.464780809154</v>
      </c>
      <c r="AC57" s="2"/>
      <c r="AD57" s="50">
        <v>12.6</v>
      </c>
      <c r="AE57">
        <v>129.49442499999998</v>
      </c>
      <c r="AG57">
        <v>143.60400000000001</v>
      </c>
      <c r="AH57">
        <v>66.376607179391314</v>
      </c>
      <c r="AK57">
        <v>31.64</v>
      </c>
      <c r="AL57">
        <f t="shared" si="18"/>
        <v>1.0038071065989849</v>
      </c>
      <c r="AM57">
        <f t="shared" si="15"/>
        <v>1.1332337634893852</v>
      </c>
      <c r="AN57">
        <f t="shared" si="9"/>
        <v>1.1185986170128452</v>
      </c>
      <c r="AO57">
        <f t="shared" si="19"/>
        <v>31.150259067357524</v>
      </c>
      <c r="AQ57">
        <v>0.98699999999999999</v>
      </c>
      <c r="AR57">
        <f t="shared" si="16"/>
        <v>1.2113653611143007</v>
      </c>
      <c r="AS57">
        <f t="shared" si="23"/>
        <v>1.1262709134692861</v>
      </c>
      <c r="AT57">
        <v>-1.2999999999999972</v>
      </c>
      <c r="AV57">
        <v>143.60400000000001</v>
      </c>
      <c r="AW57">
        <v>143.60400000000001</v>
      </c>
      <c r="AX57">
        <v>66.376607179999894</v>
      </c>
    </row>
    <row r="58" spans="1:50" ht="15.75" thickBot="1">
      <c r="A58" s="1">
        <v>40057</v>
      </c>
      <c r="B58">
        <v>83352.053</v>
      </c>
      <c r="C58" s="49">
        <f t="shared" si="20"/>
        <v>75245.644194174791</v>
      </c>
      <c r="D58" s="2">
        <f t="shared" si="10"/>
        <v>4.7563382328465149</v>
      </c>
      <c r="E58" s="2">
        <f t="shared" si="17"/>
        <v>4.6966695040131876</v>
      </c>
      <c r="F58" s="55">
        <f t="shared" si="4"/>
        <v>1.4765978570360547</v>
      </c>
      <c r="G58" s="49">
        <v>7.4791388070112266</v>
      </c>
      <c r="J58" s="47">
        <v>30.092199999999998</v>
      </c>
      <c r="K58">
        <f t="shared" si="11"/>
        <v>0.9532289894737509</v>
      </c>
      <c r="L58">
        <f t="shared" si="12"/>
        <v>1.0703787490751804</v>
      </c>
      <c r="M58" s="44">
        <f t="shared" si="5"/>
        <v>1.0624973335055581</v>
      </c>
      <c r="N58" s="2">
        <v>2372.8528335999999</v>
      </c>
      <c r="O58" s="48">
        <f t="shared" si="21"/>
        <v>2142.0808920232002</v>
      </c>
      <c r="R58" s="2">
        <v>2010.6251980312998</v>
      </c>
      <c r="S58" s="44">
        <f t="shared" si="22"/>
        <v>1815.0817264081716</v>
      </c>
      <c r="V58" s="2">
        <v>99.934200553391932</v>
      </c>
      <c r="W58" s="2">
        <f t="shared" si="13"/>
        <v>1.657152461623042</v>
      </c>
      <c r="X58" s="277">
        <f t="shared" si="6"/>
        <v>1.5426235893032034</v>
      </c>
      <c r="Y58" s="55">
        <v>1.1077325989117224</v>
      </c>
      <c r="Z58" s="49">
        <f t="shared" si="7"/>
        <v>10.773259891172238</v>
      </c>
      <c r="AA58" s="2">
        <v>18838</v>
      </c>
      <c r="AB58" s="49">
        <f t="shared" si="8"/>
        <v>17005.909204538308</v>
      </c>
      <c r="AC58" s="2"/>
      <c r="AD58" s="50">
        <v>12.6</v>
      </c>
      <c r="AE58">
        <v>126.05860000000001</v>
      </c>
      <c r="AG58">
        <v>132.47052400000001</v>
      </c>
      <c r="AH58">
        <v>68.679376922083506</v>
      </c>
      <c r="AK58">
        <v>30.81</v>
      </c>
      <c r="AL58">
        <f t="shared" si="18"/>
        <v>0.97376738305941835</v>
      </c>
      <c r="AM58">
        <f t="shared" si="15"/>
        <v>1.1035060762676345</v>
      </c>
      <c r="AN58">
        <f t="shared" si="9"/>
        <v>1.0892548479824831</v>
      </c>
      <c r="AO58">
        <f t="shared" si="19"/>
        <v>21.899109792284861</v>
      </c>
      <c r="AQ58">
        <v>1.0109999999999999</v>
      </c>
      <c r="AR58">
        <f t="shared" si="16"/>
        <v>1.2246903800865578</v>
      </c>
      <c r="AS58">
        <f t="shared" si="23"/>
        <v>1.1386598935174481</v>
      </c>
      <c r="AT58">
        <v>1.0999999999999943</v>
      </c>
      <c r="AV58">
        <v>132.47052400000001</v>
      </c>
      <c r="AW58">
        <v>132.47052400000001</v>
      </c>
      <c r="AX58">
        <v>68.679376919999996</v>
      </c>
    </row>
    <row r="59" spans="1:50" ht="15.75" thickBot="1">
      <c r="A59" s="1">
        <v>40087</v>
      </c>
      <c r="B59">
        <v>163133.9580000001</v>
      </c>
      <c r="C59" s="49">
        <f t="shared" si="20"/>
        <v>148593.77053966941</v>
      </c>
      <c r="D59" s="2">
        <f t="shared" si="10"/>
        <v>1.9747823562546218</v>
      </c>
      <c r="E59" s="2">
        <f t="shared" si="17"/>
        <v>9.2749000696843886</v>
      </c>
      <c r="F59" s="55">
        <f t="shared" si="4"/>
        <v>2.9159593953581853</v>
      </c>
      <c r="G59" s="49">
        <v>7.6261579541880122</v>
      </c>
      <c r="J59" s="47">
        <v>29.0488</v>
      </c>
      <c r="K59">
        <f t="shared" si="11"/>
        <v>0.96532656302962239</v>
      </c>
      <c r="L59">
        <f t="shared" si="12"/>
        <v>1.0332650389846905</v>
      </c>
      <c r="M59" s="44">
        <f t="shared" si="5"/>
        <v>1.0256568991810586</v>
      </c>
      <c r="N59" s="2">
        <v>2507.0382852000002</v>
      </c>
      <c r="O59" s="48">
        <f t="shared" si="21"/>
        <v>2283.5850748203811</v>
      </c>
      <c r="R59" s="2">
        <v>2138.8089917375773</v>
      </c>
      <c r="S59" s="44">
        <f t="shared" si="22"/>
        <v>1948.1761887150135</v>
      </c>
      <c r="V59" s="2">
        <v>99.970347603973934</v>
      </c>
      <c r="W59" s="2">
        <f t="shared" si="13"/>
        <v>1.6566610762123657</v>
      </c>
      <c r="X59" s="277">
        <f t="shared" si="6"/>
        <v>1.5421661644473117</v>
      </c>
      <c r="Y59" s="55">
        <v>1.0978519315279704</v>
      </c>
      <c r="Z59" s="49">
        <f t="shared" si="7"/>
        <v>9.7851931527970457</v>
      </c>
      <c r="AA59" s="2">
        <v>18798</v>
      </c>
      <c r="AB59" s="49">
        <f t="shared" si="8"/>
        <v>17122.527601547583</v>
      </c>
      <c r="AC59" s="2"/>
      <c r="AD59" s="50">
        <v>12.4</v>
      </c>
      <c r="AE59">
        <v>129.087333</v>
      </c>
      <c r="AG59">
        <v>93.765867999999998</v>
      </c>
      <c r="AH59">
        <v>101.79049346242317</v>
      </c>
      <c r="AK59">
        <v>29.4772</v>
      </c>
      <c r="AL59">
        <f t="shared" si="18"/>
        <v>0.95674131775397597</v>
      </c>
      <c r="AM59">
        <f t="shared" si="15"/>
        <v>1.0557698575578163</v>
      </c>
      <c r="AN59">
        <f t="shared" si="9"/>
        <v>1.0421351186286676</v>
      </c>
      <c r="AO59">
        <f t="shared" si="19"/>
        <v>11.867931688804561</v>
      </c>
      <c r="AQ59">
        <v>1.0269999999999999</v>
      </c>
      <c r="AR59">
        <f t="shared" si="16"/>
        <v>1.2577570203488948</v>
      </c>
      <c r="AS59">
        <f t="shared" si="23"/>
        <v>1.1694037106424191</v>
      </c>
      <c r="AT59">
        <v>2.6999999999999886</v>
      </c>
      <c r="AV59">
        <v>93.765867999999998</v>
      </c>
      <c r="AW59">
        <v>93.765867999999998</v>
      </c>
      <c r="AX59">
        <v>101.7904935</v>
      </c>
    </row>
    <row r="60" spans="1:50" ht="15.75" thickBot="1">
      <c r="A60" s="1">
        <v>40118</v>
      </c>
      <c r="B60">
        <v>170459.2</v>
      </c>
      <c r="C60" s="49">
        <f t="shared" si="20"/>
        <v>156040.11965556792</v>
      </c>
      <c r="D60" s="2">
        <f t="shared" si="10"/>
        <v>1.0501121217185252</v>
      </c>
      <c r="E60" s="2">
        <f t="shared" si="17"/>
        <v>9.7396849909035712</v>
      </c>
      <c r="F60" s="55">
        <f t="shared" si="4"/>
        <v>3.062084307504652</v>
      </c>
      <c r="G60" s="49">
        <v>8.0608482657401801</v>
      </c>
      <c r="J60" s="47">
        <v>29.177099999999999</v>
      </c>
      <c r="K60">
        <f t="shared" si="11"/>
        <v>1.0044167056814739</v>
      </c>
      <c r="L60">
        <f t="shared" si="12"/>
        <v>1.0378286665528424</v>
      </c>
      <c r="M60" s="44">
        <f t="shared" si="5"/>
        <v>1.0301869238349146</v>
      </c>
      <c r="N60" s="2">
        <v>2462.3968519999999</v>
      </c>
      <c r="O60" s="48">
        <f t="shared" si="21"/>
        <v>2254.1036179072394</v>
      </c>
      <c r="R60" s="2">
        <v>2102.6301463038803</v>
      </c>
      <c r="S60" s="44">
        <f t="shared" si="22"/>
        <v>1924.7694440702628</v>
      </c>
      <c r="V60" s="2">
        <v>100.28323948673687</v>
      </c>
      <c r="W60" s="2">
        <f t="shared" si="13"/>
        <v>1.6613533945415992</v>
      </c>
      <c r="X60" s="277">
        <f t="shared" si="6"/>
        <v>1.5465341879761221</v>
      </c>
      <c r="Y60" s="55">
        <v>1.0924062374231689</v>
      </c>
      <c r="Z60" s="49">
        <f t="shared" si="7"/>
        <v>9.2406237423168882</v>
      </c>
      <c r="AA60" s="2">
        <v>19215</v>
      </c>
      <c r="AB60" s="49">
        <f t="shared" si="8"/>
        <v>17589.610294907739</v>
      </c>
      <c r="AC60" s="2"/>
      <c r="AD60" s="50">
        <v>12</v>
      </c>
      <c r="AE60">
        <v>120.973117</v>
      </c>
      <c r="AG60">
        <v>83.976244000000008</v>
      </c>
      <c r="AH60">
        <v>81.528705696119459</v>
      </c>
      <c r="AK60">
        <v>28.9848</v>
      </c>
      <c r="AL60">
        <f t="shared" si="18"/>
        <v>0.98329556402914797</v>
      </c>
      <c r="AM60">
        <f t="shared" si="15"/>
        <v>1.0381338175722861</v>
      </c>
      <c r="AN60">
        <f t="shared" si="9"/>
        <v>1.0247268392665587</v>
      </c>
      <c r="AO60">
        <f t="shared" si="19"/>
        <v>6.1325521786891386</v>
      </c>
      <c r="AQ60">
        <v>1.008</v>
      </c>
      <c r="AR60">
        <f t="shared" si="16"/>
        <v>1.2678190765116859</v>
      </c>
      <c r="AS60">
        <f t="shared" si="23"/>
        <v>1.1787589403275582</v>
      </c>
      <c r="AT60">
        <v>0.79999999999999716</v>
      </c>
      <c r="AV60">
        <v>83.976243999999994</v>
      </c>
      <c r="AW60">
        <v>83.976243999999994</v>
      </c>
      <c r="AX60">
        <v>81.528705700000003</v>
      </c>
    </row>
    <row r="61" spans="1:50" ht="15.75" thickBot="1">
      <c r="A61" s="1">
        <v>40148</v>
      </c>
      <c r="B61">
        <v>474031.41700000002</v>
      </c>
      <c r="C61" s="49">
        <f t="shared" si="20"/>
        <v>435229.88907347003</v>
      </c>
      <c r="D61" s="2">
        <f t="shared" si="10"/>
        <v>2.7892178629070918</v>
      </c>
      <c r="E61" s="2">
        <f t="shared" si="17"/>
        <v>27.166103355716338</v>
      </c>
      <c r="F61" s="55">
        <f t="shared" si="4"/>
        <v>8.5408202482194682</v>
      </c>
      <c r="G61" s="49">
        <v>8.027108810981165</v>
      </c>
      <c r="J61" s="47">
        <v>30.244199999999999</v>
      </c>
      <c r="K61">
        <f t="shared" si="11"/>
        <v>1.0365732029571135</v>
      </c>
      <c r="L61">
        <f t="shared" si="12"/>
        <v>1.0757853850093901</v>
      </c>
      <c r="M61" s="44">
        <f t="shared" si="5"/>
        <v>1.0678641592840934</v>
      </c>
      <c r="N61" s="2">
        <v>3461.4695989999996</v>
      </c>
      <c r="O61" s="48">
        <f t="shared" si="21"/>
        <v>3178.1332957599275</v>
      </c>
      <c r="R61" s="2">
        <v>2908.7086981585421</v>
      </c>
      <c r="S61" s="44">
        <f t="shared" si="22"/>
        <v>2670.6182726420002</v>
      </c>
      <c r="V61" s="2">
        <v>100.41591733573853</v>
      </c>
      <c r="W61" s="2">
        <f t="shared" si="13"/>
        <v>1.6682632513173783</v>
      </c>
      <c r="X61" s="277">
        <f t="shared" si="6"/>
        <v>1.5529664917670378</v>
      </c>
      <c r="Y61" s="55">
        <v>1.0891517997744407</v>
      </c>
      <c r="Z61" s="49">
        <f t="shared" si="7"/>
        <v>8.9151799774440654</v>
      </c>
      <c r="AA61" s="2">
        <v>24004</v>
      </c>
      <c r="AB61" s="49">
        <f t="shared" si="8"/>
        <v>22039.168465746592</v>
      </c>
      <c r="AC61" s="2"/>
      <c r="AD61" s="50">
        <v>11.2</v>
      </c>
      <c r="AE61">
        <v>119.22295099999999</v>
      </c>
      <c r="AG61">
        <v>113.75839999999999</v>
      </c>
      <c r="AH61">
        <v>98.21780084145739</v>
      </c>
      <c r="AK61">
        <v>29.940300000000001</v>
      </c>
      <c r="AL61">
        <f t="shared" si="18"/>
        <v>1.0329655543595264</v>
      </c>
      <c r="AM61">
        <f t="shared" si="15"/>
        <v>1.0723564743679279</v>
      </c>
      <c r="AN61">
        <f t="shared" si="9"/>
        <v>1.0585075275900662</v>
      </c>
      <c r="AO61">
        <f t="shared" si="19"/>
        <v>6.4354781372200591</v>
      </c>
      <c r="AQ61">
        <v>0.98399999999999999</v>
      </c>
      <c r="AR61">
        <f t="shared" si="16"/>
        <v>1.2475339712874989</v>
      </c>
      <c r="AS61">
        <f t="shared" si="23"/>
        <v>1.1598987972823174</v>
      </c>
      <c r="AT61">
        <v>-1.5999999999999943</v>
      </c>
      <c r="AV61">
        <v>113.75839999999999</v>
      </c>
      <c r="AW61">
        <v>113.75839999999999</v>
      </c>
      <c r="AX61">
        <v>98.217800839999995</v>
      </c>
    </row>
    <row r="62" spans="1:50" ht="15.75" thickBot="1">
      <c r="A62" s="1">
        <v>40179</v>
      </c>
      <c r="B62">
        <v>25462.043000000198</v>
      </c>
      <c r="C62" s="49">
        <f t="shared" si="20"/>
        <v>23561.941992726697</v>
      </c>
      <c r="D62" s="2">
        <f t="shared" si="10"/>
        <v>5.4136773655150482E-2</v>
      </c>
      <c r="E62" s="2">
        <f t="shared" si="17"/>
        <v>1.4706851884608394</v>
      </c>
      <c r="F62" s="55">
        <f t="shared" si="4"/>
        <v>0.46237245260718352</v>
      </c>
      <c r="G62" s="49">
        <v>9.0208455047696656</v>
      </c>
      <c r="J62" s="47">
        <v>30.4312</v>
      </c>
      <c r="K62">
        <f t="shared" si="11"/>
        <v>1.0061830036833508</v>
      </c>
      <c r="L62">
        <f t="shared" si="12"/>
        <v>1.0824369700073981</v>
      </c>
      <c r="M62" s="44">
        <f t="shared" si="5"/>
        <v>1.0744667673142654</v>
      </c>
      <c r="N62" s="2">
        <v>1955.8954451999998</v>
      </c>
      <c r="O62" s="48">
        <f t="shared" si="21"/>
        <v>1809.9370511486607</v>
      </c>
      <c r="R62" s="2">
        <v>1678.2642410896513</v>
      </c>
      <c r="S62" s="44">
        <f t="shared" si="22"/>
        <v>1553.0240325578568</v>
      </c>
      <c r="V62" s="2">
        <v>101.63603199971482</v>
      </c>
      <c r="W62" s="2">
        <f t="shared" si="13"/>
        <v>1.6955565719484136</v>
      </c>
      <c r="X62" s="277">
        <f t="shared" si="6"/>
        <v>1.5783735205171951</v>
      </c>
      <c r="Y62" s="55">
        <v>1.0806428013387028</v>
      </c>
      <c r="Z62" s="49">
        <f t="shared" si="7"/>
        <v>8.0642801338702839</v>
      </c>
      <c r="AA62" s="2">
        <v>18938</v>
      </c>
      <c r="AB62" s="49">
        <f t="shared" si="8"/>
        <v>17524.754689097601</v>
      </c>
      <c r="AC62" s="2"/>
      <c r="AD62" s="50">
        <v>10.8</v>
      </c>
      <c r="AE62">
        <v>97.822600000000008</v>
      </c>
      <c r="AG62">
        <v>67.486891</v>
      </c>
      <c r="AH62">
        <v>54.560854467742757</v>
      </c>
      <c r="AK62">
        <v>29.945599999999999</v>
      </c>
      <c r="AL62">
        <f t="shared" si="18"/>
        <v>1.000177018934346</v>
      </c>
      <c r="AM62">
        <f t="shared" si="15"/>
        <v>1.0725463017682595</v>
      </c>
      <c r="AN62">
        <f t="shared" si="9"/>
        <v>1.0586949034645974</v>
      </c>
      <c r="AO62">
        <f t="shared" si="19"/>
        <v>-4.8439783921194817</v>
      </c>
      <c r="AQ62">
        <v>1.026</v>
      </c>
      <c r="AR62">
        <f t="shared" si="16"/>
        <v>1.2799698545409739</v>
      </c>
      <c r="AS62">
        <f t="shared" si="23"/>
        <v>1.1900561660116578</v>
      </c>
      <c r="AT62">
        <v>2.6000000000000085</v>
      </c>
      <c r="AV62">
        <v>67.486891</v>
      </c>
      <c r="AW62">
        <v>67.486891</v>
      </c>
      <c r="AX62">
        <v>54.560854470000002</v>
      </c>
    </row>
    <row r="63" spans="1:50" ht="15.75" thickBot="1">
      <c r="A63" s="1">
        <v>40210</v>
      </c>
      <c r="B63">
        <v>235203.72500000001</v>
      </c>
      <c r="C63" s="49">
        <f t="shared" si="20"/>
        <v>219377.36585175031</v>
      </c>
      <c r="D63" s="2">
        <f t="shared" si="10"/>
        <v>9.3106657303319729</v>
      </c>
      <c r="E63" s="2">
        <f t="shared" si="17"/>
        <v>13.693058184309157</v>
      </c>
      <c r="F63" s="55">
        <f t="shared" si="4"/>
        <v>4.3049953491392481</v>
      </c>
      <c r="G63" s="49">
        <v>8.464001673408065</v>
      </c>
      <c r="J63" s="47">
        <v>29.948399999999999</v>
      </c>
      <c r="K63">
        <f t="shared" si="11"/>
        <v>0.9841347038565682</v>
      </c>
      <c r="L63">
        <f t="shared" si="12"/>
        <v>1.0652637869216317</v>
      </c>
      <c r="M63" s="44">
        <f t="shared" si="5"/>
        <v>1.0574200338545485</v>
      </c>
      <c r="N63" s="2">
        <v>2438.2400686962924</v>
      </c>
      <c r="O63" s="48">
        <f t="shared" si="21"/>
        <v>2274.1760726144253</v>
      </c>
      <c r="R63" s="2">
        <v>2085.4142250587834</v>
      </c>
      <c r="S63" s="44">
        <f t="shared" si="22"/>
        <v>1945.0911306917656</v>
      </c>
      <c r="V63" s="2">
        <v>100.8551408455734</v>
      </c>
      <c r="W63" s="2">
        <f t="shared" si="13"/>
        <v>1.7100559687549488</v>
      </c>
      <c r="X63" s="277">
        <f t="shared" si="6"/>
        <v>1.5918708371868528</v>
      </c>
      <c r="Y63" s="55">
        <v>1.072142169666422</v>
      </c>
      <c r="Z63" s="49">
        <f t="shared" si="7"/>
        <v>7.2142169666421951</v>
      </c>
      <c r="AA63" s="2">
        <v>19017</v>
      </c>
      <c r="AB63" s="49">
        <f t="shared" si="8"/>
        <v>17737.386456795</v>
      </c>
      <c r="AC63" s="2"/>
      <c r="AD63" s="50">
        <v>9.9</v>
      </c>
      <c r="AE63">
        <v>111.827325</v>
      </c>
      <c r="AG63">
        <v>68.013449999999992</v>
      </c>
      <c r="AH63">
        <v>85.488375778296941</v>
      </c>
      <c r="AK63">
        <v>30.1889</v>
      </c>
      <c r="AL63">
        <f t="shared" si="18"/>
        <v>1.0081247328488994</v>
      </c>
      <c r="AM63">
        <f t="shared" si="15"/>
        <v>1.0812604539382016</v>
      </c>
      <c r="AN63">
        <f t="shared" si="9"/>
        <v>1.0672965167237385</v>
      </c>
      <c r="AO63">
        <f t="shared" si="19"/>
        <v>-15.579138702460853</v>
      </c>
      <c r="AQ63">
        <v>1.022</v>
      </c>
      <c r="AR63">
        <f t="shared" si="16"/>
        <v>1.3081291913408752</v>
      </c>
      <c r="AS63">
        <f t="shared" si="23"/>
        <v>1.2162374016639141</v>
      </c>
      <c r="AT63">
        <v>2.2000000000000028</v>
      </c>
      <c r="AV63">
        <v>68.013450000000006</v>
      </c>
      <c r="AW63">
        <v>68.013450000000006</v>
      </c>
      <c r="AX63">
        <v>85.488375779999998</v>
      </c>
    </row>
    <row r="64" spans="1:50" ht="15.75" thickBot="1">
      <c r="A64" s="1">
        <v>40238</v>
      </c>
      <c r="B64">
        <v>192475.75899999999</v>
      </c>
      <c r="C64" s="49">
        <f t="shared" si="20"/>
        <v>180773.6502016591</v>
      </c>
      <c r="D64" s="2">
        <f t="shared" si="10"/>
        <v>0.82403054435351997</v>
      </c>
      <c r="E64" s="2">
        <f t="shared" si="17"/>
        <v>11.283498189480696</v>
      </c>
      <c r="F64" s="55">
        <f t="shared" si="4"/>
        <v>3.5474476609905863</v>
      </c>
      <c r="G64" s="49">
        <v>8.5312718258962459</v>
      </c>
      <c r="J64" s="47">
        <v>29.363800000000001</v>
      </c>
      <c r="K64">
        <f t="shared" si="11"/>
        <v>0.9804797585179843</v>
      </c>
      <c r="L64">
        <f t="shared" si="12"/>
        <v>1.0444695805588748</v>
      </c>
      <c r="M64" s="44">
        <f t="shared" si="5"/>
        <v>1.0367789394457865</v>
      </c>
      <c r="N64" s="2">
        <v>2525.737544356311</v>
      </c>
      <c r="O64" s="48">
        <f t="shared" si="21"/>
        <v>2372.1781782643352</v>
      </c>
      <c r="R64" s="2">
        <v>2130.5443475012603</v>
      </c>
      <c r="S64" s="44">
        <f t="shared" si="22"/>
        <v>2001.0118708731256</v>
      </c>
      <c r="V64" s="2">
        <v>100.62858913645454</v>
      </c>
      <c r="W64" s="2">
        <f t="shared" si="13"/>
        <v>1.7208051948018348</v>
      </c>
      <c r="X64" s="277">
        <f t="shared" si="6"/>
        <v>1.6018771643357972</v>
      </c>
      <c r="Y64" s="55">
        <v>1.0647334873488852</v>
      </c>
      <c r="Z64" s="49">
        <f t="shared" si="7"/>
        <v>6.4733487348885177</v>
      </c>
      <c r="AA64" s="2">
        <v>20589</v>
      </c>
      <c r="AB64" s="49">
        <f t="shared" si="8"/>
        <v>19337.233443521371</v>
      </c>
      <c r="AC64" s="2"/>
      <c r="AD64" s="50">
        <v>9.1</v>
      </c>
      <c r="AE64">
        <v>136.34257199999999</v>
      </c>
      <c r="AG64">
        <v>79.885558000000003</v>
      </c>
      <c r="AH64">
        <v>98.423769753960315</v>
      </c>
      <c r="AK64">
        <v>29.5654</v>
      </c>
      <c r="AL64">
        <f t="shared" si="18"/>
        <v>0.9793467135271573</v>
      </c>
      <c r="AM64">
        <f t="shared" si="15"/>
        <v>1.05892887203126</v>
      </c>
      <c r="AN64">
        <f t="shared" si="9"/>
        <v>1.0452533360123759</v>
      </c>
      <c r="AO64">
        <f t="shared" si="19"/>
        <v>-14.723391981540232</v>
      </c>
      <c r="AQ64">
        <v>1.0249999999999999</v>
      </c>
      <c r="AR64">
        <f t="shared" si="16"/>
        <v>1.3408324211243969</v>
      </c>
      <c r="AS64">
        <f t="shared" si="23"/>
        <v>1.2466433367055116</v>
      </c>
      <c r="AT64">
        <v>2.4999999999999858</v>
      </c>
      <c r="AV64">
        <v>79.885558000000003</v>
      </c>
      <c r="AW64">
        <v>79.885558000000003</v>
      </c>
      <c r="AX64">
        <v>98.423769750000005</v>
      </c>
    </row>
    <row r="65" spans="1:50" ht="15.75" thickBot="1">
      <c r="A65" s="1">
        <v>40269</v>
      </c>
      <c r="B65">
        <v>281849.859</v>
      </c>
      <c r="C65" s="49">
        <f t="shared" si="20"/>
        <v>265769.68764129333</v>
      </c>
      <c r="D65" s="2">
        <f t="shared" si="10"/>
        <v>1.4701793505016816</v>
      </c>
      <c r="E65" s="2">
        <f t="shared" si="17"/>
        <v>16.58876603959763</v>
      </c>
      <c r="F65" s="55">
        <f t="shared" si="4"/>
        <v>5.2153842981738494</v>
      </c>
      <c r="G65" s="49">
        <v>8.0588422083454532</v>
      </c>
      <c r="J65" s="47">
        <v>29.288599999999999</v>
      </c>
      <c r="K65">
        <f t="shared" si="11"/>
        <v>0.997439023559621</v>
      </c>
      <c r="L65">
        <f t="shared" si="12"/>
        <v>1.0417947185703711</v>
      </c>
      <c r="M65" s="44">
        <f t="shared" si="5"/>
        <v>1.0341237730079849</v>
      </c>
      <c r="N65" s="2">
        <v>2729.8178809036613</v>
      </c>
      <c r="O65" s="48">
        <f t="shared" si="21"/>
        <v>2574.0756021644252</v>
      </c>
      <c r="R65" s="2">
        <v>2342.7330208086582</v>
      </c>
      <c r="S65" s="44">
        <f t="shared" si="22"/>
        <v>2209.0748080426065</v>
      </c>
      <c r="V65" s="2">
        <v>100.29415766819474</v>
      </c>
      <c r="W65" s="2">
        <f t="shared" si="13"/>
        <v>1.7258670752370378</v>
      </c>
      <c r="X65" s="277">
        <f t="shared" si="6"/>
        <v>1.6065892088497513</v>
      </c>
      <c r="Y65" s="55">
        <v>1.0605041587000317</v>
      </c>
      <c r="Z65" s="49">
        <f t="shared" si="7"/>
        <v>6.0504158700031674</v>
      </c>
      <c r="AA65" s="2">
        <v>20358</v>
      </c>
      <c r="AB65" s="49">
        <f t="shared" si="8"/>
        <v>19196.530096548497</v>
      </c>
      <c r="AC65" s="2"/>
      <c r="AD65" s="50">
        <v>8.6999999999999993</v>
      </c>
      <c r="AE65">
        <v>135.30875899999998</v>
      </c>
      <c r="AG65">
        <v>78.113690000000005</v>
      </c>
      <c r="AH65">
        <v>96.5474343589011</v>
      </c>
      <c r="AK65">
        <v>29.1983</v>
      </c>
      <c r="AL65">
        <f t="shared" si="18"/>
        <v>0.98758345904334122</v>
      </c>
      <c r="AM65">
        <f t="shared" si="15"/>
        <v>1.0457806383214954</v>
      </c>
      <c r="AN65">
        <f t="shared" si="9"/>
        <v>1.0322749051556941</v>
      </c>
      <c r="AO65">
        <f t="shared" si="19"/>
        <v>-12.996722288438619</v>
      </c>
      <c r="AQ65">
        <v>1.016</v>
      </c>
      <c r="AR65">
        <f t="shared" si="16"/>
        <v>1.3622857398623873</v>
      </c>
      <c r="AS65">
        <f t="shared" si="23"/>
        <v>1.2665896300927999</v>
      </c>
      <c r="AT65">
        <v>1.5999999999999943</v>
      </c>
      <c r="AV65">
        <v>78.113690000000005</v>
      </c>
      <c r="AW65">
        <v>78.113690000000005</v>
      </c>
      <c r="AX65">
        <v>96.547434359999997</v>
      </c>
    </row>
    <row r="66" spans="1:50" ht="15.75" thickBot="1">
      <c r="A66" s="1">
        <v>40299</v>
      </c>
      <c r="B66">
        <v>170434.636</v>
      </c>
      <c r="C66" s="49">
        <f t="shared" ref="C66:C97" si="24">B66/Y66</f>
        <v>160870.86627893528</v>
      </c>
      <c r="D66" s="2">
        <f t="shared" si="10"/>
        <v>0.60530178481475683</v>
      </c>
      <c r="E66" s="2">
        <f t="shared" si="17"/>
        <v>10.041209691642869</v>
      </c>
      <c r="F66" s="55">
        <f t="shared" si="4"/>
        <v>3.1568814241794887</v>
      </c>
      <c r="G66" s="49">
        <v>7.2161454261982714</v>
      </c>
      <c r="J66" s="47">
        <v>30.4956</v>
      </c>
      <c r="K66">
        <f t="shared" si="11"/>
        <v>1.0412105733971579</v>
      </c>
      <c r="L66">
        <f t="shared" si="12"/>
        <v>1.0847276762847868</v>
      </c>
      <c r="M66" s="44">
        <f t="shared" si="5"/>
        <v>1.0767406066572762</v>
      </c>
      <c r="N66" s="2">
        <v>2556.129579677066</v>
      </c>
      <c r="O66" s="48">
        <f t="shared" ref="O66:O97" si="25">N66/Y66</f>
        <v>2412.6949160959298</v>
      </c>
      <c r="R66" s="2">
        <v>2173.0067373522979</v>
      </c>
      <c r="S66" s="44">
        <f t="shared" ref="S66:S97" si="26">R66/Y66</f>
        <v>2051.070630196476</v>
      </c>
      <c r="V66" s="2">
        <v>100.50541490252355</v>
      </c>
      <c r="W66" s="2">
        <f t="shared" si="13"/>
        <v>1.7345898646330333</v>
      </c>
      <c r="X66" s="277">
        <f t="shared" si="6"/>
        <v>1.6147091501336135</v>
      </c>
      <c r="Y66" s="55">
        <v>1.0594499796158368</v>
      </c>
      <c r="Z66" s="49">
        <f t="shared" si="7"/>
        <v>5.9449979615836757</v>
      </c>
      <c r="AA66" s="2">
        <v>20279</v>
      </c>
      <c r="AB66" s="49">
        <f t="shared" si="8"/>
        <v>19141.064127778165</v>
      </c>
      <c r="AC66" s="2"/>
      <c r="AD66" s="50">
        <v>8.1999999999999993</v>
      </c>
      <c r="AE66">
        <v>142.013184</v>
      </c>
      <c r="AG66">
        <v>80.693004999999999</v>
      </c>
      <c r="AH66">
        <v>112.44913867163159</v>
      </c>
      <c r="AK66">
        <v>30.3582</v>
      </c>
      <c r="AL66">
        <f t="shared" si="18"/>
        <v>1.0397249154916552</v>
      </c>
      <c r="AM66">
        <f t="shared" si="15"/>
        <v>1.087324185801626</v>
      </c>
      <c r="AN66">
        <f t="shared" si="9"/>
        <v>1.0732819385271604</v>
      </c>
      <c r="AO66">
        <f t="shared" si="19"/>
        <v>-5.308172177167819</v>
      </c>
      <c r="AQ66">
        <v>1.0069999999999999</v>
      </c>
      <c r="AR66">
        <f t="shared" si="16"/>
        <v>1.3718217400414239</v>
      </c>
      <c r="AS66">
        <f>AR66/AVERAGE($AR$2:$AR$13)</f>
        <v>1.2754557575034493</v>
      </c>
      <c r="AT66">
        <v>0.69999999999998863</v>
      </c>
      <c r="AV66">
        <v>80.693004999999999</v>
      </c>
      <c r="AW66">
        <v>80.693004999999999</v>
      </c>
      <c r="AX66">
        <v>112.44913870000001</v>
      </c>
    </row>
    <row r="67" spans="1:50" ht="15.75" thickBot="1">
      <c r="A67" s="1">
        <v>40330</v>
      </c>
      <c r="B67">
        <v>233539.34599999999</v>
      </c>
      <c r="C67" s="49">
        <f t="shared" si="24"/>
        <v>220873.63096233062</v>
      </c>
      <c r="D67" s="2">
        <f t="shared" si="10"/>
        <v>1.3729871422421265</v>
      </c>
      <c r="E67" s="2">
        <f t="shared" si="17"/>
        <v>13.786451799182688</v>
      </c>
      <c r="F67" s="55">
        <f t="shared" ref="F67:F121" si="27">E67/AVERAGE($E$2:$E$13)</f>
        <v>4.3343576049814505</v>
      </c>
      <c r="G67" s="49">
        <v>6.6568117975906684</v>
      </c>
      <c r="J67" s="47">
        <v>31.195399999999999</v>
      </c>
      <c r="K67">
        <f t="shared" si="11"/>
        <v>1.0229475727645956</v>
      </c>
      <c r="L67">
        <f t="shared" si="12"/>
        <v>1.1096195435661027</v>
      </c>
      <c r="M67" s="44">
        <f t="shared" ref="M67:M114" si="28">L67/AVERAGE($L$2:$L$13)</f>
        <v>1.1014491900771388</v>
      </c>
      <c r="N67" s="2">
        <v>2720.8432433944654</v>
      </c>
      <c r="O67" s="48">
        <f t="shared" si="25"/>
        <v>2573.2817049503078</v>
      </c>
      <c r="R67" s="2">
        <v>2297.1473389633866</v>
      </c>
      <c r="S67" s="44">
        <f t="shared" si="26"/>
        <v>2172.5644192405116</v>
      </c>
      <c r="V67" s="2">
        <v>100.39191626378775</v>
      </c>
      <c r="W67" s="2">
        <f t="shared" si="13"/>
        <v>1.7413880044225438</v>
      </c>
      <c r="X67" s="277">
        <f t="shared" ref="X67:X130" si="29">W67/AVERAGE($W$2:$W$13)</f>
        <v>1.6210374579058557</v>
      </c>
      <c r="Y67" s="55">
        <v>1.057343717230915</v>
      </c>
      <c r="Z67" s="49">
        <f t="shared" ref="Z67:Z121" si="30">(Y67-1)*100</f>
        <v>5.7343717230915026</v>
      </c>
      <c r="AA67" s="2">
        <v>21795</v>
      </c>
      <c r="AB67" s="49">
        <f t="shared" ref="AB67:AB121" si="31">AA67/Y67</f>
        <v>20612.975369143991</v>
      </c>
      <c r="AC67" s="2"/>
      <c r="AD67" s="50">
        <v>7.9</v>
      </c>
      <c r="AE67">
        <v>148.33677</v>
      </c>
      <c r="AG67">
        <v>95.444630000000004</v>
      </c>
      <c r="AH67">
        <v>80.954351969467268</v>
      </c>
      <c r="AK67">
        <v>31.162533333333329</v>
      </c>
      <c r="AL67">
        <f t="shared" si="18"/>
        <v>1.026494763633329</v>
      </c>
      <c r="AM67">
        <f t="shared" si="15"/>
        <v>1.1161325830972422</v>
      </c>
      <c r="AN67">
        <f t="shared" ref="AN67:AN130" si="32">AM67/AVERAGE($AM$2:$AM$13)</f>
        <v>1.1017182898003588</v>
      </c>
      <c r="AO67">
        <f t="shared" si="19"/>
        <v>0.42711354603071072</v>
      </c>
      <c r="AQ67">
        <v>0.999</v>
      </c>
      <c r="AR67">
        <f t="shared" si="16"/>
        <v>1.3704499183013825</v>
      </c>
      <c r="AS67">
        <f t="shared" ref="AS67:AS130" si="33">AR67/AVERAGE($AR$2:$AR$13)</f>
        <v>1.2741803017459461</v>
      </c>
      <c r="AT67">
        <v>-9.9999999999994316E-2</v>
      </c>
      <c r="AV67">
        <v>95.444630000000004</v>
      </c>
      <c r="AW67">
        <v>95.444630000000004</v>
      </c>
      <c r="AX67">
        <v>80.954351970000005</v>
      </c>
    </row>
    <row r="68" spans="1:50" ht="15.75" thickBot="1">
      <c r="A68" s="1">
        <v>40360</v>
      </c>
      <c r="B68">
        <v>155511.46100000001</v>
      </c>
      <c r="C68" s="49">
        <f t="shared" si="24"/>
        <v>147370.47399774025</v>
      </c>
      <c r="D68" s="2">
        <f t="shared" ref="D68:D121" si="34">C68/C67</f>
        <v>0.66721624195544593</v>
      </c>
      <c r="E68" s="2">
        <f t="shared" si="17"/>
        <v>9.1985445593505695</v>
      </c>
      <c r="F68" s="55">
        <f t="shared" si="27"/>
        <v>2.8919537924867309</v>
      </c>
      <c r="G68" s="49">
        <v>6.8421215398671009</v>
      </c>
      <c r="J68" s="47">
        <v>30.186900000000001</v>
      </c>
      <c r="K68">
        <f t="shared" ref="K68:K114" si="35">J68/J67</f>
        <v>0.96767151567218246</v>
      </c>
      <c r="L68">
        <f t="shared" ref="L68:L114" si="36">K68*L67</f>
        <v>1.0737472255420859</v>
      </c>
      <c r="M68" s="44">
        <f t="shared" si="28"/>
        <v>1.0658410071978428</v>
      </c>
      <c r="N68" s="2">
        <v>2711.1165330925342</v>
      </c>
      <c r="O68" s="48">
        <f t="shared" si="25"/>
        <v>2569.1902447303032</v>
      </c>
      <c r="R68" s="2">
        <v>2318.9096611408472</v>
      </c>
      <c r="S68" s="44">
        <f t="shared" si="26"/>
        <v>2197.5153067352758</v>
      </c>
      <c r="V68" s="2">
        <v>100.35279447220002</v>
      </c>
      <c r="W68" s="2">
        <f t="shared" ref="W68:W131" si="37">V68/100*W67</f>
        <v>1.747531525041701</v>
      </c>
      <c r="X68" s="277">
        <f t="shared" si="29"/>
        <v>1.6267563884496394</v>
      </c>
      <c r="Y68" s="55">
        <v>1.0552416422463606</v>
      </c>
      <c r="Z68" s="49">
        <f t="shared" si="30"/>
        <v>5.5241642246360634</v>
      </c>
      <c r="AA68" s="2">
        <v>21325</v>
      </c>
      <c r="AB68" s="49">
        <f t="shared" si="31"/>
        <v>20208.641458276896</v>
      </c>
      <c r="AC68" s="2"/>
      <c r="AD68" s="50">
        <v>7.5</v>
      </c>
      <c r="AE68">
        <v>152.10830799999999</v>
      </c>
      <c r="AG68">
        <v>106.701893</v>
      </c>
      <c r="AH68">
        <v>74.118480507938827</v>
      </c>
      <c r="AK68">
        <v>30.686800000000002</v>
      </c>
      <c r="AL68">
        <f t="shared" si="18"/>
        <v>0.98473380426922952</v>
      </c>
      <c r="AM68">
        <f t="shared" ref="AM68:AM131" si="38">AL68*AM67</f>
        <v>1.0990934846221891</v>
      </c>
      <c r="AN68">
        <f t="shared" si="32"/>
        <v>1.0848992427480968</v>
      </c>
      <c r="AO68">
        <f t="shared" si="19"/>
        <v>-2.6434010152284202</v>
      </c>
      <c r="AQ68">
        <v>0.99099999999999999</v>
      </c>
      <c r="AR68">
        <f t="shared" ref="AR68:AR131" si="39">AQ68*AR67</f>
        <v>1.3581158690366701</v>
      </c>
      <c r="AS68">
        <f t="shared" si="33"/>
        <v>1.2627126790302325</v>
      </c>
      <c r="AT68">
        <v>-0.90000000000000568</v>
      </c>
      <c r="AV68">
        <v>106.701893</v>
      </c>
      <c r="AW68">
        <v>106.701893</v>
      </c>
      <c r="AX68">
        <v>74.118480509999998</v>
      </c>
    </row>
    <row r="69" spans="1:50" ht="15.75" thickBot="1">
      <c r="A69" s="1">
        <v>40391</v>
      </c>
      <c r="B69">
        <v>104397.79399999999</v>
      </c>
      <c r="C69" s="49">
        <f t="shared" si="24"/>
        <v>98342.539743068017</v>
      </c>
      <c r="D69" s="2">
        <f t="shared" si="34"/>
        <v>0.66731508066246692</v>
      </c>
      <c r="E69" s="2">
        <f t="shared" ref="E69:E121" si="40">E68*D69</f>
        <v>6.1383275046003218</v>
      </c>
      <c r="F69" s="55">
        <f t="shared" si="27"/>
        <v>1.9298443783054102</v>
      </c>
      <c r="G69" s="49">
        <v>6.7225104089807282</v>
      </c>
      <c r="J69" s="47">
        <v>30.664000000000001</v>
      </c>
      <c r="K69">
        <f t="shared" si="35"/>
        <v>1.0158048689994668</v>
      </c>
      <c r="L69">
        <f t="shared" si="36"/>
        <v>1.0907176597803194</v>
      </c>
      <c r="M69" s="44">
        <f t="shared" si="28"/>
        <v>1.0826864846908644</v>
      </c>
      <c r="N69" s="2">
        <v>2589.9643757315662</v>
      </c>
      <c r="O69" s="48">
        <f t="shared" si="25"/>
        <v>2439.7419216876547</v>
      </c>
      <c r="R69" s="2">
        <v>2201.4611412374843</v>
      </c>
      <c r="S69" s="44">
        <f t="shared" si="26"/>
        <v>2073.7725528469232</v>
      </c>
      <c r="V69" s="2">
        <v>100.55337993365293</v>
      </c>
      <c r="W69" s="2">
        <f t="shared" si="37"/>
        <v>1.7572020138355409</v>
      </c>
      <c r="X69" s="277">
        <f t="shared" si="29"/>
        <v>1.635758531872737</v>
      </c>
      <c r="Y69" s="55">
        <v>1.0615730920998387</v>
      </c>
      <c r="Z69" s="49">
        <f t="shared" si="30"/>
        <v>6.1573092099838744</v>
      </c>
      <c r="AA69" s="2">
        <v>20753</v>
      </c>
      <c r="AB69" s="49">
        <f t="shared" si="31"/>
        <v>19549.289779896026</v>
      </c>
      <c r="AC69" s="2"/>
      <c r="AD69" s="50">
        <v>7.5</v>
      </c>
      <c r="AE69">
        <v>161.91081500000001</v>
      </c>
      <c r="AG69">
        <v>104.677098</v>
      </c>
      <c r="AH69">
        <v>70.357294788841529</v>
      </c>
      <c r="AK69">
        <v>30.343900000000001</v>
      </c>
      <c r="AL69">
        <f t="shared" si="18"/>
        <v>0.9888258143566615</v>
      </c>
      <c r="AM69">
        <f t="shared" si="38"/>
        <v>1.0868120099856371</v>
      </c>
      <c r="AN69">
        <f t="shared" si="32"/>
        <v>1.0727763772053123</v>
      </c>
      <c r="AO69">
        <f t="shared" si="19"/>
        <v>-4.096396965865992</v>
      </c>
      <c r="AQ69">
        <v>1.0009999999999999</v>
      </c>
      <c r="AR69">
        <f t="shared" si="39"/>
        <v>1.3594739849057067</v>
      </c>
      <c r="AS69">
        <f t="shared" si="33"/>
        <v>1.2639753917092627</v>
      </c>
      <c r="AT69">
        <v>9.9999999999994316E-2</v>
      </c>
      <c r="AV69">
        <v>104.677098</v>
      </c>
      <c r="AW69">
        <v>104.677098</v>
      </c>
      <c r="AX69">
        <v>70.357294789999997</v>
      </c>
    </row>
    <row r="70" spans="1:50" ht="15.75" thickBot="1">
      <c r="A70" s="1">
        <v>40422</v>
      </c>
      <c r="B70">
        <v>117429.27600000001</v>
      </c>
      <c r="C70" s="49">
        <f t="shared" si="24"/>
        <v>109740.25103500957</v>
      </c>
      <c r="D70" s="2">
        <f t="shared" si="34"/>
        <v>1.1158980774924003</v>
      </c>
      <c r="E70" s="2">
        <f t="shared" si="40"/>
        <v>6.8497478614022222</v>
      </c>
      <c r="F70" s="55">
        <f t="shared" si="27"/>
        <v>2.1535096316105236</v>
      </c>
      <c r="G70" s="49">
        <v>6.463215792916964</v>
      </c>
      <c r="J70" s="47">
        <v>30.402999999999999</v>
      </c>
      <c r="K70">
        <f t="shared" si="35"/>
        <v>0.99148839029480818</v>
      </c>
      <c r="L70">
        <f t="shared" si="36"/>
        <v>1.0814338967617092</v>
      </c>
      <c r="M70" s="44">
        <f t="shared" si="28"/>
        <v>1.0734710799000895</v>
      </c>
      <c r="N70" s="2">
        <v>2645.4560106716876</v>
      </c>
      <c r="O70" s="48">
        <f t="shared" si="25"/>
        <v>2472.2370485634765</v>
      </c>
      <c r="R70" s="2">
        <v>2236.8330250017361</v>
      </c>
      <c r="S70" s="44">
        <f t="shared" si="26"/>
        <v>2090.3698468437319</v>
      </c>
      <c r="V70" s="2">
        <v>100.83527290090289</v>
      </c>
      <c r="W70" s="2">
        <f t="shared" si="37"/>
        <v>1.7718794460712288</v>
      </c>
      <c r="X70" s="277">
        <f t="shared" si="29"/>
        <v>1.6494215796136769</v>
      </c>
      <c r="Y70" s="55">
        <v>1.0700656768366374</v>
      </c>
      <c r="Z70" s="49">
        <f t="shared" si="30"/>
        <v>7.0065676836637447</v>
      </c>
      <c r="AA70" s="2">
        <v>20999</v>
      </c>
      <c r="AB70" s="49">
        <f t="shared" si="31"/>
        <v>19624.029117612594</v>
      </c>
      <c r="AC70" s="2"/>
      <c r="AD70" s="50">
        <v>7.2</v>
      </c>
      <c r="AE70">
        <v>154.3373</v>
      </c>
      <c r="AG70">
        <v>118.462059</v>
      </c>
      <c r="AH70">
        <v>72.625679703219618</v>
      </c>
      <c r="AK70">
        <v>30.836500000000001</v>
      </c>
      <c r="AL70">
        <f t="shared" si="18"/>
        <v>1.016233905331879</v>
      </c>
      <c r="AM70">
        <f t="shared" si="38"/>
        <v>1.1044552132692931</v>
      </c>
      <c r="AN70">
        <f t="shared" si="32"/>
        <v>1.0901917273551394</v>
      </c>
      <c r="AO70">
        <f t="shared" si="19"/>
        <v>8.6011035378135148E-2</v>
      </c>
      <c r="AQ70">
        <v>0.98099999999999998</v>
      </c>
      <c r="AR70">
        <f t="shared" si="39"/>
        <v>1.3336439791924983</v>
      </c>
      <c r="AS70">
        <f t="shared" si="33"/>
        <v>1.2399598592667866</v>
      </c>
      <c r="AT70">
        <v>-1.9000000000000057</v>
      </c>
      <c r="AV70">
        <v>118.462059</v>
      </c>
      <c r="AW70">
        <v>118.462059</v>
      </c>
      <c r="AX70">
        <v>72.625679700000006</v>
      </c>
    </row>
    <row r="71" spans="1:50" ht="15.75" thickBot="1">
      <c r="A71" s="1">
        <v>40452</v>
      </c>
      <c r="B71">
        <v>174798.03200000001</v>
      </c>
      <c r="C71" s="49">
        <f t="shared" si="24"/>
        <v>162539.92050649074</v>
      </c>
      <c r="D71" s="2">
        <f t="shared" si="34"/>
        <v>1.4811331209242169</v>
      </c>
      <c r="E71" s="2">
        <f t="shared" si="40"/>
        <v>10.145388427502654</v>
      </c>
      <c r="F71" s="55">
        <f t="shared" si="27"/>
        <v>3.1896344416076556</v>
      </c>
      <c r="G71" s="49">
        <v>6.6509176418852523</v>
      </c>
      <c r="J71" s="47">
        <v>30.7821</v>
      </c>
      <c r="K71">
        <f t="shared" si="35"/>
        <v>1.0124691642272146</v>
      </c>
      <c r="L71">
        <f t="shared" si="36"/>
        <v>1.0949184736213076</v>
      </c>
      <c r="M71" s="44">
        <f t="shared" si="28"/>
        <v>1.0868563670885292</v>
      </c>
      <c r="N71" s="2">
        <v>2800.1874036117265</v>
      </c>
      <c r="O71" s="48">
        <f t="shared" si="25"/>
        <v>2603.8178621274565</v>
      </c>
      <c r="R71" s="2">
        <v>2413.7478277437085</v>
      </c>
      <c r="S71" s="44">
        <f t="shared" si="26"/>
        <v>2244.4782447217544</v>
      </c>
      <c r="V71" s="2">
        <v>100.50064130258623</v>
      </c>
      <c r="W71" s="2">
        <f t="shared" si="37"/>
        <v>1.7807502064102974</v>
      </c>
      <c r="X71" s="277">
        <f t="shared" si="29"/>
        <v>1.657679265294993</v>
      </c>
      <c r="Y71" s="55">
        <v>1.0754160052208206</v>
      </c>
      <c r="Z71" s="49">
        <f t="shared" si="30"/>
        <v>7.5416005220820592</v>
      </c>
      <c r="AA71" s="2">
        <v>20970</v>
      </c>
      <c r="AB71" s="49">
        <f t="shared" si="31"/>
        <v>19499.430823232098</v>
      </c>
      <c r="AC71" s="2"/>
      <c r="AD71" s="50">
        <v>7.1</v>
      </c>
      <c r="AE71">
        <v>153.24852600000003</v>
      </c>
      <c r="AG71">
        <v>125.142832</v>
      </c>
      <c r="AH71">
        <v>71.352954727315392</v>
      </c>
      <c r="AK71">
        <v>30.314800000000002</v>
      </c>
      <c r="AL71">
        <f t="shared" si="18"/>
        <v>0.98308173755127859</v>
      </c>
      <c r="AM71">
        <f t="shared" si="38"/>
        <v>1.0857697501083445</v>
      </c>
      <c r="AN71">
        <f t="shared" si="32"/>
        <v>1.0717475775923202</v>
      </c>
      <c r="AO71">
        <f t="shared" si="19"/>
        <v>2.841518190330163</v>
      </c>
      <c r="AQ71">
        <v>0.97399999999999998</v>
      </c>
      <c r="AR71">
        <f t="shared" si="39"/>
        <v>1.2989692357334934</v>
      </c>
      <c r="AS71">
        <f t="shared" si="33"/>
        <v>1.2077209029258504</v>
      </c>
      <c r="AT71">
        <v>-2.6000000000000085</v>
      </c>
      <c r="AV71">
        <v>125.142832</v>
      </c>
      <c r="AW71">
        <v>125.142832</v>
      </c>
      <c r="AX71">
        <v>71.352954729999894</v>
      </c>
    </row>
    <row r="72" spans="1:50" ht="15.75" thickBot="1">
      <c r="A72" s="1">
        <v>40483</v>
      </c>
      <c r="B72">
        <v>190367.83199999999</v>
      </c>
      <c r="C72" s="49">
        <f t="shared" si="24"/>
        <v>176139.78795131683</v>
      </c>
      <c r="D72" s="2">
        <f t="shared" si="34"/>
        <v>1.0836709369762674</v>
      </c>
      <c r="E72" s="2">
        <f t="shared" si="40"/>
        <v>10.994262583219982</v>
      </c>
      <c r="F72" s="55">
        <f t="shared" si="27"/>
        <v>3.4565141439487417</v>
      </c>
      <c r="G72" s="49">
        <v>6.5512906792608598</v>
      </c>
      <c r="J72" s="47">
        <v>31.306100000000001</v>
      </c>
      <c r="K72">
        <f t="shared" si="35"/>
        <v>1.0170228801803647</v>
      </c>
      <c r="L72">
        <f t="shared" si="36"/>
        <v>1.1135571396050308</v>
      </c>
      <c r="M72" s="44">
        <f t="shared" si="28"/>
        <v>1.1053577927987437</v>
      </c>
      <c r="N72" s="2">
        <v>2796.7577791342906</v>
      </c>
      <c r="O72" s="48">
        <f t="shared" si="25"/>
        <v>2587.7288037188437</v>
      </c>
      <c r="R72" s="2">
        <v>2388.6164422730199</v>
      </c>
      <c r="S72" s="44">
        <f t="shared" si="26"/>
        <v>2210.0918480754594</v>
      </c>
      <c r="V72" s="2">
        <v>100.80737696469778</v>
      </c>
      <c r="W72" s="2">
        <f t="shared" si="37"/>
        <v>1.7951275733756622</v>
      </c>
      <c r="X72" s="277">
        <f t="shared" si="29"/>
        <v>1.671062985831556</v>
      </c>
      <c r="Y72" s="55">
        <v>1.0807770022558199</v>
      </c>
      <c r="Z72" s="49">
        <f t="shared" si="30"/>
        <v>8.0777002255819852</v>
      </c>
      <c r="AA72" s="2">
        <v>21486</v>
      </c>
      <c r="AB72" s="49">
        <f t="shared" si="31"/>
        <v>19880.141745386867</v>
      </c>
      <c r="AC72" s="2"/>
      <c r="AD72" s="50">
        <v>7</v>
      </c>
      <c r="AE72">
        <v>155.67128500000001</v>
      </c>
      <c r="AG72">
        <v>111.115049</v>
      </c>
      <c r="AH72">
        <v>76.401847663368173</v>
      </c>
      <c r="AK72">
        <v>31</v>
      </c>
      <c r="AL72">
        <f t="shared" si="18"/>
        <v>1.0226028210642986</v>
      </c>
      <c r="AM72">
        <f t="shared" si="38"/>
        <v>1.1103112094870715</v>
      </c>
      <c r="AN72">
        <f t="shared" si="32"/>
        <v>1.0959720963147348</v>
      </c>
      <c r="AO72">
        <f t="shared" si="19"/>
        <v>6.9526096436753022</v>
      </c>
      <c r="AQ72">
        <v>0.99399999999999999</v>
      </c>
      <c r="AR72">
        <f t="shared" si="39"/>
        <v>1.2911754203190924</v>
      </c>
      <c r="AS72">
        <f t="shared" si="33"/>
        <v>1.2004745775082952</v>
      </c>
      <c r="AT72">
        <v>-0.59999999999999432</v>
      </c>
      <c r="AV72">
        <v>111.115049</v>
      </c>
      <c r="AW72">
        <v>111.115049</v>
      </c>
      <c r="AX72">
        <v>76.401847660000001</v>
      </c>
    </row>
    <row r="73" spans="1:50" ht="15.75" thickBot="1">
      <c r="A73" s="1">
        <v>40513</v>
      </c>
      <c r="B73">
        <v>592112.875</v>
      </c>
      <c r="C73" s="49">
        <f t="shared" si="24"/>
        <v>544065.22370123421</v>
      </c>
      <c r="D73" s="2">
        <f t="shared" si="34"/>
        <v>3.0888263806222365</v>
      </c>
      <c r="E73" s="2">
        <f t="shared" si="40"/>
        <v>33.959368302537854</v>
      </c>
      <c r="F73" s="55">
        <f t="shared" si="27"/>
        <v>10.67657207282276</v>
      </c>
      <c r="G73" s="49">
        <v>7.0423745585254531</v>
      </c>
      <c r="J73" s="47">
        <v>30.3505</v>
      </c>
      <c r="K73">
        <f t="shared" si="35"/>
        <v>0.96947559740753397</v>
      </c>
      <c r="L73">
        <f t="shared" si="36"/>
        <v>1.079566473166012</v>
      </c>
      <c r="M73" s="44">
        <f t="shared" si="28"/>
        <v>1.0716174065226352</v>
      </c>
      <c r="N73" s="2">
        <v>4019.522300130398</v>
      </c>
      <c r="O73" s="48">
        <f t="shared" si="25"/>
        <v>3693.3537366377054</v>
      </c>
      <c r="R73" s="2">
        <v>3374.8541237465747</v>
      </c>
      <c r="S73" s="44">
        <f t="shared" si="26"/>
        <v>3100.9978693593057</v>
      </c>
      <c r="V73" s="2">
        <v>101.08699408448967</v>
      </c>
      <c r="W73" s="2">
        <f t="shared" si="37"/>
        <v>1.8146405039072986</v>
      </c>
      <c r="X73" s="277">
        <f t="shared" si="29"/>
        <v>1.6892273416356416</v>
      </c>
      <c r="Y73" s="55">
        <v>1.0883123000803125</v>
      </c>
      <c r="Z73" s="49">
        <f t="shared" si="30"/>
        <v>8.8312300080312554</v>
      </c>
      <c r="AA73" s="2">
        <v>28027</v>
      </c>
      <c r="AB73" s="49">
        <f t="shared" si="31"/>
        <v>25752.718220617127</v>
      </c>
      <c r="AC73" s="2"/>
      <c r="AD73" s="50">
        <v>6.8</v>
      </c>
      <c r="AE73">
        <v>148.212287</v>
      </c>
      <c r="AG73">
        <v>137.55037299999998</v>
      </c>
      <c r="AH73">
        <v>84.62262160931644</v>
      </c>
      <c r="AK73">
        <v>30.85</v>
      </c>
      <c r="AL73">
        <f t="shared" si="18"/>
        <v>0.99516129032258072</v>
      </c>
      <c r="AM73">
        <f t="shared" si="38"/>
        <v>1.1049387358927794</v>
      </c>
      <c r="AN73">
        <f t="shared" si="32"/>
        <v>1.0906690055261152</v>
      </c>
      <c r="AO73">
        <f t="shared" si="19"/>
        <v>3.0383797089541531</v>
      </c>
      <c r="AQ73">
        <v>1.0369999999999999</v>
      </c>
      <c r="AR73">
        <f t="shared" si="39"/>
        <v>1.3389489108708987</v>
      </c>
      <c r="AS73">
        <f t="shared" si="33"/>
        <v>1.2448921368761021</v>
      </c>
      <c r="AT73">
        <v>3.6999999999999886</v>
      </c>
      <c r="AV73">
        <v>137.55037300000001</v>
      </c>
      <c r="AW73">
        <v>137.55037300000001</v>
      </c>
      <c r="AX73">
        <v>84.622621609999996</v>
      </c>
    </row>
    <row r="74" spans="1:50" ht="15.75" thickBot="1">
      <c r="A74" s="1">
        <v>40544</v>
      </c>
      <c r="B74">
        <v>-79794.121999999988</v>
      </c>
      <c r="C74" s="49">
        <f t="shared" si="24"/>
        <v>-72831.43665571374</v>
      </c>
      <c r="D74" s="2">
        <f t="shared" si="34"/>
        <v>-0.13386526740350546</v>
      </c>
      <c r="E74" s="2">
        <f t="shared" si="40"/>
        <v>-4.5459799186733569</v>
      </c>
      <c r="F74" s="55">
        <f t="shared" si="27"/>
        <v>-1.4292221754812171</v>
      </c>
      <c r="G74" s="49">
        <v>7.6264296501926339</v>
      </c>
      <c r="J74" s="47">
        <v>29.668399999999998</v>
      </c>
      <c r="K74">
        <f t="shared" si="35"/>
        <v>0.97752590566876985</v>
      </c>
      <c r="L74">
        <f t="shared" si="36"/>
        <v>1.0553041944112456</v>
      </c>
      <c r="M74" s="44">
        <f t="shared" si="28"/>
        <v>1.0475337758414571</v>
      </c>
      <c r="N74" s="2">
        <v>2158.8889875</v>
      </c>
      <c r="O74" s="48">
        <f t="shared" si="25"/>
        <v>1970.508385815991</v>
      </c>
      <c r="R74" s="2">
        <v>1871.0421252099545</v>
      </c>
      <c r="S74" s="44">
        <f t="shared" si="26"/>
        <v>1707.7785005567309</v>
      </c>
      <c r="V74" s="2">
        <v>102.33679910000001</v>
      </c>
      <c r="W74" s="2">
        <f t="shared" si="37"/>
        <v>1.8570450068708397</v>
      </c>
      <c r="X74" s="277">
        <f t="shared" si="29"/>
        <v>1.728701190951937</v>
      </c>
      <c r="Y74" s="55">
        <v>1.0956000000000001</v>
      </c>
      <c r="Z74" s="49">
        <f t="shared" si="30"/>
        <v>9.5600000000000129</v>
      </c>
      <c r="AA74" s="2">
        <v>20669</v>
      </c>
      <c r="AB74" s="49">
        <f t="shared" si="31"/>
        <v>18865.461847389557</v>
      </c>
      <c r="AC74" s="2"/>
      <c r="AD74" s="50">
        <v>6.7</v>
      </c>
      <c r="AE74">
        <v>124.893944</v>
      </c>
      <c r="AG74">
        <v>84.166880999999989</v>
      </c>
      <c r="AH74">
        <v>46.672930710717488</v>
      </c>
      <c r="AK74">
        <v>30.084267214912902</v>
      </c>
      <c r="AL74">
        <f t="shared" si="18"/>
        <v>0.97517884002959165</v>
      </c>
      <c r="AM74">
        <f t="shared" si="38"/>
        <v>1.077512874771684</v>
      </c>
      <c r="AN74">
        <f t="shared" si="32"/>
        <v>1.0635973356651853</v>
      </c>
      <c r="AO74">
        <f t="shared" si="19"/>
        <v>0.46306373862236683</v>
      </c>
      <c r="AQ74">
        <v>1.034</v>
      </c>
      <c r="AR74">
        <f t="shared" si="39"/>
        <v>1.3844731738405094</v>
      </c>
      <c r="AS74">
        <f t="shared" si="33"/>
        <v>1.2872184695298896</v>
      </c>
      <c r="AT74">
        <v>3.4000000000000057</v>
      </c>
      <c r="AV74">
        <v>84.166881000000004</v>
      </c>
      <c r="AW74">
        <v>84.166881000000004</v>
      </c>
      <c r="AX74">
        <v>46.672930710000003</v>
      </c>
    </row>
    <row r="75" spans="1:50" ht="15.75" thickBot="1">
      <c r="A75" s="1">
        <v>40575</v>
      </c>
      <c r="B75">
        <v>195953.4029999997</v>
      </c>
      <c r="C75" s="49">
        <f t="shared" si="24"/>
        <v>178985.57088052586</v>
      </c>
      <c r="D75" s="2">
        <f t="shared" si="34"/>
        <v>-2.4575317898316396</v>
      </c>
      <c r="E75" s="2">
        <f t="shared" si="40"/>
        <v>11.171890166076025</v>
      </c>
      <c r="F75" s="55">
        <f t="shared" si="27"/>
        <v>3.5123589309774252</v>
      </c>
      <c r="G75" s="49">
        <v>7.43904069585016</v>
      </c>
      <c r="J75" s="47">
        <v>28.9405</v>
      </c>
      <c r="K75">
        <f t="shared" si="35"/>
        <v>0.97546547842148557</v>
      </c>
      <c r="L75">
        <f t="shared" si="36"/>
        <v>1.0294128108815661</v>
      </c>
      <c r="M75" s="44">
        <f t="shared" si="28"/>
        <v>1.0218330358138523</v>
      </c>
      <c r="N75" s="2">
        <v>2701.8785767999993</v>
      </c>
      <c r="O75" s="48">
        <f t="shared" si="25"/>
        <v>2467.9197815126045</v>
      </c>
      <c r="R75" s="2">
        <v>2316.9456549425117</v>
      </c>
      <c r="S75" s="44">
        <f t="shared" si="26"/>
        <v>2116.3186471889949</v>
      </c>
      <c r="V75" s="2">
        <v>100.77677926013028</v>
      </c>
      <c r="W75" s="2">
        <f t="shared" si="37"/>
        <v>1.8714701473354975</v>
      </c>
      <c r="X75" s="277">
        <f t="shared" si="29"/>
        <v>1.742129383272877</v>
      </c>
      <c r="Y75" s="55">
        <v>1.0948</v>
      </c>
      <c r="Z75" s="49">
        <f t="shared" si="30"/>
        <v>9.48</v>
      </c>
      <c r="AA75" s="2">
        <v>20680</v>
      </c>
      <c r="AB75" s="49">
        <f t="shared" si="31"/>
        <v>18889.294848374131</v>
      </c>
      <c r="AC75" s="2"/>
      <c r="AD75" s="50">
        <v>6.5</v>
      </c>
      <c r="AE75">
        <v>127.223652</v>
      </c>
      <c r="AG75">
        <v>90.761947000000006</v>
      </c>
      <c r="AH75">
        <v>65.288942448185736</v>
      </c>
      <c r="AK75">
        <v>29.294208734043053</v>
      </c>
      <c r="AL75">
        <f t="shared" ref="AL75:AL138" si="41">AK75/AK74</f>
        <v>0.97373848346626124</v>
      </c>
      <c r="AM75">
        <f t="shared" si="38"/>
        <v>1.049215752595551</v>
      </c>
      <c r="AN75">
        <f t="shared" si="32"/>
        <v>1.0356656566493736</v>
      </c>
      <c r="AO75">
        <f t="shared" si="19"/>
        <v>-2.9636431468418749</v>
      </c>
      <c r="AQ75">
        <v>1.018</v>
      </c>
      <c r="AR75">
        <f t="shared" si="39"/>
        <v>1.4093936909696385</v>
      </c>
      <c r="AS75">
        <f t="shared" si="33"/>
        <v>1.3103884019814276</v>
      </c>
      <c r="AT75">
        <v>1.7999999999999972</v>
      </c>
      <c r="AV75">
        <v>90.761947000000006</v>
      </c>
      <c r="AW75">
        <v>90.761947000000006</v>
      </c>
      <c r="AX75">
        <v>65.288942449999894</v>
      </c>
    </row>
    <row r="76" spans="1:50" ht="15.75" thickBot="1">
      <c r="A76" s="1">
        <v>40603</v>
      </c>
      <c r="B76">
        <v>93156.485999999728</v>
      </c>
      <c r="C76" s="49">
        <f t="shared" si="24"/>
        <v>85097.730885173776</v>
      </c>
      <c r="D76" s="2">
        <f t="shared" si="34"/>
        <v>0.47544464319963042</v>
      </c>
      <c r="E76" s="2">
        <f t="shared" si="40"/>
        <v>5.3116153338754755</v>
      </c>
      <c r="F76" s="55">
        <f t="shared" si="27"/>
        <v>1.6699322387275972</v>
      </c>
      <c r="G76" s="49">
        <v>6.9878993604922517</v>
      </c>
      <c r="J76" s="47">
        <v>28.429099999999998</v>
      </c>
      <c r="K76">
        <f t="shared" si="35"/>
        <v>0.98232926176119961</v>
      </c>
      <c r="L76">
        <f t="shared" si="36"/>
        <v>1.0112223265608102</v>
      </c>
      <c r="M76" s="44">
        <f t="shared" si="28"/>
        <v>1.0037764917142271</v>
      </c>
      <c r="N76" s="2">
        <v>2731.1784902999993</v>
      </c>
      <c r="O76" s="48">
        <f t="shared" si="25"/>
        <v>2494.9104688955872</v>
      </c>
      <c r="R76" s="2">
        <v>2282.3325372599365</v>
      </c>
      <c r="S76" s="44">
        <f t="shared" si="26"/>
        <v>2084.8931554397886</v>
      </c>
      <c r="V76" s="2">
        <v>100.62239699161937</v>
      </c>
      <c r="W76" s="2">
        <f t="shared" si="37"/>
        <v>1.8831181212315682</v>
      </c>
      <c r="X76" s="277">
        <f t="shared" si="29"/>
        <v>1.7529723441444844</v>
      </c>
      <c r="Y76" s="55">
        <v>1.0947</v>
      </c>
      <c r="Z76" s="49">
        <f t="shared" si="30"/>
        <v>9.4700000000000006</v>
      </c>
      <c r="AA76" s="2">
        <v>22673</v>
      </c>
      <c r="AB76" s="49">
        <f t="shared" si="31"/>
        <v>20711.610486891386</v>
      </c>
      <c r="AC76" s="2"/>
      <c r="AD76" s="50">
        <v>6.3</v>
      </c>
      <c r="AE76">
        <v>152.57767000000001</v>
      </c>
      <c r="AG76">
        <v>112.703401</v>
      </c>
      <c r="AH76">
        <v>70.559557841096805</v>
      </c>
      <c r="AK76">
        <v>28.430875568694979</v>
      </c>
      <c r="AL76">
        <f t="shared" si="41"/>
        <v>0.97052887916563568</v>
      </c>
      <c r="AM76">
        <f t="shared" si="38"/>
        <v>1.0182941883694889</v>
      </c>
      <c r="AN76">
        <f t="shared" si="32"/>
        <v>1.0051434289382586</v>
      </c>
      <c r="AO76">
        <f t="shared" si="19"/>
        <v>-3.8373383458536665</v>
      </c>
      <c r="AQ76">
        <v>1.0149999999999999</v>
      </c>
      <c r="AR76">
        <f t="shared" si="39"/>
        <v>1.4305345963341829</v>
      </c>
      <c r="AS76">
        <f t="shared" si="33"/>
        <v>1.3300442280111489</v>
      </c>
      <c r="AT76">
        <v>1.4999999999999858</v>
      </c>
      <c r="AV76">
        <v>112.703401</v>
      </c>
      <c r="AW76">
        <v>112.703401</v>
      </c>
      <c r="AX76">
        <v>70.559557839999997</v>
      </c>
    </row>
    <row r="77" spans="1:50" ht="15.75" thickBot="1">
      <c r="A77" s="1">
        <v>40634</v>
      </c>
      <c r="B77">
        <v>248798.867</v>
      </c>
      <c r="C77" s="49">
        <f t="shared" si="24"/>
        <v>226964.84856777958</v>
      </c>
      <c r="D77" s="2">
        <f t="shared" si="34"/>
        <v>2.6671081144811435</v>
      </c>
      <c r="E77" s="2">
        <f t="shared" si="40"/>
        <v>14.166652357981748</v>
      </c>
      <c r="F77" s="55">
        <f t="shared" si="27"/>
        <v>4.4538898245440359</v>
      </c>
      <c r="G77" s="49">
        <v>7.0542082788303606</v>
      </c>
      <c r="J77" s="47">
        <v>27.502199999999998</v>
      </c>
      <c r="K77">
        <f t="shared" si="35"/>
        <v>0.96739608359040563</v>
      </c>
      <c r="L77">
        <f t="shared" si="36"/>
        <v>0.97825251835410609</v>
      </c>
      <c r="M77" s="44">
        <f t="shared" si="28"/>
        <v>0.97104944688446049</v>
      </c>
      <c r="N77" s="2">
        <v>2982.4318060999999</v>
      </c>
      <c r="O77" s="48">
        <f t="shared" si="25"/>
        <v>2720.7004251961321</v>
      </c>
      <c r="R77" s="2">
        <v>2552.2923132850337</v>
      </c>
      <c r="S77" s="44">
        <f t="shared" si="26"/>
        <v>2328.3089885833183</v>
      </c>
      <c r="V77" s="2">
        <v>100.43268295821143</v>
      </c>
      <c r="W77" s="2">
        <f t="shared" si="37"/>
        <v>1.8912660524251286</v>
      </c>
      <c r="X77" s="277">
        <f t="shared" si="29"/>
        <v>1.7605571567397571</v>
      </c>
      <c r="Y77" s="55">
        <v>1.0962000000000001</v>
      </c>
      <c r="Z77" s="49">
        <f t="shared" si="30"/>
        <v>9.6200000000000063</v>
      </c>
      <c r="AA77" s="2">
        <v>22519</v>
      </c>
      <c r="AB77" s="49">
        <f t="shared" si="31"/>
        <v>20542.784163473818</v>
      </c>
      <c r="AC77" s="2"/>
      <c r="AD77" s="50">
        <v>6.2</v>
      </c>
      <c r="AE77">
        <v>149.11749900000001</v>
      </c>
      <c r="AG77">
        <v>108.16389599999999</v>
      </c>
      <c r="AH77">
        <v>73.654492755566878</v>
      </c>
      <c r="AK77">
        <v>28.103965816997224</v>
      </c>
      <c r="AL77">
        <f t="shared" si="41"/>
        <v>0.98850159394817538</v>
      </c>
      <c r="AM77">
        <f t="shared" si="38"/>
        <v>1.0065854283114033</v>
      </c>
      <c r="AN77">
        <f t="shared" si="32"/>
        <v>0.99358588165200301</v>
      </c>
      <c r="AO77">
        <f t="shared" si="19"/>
        <v>-3.7479380066742749</v>
      </c>
      <c r="AQ77">
        <v>0.98799999999999999</v>
      </c>
      <c r="AR77">
        <f t="shared" si="39"/>
        <v>1.4133681811781726</v>
      </c>
      <c r="AS77">
        <f t="shared" si="33"/>
        <v>1.314083697275015</v>
      </c>
      <c r="AT77">
        <v>-1.2000000000000028</v>
      </c>
      <c r="AV77">
        <v>108.16389599999999</v>
      </c>
      <c r="AW77">
        <v>108.16389599999999</v>
      </c>
      <c r="AX77">
        <v>73.654492759999997</v>
      </c>
    </row>
    <row r="78" spans="1:50" ht="15.75" thickBot="1">
      <c r="A78" s="1">
        <v>40664</v>
      </c>
      <c r="B78">
        <v>56187.292999999998</v>
      </c>
      <c r="C78" s="49">
        <f t="shared" si="24"/>
        <v>51265.778284671534</v>
      </c>
      <c r="D78" s="2">
        <f t="shared" si="34"/>
        <v>0.22587541025923136</v>
      </c>
      <c r="E78" s="2">
        <f t="shared" si="40"/>
        <v>3.1998984133590347</v>
      </c>
      <c r="F78" s="55">
        <f t="shared" si="27"/>
        <v>1.0060241913683001</v>
      </c>
      <c r="G78" s="49">
        <v>6.206827798142899</v>
      </c>
      <c r="J78" s="47">
        <v>28.0685</v>
      </c>
      <c r="K78">
        <f t="shared" si="35"/>
        <v>1.0205910799863285</v>
      </c>
      <c r="L78">
        <f t="shared" si="36"/>
        <v>0.99839579420636271</v>
      </c>
      <c r="M78" s="44">
        <f t="shared" si="28"/>
        <v>0.99104440371593838</v>
      </c>
      <c r="N78" s="2">
        <v>2729.5247696000006</v>
      </c>
      <c r="O78" s="48">
        <f t="shared" si="25"/>
        <v>2490.4423080291981</v>
      </c>
      <c r="R78" s="2">
        <v>2320.0396213604654</v>
      </c>
      <c r="S78" s="44">
        <f t="shared" si="26"/>
        <v>2116.8244720442203</v>
      </c>
      <c r="V78" s="2">
        <v>100.48034689807574</v>
      </c>
      <c r="W78" s="2">
        <f t="shared" si="37"/>
        <v>1.9003506902423122</v>
      </c>
      <c r="X78" s="277">
        <f t="shared" si="29"/>
        <v>1.7690139384310071</v>
      </c>
      <c r="Y78" s="55">
        <v>1.0959999999999999</v>
      </c>
      <c r="Z78" s="49">
        <f t="shared" si="30"/>
        <v>9.5999999999999872</v>
      </c>
      <c r="AA78" s="2">
        <v>22779</v>
      </c>
      <c r="AB78" s="49">
        <f t="shared" si="31"/>
        <v>20783.759124087595</v>
      </c>
      <c r="AC78" s="2"/>
      <c r="AD78" s="50">
        <v>6.2</v>
      </c>
      <c r="AE78">
        <v>165.80513099999999</v>
      </c>
      <c r="AG78">
        <v>110.179181</v>
      </c>
      <c r="AH78">
        <v>71.152485990419734</v>
      </c>
      <c r="AK78">
        <v>27.869564799258537</v>
      </c>
      <c r="AL78">
        <f t="shared" si="41"/>
        <v>0.99165950388407742</v>
      </c>
      <c r="AM78">
        <f t="shared" si="38"/>
        <v>0.9981900064562278</v>
      </c>
      <c r="AN78">
        <f t="shared" si="32"/>
        <v>0.98529888246524899</v>
      </c>
      <c r="AO78">
        <f t="shared" si="19"/>
        <v>-8.1975716634762961</v>
      </c>
      <c r="AQ78">
        <v>1.0109999999999999</v>
      </c>
      <c r="AR78">
        <f t="shared" si="39"/>
        <v>1.4289152311711324</v>
      </c>
      <c r="AS78">
        <f t="shared" si="33"/>
        <v>1.32853861794504</v>
      </c>
      <c r="AT78">
        <v>1.0999999999999943</v>
      </c>
      <c r="AV78">
        <v>110.179181</v>
      </c>
      <c r="AW78">
        <v>110.179181</v>
      </c>
      <c r="AX78">
        <v>71.152485990000002</v>
      </c>
    </row>
    <row r="79" spans="1:50" ht="15.75" thickBot="1">
      <c r="A79" s="1">
        <v>40695</v>
      </c>
      <c r="B79">
        <v>246113.25500000056</v>
      </c>
      <c r="C79" s="49">
        <f t="shared" si="24"/>
        <v>224925.29245110633</v>
      </c>
      <c r="D79" s="2">
        <f t="shared" si="34"/>
        <v>4.3874354389419068</v>
      </c>
      <c r="E79" s="2">
        <f t="shared" si="40"/>
        <v>14.039347699785408</v>
      </c>
      <c r="F79" s="55">
        <f t="shared" si="27"/>
        <v>4.4138661896421549</v>
      </c>
      <c r="G79" s="49">
        <v>5.9526048385128867</v>
      </c>
      <c r="J79" s="47">
        <v>28.075800000000001</v>
      </c>
      <c r="K79">
        <f t="shared" si="35"/>
        <v>1.000260078023407</v>
      </c>
      <c r="L79">
        <f t="shared" si="36"/>
        <v>0.99865545501109776</v>
      </c>
      <c r="M79" s="44">
        <f t="shared" si="28"/>
        <v>0.99130215258556542</v>
      </c>
      <c r="N79" s="2">
        <v>3040.5839093000009</v>
      </c>
      <c r="O79" s="48">
        <f t="shared" si="25"/>
        <v>2778.8191457685989</v>
      </c>
      <c r="R79" s="2">
        <v>2532.6226909971006</v>
      </c>
      <c r="S79" s="44">
        <f t="shared" si="26"/>
        <v>2314.5884582316767</v>
      </c>
      <c r="V79" s="2">
        <v>100.23126990283086</v>
      </c>
      <c r="W79" s="2">
        <f t="shared" si="37"/>
        <v>1.9047456294370813</v>
      </c>
      <c r="X79" s="277">
        <f t="shared" si="29"/>
        <v>1.7731051352474809</v>
      </c>
      <c r="Y79" s="55">
        <v>1.0942000000000001</v>
      </c>
      <c r="Z79" s="49">
        <f t="shared" si="30"/>
        <v>9.4200000000000053</v>
      </c>
      <c r="AA79" s="2">
        <v>24137</v>
      </c>
      <c r="AB79" s="49">
        <f t="shared" si="31"/>
        <v>22059.03856698958</v>
      </c>
      <c r="AC79" s="2"/>
      <c r="AD79" s="50">
        <v>6.2</v>
      </c>
      <c r="AE79">
        <v>164.17470399999999</v>
      </c>
      <c r="AG79">
        <v>119.34238099999999</v>
      </c>
      <c r="AH79">
        <v>69.839868254013382</v>
      </c>
      <c r="AK79">
        <v>27.984058161838359</v>
      </c>
      <c r="AL79">
        <f t="shared" si="41"/>
        <v>1.0041081862384471</v>
      </c>
      <c r="AM79">
        <f t="shared" si="38"/>
        <v>1.0022907569041066</v>
      </c>
      <c r="AN79">
        <f t="shared" si="32"/>
        <v>0.98934667377495</v>
      </c>
      <c r="AO79">
        <f t="shared" ref="AO79:AO142" si="42">(AK79/AK67)*100-100</f>
        <v>-10.199668741613763</v>
      </c>
      <c r="AQ79">
        <v>1.016</v>
      </c>
      <c r="AR79">
        <f t="shared" si="39"/>
        <v>1.4517778748698704</v>
      </c>
      <c r="AS79">
        <f t="shared" si="33"/>
        <v>1.3497952358321605</v>
      </c>
      <c r="AT79">
        <v>1.5999999999999943</v>
      </c>
      <c r="AV79">
        <v>119.342381</v>
      </c>
      <c r="AW79">
        <v>119.342381</v>
      </c>
      <c r="AX79">
        <v>69.839868249999995</v>
      </c>
    </row>
    <row r="80" spans="1:50" ht="15.75" thickBot="1">
      <c r="A80" s="1">
        <v>40725</v>
      </c>
      <c r="B80">
        <v>129253.08500000001</v>
      </c>
      <c r="C80" s="49">
        <f t="shared" si="24"/>
        <v>118569.93395101366</v>
      </c>
      <c r="D80" s="2">
        <f t="shared" si="34"/>
        <v>0.52715251654852502</v>
      </c>
      <c r="E80" s="2">
        <f t="shared" si="40"/>
        <v>7.4008774706416238</v>
      </c>
      <c r="F80" s="55">
        <f t="shared" si="27"/>
        <v>2.3267806695783113</v>
      </c>
      <c r="G80" s="49">
        <v>6.3823748881357361</v>
      </c>
      <c r="J80" s="47">
        <v>27.679600000000001</v>
      </c>
      <c r="K80">
        <f t="shared" si="35"/>
        <v>0.98588820265139376</v>
      </c>
      <c r="L80">
        <f t="shared" si="36"/>
        <v>0.98456263160890101</v>
      </c>
      <c r="M80" s="44">
        <f t="shared" si="28"/>
        <v>0.97731309749704076</v>
      </c>
      <c r="N80" s="2">
        <v>3030.3054594999994</v>
      </c>
      <c r="O80" s="48">
        <f t="shared" si="25"/>
        <v>2779.8417204843586</v>
      </c>
      <c r="R80" s="2">
        <v>2543.1507446707915</v>
      </c>
      <c r="S80" s="44">
        <f t="shared" si="26"/>
        <v>2332.9517885247146</v>
      </c>
      <c r="V80" s="2">
        <v>99.988922671929572</v>
      </c>
      <c r="W80" s="2">
        <f t="shared" si="37"/>
        <v>1.9045346345148013</v>
      </c>
      <c r="X80" s="277">
        <f t="shared" si="29"/>
        <v>1.7729087225746158</v>
      </c>
      <c r="Y80" s="55">
        <v>1.0901000000000001</v>
      </c>
      <c r="Z80" s="49">
        <f t="shared" si="30"/>
        <v>9.0100000000000069</v>
      </c>
      <c r="AA80" s="2">
        <v>23598</v>
      </c>
      <c r="AB80" s="49">
        <f t="shared" si="31"/>
        <v>21647.5552701587</v>
      </c>
      <c r="AC80" s="2"/>
      <c r="AD80" s="50">
        <v>6.1</v>
      </c>
      <c r="AE80">
        <v>162.285281</v>
      </c>
      <c r="AG80">
        <v>130.05784800000001</v>
      </c>
      <c r="AH80">
        <v>75.986925411823123</v>
      </c>
      <c r="AK80">
        <v>27.899879016071626</v>
      </c>
      <c r="AL80">
        <f t="shared" si="41"/>
        <v>0.99699188926495563</v>
      </c>
      <c r="AM80">
        <f t="shared" si="38"/>
        <v>0.99927575531862767</v>
      </c>
      <c r="AN80">
        <f t="shared" si="32"/>
        <v>0.98637060942488719</v>
      </c>
      <c r="AO80">
        <f t="shared" si="42"/>
        <v>-9.0818234026629625</v>
      </c>
      <c r="AQ80">
        <v>1.004</v>
      </c>
      <c r="AR80">
        <f t="shared" si="39"/>
        <v>1.45758498636935</v>
      </c>
      <c r="AS80">
        <f t="shared" si="33"/>
        <v>1.3551944167754892</v>
      </c>
      <c r="AT80">
        <v>0.40000000000000568</v>
      </c>
      <c r="AV80">
        <v>130.05784800000001</v>
      </c>
      <c r="AW80">
        <v>130.05784800000001</v>
      </c>
      <c r="AX80">
        <v>75.986925409999998</v>
      </c>
    </row>
    <row r="81" spans="1:52" ht="15.75" thickBot="1">
      <c r="A81" s="1">
        <v>40756</v>
      </c>
      <c r="B81">
        <v>11935.928999999627</v>
      </c>
      <c r="C81" s="49">
        <f t="shared" si="24"/>
        <v>11036.457697641818</v>
      </c>
      <c r="D81" s="2">
        <f t="shared" si="34"/>
        <v>9.3079732187431707E-2</v>
      </c>
      <c r="E81" s="2">
        <f t="shared" si="40"/>
        <v>0.68887169291931927</v>
      </c>
      <c r="F81" s="55">
        <f t="shared" si="27"/>
        <v>0.21657612158324221</v>
      </c>
      <c r="G81" s="49">
        <v>6.0175404437407121</v>
      </c>
      <c r="J81" s="47">
        <v>28.8569</v>
      </c>
      <c r="K81">
        <f t="shared" si="35"/>
        <v>1.0425331290914608</v>
      </c>
      <c r="L81">
        <f t="shared" si="36"/>
        <v>1.0264391611177508</v>
      </c>
      <c r="M81" s="44">
        <f t="shared" si="28"/>
        <v>1.0188812816356578</v>
      </c>
      <c r="N81" s="2">
        <v>2851.1228442999991</v>
      </c>
      <c r="O81" s="48">
        <f t="shared" si="25"/>
        <v>2636.2670774849735</v>
      </c>
      <c r="R81" s="2">
        <v>2385.1681816197038</v>
      </c>
      <c r="S81" s="44">
        <f t="shared" si="26"/>
        <v>2205.4259654366192</v>
      </c>
      <c r="V81" s="2">
        <v>99.764093730522873</v>
      </c>
      <c r="W81" s="2">
        <f t="shared" si="37"/>
        <v>1.9000417179076177</v>
      </c>
      <c r="X81" s="277">
        <f t="shared" si="29"/>
        <v>1.7687263197459555</v>
      </c>
      <c r="Y81" s="55">
        <v>1.0815000000000001</v>
      </c>
      <c r="Z81" s="49">
        <f t="shared" si="30"/>
        <v>8.1500000000000128</v>
      </c>
      <c r="AA81" s="2">
        <v>23051</v>
      </c>
      <c r="AB81" s="49">
        <f t="shared" si="31"/>
        <v>21313.915857605174</v>
      </c>
      <c r="AC81" s="2"/>
      <c r="AD81" s="50">
        <v>6.2</v>
      </c>
      <c r="AE81">
        <v>184.63221799999999</v>
      </c>
      <c r="AF81">
        <v>1000</v>
      </c>
      <c r="AG81">
        <v>143.21897700000002</v>
      </c>
      <c r="AH81">
        <v>98.963770240349106</v>
      </c>
      <c r="AK81">
        <v>28.767587096774193</v>
      </c>
      <c r="AL81">
        <f t="shared" si="41"/>
        <v>1.0311007829174716</v>
      </c>
      <c r="AM81">
        <f t="shared" si="38"/>
        <v>1.0303540136594849</v>
      </c>
      <c r="AN81">
        <f t="shared" si="32"/>
        <v>1.0170475076247849</v>
      </c>
      <c r="AO81">
        <f t="shared" si="42"/>
        <v>-5.1948263183895591</v>
      </c>
      <c r="AQ81">
        <v>0.96399999999999997</v>
      </c>
      <c r="AR81">
        <f t="shared" si="39"/>
        <v>1.4051119268600534</v>
      </c>
      <c r="AS81">
        <f t="shared" si="33"/>
        <v>1.3064074177715717</v>
      </c>
      <c r="AT81">
        <v>-3.6000000000000085</v>
      </c>
      <c r="AV81">
        <v>143.218977</v>
      </c>
      <c r="AW81">
        <v>143.218977</v>
      </c>
      <c r="AX81">
        <v>98.963770240000002</v>
      </c>
    </row>
    <row r="82" spans="1:52" ht="15.75" thickBot="1">
      <c r="A82" s="1">
        <v>40787</v>
      </c>
      <c r="B82">
        <v>56234.447</v>
      </c>
      <c r="C82" s="49">
        <f t="shared" si="24"/>
        <v>52452.613562167717</v>
      </c>
      <c r="D82" s="2">
        <f t="shared" si="34"/>
        <v>4.7526674771177149</v>
      </c>
      <c r="E82" s="2">
        <f t="shared" si="40"/>
        <v>3.2739780908446705</v>
      </c>
      <c r="F82" s="55">
        <f t="shared" si="27"/>
        <v>1.0293142893689673</v>
      </c>
      <c r="G82" s="49">
        <v>5.9598371683779954</v>
      </c>
      <c r="J82" s="47">
        <v>31.8751</v>
      </c>
      <c r="K82">
        <f t="shared" si="35"/>
        <v>1.1045919693383559</v>
      </c>
      <c r="L82">
        <f t="shared" si="36"/>
        <v>1.1337964543850663</v>
      </c>
      <c r="M82" s="44">
        <f t="shared" si="28"/>
        <v>1.1254480814039194</v>
      </c>
      <c r="N82" s="2">
        <v>2911.5750150999997</v>
      </c>
      <c r="O82" s="48">
        <f t="shared" si="25"/>
        <v>2715.7681327301561</v>
      </c>
      <c r="R82" s="2">
        <v>2415.4012391317351</v>
      </c>
      <c r="S82" s="44">
        <f t="shared" si="26"/>
        <v>2252.9626332727689</v>
      </c>
      <c r="V82" s="2">
        <v>99.955481559165563</v>
      </c>
      <c r="W82" s="2">
        <f t="shared" si="37"/>
        <v>1.8991958489596013</v>
      </c>
      <c r="X82" s="277">
        <f t="shared" si="29"/>
        <v>1.7679389103657763</v>
      </c>
      <c r="Y82" s="55">
        <v>1.0720999999999998</v>
      </c>
      <c r="Z82" s="49">
        <f t="shared" si="30"/>
        <v>7.2099999999999831</v>
      </c>
      <c r="AA82" s="2">
        <v>23468</v>
      </c>
      <c r="AB82" s="49">
        <f t="shared" si="31"/>
        <v>21889.749090569912</v>
      </c>
      <c r="AC82" s="2"/>
      <c r="AD82" s="50">
        <v>6.3</v>
      </c>
      <c r="AE82">
        <v>169.090654</v>
      </c>
      <c r="AG82">
        <v>147.50019500000002</v>
      </c>
      <c r="AH82">
        <v>100.88203134782776</v>
      </c>
      <c r="AK82">
        <v>30.49048997910284</v>
      </c>
      <c r="AL82">
        <f t="shared" si="41"/>
        <v>1.0598904203029889</v>
      </c>
      <c r="AM82">
        <f t="shared" si="38"/>
        <v>1.0920623485984229</v>
      </c>
      <c r="AN82">
        <f t="shared" si="32"/>
        <v>1.0779589103245404</v>
      </c>
      <c r="AO82">
        <f t="shared" si="42"/>
        <v>-1.1220794217799153</v>
      </c>
      <c r="AQ82">
        <v>0.96299999999999997</v>
      </c>
      <c r="AR82">
        <f t="shared" si="39"/>
        <v>1.3531227855662313</v>
      </c>
      <c r="AS82">
        <f t="shared" si="33"/>
        <v>1.2580703433140235</v>
      </c>
      <c r="AT82">
        <v>-3.7000000000000028</v>
      </c>
      <c r="AV82">
        <v>147.50019499999999</v>
      </c>
      <c r="AW82">
        <v>147.50019499999999</v>
      </c>
      <c r="AX82">
        <v>100.88203129999999</v>
      </c>
    </row>
    <row r="83" spans="1:52" ht="15.75" thickBot="1">
      <c r="A83" s="1">
        <v>40817</v>
      </c>
      <c r="B83">
        <v>26476.708869220587</v>
      </c>
      <c r="C83" s="49">
        <f t="shared" si="24"/>
        <v>24700.726624890929</v>
      </c>
      <c r="D83" s="2">
        <f t="shared" si="34"/>
        <v>0.47091507834238255</v>
      </c>
      <c r="E83" s="2">
        <f t="shared" si="40"/>
        <v>1.541765649141362</v>
      </c>
      <c r="F83" s="55">
        <f t="shared" si="27"/>
        <v>0.48471961921712103</v>
      </c>
      <c r="G83" s="49">
        <v>6.2044483953702105</v>
      </c>
      <c r="J83" s="47">
        <v>29.8977</v>
      </c>
      <c r="K83">
        <f t="shared" si="35"/>
        <v>0.93796411619100806</v>
      </c>
      <c r="L83">
        <f t="shared" si="36"/>
        <v>1.0634603892777872</v>
      </c>
      <c r="M83" s="44">
        <f t="shared" si="28"/>
        <v>1.0556299149928927</v>
      </c>
      <c r="N83" s="2">
        <v>2961.1845545692208</v>
      </c>
      <c r="O83" s="48">
        <f t="shared" si="25"/>
        <v>2762.556725971845</v>
      </c>
      <c r="R83" s="2">
        <v>2518.3684861180727</v>
      </c>
      <c r="S83" s="44">
        <f t="shared" si="26"/>
        <v>2349.4434985708299</v>
      </c>
      <c r="V83" s="2">
        <v>100.48173833243965</v>
      </c>
      <c r="W83" s="2">
        <f t="shared" si="37"/>
        <v>1.9083450033721423</v>
      </c>
      <c r="X83" s="277">
        <f t="shared" si="29"/>
        <v>1.776455749791124</v>
      </c>
      <c r="Y83" s="55">
        <v>1.0719000000000001</v>
      </c>
      <c r="Z83" s="49">
        <f t="shared" si="30"/>
        <v>7.1900000000000075</v>
      </c>
      <c r="AA83" s="2">
        <v>23602</v>
      </c>
      <c r="AB83" s="49">
        <f t="shared" si="31"/>
        <v>22018.845041515066</v>
      </c>
      <c r="AC83" s="2"/>
      <c r="AD83" s="50">
        <v>6.9</v>
      </c>
      <c r="AE83">
        <v>172.54658600000002</v>
      </c>
      <c r="AG83">
        <v>153.15766600000001</v>
      </c>
      <c r="AH83">
        <v>83.613903576407608</v>
      </c>
      <c r="AK83">
        <v>31.35118847873607</v>
      </c>
      <c r="AL83">
        <f t="shared" si="41"/>
        <v>1.0282284246735007</v>
      </c>
      <c r="AM83">
        <f t="shared" si="38"/>
        <v>1.1228895483445998</v>
      </c>
      <c r="AN83">
        <f t="shared" si="32"/>
        <v>1.1083879922257656</v>
      </c>
      <c r="AO83">
        <f t="shared" si="42"/>
        <v>3.4187541357227076</v>
      </c>
      <c r="AQ83">
        <v>0.99099999999999999</v>
      </c>
      <c r="AR83">
        <f t="shared" si="39"/>
        <v>1.3409446804961351</v>
      </c>
      <c r="AS83">
        <f t="shared" si="33"/>
        <v>1.2467477102241971</v>
      </c>
      <c r="AT83">
        <v>-0.90000000000000568</v>
      </c>
      <c r="AV83">
        <v>153.15766600000001</v>
      </c>
      <c r="AW83">
        <v>153.15766600000001</v>
      </c>
      <c r="AX83">
        <v>83.613903579999999</v>
      </c>
    </row>
    <row r="84" spans="1:52" ht="15.75" thickBot="1">
      <c r="A84" s="1">
        <v>40848</v>
      </c>
      <c r="B84">
        <v>143519.231</v>
      </c>
      <c r="C84" s="49">
        <f t="shared" si="24"/>
        <v>134406.47218580259</v>
      </c>
      <c r="D84" s="2">
        <f t="shared" si="34"/>
        <v>5.4413975032767317</v>
      </c>
      <c r="E84" s="2">
        <f t="shared" si="40"/>
        <v>8.3893597538756364</v>
      </c>
      <c r="F84" s="55">
        <f t="shared" si="27"/>
        <v>2.6375521257972903</v>
      </c>
      <c r="G84" s="49">
        <v>6.170201454489824</v>
      </c>
      <c r="J84" s="47">
        <v>31.3216</v>
      </c>
      <c r="K84">
        <f t="shared" si="35"/>
        <v>1.0476257370968336</v>
      </c>
      <c r="L84">
        <f t="shared" si="36"/>
        <v>1.1141084741904275</v>
      </c>
      <c r="M84" s="44">
        <f t="shared" si="28"/>
        <v>1.1059050677958973</v>
      </c>
      <c r="N84" s="2">
        <v>3044.4420570000002</v>
      </c>
      <c r="O84" s="48">
        <f t="shared" si="25"/>
        <v>2851.1350973965164</v>
      </c>
      <c r="R84" s="2">
        <v>2580.9439639825387</v>
      </c>
      <c r="S84" s="44">
        <f t="shared" si="26"/>
        <v>2417.0668327238609</v>
      </c>
      <c r="V84" s="2">
        <v>100.42001163353727</v>
      </c>
      <c r="W84" s="2">
        <f t="shared" si="37"/>
        <v>1.9163602743943324</v>
      </c>
      <c r="X84" s="277">
        <f t="shared" si="29"/>
        <v>1.7839170706048884</v>
      </c>
      <c r="Y84" s="55">
        <v>1.0678000000000001</v>
      </c>
      <c r="Z84" s="49">
        <f t="shared" si="30"/>
        <v>6.7800000000000082</v>
      </c>
      <c r="AA84" s="2">
        <v>24296</v>
      </c>
      <c r="AB84" s="49">
        <f t="shared" si="31"/>
        <v>22753.324592620338</v>
      </c>
      <c r="AC84" s="2"/>
      <c r="AD84" s="50">
        <v>7.3</v>
      </c>
      <c r="AE84">
        <v>161.13404299999999</v>
      </c>
      <c r="AG84">
        <v>135.821707</v>
      </c>
      <c r="AH84">
        <v>76.856490731899896</v>
      </c>
      <c r="AK84">
        <v>30.859668077684919</v>
      </c>
      <c r="AL84">
        <f t="shared" si="41"/>
        <v>0.98432211265660552</v>
      </c>
      <c r="AM84">
        <f t="shared" si="38"/>
        <v>1.1052850125065781</v>
      </c>
      <c r="AN84">
        <f t="shared" si="32"/>
        <v>1.0910108101508789</v>
      </c>
      <c r="AO84">
        <f t="shared" si="42"/>
        <v>-0.45268362037123211</v>
      </c>
      <c r="AQ84">
        <v>1.0369999999999999</v>
      </c>
      <c r="AR84">
        <f t="shared" si="39"/>
        <v>1.3905596336744921</v>
      </c>
      <c r="AS84">
        <f t="shared" si="33"/>
        <v>1.2928773755024923</v>
      </c>
      <c r="AT84">
        <v>3.6999999999999886</v>
      </c>
      <c r="AV84">
        <v>135.821707</v>
      </c>
      <c r="AW84">
        <v>135.821707</v>
      </c>
      <c r="AX84">
        <v>76.856490730000004</v>
      </c>
    </row>
    <row r="85" spans="1:52" ht="15.75" thickBot="1">
      <c r="A85" s="1">
        <v>40878</v>
      </c>
      <c r="B85">
        <v>742231.90599999996</v>
      </c>
      <c r="C85" s="49">
        <f t="shared" si="24"/>
        <v>699558.81809613574</v>
      </c>
      <c r="D85" s="2">
        <f t="shared" si="34"/>
        <v>5.2048000867775954</v>
      </c>
      <c r="E85" s="2">
        <f t="shared" si="40"/>
        <v>43.664940374980375</v>
      </c>
      <c r="F85" s="55">
        <f t="shared" si="27"/>
        <v>13.727931533230167</v>
      </c>
      <c r="G85" s="49">
        <v>5.9922713184778473</v>
      </c>
      <c r="J85" s="47">
        <v>32.196100000000001</v>
      </c>
      <c r="K85">
        <f t="shared" si="35"/>
        <v>1.0279200296281161</v>
      </c>
      <c r="L85">
        <f t="shared" si="36"/>
        <v>1.1452144157987594</v>
      </c>
      <c r="M85" s="44">
        <f t="shared" si="28"/>
        <v>1.1367819700546422</v>
      </c>
      <c r="N85" s="2">
        <v>4509.9810253000005</v>
      </c>
      <c r="O85" s="48">
        <f t="shared" si="25"/>
        <v>4250.6889965127248</v>
      </c>
      <c r="R85" s="2">
        <v>3622.3597831691482</v>
      </c>
      <c r="S85" s="44">
        <f t="shared" si="26"/>
        <v>3414.0997013846827</v>
      </c>
      <c r="V85" s="2">
        <v>100.44370739310033</v>
      </c>
      <c r="W85" s="2">
        <f t="shared" si="37"/>
        <v>1.9248633066102578</v>
      </c>
      <c r="X85" s="277">
        <f t="shared" si="29"/>
        <v>1.7918324425339411</v>
      </c>
      <c r="Y85" s="55">
        <v>1.0609999999999999</v>
      </c>
      <c r="Z85" s="49">
        <f t="shared" si="30"/>
        <v>6.0999999999999943</v>
      </c>
      <c r="AA85" s="3">
        <v>32809</v>
      </c>
      <c r="AB85" s="49">
        <f t="shared" si="31"/>
        <v>30922.714420358156</v>
      </c>
      <c r="AC85" s="3"/>
      <c r="AD85" s="50">
        <v>7.8</v>
      </c>
      <c r="AE85">
        <v>150.55439199999998</v>
      </c>
      <c r="AG85">
        <v>164.43554699999999</v>
      </c>
      <c r="AH85">
        <v>116.48409769169253</v>
      </c>
      <c r="AK85">
        <v>31.452640178260808</v>
      </c>
      <c r="AL85">
        <f t="shared" si="41"/>
        <v>1.0192151159592242</v>
      </c>
      <c r="AM85">
        <f t="shared" si="38"/>
        <v>1.1265231921898846</v>
      </c>
      <c r="AN85">
        <f t="shared" si="32"/>
        <v>1.1119747093806953</v>
      </c>
      <c r="AO85">
        <f t="shared" si="42"/>
        <v>1.953452765837298</v>
      </c>
      <c r="AQ85">
        <v>0.999</v>
      </c>
      <c r="AR85">
        <f t="shared" si="39"/>
        <v>1.3891690740408176</v>
      </c>
      <c r="AS85">
        <f t="shared" si="33"/>
        <v>1.2915844981269897</v>
      </c>
      <c r="AT85">
        <v>-9.9999999999994316E-2</v>
      </c>
      <c r="AV85">
        <v>164.43554700000001</v>
      </c>
      <c r="AW85">
        <v>164.43554700000001</v>
      </c>
      <c r="AX85">
        <v>116.48409770000001</v>
      </c>
    </row>
    <row r="86" spans="1:52" ht="15.75" thickBot="1">
      <c r="A86" s="1">
        <v>40909</v>
      </c>
      <c r="B86">
        <v>-160.06071299999999</v>
      </c>
      <c r="C86" s="49">
        <f t="shared" si="24"/>
        <v>-153.66811923963135</v>
      </c>
      <c r="D86" s="2">
        <f t="shared" si="34"/>
        <v>-2.1966433023865302E-4</v>
      </c>
      <c r="E86" s="2">
        <f t="shared" si="40"/>
        <v>-9.5916298823807821E-3</v>
      </c>
      <c r="F86" s="55">
        <f t="shared" si="27"/>
        <v>-3.0155368858090894E-3</v>
      </c>
      <c r="G86" s="49">
        <v>6.344815024462096</v>
      </c>
      <c r="J86" s="47">
        <v>30.364699999999999</v>
      </c>
      <c r="K86">
        <f t="shared" si="35"/>
        <v>0.94311733408704779</v>
      </c>
      <c r="L86">
        <f t="shared" si="36"/>
        <v>1.0800715667861818</v>
      </c>
      <c r="M86" s="44">
        <f t="shared" si="28"/>
        <v>1.0721187810361563</v>
      </c>
      <c r="N86">
        <v>2304.1999999999998</v>
      </c>
      <c r="O86" s="48">
        <f t="shared" si="25"/>
        <v>2212.1735791090632</v>
      </c>
      <c r="R86" s="2">
        <v>1911.894359591477</v>
      </c>
      <c r="S86" s="44">
        <f t="shared" si="26"/>
        <v>1835.5360595156271</v>
      </c>
      <c r="V86" s="2">
        <v>100.49887620000001</v>
      </c>
      <c r="W86" s="2">
        <f t="shared" si="37"/>
        <v>1.9344659915294697</v>
      </c>
      <c r="X86" s="277">
        <f t="shared" si="29"/>
        <v>1.800771468133622</v>
      </c>
      <c r="Y86" s="55">
        <v>1.0415999999999999</v>
      </c>
      <c r="Z86" s="49">
        <f t="shared" si="30"/>
        <v>4.1599999999999859</v>
      </c>
      <c r="AA86" s="2">
        <v>23746</v>
      </c>
      <c r="AB86" s="49">
        <f t="shared" si="31"/>
        <v>22797.61904761905</v>
      </c>
      <c r="AC86" s="2"/>
      <c r="AD86" s="50">
        <v>7.6</v>
      </c>
      <c r="AE86">
        <v>136.524742</v>
      </c>
      <c r="AG86" s="44">
        <v>110.668656</v>
      </c>
      <c r="AH86" s="44">
        <v>60.759212871201427</v>
      </c>
      <c r="AI86" s="44"/>
      <c r="AJ86" s="44"/>
      <c r="AK86">
        <v>31.509509361641108</v>
      </c>
      <c r="AL86">
        <f t="shared" si="41"/>
        <v>1.0018080893387007</v>
      </c>
      <c r="AM86">
        <f t="shared" si="38"/>
        <v>1.1285600467634822</v>
      </c>
      <c r="AN86">
        <f t="shared" si="32"/>
        <v>1.1139852589976313</v>
      </c>
      <c r="AO86">
        <f t="shared" si="42"/>
        <v>4.737499958189801</v>
      </c>
      <c r="AQ86">
        <v>1.0069999999999999</v>
      </c>
      <c r="AR86">
        <f t="shared" si="39"/>
        <v>1.3988932575591031</v>
      </c>
      <c r="AS86">
        <f t="shared" si="33"/>
        <v>1.3006255896138785</v>
      </c>
      <c r="AT86">
        <v>0.69999999999998863</v>
      </c>
      <c r="AV86">
        <v>110.668656</v>
      </c>
      <c r="AW86">
        <v>110.668656</v>
      </c>
      <c r="AX86">
        <v>60.759212869999999</v>
      </c>
      <c r="AZ86">
        <f t="shared" ref="AZ86:AZ120" si="43">AV86-AX86</f>
        <v>49.90944313</v>
      </c>
    </row>
    <row r="87" spans="1:52" ht="15.75" thickBot="1">
      <c r="A87" s="1">
        <v>40940</v>
      </c>
      <c r="B87">
        <v>174.990262</v>
      </c>
      <c r="C87" s="49">
        <f t="shared" si="24"/>
        <v>168.69783283524532</v>
      </c>
      <c r="D87" s="2">
        <f t="shared" si="34"/>
        <v>-1.0978063222871655</v>
      </c>
      <c r="E87" s="2">
        <f t="shared" si="40"/>
        <v>1.0529751925916124E-2</v>
      </c>
      <c r="F87" s="55">
        <f t="shared" si="27"/>
        <v>3.3104754583313687E-3</v>
      </c>
      <c r="G87" s="49">
        <v>6.2309218732863147</v>
      </c>
      <c r="J87" s="47">
        <v>28.950299999999999</v>
      </c>
      <c r="K87">
        <f t="shared" si="35"/>
        <v>0.95341959578062685</v>
      </c>
      <c r="L87">
        <f t="shared" si="36"/>
        <v>1.0297613966194297</v>
      </c>
      <c r="M87" s="44">
        <f t="shared" si="28"/>
        <v>1.0221790548443106</v>
      </c>
      <c r="N87">
        <v>2919.4</v>
      </c>
      <c r="O87" s="48">
        <f t="shared" si="25"/>
        <v>2814.4220572640506</v>
      </c>
      <c r="R87" s="2">
        <v>2425.4580156890802</v>
      </c>
      <c r="S87" s="44">
        <f t="shared" si="26"/>
        <v>2338.2416038649185</v>
      </c>
      <c r="V87" s="2">
        <v>100.374683424062</v>
      </c>
      <c r="W87" s="2">
        <f t="shared" si="37"/>
        <v>1.9417141149438473</v>
      </c>
      <c r="X87" s="277">
        <f t="shared" si="29"/>
        <v>1.8075186603299565</v>
      </c>
      <c r="Y87" s="55">
        <v>1.0373000000000001</v>
      </c>
      <c r="Z87" s="49">
        <f t="shared" si="30"/>
        <v>3.7300000000000111</v>
      </c>
      <c r="AA87" s="2">
        <v>24036</v>
      </c>
      <c r="AB87" s="49">
        <f t="shared" si="31"/>
        <v>23171.695748578037</v>
      </c>
      <c r="AC87" s="2"/>
      <c r="AD87" s="50">
        <v>7.2</v>
      </c>
      <c r="AE87">
        <v>139.64189999999999</v>
      </c>
      <c r="AG87" s="44">
        <v>153.57584199999999</v>
      </c>
      <c r="AH87" s="44">
        <v>75.990600467532019</v>
      </c>
      <c r="AI87" s="44"/>
      <c r="AJ87" s="44"/>
      <c r="AK87">
        <v>29.881959233158241</v>
      </c>
      <c r="AL87">
        <f t="shared" si="41"/>
        <v>0.9483473350916658</v>
      </c>
      <c r="AM87">
        <f t="shared" si="38"/>
        <v>1.070266912839074</v>
      </c>
      <c r="AN87">
        <f t="shared" si="32"/>
        <v>1.0564449517018029</v>
      </c>
      <c r="AO87">
        <f t="shared" si="42"/>
        <v>2.0063709672149628</v>
      </c>
      <c r="AQ87">
        <v>1.0329999999999999</v>
      </c>
      <c r="AR87">
        <f t="shared" si="39"/>
        <v>1.4450567350585535</v>
      </c>
      <c r="AS87">
        <f t="shared" si="33"/>
        <v>1.3435462340711366</v>
      </c>
      <c r="AT87">
        <v>3.2999999999999972</v>
      </c>
      <c r="AV87">
        <v>153.57584199999999</v>
      </c>
      <c r="AW87">
        <v>153.57584199999999</v>
      </c>
      <c r="AX87">
        <v>75.990600470000004</v>
      </c>
      <c r="AZ87">
        <f t="shared" si="43"/>
        <v>77.58524152999999</v>
      </c>
    </row>
    <row r="88" spans="1:52" ht="15.75" thickBot="1">
      <c r="A88" s="1">
        <v>40969</v>
      </c>
      <c r="B88">
        <v>126.61255199999998</v>
      </c>
      <c r="C88" s="49">
        <f t="shared" si="24"/>
        <v>122.09503567984569</v>
      </c>
      <c r="D88" s="2">
        <f t="shared" si="34"/>
        <v>0.72374987649715017</v>
      </c>
      <c r="E88" s="2">
        <f t="shared" si="40"/>
        <v>7.6209066559274237E-3</v>
      </c>
      <c r="F88" s="55">
        <f t="shared" si="27"/>
        <v>2.3959562041141746E-3</v>
      </c>
      <c r="G88" s="49">
        <v>6.2896036764157603</v>
      </c>
      <c r="J88" s="47">
        <v>29.328199999999999</v>
      </c>
      <c r="K88">
        <f t="shared" si="35"/>
        <v>1.0130534053187705</v>
      </c>
      <c r="L88">
        <f t="shared" si="36"/>
        <v>1.0432032895111263</v>
      </c>
      <c r="M88" s="44">
        <f t="shared" si="28"/>
        <v>1.0355219723555511</v>
      </c>
      <c r="N88">
        <v>2982.5</v>
      </c>
      <c r="O88" s="48">
        <f t="shared" si="25"/>
        <v>2876.0848601735779</v>
      </c>
      <c r="R88" s="2">
        <v>2413.9990526842539</v>
      </c>
      <c r="S88" s="44">
        <f t="shared" si="26"/>
        <v>2327.8679389433501</v>
      </c>
      <c r="V88" s="2">
        <v>100.58145259790042</v>
      </c>
      <c r="W88" s="2">
        <f t="shared" si="37"/>
        <v>1.9530042621089876</v>
      </c>
      <c r="X88" s="277">
        <f t="shared" si="29"/>
        <v>1.8180285245379801</v>
      </c>
      <c r="Y88" s="55">
        <v>1.0369999999999999</v>
      </c>
      <c r="Z88" s="49">
        <f t="shared" si="30"/>
        <v>3.6999999999999922</v>
      </c>
      <c r="AA88" s="2">
        <v>25487</v>
      </c>
      <c r="AB88" s="49">
        <f t="shared" si="31"/>
        <v>24577.627772420445</v>
      </c>
      <c r="AC88" s="2"/>
      <c r="AD88" s="50">
        <v>7</v>
      </c>
      <c r="AE88">
        <v>158.37721500000001</v>
      </c>
      <c r="AG88" s="44">
        <v>158.97160099999999</v>
      </c>
      <c r="AH88" s="44">
        <v>67.121186661266577</v>
      </c>
      <c r="AI88" s="44"/>
      <c r="AJ88" s="44"/>
      <c r="AK88">
        <v>29.367220397819832</v>
      </c>
      <c r="AL88">
        <f t="shared" si="41"/>
        <v>0.98277426084005781</v>
      </c>
      <c r="AM88">
        <f t="shared" si="38"/>
        <v>1.0518307741669917</v>
      </c>
      <c r="AN88">
        <f t="shared" si="32"/>
        <v>1.03824690652695</v>
      </c>
      <c r="AO88">
        <f t="shared" si="42"/>
        <v>3.2934083470712778</v>
      </c>
      <c r="AQ88">
        <v>1.02</v>
      </c>
      <c r="AR88">
        <f t="shared" si="39"/>
        <v>1.4739578697597246</v>
      </c>
      <c r="AS88">
        <f t="shared" si="33"/>
        <v>1.3704171587525593</v>
      </c>
      <c r="AT88">
        <v>2</v>
      </c>
      <c r="AV88">
        <v>158.97160099999999</v>
      </c>
      <c r="AW88">
        <v>158.97160099999999</v>
      </c>
      <c r="AX88">
        <v>67.121186660000006</v>
      </c>
      <c r="AZ88">
        <f t="shared" si="43"/>
        <v>91.850414339999986</v>
      </c>
    </row>
    <row r="89" spans="1:52" ht="15.75" thickBot="1">
      <c r="A89" s="1">
        <v>41000</v>
      </c>
      <c r="B89">
        <v>292.87280700000019</v>
      </c>
      <c r="C89" s="49">
        <f t="shared" si="24"/>
        <v>282.77764507096674</v>
      </c>
      <c r="D89" s="2">
        <f t="shared" si="34"/>
        <v>2.3160453944455091</v>
      </c>
      <c r="E89" s="2">
        <f t="shared" si="40"/>
        <v>1.7650365761959837E-2</v>
      </c>
      <c r="F89" s="55">
        <f t="shared" si="27"/>
        <v>5.5491433318317785E-3</v>
      </c>
      <c r="G89" s="49">
        <v>5.589202032711186</v>
      </c>
      <c r="J89" s="47">
        <v>29.3627</v>
      </c>
      <c r="K89">
        <f t="shared" si="35"/>
        <v>1.0011763422235256</v>
      </c>
      <c r="L89">
        <f t="shared" si="36"/>
        <v>1.0444304535882991</v>
      </c>
      <c r="M89" s="44">
        <f t="shared" si="28"/>
        <v>1.0367401005750216</v>
      </c>
      <c r="N89">
        <v>3197</v>
      </c>
      <c r="O89" s="48">
        <f t="shared" si="25"/>
        <v>3086.8011972578938</v>
      </c>
      <c r="R89" s="2">
        <v>2665.856172886175</v>
      </c>
      <c r="S89" s="44">
        <f t="shared" si="26"/>
        <v>2573.9656009328719</v>
      </c>
      <c r="V89" s="2">
        <v>100.30584750329196</v>
      </c>
      <c r="W89" s="2">
        <f t="shared" si="37"/>
        <v>1.9589774768838337</v>
      </c>
      <c r="X89" s="277">
        <f t="shared" si="29"/>
        <v>1.8235889193894155</v>
      </c>
      <c r="Y89" s="55">
        <v>1.0356999999999998</v>
      </c>
      <c r="Z89" s="49">
        <f t="shared" si="30"/>
        <v>3.5699999999999843</v>
      </c>
      <c r="AA89" s="2">
        <v>25800</v>
      </c>
      <c r="AB89" s="49">
        <f t="shared" si="31"/>
        <v>24910.6884232886</v>
      </c>
      <c r="AC89" s="2"/>
      <c r="AD89" s="50">
        <v>7.7</v>
      </c>
      <c r="AE89">
        <v>161.08120000000002</v>
      </c>
      <c r="AG89" s="44">
        <v>125.54175500000001</v>
      </c>
      <c r="AH89" s="44">
        <v>77.192728147963834</v>
      </c>
      <c r="AI89" s="44"/>
      <c r="AJ89" s="44"/>
      <c r="AK89">
        <v>29.474463333333329</v>
      </c>
      <c r="AL89">
        <f t="shared" si="41"/>
        <v>1.0036517904677644</v>
      </c>
      <c r="AM89">
        <f t="shared" si="38"/>
        <v>1.0556718397617959</v>
      </c>
      <c r="AN89">
        <f t="shared" si="32"/>
        <v>1.0420383666833908</v>
      </c>
      <c r="AO89">
        <f t="shared" si="42"/>
        <v>4.8765271252473354</v>
      </c>
      <c r="AQ89">
        <v>0.997</v>
      </c>
      <c r="AR89">
        <f t="shared" si="39"/>
        <v>1.4695359961504455</v>
      </c>
      <c r="AS89">
        <f t="shared" si="33"/>
        <v>1.3663059072763017</v>
      </c>
      <c r="AT89">
        <v>-0.29999999999999716</v>
      </c>
      <c r="AV89">
        <v>125.54175499999999</v>
      </c>
      <c r="AW89">
        <v>125.54175499999999</v>
      </c>
      <c r="AX89">
        <v>77.192728149999894</v>
      </c>
      <c r="AZ89">
        <f t="shared" si="43"/>
        <v>48.349026850000101</v>
      </c>
    </row>
    <row r="90" spans="1:52" ht="15.75" thickBot="1">
      <c r="A90" s="1">
        <v>41030</v>
      </c>
      <c r="B90">
        <v>124.45743900000062</v>
      </c>
      <c r="C90" s="49">
        <f t="shared" si="24"/>
        <v>120.12106842968885</v>
      </c>
      <c r="D90" s="2">
        <f t="shared" si="34"/>
        <v>0.42478983230637946</v>
      </c>
      <c r="E90" s="2">
        <f t="shared" si="40"/>
        <v>7.4976959121691809E-3</v>
      </c>
      <c r="F90" s="55">
        <f t="shared" si="27"/>
        <v>2.3572196653728851E-3</v>
      </c>
      <c r="G90" s="49">
        <v>5.2389374759226328</v>
      </c>
      <c r="J90" s="47">
        <v>32.450899999999997</v>
      </c>
      <c r="K90">
        <f t="shared" si="35"/>
        <v>1.1051742516866636</v>
      </c>
      <c r="L90">
        <f t="shared" si="36"/>
        <v>1.1542776449832111</v>
      </c>
      <c r="M90" s="44">
        <f t="shared" si="28"/>
        <v>1.1457784648465557</v>
      </c>
      <c r="N90">
        <v>3047</v>
      </c>
      <c r="O90" s="48">
        <f t="shared" si="25"/>
        <v>2940.8358266576583</v>
      </c>
      <c r="R90" s="2">
        <v>2492.8750920951989</v>
      </c>
      <c r="S90" s="44">
        <f t="shared" si="26"/>
        <v>2406.0178477899804</v>
      </c>
      <c r="V90" s="2">
        <v>100.52252420833585</v>
      </c>
      <c r="W90" s="2">
        <f t="shared" si="37"/>
        <v>1.9692136084363987</v>
      </c>
      <c r="X90" s="277">
        <f t="shared" si="29"/>
        <v>1.8331176129537554</v>
      </c>
      <c r="Y90" s="55">
        <v>1.0361</v>
      </c>
      <c r="Z90" s="49">
        <f t="shared" si="30"/>
        <v>3.6100000000000021</v>
      </c>
      <c r="AA90" s="2">
        <v>26385</v>
      </c>
      <c r="AB90" s="49">
        <f t="shared" si="31"/>
        <v>25465.688640092656</v>
      </c>
      <c r="AC90" s="2"/>
      <c r="AD90" s="50">
        <v>7.9</v>
      </c>
      <c r="AE90">
        <v>187.791483</v>
      </c>
      <c r="AG90" s="44">
        <v>140.56387700000002</v>
      </c>
      <c r="AH90" s="44">
        <v>89.3016966867809</v>
      </c>
      <c r="AI90" s="44"/>
      <c r="AJ90" s="44"/>
      <c r="AK90">
        <v>30.648196938203956</v>
      </c>
      <c r="AL90">
        <f t="shared" si="41"/>
        <v>1.039822051773992</v>
      </c>
      <c r="AM90">
        <f t="shared" si="38"/>
        <v>1.0977108584211355</v>
      </c>
      <c r="AN90">
        <f t="shared" si="32"/>
        <v>1.0835344724719429</v>
      </c>
      <c r="AO90">
        <f t="shared" si="42"/>
        <v>9.9701310693568672</v>
      </c>
      <c r="AQ90">
        <v>0.98299999999999998</v>
      </c>
      <c r="AR90">
        <f t="shared" si="39"/>
        <v>1.4445538842158878</v>
      </c>
      <c r="AS90">
        <f t="shared" si="33"/>
        <v>1.3430787068526044</v>
      </c>
      <c r="AT90">
        <v>-1.7000000000000028</v>
      </c>
      <c r="AV90">
        <v>140.56387699999999</v>
      </c>
      <c r="AW90">
        <v>140.56387699999999</v>
      </c>
      <c r="AX90">
        <v>89.30169669</v>
      </c>
      <c r="AZ90">
        <f t="shared" si="43"/>
        <v>51.262180309999991</v>
      </c>
    </row>
    <row r="91" spans="1:52" ht="15.75" thickBot="1">
      <c r="A91" s="1">
        <v>41061</v>
      </c>
      <c r="B91">
        <v>306.46877299999994</v>
      </c>
      <c r="C91" s="49">
        <f t="shared" si="24"/>
        <v>293.86208936619033</v>
      </c>
      <c r="D91" s="2">
        <f t="shared" si="34"/>
        <v>2.4463825805728519</v>
      </c>
      <c r="E91" s="2">
        <f t="shared" si="40"/>
        <v>1.8342232673962962E-2</v>
      </c>
      <c r="F91" s="55">
        <f t="shared" si="27"/>
        <v>5.7666611279519929E-3</v>
      </c>
      <c r="G91" s="49">
        <v>5.2093988946764194</v>
      </c>
      <c r="J91" s="47">
        <v>32.816899999999997</v>
      </c>
      <c r="K91">
        <f t="shared" si="35"/>
        <v>1.0112785777898301</v>
      </c>
      <c r="L91">
        <f t="shared" si="36"/>
        <v>1.167296255193216</v>
      </c>
      <c r="M91" s="44">
        <f t="shared" si="28"/>
        <v>1.1587012163922397</v>
      </c>
      <c r="N91">
        <v>3451.4</v>
      </c>
      <c r="O91" s="48">
        <f t="shared" si="25"/>
        <v>3309.4256400421896</v>
      </c>
      <c r="R91" s="2">
        <v>2764.1217261735501</v>
      </c>
      <c r="S91" s="44">
        <f t="shared" si="26"/>
        <v>2650.4187613132131</v>
      </c>
      <c r="V91" s="2">
        <v>100.88556205034725</v>
      </c>
      <c r="W91" s="2">
        <f t="shared" si="37"/>
        <v>1.986652216842985</v>
      </c>
      <c r="X91" s="277">
        <f t="shared" si="29"/>
        <v>1.8493510068723049</v>
      </c>
      <c r="Y91" s="55">
        <v>1.0429000000000002</v>
      </c>
      <c r="Z91" s="49">
        <f t="shared" si="30"/>
        <v>4.290000000000016</v>
      </c>
      <c r="AA91" s="2">
        <v>27494</v>
      </c>
      <c r="AB91" s="49">
        <f t="shared" si="31"/>
        <v>26363.026177006421</v>
      </c>
      <c r="AC91" s="2"/>
      <c r="AD91" s="50">
        <v>8</v>
      </c>
      <c r="AE91">
        <v>172.50412499999999</v>
      </c>
      <c r="AG91" s="44">
        <v>156.18539999999999</v>
      </c>
      <c r="AH91" s="44">
        <v>104.3935751652553</v>
      </c>
      <c r="AI91" s="44"/>
      <c r="AJ91" s="44"/>
      <c r="AK91">
        <v>32.91316488263864</v>
      </c>
      <c r="AL91">
        <f t="shared" si="41"/>
        <v>1.0739021596931639</v>
      </c>
      <c r="AM91">
        <f t="shared" si="38"/>
        <v>1.1788340615770942</v>
      </c>
      <c r="AN91">
        <f t="shared" si="32"/>
        <v>1.1636100100896125</v>
      </c>
      <c r="AO91">
        <f t="shared" si="42"/>
        <v>17.613981118442879</v>
      </c>
      <c r="AQ91">
        <v>0.95799999999999996</v>
      </c>
      <c r="AR91">
        <f t="shared" si="39"/>
        <v>1.3838826210788204</v>
      </c>
      <c r="AS91">
        <f t="shared" si="33"/>
        <v>1.286669401164795</v>
      </c>
      <c r="AT91">
        <v>-4.2000000000000028</v>
      </c>
      <c r="AV91">
        <v>156.18539999999999</v>
      </c>
      <c r="AW91">
        <v>156.18539999999999</v>
      </c>
      <c r="AX91">
        <v>104.3935752</v>
      </c>
      <c r="AZ91">
        <f t="shared" si="43"/>
        <v>51.791824799999986</v>
      </c>
    </row>
    <row r="92" spans="1:52" ht="15.75" thickBot="1">
      <c r="A92" s="1">
        <v>41091</v>
      </c>
      <c r="B92">
        <v>53.312834999999218</v>
      </c>
      <c r="C92" s="49">
        <f t="shared" si="24"/>
        <v>50.495202689902648</v>
      </c>
      <c r="D92" s="2">
        <f t="shared" si="34"/>
        <v>0.17183299417360048</v>
      </c>
      <c r="E92" s="2">
        <f t="shared" si="40"/>
        <v>3.1518007601959021E-3</v>
      </c>
      <c r="F92" s="55">
        <f t="shared" si="27"/>
        <v>9.9090264800050318E-4</v>
      </c>
      <c r="G92" s="49">
        <v>5.191885735490823</v>
      </c>
      <c r="J92" s="47">
        <v>32.188099999999999</v>
      </c>
      <c r="K92">
        <f t="shared" si="35"/>
        <v>0.98083914080854684</v>
      </c>
      <c r="L92">
        <f t="shared" si="36"/>
        <v>1.1449298560127483</v>
      </c>
      <c r="M92" s="44">
        <f t="shared" si="28"/>
        <v>1.1364995055399825</v>
      </c>
      <c r="N92">
        <v>3296.3</v>
      </c>
      <c r="O92" s="48">
        <f t="shared" si="25"/>
        <v>3122.087516575109</v>
      </c>
      <c r="R92" s="2">
        <v>2665.6175692012375</v>
      </c>
      <c r="S92" s="44">
        <f t="shared" si="26"/>
        <v>2524.7372316738374</v>
      </c>
      <c r="V92" s="2">
        <v>101.22688644428504</v>
      </c>
      <c r="W92" s="2">
        <f t="shared" si="37"/>
        <v>2.0110261835865195</v>
      </c>
      <c r="X92" s="277">
        <f t="shared" si="29"/>
        <v>1.8720404436828699</v>
      </c>
      <c r="Y92" s="55">
        <v>1.0558000000000001</v>
      </c>
      <c r="Z92" s="49">
        <f t="shared" si="30"/>
        <v>5.5800000000000072</v>
      </c>
      <c r="AA92" s="2">
        <v>26684</v>
      </c>
      <c r="AB92" s="49">
        <f t="shared" si="31"/>
        <v>25273.726084485697</v>
      </c>
      <c r="AC92" s="2"/>
      <c r="AD92" s="50">
        <v>7.8</v>
      </c>
      <c r="AE92">
        <v>188.58142800000002</v>
      </c>
      <c r="AG92" s="44">
        <v>203.32083900000001</v>
      </c>
      <c r="AH92" s="44">
        <v>71.960229517259094</v>
      </c>
      <c r="AI92" s="44"/>
      <c r="AJ92" s="44"/>
      <c r="AK92">
        <v>32.500407017804847</v>
      </c>
      <c r="AL92">
        <f t="shared" si="41"/>
        <v>0.98745918642872543</v>
      </c>
      <c r="AM92">
        <f t="shared" si="38"/>
        <v>1.1640505233793874</v>
      </c>
      <c r="AN92">
        <f t="shared" si="32"/>
        <v>1.1490173938834096</v>
      </c>
      <c r="AO92">
        <f t="shared" si="42"/>
        <v>16.48941918021616</v>
      </c>
      <c r="AQ92">
        <v>1.03</v>
      </c>
      <c r="AR92">
        <f t="shared" si="39"/>
        <v>1.4253990997111852</v>
      </c>
      <c r="AS92">
        <f t="shared" si="33"/>
        <v>1.3252694831997389</v>
      </c>
      <c r="AT92">
        <v>3</v>
      </c>
      <c r="AV92">
        <v>203.32083900000001</v>
      </c>
      <c r="AW92">
        <v>203.32083900000001</v>
      </c>
      <c r="AX92">
        <v>71.960229519999999</v>
      </c>
      <c r="AZ92">
        <f t="shared" si="43"/>
        <v>131.36060947999999</v>
      </c>
    </row>
    <row r="93" spans="1:52" ht="15.75" thickBot="1">
      <c r="A93" s="1">
        <v>41122</v>
      </c>
      <c r="B93">
        <v>153.23326200000005</v>
      </c>
      <c r="C93" s="49">
        <f t="shared" si="24"/>
        <v>144.64155370964704</v>
      </c>
      <c r="D93" s="2">
        <f t="shared" si="34"/>
        <v>2.8644612954206541</v>
      </c>
      <c r="E93" s="2">
        <f t="shared" si="40"/>
        <v>9.0282112884585552E-3</v>
      </c>
      <c r="F93" s="55">
        <f t="shared" si="27"/>
        <v>2.8384022827272776E-3</v>
      </c>
      <c r="G93" s="49">
        <v>4.9878206925843767</v>
      </c>
      <c r="J93" s="47">
        <v>32.293399999999998</v>
      </c>
      <c r="K93">
        <f t="shared" si="35"/>
        <v>1.0032713953293297</v>
      </c>
      <c r="L93">
        <f t="shared" si="36"/>
        <v>1.1486753741961186</v>
      </c>
      <c r="M93" s="44">
        <f t="shared" si="28"/>
        <v>1.1402174447141917</v>
      </c>
      <c r="N93">
        <v>3348</v>
      </c>
      <c r="O93" s="48">
        <f t="shared" si="25"/>
        <v>3160.2794034359076</v>
      </c>
      <c r="R93" s="2">
        <v>2785.9778043240062</v>
      </c>
      <c r="S93" s="44">
        <f t="shared" si="26"/>
        <v>2629.7694962469382</v>
      </c>
      <c r="V93" s="2">
        <v>100.10024057194997</v>
      </c>
      <c r="W93" s="2">
        <f t="shared" si="37"/>
        <v>2.0130420477350102</v>
      </c>
      <c r="X93" s="277">
        <f t="shared" si="29"/>
        <v>1.8739169877307522</v>
      </c>
      <c r="Y93" s="55">
        <v>1.0593999999999999</v>
      </c>
      <c r="Z93" s="49">
        <f t="shared" si="30"/>
        <v>5.9399999999999897</v>
      </c>
      <c r="AA93" s="2">
        <v>25718</v>
      </c>
      <c r="AB93" s="49">
        <f t="shared" si="31"/>
        <v>24276.005286010954</v>
      </c>
      <c r="AC93" s="2"/>
      <c r="AD93" s="50">
        <v>7.7</v>
      </c>
      <c r="AE93">
        <v>184.753534</v>
      </c>
      <c r="AG93" s="44">
        <v>202.00983100000002</v>
      </c>
      <c r="AH93" s="44">
        <v>65.066707336953058</v>
      </c>
      <c r="AI93" s="44"/>
      <c r="AJ93" s="44"/>
      <c r="AK93">
        <v>31.97264395546858</v>
      </c>
      <c r="AL93">
        <f t="shared" si="41"/>
        <v>0.98376133991038517</v>
      </c>
      <c r="AM93">
        <f t="shared" si="38"/>
        <v>1.1451479026030913</v>
      </c>
      <c r="AN93">
        <f t="shared" si="32"/>
        <v>1.1303588909870819</v>
      </c>
      <c r="AO93">
        <f t="shared" si="42"/>
        <v>11.141208499387091</v>
      </c>
      <c r="AQ93">
        <v>1.008</v>
      </c>
      <c r="AR93">
        <f t="shared" si="39"/>
        <v>1.4368022925088746</v>
      </c>
      <c r="AS93">
        <f t="shared" si="33"/>
        <v>1.3358716390653369</v>
      </c>
      <c r="AT93">
        <v>0.79999999999999716</v>
      </c>
      <c r="AV93">
        <v>202.00983099999999</v>
      </c>
      <c r="AW93">
        <v>202.00983099999999</v>
      </c>
      <c r="AX93">
        <v>65.066707339999894</v>
      </c>
      <c r="AZ93">
        <f t="shared" si="43"/>
        <v>136.94312366000008</v>
      </c>
    </row>
    <row r="94" spans="1:52" ht="15.75" thickBot="1">
      <c r="A94" s="1">
        <v>41153</v>
      </c>
      <c r="B94">
        <v>105.49279700000075</v>
      </c>
      <c r="C94" s="49">
        <f t="shared" si="24"/>
        <v>98.989206155579211</v>
      </c>
      <c r="D94" s="2">
        <f t="shared" si="34"/>
        <v>0.68437598751386342</v>
      </c>
      <c r="E94" s="2">
        <f t="shared" si="40"/>
        <v>6.1786910160226329E-3</v>
      </c>
      <c r="F94" s="55">
        <f t="shared" si="27"/>
        <v>1.9425343652030847E-3</v>
      </c>
      <c r="G94" s="49">
        <v>5.0425822399443332</v>
      </c>
      <c r="J94" s="47">
        <v>30.916899999999998</v>
      </c>
      <c r="K94">
        <f t="shared" si="35"/>
        <v>0.95737519121554249</v>
      </c>
      <c r="L94">
        <f t="shared" si="36"/>
        <v>1.0997133060155939</v>
      </c>
      <c r="M94" s="44">
        <f t="shared" si="28"/>
        <v>1.0916158941605465</v>
      </c>
      <c r="N94">
        <v>3347</v>
      </c>
      <c r="O94" s="48">
        <f t="shared" si="25"/>
        <v>3140.6587219667827</v>
      </c>
      <c r="R94" s="2">
        <v>2748.2936710808071</v>
      </c>
      <c r="S94" s="44">
        <f t="shared" si="26"/>
        <v>2578.8624106979519</v>
      </c>
      <c r="V94" s="2">
        <v>100.55064556101756</v>
      </c>
      <c r="W94" s="2">
        <f t="shared" si="37"/>
        <v>2.0241267744122799</v>
      </c>
      <c r="X94" s="277">
        <f t="shared" si="29"/>
        <v>1.8842356284408457</v>
      </c>
      <c r="Y94" s="55">
        <v>1.0656999999999999</v>
      </c>
      <c r="Z94" s="49">
        <f t="shared" si="30"/>
        <v>6.569999999999987</v>
      </c>
      <c r="AA94" s="2">
        <v>25996</v>
      </c>
      <c r="AB94" s="49">
        <f t="shared" si="31"/>
        <v>24393.356479309376</v>
      </c>
      <c r="AC94" s="2"/>
      <c r="AD94" s="50">
        <v>7.8</v>
      </c>
      <c r="AE94">
        <v>165.63749999999999</v>
      </c>
      <c r="AG94" s="44">
        <v>172.63581299999998</v>
      </c>
      <c r="AH94" s="44">
        <v>67.908063145787793</v>
      </c>
      <c r="AI94" s="44"/>
      <c r="AJ94" s="44"/>
      <c r="AK94">
        <v>31.524627304100662</v>
      </c>
      <c r="AL94">
        <f t="shared" si="41"/>
        <v>0.98598750068990493</v>
      </c>
      <c r="AM94">
        <f t="shared" si="38"/>
        <v>1.1291015184079087</v>
      </c>
      <c r="AN94">
        <f t="shared" si="32"/>
        <v>1.1145197378069656</v>
      </c>
      <c r="AO94">
        <f t="shared" si="42"/>
        <v>3.3916717170061332</v>
      </c>
      <c r="AQ94">
        <v>0.996</v>
      </c>
      <c r="AR94">
        <f t="shared" si="39"/>
        <v>1.4310550833388391</v>
      </c>
      <c r="AS94">
        <f t="shared" si="33"/>
        <v>1.3305281525090755</v>
      </c>
      <c r="AT94">
        <v>-0.40000000000000568</v>
      </c>
      <c r="AV94">
        <v>172.63581300000001</v>
      </c>
      <c r="AW94">
        <v>172.63581300000001</v>
      </c>
      <c r="AX94">
        <v>67.908063150000004</v>
      </c>
      <c r="AZ94">
        <f t="shared" si="43"/>
        <v>104.72774985000001</v>
      </c>
    </row>
    <row r="95" spans="1:52" ht="15.75" thickBot="1">
      <c r="A95" s="1">
        <v>41183</v>
      </c>
      <c r="B95">
        <v>120.752887</v>
      </c>
      <c r="C95" s="49">
        <f t="shared" si="24"/>
        <v>113.34042331518677</v>
      </c>
      <c r="D95" s="2">
        <f t="shared" si="34"/>
        <v>1.1449775962144</v>
      </c>
      <c r="E95" s="2">
        <f t="shared" si="40"/>
        <v>7.074462787277103E-3</v>
      </c>
      <c r="F95" s="55">
        <f t="shared" si="27"/>
        <v>2.2241583280340933E-3</v>
      </c>
      <c r="G95" s="49">
        <v>5.144485724410484</v>
      </c>
      <c r="J95" s="47">
        <v>31.525200000000002</v>
      </c>
      <c r="K95">
        <f t="shared" si="35"/>
        <v>1.0196753232051079</v>
      </c>
      <c r="L95">
        <f t="shared" si="36"/>
        <v>1.1213505207444086</v>
      </c>
      <c r="M95" s="44">
        <f t="shared" si="28"/>
        <v>1.1130937896939881</v>
      </c>
      <c r="N95">
        <v>3340.2</v>
      </c>
      <c r="O95" s="48">
        <f t="shared" si="25"/>
        <v>3135.1605030974279</v>
      </c>
      <c r="R95" s="2">
        <v>2755.0509730978429</v>
      </c>
      <c r="S95" s="44">
        <f t="shared" si="26"/>
        <v>2585.9310804372467</v>
      </c>
      <c r="V95" s="2">
        <v>100.45574925684021</v>
      </c>
      <c r="W95" s="2">
        <f t="shared" si="37"/>
        <v>2.0333517171441673</v>
      </c>
      <c r="X95" s="277">
        <f t="shared" si="29"/>
        <v>1.8928230183145829</v>
      </c>
      <c r="Y95" s="55">
        <v>1.0654000000000001</v>
      </c>
      <c r="Z95" s="49">
        <f t="shared" si="30"/>
        <v>6.5400000000000125</v>
      </c>
      <c r="AA95" s="2">
        <v>26803</v>
      </c>
      <c r="AB95" s="49">
        <f t="shared" si="31"/>
        <v>25157.687253613662</v>
      </c>
      <c r="AC95" s="2"/>
      <c r="AD95" s="50">
        <v>8.1</v>
      </c>
      <c r="AE95">
        <v>192.667339</v>
      </c>
      <c r="AG95" s="44">
        <v>157.10474500000001</v>
      </c>
      <c r="AH95" s="44">
        <v>98.30463056421263</v>
      </c>
      <c r="AI95" s="44"/>
      <c r="AJ95" s="44"/>
      <c r="AK95">
        <v>31.092035300274524</v>
      </c>
      <c r="AL95">
        <f t="shared" si="41"/>
        <v>0.98627764891070202</v>
      </c>
      <c r="AM95">
        <f t="shared" si="38"/>
        <v>1.1136075909568559</v>
      </c>
      <c r="AN95">
        <f t="shared" si="32"/>
        <v>1.0992259066688259</v>
      </c>
      <c r="AO95">
        <f t="shared" si="42"/>
        <v>-0.82661357044666772</v>
      </c>
      <c r="AQ95">
        <v>1.0089999999999999</v>
      </c>
      <c r="AR95">
        <f t="shared" si="39"/>
        <v>1.4439345790888884</v>
      </c>
      <c r="AS95">
        <f t="shared" si="33"/>
        <v>1.3425029058816569</v>
      </c>
      <c r="AT95">
        <v>0.89999999999999147</v>
      </c>
      <c r="AV95">
        <v>157.10474500000001</v>
      </c>
      <c r="AW95">
        <v>157.10474500000001</v>
      </c>
      <c r="AX95">
        <v>98.304630560000007</v>
      </c>
      <c r="AZ95">
        <f t="shared" si="43"/>
        <v>58.800114440000002</v>
      </c>
    </row>
    <row r="96" spans="1:52" ht="15.75" thickBot="1">
      <c r="A96" s="1">
        <v>41214</v>
      </c>
      <c r="B96">
        <v>306.57906600000001</v>
      </c>
      <c r="C96" s="49">
        <f t="shared" si="24"/>
        <v>287.97582754086045</v>
      </c>
      <c r="D96" s="2">
        <f t="shared" si="34"/>
        <v>2.5408042348671365</v>
      </c>
      <c r="E96" s="2">
        <f t="shared" si="40"/>
        <v>1.7974825009323629E-2</v>
      </c>
      <c r="F96" s="55">
        <f t="shared" si="27"/>
        <v>5.6511508988840338E-3</v>
      </c>
      <c r="G96" s="49">
        <v>5.2238925531548537</v>
      </c>
      <c r="J96" s="47">
        <v>31.0565</v>
      </c>
      <c r="K96">
        <f t="shared" si="35"/>
        <v>0.9851325288975169</v>
      </c>
      <c r="L96">
        <f t="shared" si="36"/>
        <v>1.1046788742814866</v>
      </c>
      <c r="M96" s="44">
        <f t="shared" si="28"/>
        <v>1.0965448999413594</v>
      </c>
      <c r="N96">
        <v>3585.3</v>
      </c>
      <c r="O96" s="48">
        <f t="shared" si="25"/>
        <v>3367.7437535224499</v>
      </c>
      <c r="R96" s="2">
        <v>2950.5543797606688</v>
      </c>
      <c r="S96" s="44">
        <f t="shared" si="26"/>
        <v>2771.5145404477444</v>
      </c>
      <c r="V96" s="2">
        <v>100.33968656367465</v>
      </c>
      <c r="W96" s="2">
        <f t="shared" si="37"/>
        <v>2.0402587397195537</v>
      </c>
      <c r="X96" s="277">
        <f t="shared" si="29"/>
        <v>1.8992526837819383</v>
      </c>
      <c r="Y96" s="55">
        <v>1.0646</v>
      </c>
      <c r="Z96" s="49">
        <f t="shared" si="30"/>
        <v>6.4599999999999991</v>
      </c>
      <c r="AA96" s="2">
        <v>27448</v>
      </c>
      <c r="AB96" s="49">
        <f t="shared" si="31"/>
        <v>25782.45350366335</v>
      </c>
      <c r="AC96" s="2"/>
      <c r="AD96" s="50">
        <v>8.1999999999999993</v>
      </c>
      <c r="AE96">
        <v>162.121826</v>
      </c>
      <c r="AG96" s="44">
        <v>151.29549900000001</v>
      </c>
      <c r="AH96" s="44">
        <v>89.88487424458738</v>
      </c>
      <c r="AI96" s="44"/>
      <c r="AJ96" s="44"/>
      <c r="AK96">
        <v>31.406266668765959</v>
      </c>
      <c r="AL96">
        <f t="shared" si="41"/>
        <v>1.0101064907927935</v>
      </c>
      <c r="AM96">
        <f t="shared" si="38"/>
        <v>1.1248622558216463</v>
      </c>
      <c r="AN96">
        <f t="shared" si="32"/>
        <v>1.1103352231737746</v>
      </c>
      <c r="AO96">
        <f t="shared" si="42"/>
        <v>1.7712393720666455</v>
      </c>
      <c r="AQ96">
        <v>1</v>
      </c>
      <c r="AR96">
        <f t="shared" si="39"/>
        <v>1.4439345790888884</v>
      </c>
      <c r="AS96">
        <f t="shared" si="33"/>
        <v>1.3425029058816569</v>
      </c>
      <c r="AT96">
        <v>0</v>
      </c>
      <c r="AV96">
        <v>151.29549900000001</v>
      </c>
      <c r="AW96">
        <v>151.29549900000001</v>
      </c>
      <c r="AX96">
        <v>89.884874240000002</v>
      </c>
      <c r="AZ96">
        <f t="shared" si="43"/>
        <v>61.410624760000005</v>
      </c>
    </row>
    <row r="97" spans="1:53" ht="15.75" thickBot="1">
      <c r="A97" s="1">
        <v>41244</v>
      </c>
      <c r="B97">
        <v>860.09100000000001</v>
      </c>
      <c r="C97" s="49">
        <f t="shared" si="24"/>
        <v>807.06671671202037</v>
      </c>
      <c r="D97" s="2">
        <f t="shared" si="34"/>
        <v>2.8025502126476463</v>
      </c>
      <c r="E97" s="2">
        <f t="shared" si="40"/>
        <v>5.0375349652184168E-2</v>
      </c>
      <c r="F97" s="55">
        <f t="shared" si="27"/>
        <v>1.5837634153371385E-2</v>
      </c>
      <c r="G97" s="49">
        <v>5.075218913865454</v>
      </c>
      <c r="J97" s="47">
        <v>30.372699999999998</v>
      </c>
      <c r="K97">
        <f t="shared" si="35"/>
        <v>0.97798206494614648</v>
      </c>
      <c r="L97">
        <f t="shared" si="36"/>
        <v>1.0803561265721928</v>
      </c>
      <c r="M97" s="44">
        <f t="shared" si="28"/>
        <v>1.0724012455508163</v>
      </c>
      <c r="N97">
        <v>5085.3999999999996</v>
      </c>
      <c r="O97" s="48">
        <f t="shared" si="25"/>
        <v>4771.8870226142444</v>
      </c>
      <c r="R97" s="2">
        <v>4076.0142870042228</v>
      </c>
      <c r="S97" s="44">
        <f t="shared" si="26"/>
        <v>3824.7295552258829</v>
      </c>
      <c r="V97" s="2">
        <v>100.54378718029535</v>
      </c>
      <c r="W97" s="2">
        <f t="shared" si="37"/>
        <v>2.0513534051910041</v>
      </c>
      <c r="X97" s="277">
        <f t="shared" si="29"/>
        <v>1.90958057639776</v>
      </c>
      <c r="Y97" s="55">
        <v>1.0656999999999999</v>
      </c>
      <c r="Z97" s="49">
        <f t="shared" si="30"/>
        <v>6.569999999999987</v>
      </c>
      <c r="AA97" s="2">
        <v>36450</v>
      </c>
      <c r="AB97" s="49">
        <f t="shared" si="31"/>
        <v>34202.871352162903</v>
      </c>
      <c r="AC97" s="2"/>
      <c r="AD97" s="50">
        <v>8.4</v>
      </c>
      <c r="AE97">
        <v>147.900779</v>
      </c>
      <c r="AG97" s="44">
        <v>171.35457</v>
      </c>
      <c r="AH97" s="44">
        <v>115.90539919120003</v>
      </c>
      <c r="AI97" s="44"/>
      <c r="AJ97" s="44"/>
      <c r="AK97">
        <v>30.740352655073298</v>
      </c>
      <c r="AL97">
        <f t="shared" si="41"/>
        <v>0.97879677897675998</v>
      </c>
      <c r="AM97">
        <f t="shared" si="38"/>
        <v>1.1010115527907596</v>
      </c>
      <c r="AN97">
        <f t="shared" si="32"/>
        <v>1.0867925400269325</v>
      </c>
      <c r="AO97">
        <f t="shared" si="42"/>
        <v>-2.2646350803956352</v>
      </c>
      <c r="AQ97">
        <v>1.0149999999999999</v>
      </c>
      <c r="AR97">
        <f t="shared" si="39"/>
        <v>1.4655935977752217</v>
      </c>
      <c r="AS97">
        <f t="shared" si="33"/>
        <v>1.3626404494698818</v>
      </c>
      <c r="AT97">
        <v>1.4999999999999858</v>
      </c>
      <c r="AV97">
        <v>171.35457</v>
      </c>
      <c r="AW97">
        <v>171.35457</v>
      </c>
      <c r="AX97">
        <v>115.90539920000001</v>
      </c>
      <c r="AZ97">
        <f t="shared" si="43"/>
        <v>55.44917079999999</v>
      </c>
      <c r="BA97">
        <f>SUM(AX86:AX97)</f>
        <v>983.78890404999981</v>
      </c>
    </row>
    <row r="98" spans="1:53" ht="15.75" thickBot="1">
      <c r="A98" s="1">
        <v>41275</v>
      </c>
      <c r="B98">
        <v>-135.42304800000002</v>
      </c>
      <c r="C98" s="49">
        <f t="shared" ref="C98:C121" si="44">B98/Y98</f>
        <v>-126.46981114735352</v>
      </c>
      <c r="D98" s="2">
        <f t="shared" si="34"/>
        <v>-0.1567030439101614</v>
      </c>
      <c r="E98" s="2">
        <f t="shared" si="40"/>
        <v>-7.8939706285359491E-3</v>
      </c>
      <c r="F98" s="55">
        <f t="shared" si="27"/>
        <v>-2.481805480168828E-3</v>
      </c>
      <c r="G98" s="49">
        <v>5.9534165325895723</v>
      </c>
      <c r="J98" s="47">
        <v>30.027699999999999</v>
      </c>
      <c r="K98">
        <f t="shared" si="35"/>
        <v>0.98864111521201614</v>
      </c>
      <c r="L98">
        <f t="shared" si="36"/>
        <v>1.0680844858004668</v>
      </c>
      <c r="M98" s="44">
        <f t="shared" si="28"/>
        <v>1.060219963356114</v>
      </c>
      <c r="N98">
        <v>2508.8000000000002</v>
      </c>
      <c r="O98" s="48">
        <f t="shared" ref="O98:O121" si="45">N98/Y98</f>
        <v>2342.9354669855052</v>
      </c>
      <c r="R98" s="2">
        <v>2047.1929461586922</v>
      </c>
      <c r="S98" s="44">
        <f t="shared" ref="S98:S121" si="46">R98/Y98</f>
        <v>1911.8466841987195</v>
      </c>
      <c r="V98" s="2">
        <v>100.97559427</v>
      </c>
      <c r="W98" s="2">
        <f t="shared" si="37"/>
        <v>2.0713662914694972</v>
      </c>
      <c r="X98" s="277">
        <f t="shared" si="29"/>
        <v>1.9282103350821294</v>
      </c>
      <c r="Y98" s="55">
        <v>1.070793470563618</v>
      </c>
      <c r="Z98" s="49">
        <f t="shared" si="30"/>
        <v>7.0793470563617955</v>
      </c>
      <c r="AA98" s="2">
        <v>26840</v>
      </c>
      <c r="AB98" s="49">
        <f t="shared" si="31"/>
        <v>25065.524527220568</v>
      </c>
      <c r="AC98" s="2"/>
      <c r="AD98" s="50">
        <v>8.4</v>
      </c>
      <c r="AE98">
        <v>143.117549</v>
      </c>
      <c r="AG98">
        <v>109.93033299999999</v>
      </c>
      <c r="AH98">
        <v>72.90711756789004</v>
      </c>
      <c r="AK98">
        <v>30.257811124984006</v>
      </c>
      <c r="AL98">
        <f t="shared" si="41"/>
        <v>0.98430266771810582</v>
      </c>
      <c r="AM98">
        <f t="shared" si="38"/>
        <v>1.0837286086003988</v>
      </c>
      <c r="AN98">
        <f t="shared" si="32"/>
        <v>1.0697327964046459</v>
      </c>
      <c r="AO98">
        <f t="shared" si="42"/>
        <v>-3.9724459758833603</v>
      </c>
      <c r="AQ98">
        <v>1.018</v>
      </c>
      <c r="AR98">
        <f t="shared" si="39"/>
        <v>1.4919742825351756</v>
      </c>
      <c r="AS98">
        <f t="shared" si="33"/>
        <v>1.3871679775603396</v>
      </c>
      <c r="AT98">
        <v>1.7999999999999972</v>
      </c>
      <c r="AV98">
        <v>109.930333</v>
      </c>
      <c r="AW98">
        <v>109.930333</v>
      </c>
      <c r="AX98">
        <v>72.907117569999997</v>
      </c>
      <c r="AZ98">
        <f t="shared" si="43"/>
        <v>37.023215430000008</v>
      </c>
    </row>
    <row r="99" spans="1:53" ht="15.75" thickBot="1">
      <c r="A99" s="1">
        <v>41306</v>
      </c>
      <c r="B99">
        <v>332.19294899999977</v>
      </c>
      <c r="C99" s="49">
        <f t="shared" si="44"/>
        <v>309.73552342954343</v>
      </c>
      <c r="D99" s="2">
        <f t="shared" si="34"/>
        <v>-2.4490866288134319</v>
      </c>
      <c r="E99" s="2">
        <f t="shared" si="40"/>
        <v>1.9333017914593357E-2</v>
      </c>
      <c r="F99" s="55">
        <f t="shared" si="27"/>
        <v>6.0781566167973766E-3</v>
      </c>
      <c r="G99" s="49">
        <v>5.756221417489563</v>
      </c>
      <c r="J99" s="47">
        <v>30.62</v>
      </c>
      <c r="K99">
        <f t="shared" si="35"/>
        <v>1.0197251204720974</v>
      </c>
      <c r="L99">
        <f t="shared" si="36"/>
        <v>1.0891525809572591</v>
      </c>
      <c r="M99" s="44">
        <f t="shared" si="28"/>
        <v>1.0811329298602361</v>
      </c>
      <c r="N99">
        <v>3393</v>
      </c>
      <c r="O99" s="48">
        <f t="shared" si="45"/>
        <v>3163.6211248916111</v>
      </c>
      <c r="R99" s="2">
        <v>2775.8566479210704</v>
      </c>
      <c r="S99" s="44">
        <f t="shared" si="46"/>
        <v>2588.1988597211653</v>
      </c>
      <c r="V99" s="2">
        <v>100.56049241580729</v>
      </c>
      <c r="W99" s="2">
        <f t="shared" si="37"/>
        <v>2.0829761424367725</v>
      </c>
      <c r="X99" s="277">
        <f t="shared" si="29"/>
        <v>1.9390178077710771</v>
      </c>
      <c r="Y99" s="55">
        <v>1.0725051660907239</v>
      </c>
      <c r="Z99" s="49">
        <f t="shared" si="30"/>
        <v>7.2505166090723883</v>
      </c>
      <c r="AA99" s="2">
        <v>26620</v>
      </c>
      <c r="AB99" s="49">
        <f t="shared" si="31"/>
        <v>24820.39326395953</v>
      </c>
      <c r="AC99" s="2"/>
      <c r="AD99" s="50">
        <v>8.3000000000000007</v>
      </c>
      <c r="AE99">
        <v>141.416246</v>
      </c>
      <c r="AG99">
        <v>110.356775</v>
      </c>
      <c r="AH99">
        <v>97.682590251594405</v>
      </c>
      <c r="AK99">
        <v>30.160837132048083</v>
      </c>
      <c r="AL99">
        <f t="shared" si="41"/>
        <v>0.99679507573976989</v>
      </c>
      <c r="AM99">
        <f t="shared" si="38"/>
        <v>1.0802553404911899</v>
      </c>
      <c r="AN99">
        <f t="shared" si="32"/>
        <v>1.0663043838134849</v>
      </c>
      <c r="AO99">
        <f t="shared" si="42"/>
        <v>0.93326510726375034</v>
      </c>
      <c r="AQ99">
        <v>1.0049999999999999</v>
      </c>
      <c r="AR99">
        <f t="shared" si="39"/>
        <v>1.4994341539478513</v>
      </c>
      <c r="AS99">
        <f t="shared" si="33"/>
        <v>1.394103817448141</v>
      </c>
      <c r="AT99">
        <v>0.49999999999998579</v>
      </c>
      <c r="AV99">
        <v>110.356775</v>
      </c>
      <c r="AW99">
        <v>110.356775</v>
      </c>
      <c r="AX99">
        <v>97.682590250000004</v>
      </c>
      <c r="AZ99">
        <f t="shared" si="43"/>
        <v>12.674184749999995</v>
      </c>
    </row>
    <row r="100" spans="1:53" ht="15.75" thickBot="1">
      <c r="A100" s="1">
        <v>41334</v>
      </c>
      <c r="B100">
        <v>295.7330670000004</v>
      </c>
      <c r="C100" s="49">
        <f t="shared" si="44"/>
        <v>276.44856158392173</v>
      </c>
      <c r="D100" s="2">
        <f t="shared" si="34"/>
        <v>0.89253101653613331</v>
      </c>
      <c r="E100" s="2">
        <f t="shared" si="40"/>
        <v>1.7255318132023283E-2</v>
      </c>
      <c r="F100" s="55">
        <f t="shared" si="27"/>
        <v>5.424943303855987E-3</v>
      </c>
      <c r="G100" s="49">
        <v>5.6526934870310495</v>
      </c>
      <c r="J100" s="47">
        <v>31.083400000000001</v>
      </c>
      <c r="K100">
        <f t="shared" si="35"/>
        <v>1.0151338994121488</v>
      </c>
      <c r="L100">
        <f t="shared" si="36"/>
        <v>1.1056357065619484</v>
      </c>
      <c r="M100" s="44">
        <f t="shared" si="28"/>
        <v>1.0974946868719024</v>
      </c>
      <c r="N100">
        <v>3500.9</v>
      </c>
      <c r="O100" s="48">
        <f t="shared" si="45"/>
        <v>3272.6092454488708</v>
      </c>
      <c r="R100" s="2">
        <v>2847.6870259695338</v>
      </c>
      <c r="S100" s="44">
        <f t="shared" si="46"/>
        <v>2661.9917419328444</v>
      </c>
      <c r="V100" s="2">
        <v>100.34232060139729</v>
      </c>
      <c r="W100" s="2">
        <f t="shared" si="37"/>
        <v>2.0901065988945242</v>
      </c>
      <c r="X100" s="277">
        <f t="shared" si="29"/>
        <v>1.9456554651918396</v>
      </c>
      <c r="Y100" s="55">
        <v>1.0697580240808178</v>
      </c>
      <c r="Z100" s="49">
        <f t="shared" si="30"/>
        <v>6.9758024080817771</v>
      </c>
      <c r="AA100" s="2">
        <v>28693</v>
      </c>
      <c r="AB100" s="49">
        <f t="shared" si="31"/>
        <v>26821.953520427447</v>
      </c>
      <c r="AC100" s="2"/>
      <c r="AD100" s="50">
        <v>8.1</v>
      </c>
      <c r="AE100">
        <v>150.67181599999998</v>
      </c>
      <c r="AG100">
        <v>123.510943</v>
      </c>
      <c r="AH100">
        <v>97.014292180515554</v>
      </c>
      <c r="AK100">
        <v>30.798342393210838</v>
      </c>
      <c r="AL100">
        <f t="shared" si="41"/>
        <v>1.0211368556639087</v>
      </c>
      <c r="AM100">
        <f t="shared" si="38"/>
        <v>1.1030885417033187</v>
      </c>
      <c r="AN100">
        <f t="shared" si="32"/>
        <v>1.0888427056679437</v>
      </c>
      <c r="AO100">
        <f t="shared" si="42"/>
        <v>4.8731952701156871</v>
      </c>
      <c r="AQ100">
        <v>0.99900000000000011</v>
      </c>
      <c r="AR100">
        <f t="shared" si="39"/>
        <v>1.4979347197939037</v>
      </c>
      <c r="AS100">
        <f t="shared" si="33"/>
        <v>1.3927097136306932</v>
      </c>
      <c r="AT100">
        <v>-9.9999999999994316E-2</v>
      </c>
      <c r="AV100">
        <v>123.510943</v>
      </c>
      <c r="AW100">
        <v>123.510943</v>
      </c>
      <c r="AX100">
        <v>97.014292179999998</v>
      </c>
      <c r="AZ100">
        <f t="shared" si="43"/>
        <v>26.496650819999999</v>
      </c>
    </row>
    <row r="101" spans="1:53" ht="15.75" thickBot="1">
      <c r="A101" s="1">
        <v>41365</v>
      </c>
      <c r="B101">
        <v>459.08823722275963</v>
      </c>
      <c r="C101" s="49">
        <f t="shared" si="44"/>
        <v>428.24535926652487</v>
      </c>
      <c r="D101" s="2">
        <f t="shared" si="34"/>
        <v>1.5490959938907913</v>
      </c>
      <c r="E101" s="2">
        <f t="shared" si="40"/>
        <v>2.6730144191628401E-2</v>
      </c>
      <c r="F101" s="55">
        <f t="shared" si="27"/>
        <v>8.4037579390879823E-3</v>
      </c>
      <c r="G101" s="49">
        <v>5.5524878441539167</v>
      </c>
      <c r="J101" s="47">
        <v>31.2559</v>
      </c>
      <c r="K101">
        <f t="shared" si="35"/>
        <v>1.0055495859526307</v>
      </c>
      <c r="L101">
        <f t="shared" si="36"/>
        <v>1.1117715269478115</v>
      </c>
      <c r="M101" s="44">
        <f t="shared" si="28"/>
        <v>1.1035853279692536</v>
      </c>
      <c r="N101">
        <v>3787.1</v>
      </c>
      <c r="O101" s="48">
        <f t="shared" si="45"/>
        <v>3532.6716491133266</v>
      </c>
      <c r="R101" s="2">
        <v>3051.8474268187319</v>
      </c>
      <c r="S101" s="44">
        <f t="shared" si="46"/>
        <v>2846.8154741469707</v>
      </c>
      <c r="V101" s="2">
        <v>100.51222347207106</v>
      </c>
      <c r="W101" s="2">
        <f t="shared" si="37"/>
        <v>2.1008126154853679</v>
      </c>
      <c r="X101" s="277">
        <f t="shared" si="29"/>
        <v>1.9556215691701855</v>
      </c>
      <c r="Y101" s="55">
        <v>1.0720215112408007</v>
      </c>
      <c r="Z101" s="49">
        <f t="shared" si="30"/>
        <v>7.2021511240800695</v>
      </c>
      <c r="AA101" s="2">
        <v>30026</v>
      </c>
      <c r="AB101" s="49">
        <f t="shared" si="31"/>
        <v>28008.766321532767</v>
      </c>
      <c r="AC101" s="2"/>
      <c r="AD101" s="50">
        <v>8.1999999999999993</v>
      </c>
      <c r="AE101">
        <v>179.90055600000002</v>
      </c>
      <c r="AG101">
        <v>149.54101399999999</v>
      </c>
      <c r="AH101">
        <v>118.93543682154694</v>
      </c>
      <c r="AK101">
        <v>31.329007161325396</v>
      </c>
      <c r="AL101">
        <f t="shared" si="41"/>
        <v>1.017230302895507</v>
      </c>
      <c r="AM101">
        <f t="shared" si="38"/>
        <v>1.1220950913974299</v>
      </c>
      <c r="AN101">
        <f t="shared" si="32"/>
        <v>1.1076037952921656</v>
      </c>
      <c r="AO101">
        <f t="shared" si="42"/>
        <v>6.2920359465704792</v>
      </c>
      <c r="AQ101">
        <v>0.98599999999999999</v>
      </c>
      <c r="AR101">
        <f t="shared" si="39"/>
        <v>1.4769636337167891</v>
      </c>
      <c r="AS101">
        <f t="shared" si="33"/>
        <v>1.3732117776398636</v>
      </c>
      <c r="AT101">
        <v>-1.4000000000000057</v>
      </c>
      <c r="AV101">
        <v>149.54101399999999</v>
      </c>
      <c r="AW101">
        <v>149.54101399999999</v>
      </c>
      <c r="AX101">
        <v>118.93543680000001</v>
      </c>
      <c r="AZ101">
        <f t="shared" si="43"/>
        <v>30.605577199999985</v>
      </c>
    </row>
    <row r="102" spans="1:53" ht="15.75" thickBot="1">
      <c r="A102" s="1">
        <v>41395</v>
      </c>
      <c r="B102">
        <v>48.020741000000001</v>
      </c>
      <c r="C102" s="49">
        <f t="shared" si="44"/>
        <v>44.723949235187007</v>
      </c>
      <c r="D102" s="2">
        <f t="shared" si="34"/>
        <v>0.10443533891829612</v>
      </c>
      <c r="E102" s="2">
        <f t="shared" si="40"/>
        <v>2.7915716679876366E-3</v>
      </c>
      <c r="F102" s="55">
        <f t="shared" si="27"/>
        <v>8.7764930855597524E-4</v>
      </c>
      <c r="G102" s="49">
        <v>5.1671840455483293</v>
      </c>
      <c r="J102" s="47">
        <v>31.59</v>
      </c>
      <c r="K102">
        <f t="shared" si="35"/>
        <v>1.0106891818824606</v>
      </c>
      <c r="L102">
        <f t="shared" si="36"/>
        <v>1.1236554550110975</v>
      </c>
      <c r="M102" s="44">
        <f t="shared" si="28"/>
        <v>1.1153817522627318</v>
      </c>
      <c r="N102">
        <v>3299.9</v>
      </c>
      <c r="O102" s="48">
        <f t="shared" si="45"/>
        <v>3073.3503275427092</v>
      </c>
      <c r="R102" s="2">
        <v>2686.3506173597912</v>
      </c>
      <c r="S102" s="44">
        <f t="shared" si="46"/>
        <v>2501.9232551766031</v>
      </c>
      <c r="V102" s="2">
        <v>100.6586897954527</v>
      </c>
      <c r="W102" s="2">
        <f t="shared" si="37"/>
        <v>2.1146504538051527</v>
      </c>
      <c r="X102" s="277">
        <f t="shared" si="29"/>
        <v>1.9685030488839812</v>
      </c>
      <c r="Y102" s="55">
        <v>1.0737142363586087</v>
      </c>
      <c r="Z102" s="49">
        <f t="shared" si="30"/>
        <v>7.3714236358608742</v>
      </c>
      <c r="AA102" s="2">
        <v>29723</v>
      </c>
      <c r="AB102" s="49">
        <f t="shared" si="31"/>
        <v>27682.412129322689</v>
      </c>
      <c r="AC102" s="2"/>
      <c r="AD102" s="50">
        <v>8.1999999999999993</v>
      </c>
      <c r="AE102">
        <v>174.19370000000001</v>
      </c>
      <c r="AG102">
        <v>127.502</v>
      </c>
      <c r="AH102">
        <v>77.671865013063794</v>
      </c>
      <c r="AK102">
        <v>31.240666589226645</v>
      </c>
      <c r="AL102">
        <f t="shared" si="41"/>
        <v>0.99718023071577566</v>
      </c>
      <c r="AM102">
        <f t="shared" si="38"/>
        <v>1.1189310421247285</v>
      </c>
      <c r="AN102">
        <f t="shared" si="32"/>
        <v>1.1044806081311105</v>
      </c>
      <c r="AO102">
        <f t="shared" si="42"/>
        <v>1.9331305271148125</v>
      </c>
      <c r="AQ102">
        <v>1.0109999999999999</v>
      </c>
      <c r="AR102">
        <f t="shared" si="39"/>
        <v>1.4932102336876736</v>
      </c>
      <c r="AS102">
        <f t="shared" si="33"/>
        <v>1.3883171071939018</v>
      </c>
      <c r="AT102">
        <v>1.0999999999999943</v>
      </c>
      <c r="AV102">
        <v>127.502</v>
      </c>
      <c r="AW102">
        <v>127.502</v>
      </c>
      <c r="AX102">
        <v>77.671865010000005</v>
      </c>
      <c r="AZ102">
        <f t="shared" si="43"/>
        <v>49.830134989999991</v>
      </c>
    </row>
    <row r="103" spans="1:53" ht="15.75" thickBot="1">
      <c r="A103" s="1">
        <v>41426</v>
      </c>
      <c r="B103">
        <v>350.56839999999926</v>
      </c>
      <c r="C103" s="49">
        <f t="shared" si="44"/>
        <v>328.06679823867006</v>
      </c>
      <c r="D103" s="2">
        <f t="shared" si="34"/>
        <v>7.3353718499564051</v>
      </c>
      <c r="E103" s="2">
        <f t="shared" si="40"/>
        <v>2.0477216230492357E-2</v>
      </c>
      <c r="F103" s="55">
        <f t="shared" si="27"/>
        <v>6.4378840321152033E-3</v>
      </c>
      <c r="G103" s="49">
        <v>5.4142892851866717</v>
      </c>
      <c r="J103" s="47">
        <v>32.71</v>
      </c>
      <c r="K103">
        <f t="shared" si="35"/>
        <v>1.03545425767648</v>
      </c>
      <c r="L103">
        <f t="shared" si="36"/>
        <v>1.1634938250526434</v>
      </c>
      <c r="M103" s="44">
        <f t="shared" si="28"/>
        <v>1.1549267843150985</v>
      </c>
      <c r="N103">
        <v>3790.3</v>
      </c>
      <c r="O103" s="48">
        <f t="shared" si="45"/>
        <v>3547.0156048406925</v>
      </c>
      <c r="R103" s="2">
        <v>3091.5445207927069</v>
      </c>
      <c r="S103" s="44">
        <f t="shared" si="46"/>
        <v>2893.1104815744061</v>
      </c>
      <c r="V103" s="2">
        <v>100.41831764061952</v>
      </c>
      <c r="W103" s="2">
        <f t="shared" si="37"/>
        <v>2.1234964096908606</v>
      </c>
      <c r="X103" s="277">
        <f t="shared" si="29"/>
        <v>1.976737644393596</v>
      </c>
      <c r="Y103" s="55">
        <v>1.0685884761339342</v>
      </c>
      <c r="Z103" s="49">
        <f t="shared" si="30"/>
        <v>6.8588476133934151</v>
      </c>
      <c r="AA103" s="2">
        <v>30986</v>
      </c>
      <c r="AB103" s="49">
        <f t="shared" si="31"/>
        <v>28997.130974222011</v>
      </c>
      <c r="AC103" s="2"/>
      <c r="AD103" s="50">
        <v>8.1</v>
      </c>
      <c r="AE103">
        <v>167.390625</v>
      </c>
      <c r="AG103">
        <v>150.36171999999999</v>
      </c>
      <c r="AH103">
        <v>87.279698165389192</v>
      </c>
      <c r="AK103">
        <v>32.277763906144202</v>
      </c>
      <c r="AL103">
        <f t="shared" si="41"/>
        <v>1.0331970290696422</v>
      </c>
      <c r="AM103">
        <f t="shared" si="38"/>
        <v>1.156076228457068</v>
      </c>
      <c r="AN103">
        <f t="shared" si="32"/>
        <v>1.1411460829860949</v>
      </c>
      <c r="AO103">
        <f t="shared" si="42"/>
        <v>-1.9305374574585699</v>
      </c>
      <c r="AQ103">
        <v>0.96699999999999997</v>
      </c>
      <c r="AR103">
        <f t="shared" si="39"/>
        <v>1.4439342959759802</v>
      </c>
      <c r="AS103">
        <f t="shared" si="33"/>
        <v>1.342502642656503</v>
      </c>
      <c r="AT103">
        <v>-3.2999999999999972</v>
      </c>
      <c r="AV103">
        <v>150.36171999999999</v>
      </c>
      <c r="AW103">
        <v>150.36171999999999</v>
      </c>
      <c r="AX103">
        <v>87.279698170000003</v>
      </c>
      <c r="AZ103">
        <f t="shared" si="43"/>
        <v>63.082021829999988</v>
      </c>
    </row>
    <row r="104" spans="1:53" ht="15.75" thickBot="1">
      <c r="A104" s="1">
        <v>41456</v>
      </c>
      <c r="B104">
        <v>133.870701</v>
      </c>
      <c r="C104" s="49">
        <f t="shared" si="44"/>
        <v>125.74208160970709</v>
      </c>
      <c r="D104" s="2">
        <f t="shared" si="34"/>
        <v>0.38328194832513701</v>
      </c>
      <c r="E104" s="2">
        <f t="shared" si="40"/>
        <v>7.8485473330982287E-3</v>
      </c>
      <c r="F104" s="55">
        <f t="shared" si="27"/>
        <v>2.4675247349204041E-3</v>
      </c>
      <c r="G104" s="49">
        <v>5.2919814732461301</v>
      </c>
      <c r="J104" s="47">
        <v>32.890099999999997</v>
      </c>
      <c r="K104">
        <f t="shared" si="35"/>
        <v>1.0055059614796698</v>
      </c>
      <c r="L104">
        <f t="shared" si="36"/>
        <v>1.169899977235217</v>
      </c>
      <c r="M104" s="44">
        <f t="shared" si="28"/>
        <v>1.1612857667013765</v>
      </c>
      <c r="N104">
        <v>3728.3</v>
      </c>
      <c r="O104" s="48">
        <f t="shared" si="45"/>
        <v>3501.9178906478642</v>
      </c>
      <c r="R104" s="2">
        <v>3005.9370070712071</v>
      </c>
      <c r="S104" s="44">
        <f t="shared" si="46"/>
        <v>2823.4167269863356</v>
      </c>
      <c r="V104" s="2">
        <v>100.82655253603683</v>
      </c>
      <c r="W104" s="2">
        <f t="shared" si="37"/>
        <v>2.1410482231178114</v>
      </c>
      <c r="X104" s="277">
        <f t="shared" si="29"/>
        <v>1.993076419524126</v>
      </c>
      <c r="Y104" s="55">
        <v>1.0646451791336131</v>
      </c>
      <c r="Z104" s="49">
        <f t="shared" si="30"/>
        <v>6.4645179133613118</v>
      </c>
      <c r="AA104" s="4">
        <v>30229</v>
      </c>
      <c r="AB104" s="49">
        <f t="shared" si="31"/>
        <v>28393.497281976848</v>
      </c>
      <c r="AC104" s="4"/>
      <c r="AD104" s="50">
        <v>7.9</v>
      </c>
      <c r="AE104">
        <v>197.450357</v>
      </c>
      <c r="AG104">
        <v>190.00106</v>
      </c>
      <c r="AH104">
        <v>66.604245857638702</v>
      </c>
      <c r="AK104">
        <v>32.736412884672148</v>
      </c>
      <c r="AL104">
        <f t="shared" si="41"/>
        <v>1.0142094408975042</v>
      </c>
      <c r="AM104">
        <f t="shared" si="38"/>
        <v>1.1725034252983384</v>
      </c>
      <c r="AN104">
        <f t="shared" si="32"/>
        <v>1.1573611308077043</v>
      </c>
      <c r="AO104">
        <f t="shared" si="42"/>
        <v>0.72616280386277765</v>
      </c>
      <c r="AQ104">
        <v>1</v>
      </c>
      <c r="AR104">
        <f t="shared" si="39"/>
        <v>1.4439342959759802</v>
      </c>
      <c r="AS104">
        <f t="shared" si="33"/>
        <v>1.342502642656503</v>
      </c>
      <c r="AT104">
        <v>0</v>
      </c>
      <c r="AV104">
        <v>190.00106</v>
      </c>
      <c r="AW104">
        <v>190.00106</v>
      </c>
      <c r="AX104">
        <v>66.604245860000006</v>
      </c>
      <c r="AZ104">
        <f t="shared" si="43"/>
        <v>123.39681413999999</v>
      </c>
    </row>
    <row r="105" spans="1:53" ht="15.75" thickBot="1">
      <c r="A105" s="1">
        <v>41487</v>
      </c>
      <c r="B105">
        <v>134.655779</v>
      </c>
      <c r="C105" s="49">
        <f t="shared" si="44"/>
        <v>126.42212564392149</v>
      </c>
      <c r="D105" s="2">
        <f t="shared" si="34"/>
        <v>1.0054082453981095</v>
      </c>
      <c r="E105" s="2">
        <f t="shared" si="40"/>
        <v>7.8909942030943019E-3</v>
      </c>
      <c r="F105" s="55">
        <f t="shared" si="27"/>
        <v>2.4808697142127589E-3</v>
      </c>
      <c r="G105" s="49">
        <v>5.1870812077758757</v>
      </c>
      <c r="J105" s="47">
        <v>33.247399999999999</v>
      </c>
      <c r="K105">
        <f t="shared" si="35"/>
        <v>1.0108634513120971</v>
      </c>
      <c r="L105">
        <f t="shared" si="36"/>
        <v>1.1826091286779352</v>
      </c>
      <c r="M105" s="44">
        <f t="shared" si="28"/>
        <v>1.1739013380873682</v>
      </c>
      <c r="N105">
        <v>3688.8</v>
      </c>
      <c r="O105" s="48">
        <f t="shared" si="45"/>
        <v>3463.2448791915394</v>
      </c>
      <c r="R105" s="2">
        <v>3051.7162118078309</v>
      </c>
      <c r="S105" s="44">
        <f t="shared" si="46"/>
        <v>2865.1161741729757</v>
      </c>
      <c r="V105" s="2">
        <v>100.14542041163098</v>
      </c>
      <c r="W105" s="2">
        <f t="shared" si="37"/>
        <v>2.1441617442570871</v>
      </c>
      <c r="X105" s="277">
        <f t="shared" si="29"/>
        <v>1.9959747594575179</v>
      </c>
      <c r="Y105" s="55">
        <v>1.0651282622732454</v>
      </c>
      <c r="Z105" s="49">
        <f t="shared" si="30"/>
        <v>6.5128262273245419</v>
      </c>
      <c r="AA105" s="2">
        <v>29226</v>
      </c>
      <c r="AB105" s="49">
        <f t="shared" si="31"/>
        <v>27438.948937120997</v>
      </c>
      <c r="AC105" s="2"/>
      <c r="AD105" s="50">
        <v>7.9</v>
      </c>
      <c r="AE105">
        <v>182.43987399999997</v>
      </c>
      <c r="AG105">
        <v>182.23564400000001</v>
      </c>
      <c r="AH105">
        <v>61.750289874974904</v>
      </c>
      <c r="AK105">
        <v>33.017480777893283</v>
      </c>
      <c r="AL105">
        <f t="shared" si="41"/>
        <v>1.0085857877651812</v>
      </c>
      <c r="AM105">
        <f t="shared" si="38"/>
        <v>1.1825702908618978</v>
      </c>
      <c r="AN105">
        <f t="shared" si="32"/>
        <v>1.1672979878444891</v>
      </c>
      <c r="AO105">
        <f t="shared" si="42"/>
        <v>3.2679087280987744</v>
      </c>
      <c r="AQ105">
        <v>0.98199999999999998</v>
      </c>
      <c r="AR105">
        <f t="shared" si="39"/>
        <v>1.4179434786484126</v>
      </c>
      <c r="AS105">
        <f t="shared" si="33"/>
        <v>1.318337595088686</v>
      </c>
      <c r="AT105">
        <v>-1.7999999999999972</v>
      </c>
      <c r="AV105">
        <v>182.23564400000001</v>
      </c>
      <c r="AW105">
        <v>182.23564400000001</v>
      </c>
      <c r="AX105">
        <v>61.750289870000003</v>
      </c>
      <c r="AZ105">
        <f t="shared" si="43"/>
        <v>120.48535413</v>
      </c>
    </row>
    <row r="106" spans="1:53" ht="15.75" thickBot="1">
      <c r="A106" s="1">
        <v>41518</v>
      </c>
      <c r="B106">
        <v>50.114964999999998</v>
      </c>
      <c r="C106" s="49">
        <f t="shared" si="44"/>
        <v>47.208277988961655</v>
      </c>
      <c r="D106" s="2">
        <f t="shared" si="34"/>
        <v>0.37341784714115411</v>
      </c>
      <c r="E106" s="2">
        <f t="shared" si="40"/>
        <v>2.9466380671228014E-3</v>
      </c>
      <c r="F106" s="55">
        <f t="shared" si="27"/>
        <v>9.2640102771901879E-4</v>
      </c>
      <c r="G106" s="49">
        <v>5.2679345642329594</v>
      </c>
      <c r="J106" s="47">
        <v>32.345100000000002</v>
      </c>
      <c r="K106">
        <f t="shared" si="35"/>
        <v>0.97286103575016403</v>
      </c>
      <c r="L106">
        <f t="shared" si="36"/>
        <v>1.1505143418132151</v>
      </c>
      <c r="M106" s="44">
        <f t="shared" si="28"/>
        <v>1.1420428716401805</v>
      </c>
      <c r="N106">
        <v>3560.8</v>
      </c>
      <c r="O106" s="48">
        <f t="shared" si="45"/>
        <v>3354.2722470841732</v>
      </c>
      <c r="R106" s="2">
        <v>2885.6364782570918</v>
      </c>
      <c r="S106" s="44">
        <f t="shared" si="46"/>
        <v>2718.2684661288122</v>
      </c>
      <c r="V106" s="2">
        <v>100.21424036824038</v>
      </c>
      <c r="W106" s="2">
        <f t="shared" si="37"/>
        <v>2.1487554042736527</v>
      </c>
      <c r="X106" s="277">
        <f t="shared" si="29"/>
        <v>2.0002509431321647</v>
      </c>
      <c r="Y106" s="55">
        <v>1.0615715534406485</v>
      </c>
      <c r="Z106" s="49">
        <f t="shared" si="30"/>
        <v>6.1571553440648463</v>
      </c>
      <c r="AA106" s="2">
        <v>29346</v>
      </c>
      <c r="AB106" s="49">
        <f t="shared" si="31"/>
        <v>27643.920850070808</v>
      </c>
      <c r="AC106" s="2"/>
      <c r="AD106" s="50">
        <v>7.9</v>
      </c>
      <c r="AE106">
        <v>182.47096900000003</v>
      </c>
      <c r="AG106">
        <v>197.15589599999998</v>
      </c>
      <c r="AH106">
        <v>64.290963436423297</v>
      </c>
      <c r="AK106">
        <v>32.628599615094679</v>
      </c>
      <c r="AL106">
        <f t="shared" si="41"/>
        <v>0.98822196140842522</v>
      </c>
      <c r="AM106">
        <f t="shared" si="38"/>
        <v>1.1686419323388766</v>
      </c>
      <c r="AN106">
        <f t="shared" si="32"/>
        <v>1.1535495070957893</v>
      </c>
      <c r="AO106">
        <f t="shared" si="42"/>
        <v>3.501936122335735</v>
      </c>
      <c r="AQ106">
        <v>1.0109999999999999</v>
      </c>
      <c r="AR106">
        <f t="shared" si="39"/>
        <v>1.433540856913545</v>
      </c>
      <c r="AS106">
        <f t="shared" si="33"/>
        <v>1.3328393086346613</v>
      </c>
      <c r="AT106">
        <v>1.0999999999999943</v>
      </c>
      <c r="AV106">
        <v>197.15589600000001</v>
      </c>
      <c r="AW106">
        <v>197.15589600000001</v>
      </c>
      <c r="AX106">
        <v>64.290963439999999</v>
      </c>
      <c r="AZ106">
        <f t="shared" si="43"/>
        <v>132.86493256</v>
      </c>
    </row>
    <row r="107" spans="1:53" ht="15.75" thickBot="1">
      <c r="A107" s="1">
        <v>41548</v>
      </c>
      <c r="B107">
        <v>139.70398</v>
      </c>
      <c r="C107" s="49">
        <f t="shared" si="44"/>
        <v>131.45300390751109</v>
      </c>
      <c r="D107" s="2">
        <f t="shared" si="34"/>
        <v>2.7845329147199083</v>
      </c>
      <c r="E107" s="2">
        <f t="shared" si="40"/>
        <v>8.2050106856700906E-3</v>
      </c>
      <c r="F107" s="55">
        <f t="shared" si="27"/>
        <v>2.5795941539139577E-3</v>
      </c>
      <c r="G107" s="49">
        <v>5.473691448094856</v>
      </c>
      <c r="J107" s="47">
        <v>32.061300000000003</v>
      </c>
      <c r="K107">
        <f t="shared" si="35"/>
        <v>0.9912258734707885</v>
      </c>
      <c r="L107">
        <f t="shared" si="36"/>
        <v>1.1404195834044735</v>
      </c>
      <c r="M107" s="44">
        <f t="shared" si="28"/>
        <v>1.1320224429826256</v>
      </c>
      <c r="N107">
        <v>3768.3</v>
      </c>
      <c r="O107" s="48">
        <f t="shared" si="45"/>
        <v>3545.7426096570334</v>
      </c>
      <c r="R107" s="2">
        <v>3112.0264293698774</v>
      </c>
      <c r="S107" s="44">
        <f t="shared" si="46"/>
        <v>2928.2288334250479</v>
      </c>
      <c r="V107" s="2">
        <v>100.56892057808207</v>
      </c>
      <c r="W107" s="2">
        <f t="shared" si="37"/>
        <v>2.1609801159412161</v>
      </c>
      <c r="X107" s="277">
        <f t="shared" si="29"/>
        <v>2.0116307823609243</v>
      </c>
      <c r="Y107" s="55">
        <v>1.0627674974874992</v>
      </c>
      <c r="Z107" s="49">
        <f t="shared" si="30"/>
        <v>6.2767497487499213</v>
      </c>
      <c r="AA107" s="2">
        <v>30069</v>
      </c>
      <c r="AB107" s="49">
        <f t="shared" si="31"/>
        <v>28293.112153962618</v>
      </c>
      <c r="AC107" s="2"/>
      <c r="AD107" s="50">
        <v>7.6</v>
      </c>
      <c r="AE107">
        <v>184.23962299999999</v>
      </c>
      <c r="AG107">
        <v>175.24827199999999</v>
      </c>
      <c r="AH107">
        <v>80.976382257509286</v>
      </c>
      <c r="AK107">
        <v>32.062247933223944</v>
      </c>
      <c r="AL107">
        <f t="shared" si="41"/>
        <v>0.98264247658337356</v>
      </c>
      <c r="AM107">
        <f t="shared" si="38"/>
        <v>1.148357202632653</v>
      </c>
      <c r="AN107">
        <f t="shared" si="32"/>
        <v>1.1335267445141362</v>
      </c>
      <c r="AO107">
        <f t="shared" si="42"/>
        <v>3.1204539155429671</v>
      </c>
      <c r="AQ107">
        <v>1.0070000000000001</v>
      </c>
      <c r="AR107">
        <f t="shared" si="39"/>
        <v>1.44357564291194</v>
      </c>
      <c r="AS107">
        <f t="shared" si="33"/>
        <v>1.3421691837951042</v>
      </c>
      <c r="AT107">
        <v>0.70000000000001705</v>
      </c>
      <c r="AV107">
        <v>175.24827199999999</v>
      </c>
      <c r="AW107">
        <v>175.24827199999999</v>
      </c>
      <c r="AX107">
        <v>80.976382259999994</v>
      </c>
      <c r="AZ107">
        <f t="shared" si="43"/>
        <v>94.271889739999992</v>
      </c>
    </row>
    <row r="108" spans="1:53" ht="15.75" thickBot="1">
      <c r="A108" s="1">
        <v>41579</v>
      </c>
      <c r="B108">
        <v>152.06454200000002</v>
      </c>
      <c r="C108" s="49">
        <f t="shared" si="44"/>
        <v>142.76829812479934</v>
      </c>
      <c r="D108" s="2">
        <f t="shared" si="34"/>
        <v>1.0860786279577876</v>
      </c>
      <c r="E108" s="2">
        <f t="shared" si="40"/>
        <v>8.911286747871559E-3</v>
      </c>
      <c r="F108" s="55">
        <f t="shared" si="27"/>
        <v>2.8016420793708016E-3</v>
      </c>
      <c r="G108" s="49">
        <v>5.4480452571788494</v>
      </c>
      <c r="J108" s="47">
        <v>33.191600000000001</v>
      </c>
      <c r="K108">
        <f t="shared" si="35"/>
        <v>1.0352543409032073</v>
      </c>
      <c r="L108">
        <f t="shared" si="36"/>
        <v>1.1806243241705086</v>
      </c>
      <c r="M108" s="44">
        <f t="shared" si="28"/>
        <v>1.1719311480976167</v>
      </c>
      <c r="N108">
        <v>3924.9</v>
      </c>
      <c r="O108" s="48">
        <f t="shared" si="45"/>
        <v>3684.9569659048125</v>
      </c>
      <c r="R108" s="2">
        <v>3249.6878210289897</v>
      </c>
      <c r="S108" s="44">
        <f t="shared" si="46"/>
        <v>3051.0228981927708</v>
      </c>
      <c r="V108" s="2">
        <v>100.5612473907938</v>
      </c>
      <c r="W108" s="2">
        <f t="shared" si="37"/>
        <v>2.1731085604575089</v>
      </c>
      <c r="X108" s="277">
        <f t="shared" si="29"/>
        <v>2.0229210076393298</v>
      </c>
      <c r="Y108" s="55">
        <v>1.0651142025036571</v>
      </c>
      <c r="Z108" s="49">
        <f t="shared" si="30"/>
        <v>6.511420250365707</v>
      </c>
      <c r="AA108" s="2">
        <v>30290</v>
      </c>
      <c r="AB108" s="49">
        <f t="shared" si="31"/>
        <v>28438.265050639955</v>
      </c>
      <c r="AC108" s="2"/>
      <c r="AD108" s="50">
        <v>7.5</v>
      </c>
      <c r="AE108">
        <v>165.60130963866811</v>
      </c>
      <c r="AG108">
        <v>140.52453</v>
      </c>
      <c r="AH108">
        <v>74.64709204790752</v>
      </c>
      <c r="AK108">
        <v>32.644808630849681</v>
      </c>
      <c r="AL108">
        <f t="shared" si="41"/>
        <v>1.0181696772740028</v>
      </c>
      <c r="AM108">
        <f t="shared" si="38"/>
        <v>1.1692224823997648</v>
      </c>
      <c r="AN108">
        <f t="shared" si="32"/>
        <v>1.154122559643409</v>
      </c>
      <c r="AO108">
        <f t="shared" si="42"/>
        <v>3.9436141046190301</v>
      </c>
      <c r="AQ108">
        <v>0.997</v>
      </c>
      <c r="AR108">
        <f t="shared" si="39"/>
        <v>1.4392449159832041</v>
      </c>
      <c r="AS108">
        <f t="shared" si="33"/>
        <v>1.3381426762437187</v>
      </c>
      <c r="AT108">
        <v>-0.29999999999999716</v>
      </c>
      <c r="AV108">
        <v>140.52453</v>
      </c>
      <c r="AW108">
        <v>140.52453</v>
      </c>
      <c r="AX108">
        <v>74.647092049999998</v>
      </c>
      <c r="AZ108">
        <f t="shared" si="43"/>
        <v>65.877437950000001</v>
      </c>
    </row>
    <row r="109" spans="1:53" ht="15.75" thickBot="1">
      <c r="A109" s="1">
        <v>41609</v>
      </c>
      <c r="B109">
        <v>847.28117199999997</v>
      </c>
      <c r="C109" s="49">
        <f t="shared" si="44"/>
        <v>795.71635479178815</v>
      </c>
      <c r="D109" s="2">
        <f t="shared" si="34"/>
        <v>5.5734807043523169</v>
      </c>
      <c r="E109" s="2">
        <f t="shared" si="40"/>
        <v>4.9666884740212643E-2</v>
      </c>
      <c r="F109" s="55">
        <f t="shared" si="27"/>
        <v>1.5614898069874664E-2</v>
      </c>
      <c r="G109" s="49">
        <v>5.5793998902953019</v>
      </c>
      <c r="J109" s="47">
        <v>32.729199999999999</v>
      </c>
      <c r="K109">
        <f t="shared" si="35"/>
        <v>0.98606876438616997</v>
      </c>
      <c r="L109">
        <f t="shared" si="36"/>
        <v>1.1641767685390703</v>
      </c>
      <c r="M109" s="44">
        <f t="shared" si="28"/>
        <v>1.1556046991502822</v>
      </c>
      <c r="N109">
        <v>5699.3</v>
      </c>
      <c r="O109" s="48">
        <f t="shared" si="45"/>
        <v>5352.4454109607414</v>
      </c>
      <c r="R109" s="2">
        <v>4531.1243781065714</v>
      </c>
      <c r="S109" s="44">
        <f t="shared" si="46"/>
        <v>4255.3639717314163</v>
      </c>
      <c r="V109" s="2">
        <v>100.5144117567805</v>
      </c>
      <c r="W109" s="2">
        <f t="shared" si="37"/>
        <v>2.1842872863801062</v>
      </c>
      <c r="X109" s="277">
        <f t="shared" si="29"/>
        <v>2.0333271511330095</v>
      </c>
      <c r="Y109" s="55">
        <v>1.0648030129048995</v>
      </c>
      <c r="Z109" s="49">
        <f t="shared" si="30"/>
        <v>6.4803012904899537</v>
      </c>
      <c r="AA109" s="5">
        <v>39648</v>
      </c>
      <c r="AB109" s="49">
        <f t="shared" si="31"/>
        <v>37235.056174226913</v>
      </c>
      <c r="AC109" s="5"/>
      <c r="AD109" s="50">
        <v>7.6</v>
      </c>
      <c r="AE109">
        <v>156.96480807054778</v>
      </c>
      <c r="AG109">
        <v>218.19675099999998</v>
      </c>
      <c r="AH109">
        <v>98.914396617282804</v>
      </c>
      <c r="AK109">
        <v>32.893964562123273</v>
      </c>
      <c r="AL109">
        <f t="shared" si="41"/>
        <v>1.0076323293572056</v>
      </c>
      <c r="AM109">
        <f t="shared" si="38"/>
        <v>1.1781463734772892</v>
      </c>
      <c r="AN109">
        <f t="shared" si="32"/>
        <v>1.1629312031371886</v>
      </c>
      <c r="AO109">
        <f t="shared" si="42"/>
        <v>7.0058139254773693</v>
      </c>
      <c r="AQ109">
        <v>0.99</v>
      </c>
      <c r="AR109">
        <f t="shared" si="39"/>
        <v>1.4248524668233722</v>
      </c>
      <c r="AS109">
        <f t="shared" si="33"/>
        <v>1.3247612494812817</v>
      </c>
      <c r="AT109">
        <v>-1</v>
      </c>
      <c r="AV109">
        <v>218.19675100000001</v>
      </c>
      <c r="AW109">
        <v>218.19675100000001</v>
      </c>
      <c r="AX109">
        <v>98.914396620000005</v>
      </c>
      <c r="AZ109">
        <f t="shared" si="43"/>
        <v>119.28235438</v>
      </c>
      <c r="BA109">
        <f>SUM(AX98:AX109)</f>
        <v>998.67437008000002</v>
      </c>
    </row>
    <row r="110" spans="1:53" ht="15.75" thickBot="1">
      <c r="A110" s="1">
        <v>41640</v>
      </c>
      <c r="B110">
        <v>-560.928</v>
      </c>
      <c r="C110" s="49">
        <f t="shared" si="44"/>
        <v>-528.82813236541904</v>
      </c>
      <c r="D110" s="2">
        <f t="shared" si="34"/>
        <v>-0.66459377035651768</v>
      </c>
      <c r="E110" s="2">
        <f t="shared" si="40"/>
        <v>-3.3008302191360514E-2</v>
      </c>
      <c r="F110" s="55">
        <f t="shared" si="27"/>
        <v>-1.0377563981990714E-2</v>
      </c>
      <c r="G110" s="49">
        <v>5.6</v>
      </c>
      <c r="J110" s="47">
        <v>35.244799999999998</v>
      </c>
      <c r="K110">
        <f t="shared" si="35"/>
        <v>1.0768610292949414</v>
      </c>
      <c r="L110">
        <f t="shared" si="36"/>
        <v>1.2536565932502419</v>
      </c>
      <c r="M110" s="44">
        <f t="shared" si="28"/>
        <v>1.2444256657850441</v>
      </c>
      <c r="N110">
        <v>2675.6</v>
      </c>
      <c r="O110" s="48">
        <f t="shared" si="45"/>
        <v>2522.4851513151693</v>
      </c>
      <c r="R110" s="2">
        <v>2359.9167511441105</v>
      </c>
      <c r="S110" s="44">
        <f t="shared" si="46"/>
        <v>2224.8673056888006</v>
      </c>
      <c r="V110" s="2">
        <v>100.58590700000001</v>
      </c>
      <c r="W110" s="2">
        <f t="shared" si="37"/>
        <v>2.1970851784911174</v>
      </c>
      <c r="X110" s="277">
        <f t="shared" si="29"/>
        <v>2.0452405572443983</v>
      </c>
      <c r="Y110" s="55">
        <v>1.0607</v>
      </c>
      <c r="Z110" s="44">
        <f t="shared" si="30"/>
        <v>6.0699999999999976</v>
      </c>
      <c r="AA110" s="2">
        <v>29535</v>
      </c>
      <c r="AB110" s="49">
        <f t="shared" si="31"/>
        <v>27844.819458847931</v>
      </c>
      <c r="AC110" s="2"/>
      <c r="AD110" s="50">
        <v>106.07</v>
      </c>
      <c r="AE110">
        <v>134.51211999999998</v>
      </c>
      <c r="AG110">
        <v>213.781003</v>
      </c>
      <c r="AH110">
        <v>65.932319616220852</v>
      </c>
      <c r="AK110">
        <v>33.456952263428178</v>
      </c>
      <c r="AL110">
        <f t="shared" si="41"/>
        <v>1.0171152279392059</v>
      </c>
      <c r="AM110">
        <f t="shared" si="38"/>
        <v>1.1983106172051019</v>
      </c>
      <c r="AN110">
        <f t="shared" si="32"/>
        <v>1.1828350357564965</v>
      </c>
      <c r="AO110">
        <f t="shared" si="42"/>
        <v>10.572943050076162</v>
      </c>
      <c r="AQ110">
        <v>0.99299999999999999</v>
      </c>
      <c r="AR110">
        <f t="shared" si="39"/>
        <v>1.4148784995556085</v>
      </c>
      <c r="AS110">
        <f t="shared" si="33"/>
        <v>1.3154879207349126</v>
      </c>
      <c r="AT110">
        <v>-0.70000000000000284</v>
      </c>
      <c r="AV110">
        <v>213.781003</v>
      </c>
      <c r="AW110">
        <v>213.781003</v>
      </c>
      <c r="AX110">
        <v>65.932319620000001</v>
      </c>
      <c r="AZ110">
        <f t="shared" si="43"/>
        <v>147.84868338000001</v>
      </c>
    </row>
    <row r="111" spans="1:53" ht="15.75" thickBot="1">
      <c r="A111" s="1">
        <v>41671</v>
      </c>
      <c r="B111">
        <v>72.295000000000002</v>
      </c>
      <c r="C111" s="49">
        <f t="shared" si="44"/>
        <v>68.067978533094816</v>
      </c>
      <c r="D111" s="2">
        <f t="shared" si="34"/>
        <v>-0.12871474561807161</v>
      </c>
      <c r="E111" s="2">
        <f t="shared" si="40"/>
        <v>4.2486552198454045E-3</v>
      </c>
      <c r="F111" s="55">
        <f t="shared" si="27"/>
        <v>1.335745508077197E-3</v>
      </c>
      <c r="G111" s="49">
        <v>5.6</v>
      </c>
      <c r="J111" s="47">
        <v>36.0501</v>
      </c>
      <c r="K111">
        <f t="shared" si="35"/>
        <v>1.0228487606682406</v>
      </c>
      <c r="L111">
        <f t="shared" si="36"/>
        <v>1.2823010927095786</v>
      </c>
      <c r="M111" s="44">
        <f t="shared" si="28"/>
        <v>1.2728592499919826</v>
      </c>
      <c r="N111">
        <v>3578.9</v>
      </c>
      <c r="O111" s="48">
        <f t="shared" si="45"/>
        <v>3369.6450428396574</v>
      </c>
      <c r="R111" s="2">
        <v>3158.921241</v>
      </c>
      <c r="S111" s="44">
        <f t="shared" si="46"/>
        <v>2974.2220515958948</v>
      </c>
      <c r="V111" s="2">
        <v>100.69734575480838</v>
      </c>
      <c r="W111" s="2">
        <f t="shared" si="37"/>
        <v>2.2124064587128491</v>
      </c>
      <c r="X111" s="277">
        <f t="shared" si="29"/>
        <v>2.0595029554459612</v>
      </c>
      <c r="Y111" s="55">
        <v>1.0621</v>
      </c>
      <c r="Z111" s="44">
        <f t="shared" si="30"/>
        <v>6.2100000000000044</v>
      </c>
      <c r="AA111" s="2">
        <v>29255</v>
      </c>
      <c r="AB111" s="49">
        <f t="shared" si="31"/>
        <v>27544.487336408998</v>
      </c>
      <c r="AC111" s="2"/>
      <c r="AD111" s="50">
        <v>106.21</v>
      </c>
      <c r="AE111">
        <v>140.80265199999999</v>
      </c>
      <c r="AG111">
        <v>204.23599999999999</v>
      </c>
      <c r="AH111">
        <v>93.117994238095079</v>
      </c>
      <c r="AK111">
        <v>35.223662362186303</v>
      </c>
      <c r="AL111">
        <f t="shared" si="41"/>
        <v>1.0528054702905296</v>
      </c>
      <c r="AM111">
        <f t="shared" si="38"/>
        <v>1.2615879729007522</v>
      </c>
      <c r="AN111">
        <f t="shared" si="32"/>
        <v>1.2452951960957339</v>
      </c>
      <c r="AO111">
        <f t="shared" si="42"/>
        <v>16.786089881963534</v>
      </c>
      <c r="AQ111">
        <v>0.96099999999999997</v>
      </c>
      <c r="AR111">
        <f t="shared" si="39"/>
        <v>1.3596982380729397</v>
      </c>
      <c r="AS111">
        <f t="shared" si="33"/>
        <v>1.2641838918262509</v>
      </c>
      <c r="AT111">
        <v>-3.9000000000000057</v>
      </c>
      <c r="AV111">
        <v>204.23599999999999</v>
      </c>
      <c r="AW111">
        <v>204.23599999999999</v>
      </c>
      <c r="AX111">
        <v>93.117994240000002</v>
      </c>
      <c r="AZ111">
        <f t="shared" si="43"/>
        <v>111.11800575999999</v>
      </c>
    </row>
    <row r="112" spans="1:53" ht="15.75" thickBot="1">
      <c r="A112" s="1">
        <v>41699</v>
      </c>
      <c r="B112">
        <v>-294.23609999999962</v>
      </c>
      <c r="C112" s="49">
        <f t="shared" si="44"/>
        <v>-275.19276094276063</v>
      </c>
      <c r="D112" s="2">
        <f t="shared" si="34"/>
        <v>-4.0429107323785329</v>
      </c>
      <c r="E112" s="2">
        <f t="shared" si="40"/>
        <v>-1.717693378648906E-2</v>
      </c>
      <c r="F112" s="55">
        <f t="shared" si="27"/>
        <v>-5.4002998503317164E-3</v>
      </c>
      <c r="G112" s="49">
        <v>5.4</v>
      </c>
      <c r="J112" s="47">
        <v>35.687100000000001</v>
      </c>
      <c r="K112">
        <f t="shared" si="35"/>
        <v>0.98993067980393956</v>
      </c>
      <c r="L112">
        <f t="shared" si="36"/>
        <v>1.2693891924193277</v>
      </c>
      <c r="M112" s="44">
        <f t="shared" si="28"/>
        <v>1.2600424226392959</v>
      </c>
      <c r="N112">
        <v>3514.1</v>
      </c>
      <c r="O112" s="48">
        <f t="shared" si="45"/>
        <v>3286.6629255518146</v>
      </c>
      <c r="R112" s="2">
        <v>3075.5768230000008</v>
      </c>
      <c r="S112" s="44">
        <f t="shared" si="46"/>
        <v>2876.5215329218117</v>
      </c>
      <c r="V112" s="2">
        <v>101.02146010076817</v>
      </c>
      <c r="W112" s="2">
        <f t="shared" si="37"/>
        <v>2.2350053079554186</v>
      </c>
      <c r="X112" s="277">
        <f t="shared" si="29"/>
        <v>2.0805399564099827</v>
      </c>
      <c r="Y112" s="55">
        <v>1.0691999999999999</v>
      </c>
      <c r="Z112" s="44">
        <f t="shared" si="30"/>
        <v>6.9199999999999928</v>
      </c>
      <c r="AA112" s="2">
        <v>31486</v>
      </c>
      <c r="AB112" s="49">
        <f t="shared" si="31"/>
        <v>29448.185559296671</v>
      </c>
      <c r="AC112" s="2"/>
      <c r="AD112" s="50">
        <v>106.92</v>
      </c>
      <c r="AE112">
        <v>166.63</v>
      </c>
      <c r="AG112">
        <v>268.10492299999999</v>
      </c>
      <c r="AH112">
        <v>93.171799005307037</v>
      </c>
      <c r="AK112">
        <v>36.210987528713176</v>
      </c>
      <c r="AL112">
        <f t="shared" si="41"/>
        <v>1.0280301677995527</v>
      </c>
      <c r="AM112">
        <f t="shared" si="38"/>
        <v>1.2969504954750579</v>
      </c>
      <c r="AN112">
        <f t="shared" si="32"/>
        <v>1.2802010294022743</v>
      </c>
      <c r="AO112">
        <f t="shared" si="42"/>
        <v>17.574468997057124</v>
      </c>
      <c r="AQ112">
        <v>0.98299999999999998</v>
      </c>
      <c r="AR112">
        <f t="shared" si="39"/>
        <v>1.3365833680256998</v>
      </c>
      <c r="AS112">
        <f t="shared" si="33"/>
        <v>1.2426927656652047</v>
      </c>
      <c r="AT112">
        <v>-1.7000000000000028</v>
      </c>
      <c r="AV112">
        <v>268.10492299999999</v>
      </c>
      <c r="AW112">
        <v>268.10492299999999</v>
      </c>
      <c r="AX112">
        <v>93.171799010000001</v>
      </c>
      <c r="AZ112">
        <f t="shared" si="43"/>
        <v>174.93312398999998</v>
      </c>
    </row>
    <row r="113" spans="1:55" ht="15.75" thickBot="1">
      <c r="A113" s="1">
        <v>41730</v>
      </c>
      <c r="B113">
        <v>267.21899999999999</v>
      </c>
      <c r="C113" s="49">
        <f t="shared" si="44"/>
        <v>248.96953321531726</v>
      </c>
      <c r="D113" s="2">
        <f t="shared" si="34"/>
        <v>-0.90470960196188543</v>
      </c>
      <c r="E113" s="2">
        <f t="shared" si="40"/>
        <v>1.5540136928900179E-2</v>
      </c>
      <c r="F113" s="55">
        <f t="shared" si="27"/>
        <v>4.885703128068436E-3</v>
      </c>
      <c r="G113" s="49">
        <v>5.3</v>
      </c>
      <c r="J113" s="47">
        <v>35.698300000000003</v>
      </c>
      <c r="K113">
        <f t="shared" si="35"/>
        <v>1.0003138388941664</v>
      </c>
      <c r="L113">
        <f t="shared" si="36"/>
        <v>1.2697875761197432</v>
      </c>
      <c r="M113" s="44">
        <f t="shared" si="28"/>
        <v>1.2604378729598198</v>
      </c>
      <c r="N113">
        <v>4037.7</v>
      </c>
      <c r="O113" s="48">
        <f t="shared" si="45"/>
        <v>3761.9491288549334</v>
      </c>
      <c r="R113" s="2">
        <v>3592.6682308949999</v>
      </c>
      <c r="S113" s="44">
        <f t="shared" si="46"/>
        <v>3347.3103800382</v>
      </c>
      <c r="V113" s="2">
        <v>100.90257414307528</v>
      </c>
      <c r="W113" s="2">
        <f t="shared" si="37"/>
        <v>2.2551778879613842</v>
      </c>
      <c r="X113" s="277">
        <f t="shared" si="29"/>
        <v>2.0993183720928887</v>
      </c>
      <c r="Y113" s="55">
        <v>1.0732999999999999</v>
      </c>
      <c r="Z113" s="44">
        <f t="shared" si="30"/>
        <v>7.3299999999999921</v>
      </c>
      <c r="AA113" s="2">
        <v>32947</v>
      </c>
      <c r="AB113" s="49">
        <f t="shared" si="31"/>
        <v>30696.916053293582</v>
      </c>
      <c r="AC113" s="2"/>
      <c r="AD113" s="50">
        <v>107.33</v>
      </c>
      <c r="AE113">
        <v>169.37751800000001</v>
      </c>
      <c r="AG113">
        <v>166.14352499999998</v>
      </c>
      <c r="AH113">
        <v>110.46562478405909</v>
      </c>
      <c r="AK113">
        <v>35.661769862839357</v>
      </c>
      <c r="AL113">
        <f t="shared" si="41"/>
        <v>0.98483284485300704</v>
      </c>
      <c r="AM113">
        <f t="shared" si="38"/>
        <v>1.2772794460922183</v>
      </c>
      <c r="AN113">
        <f t="shared" si="32"/>
        <v>1.2607840217699899</v>
      </c>
      <c r="AO113">
        <f t="shared" si="42"/>
        <v>13.829875550166221</v>
      </c>
      <c r="AQ113">
        <v>1.0269999999999999</v>
      </c>
      <c r="AR113">
        <f t="shared" si="39"/>
        <v>1.3726711189623935</v>
      </c>
      <c r="AS113">
        <f t="shared" si="33"/>
        <v>1.2762454703381652</v>
      </c>
      <c r="AT113">
        <v>2.6999999999999886</v>
      </c>
      <c r="AV113">
        <v>166.14352500000001</v>
      </c>
      <c r="AW113">
        <v>166.14352500000001</v>
      </c>
      <c r="AX113">
        <v>110.4656248</v>
      </c>
      <c r="AZ113">
        <f t="shared" si="43"/>
        <v>55.67790020000001</v>
      </c>
    </row>
    <row r="114" spans="1:55" ht="15.75" thickBot="1">
      <c r="A114" s="1">
        <v>41760</v>
      </c>
      <c r="B114">
        <v>34.361989375019633</v>
      </c>
      <c r="C114" s="49">
        <f t="shared" si="44"/>
        <v>31.937902569959689</v>
      </c>
      <c r="D114" s="2">
        <f t="shared" si="34"/>
        <v>0.1282803649004664</v>
      </c>
      <c r="E114" s="2">
        <f t="shared" si="40"/>
        <v>1.993494435842528E-3</v>
      </c>
      <c r="F114" s="55">
        <f t="shared" si="27"/>
        <v>6.2673978006396911E-4</v>
      </c>
      <c r="G114" s="49">
        <v>4.9000000000000004</v>
      </c>
      <c r="J114" s="47">
        <v>34.735199999999999</v>
      </c>
      <c r="K114">
        <f t="shared" si="35"/>
        <v>0.97302112425521647</v>
      </c>
      <c r="L114">
        <f t="shared" si="36"/>
        <v>1.2355301348813388</v>
      </c>
      <c r="M114" s="44">
        <f t="shared" si="28"/>
        <v>1.2264326762012174</v>
      </c>
      <c r="N114">
        <v>3759.5</v>
      </c>
      <c r="O114" s="48">
        <f t="shared" si="45"/>
        <v>3494.2838553768934</v>
      </c>
      <c r="R114" s="2">
        <v>3321.4111050750203</v>
      </c>
      <c r="S114" s="44">
        <f t="shared" si="46"/>
        <v>3087.1001999024261</v>
      </c>
      <c r="V114" s="2">
        <v>100.90396149051368</v>
      </c>
      <c r="W114" s="2">
        <f t="shared" si="37"/>
        <v>2.2755638276111347</v>
      </c>
      <c r="X114" s="277">
        <f t="shared" si="29"/>
        <v>2.1182954017398874</v>
      </c>
      <c r="Y114" s="55">
        <v>1.0759000000000001</v>
      </c>
      <c r="Z114" s="44">
        <f t="shared" si="30"/>
        <v>7.5900000000000079</v>
      </c>
      <c r="AA114" s="2">
        <v>32272</v>
      </c>
      <c r="AB114" s="49">
        <f t="shared" si="31"/>
        <v>29995.352727948692</v>
      </c>
      <c r="AC114" s="2"/>
      <c r="AD114" s="50">
        <v>107.59</v>
      </c>
      <c r="AE114">
        <v>168.94965100000002</v>
      </c>
      <c r="AG114">
        <v>189.657837</v>
      </c>
      <c r="AH114">
        <v>70.546550323967168</v>
      </c>
      <c r="AK114">
        <v>34.926851732366529</v>
      </c>
      <c r="AL114">
        <f t="shared" si="41"/>
        <v>0.9793919894245452</v>
      </c>
      <c r="AM114">
        <f t="shared" si="38"/>
        <v>1.2509572577593389</v>
      </c>
      <c r="AN114">
        <f t="shared" si="32"/>
        <v>1.2348017713159896</v>
      </c>
      <c r="AO114">
        <f t="shared" si="42"/>
        <v>11.799316549830181</v>
      </c>
      <c r="AQ114">
        <v>1.0269999999999999</v>
      </c>
      <c r="AR114">
        <f t="shared" si="39"/>
        <v>1.409733239174378</v>
      </c>
      <c r="AS114">
        <f t="shared" si="33"/>
        <v>1.3107040980372955</v>
      </c>
      <c r="AT114">
        <v>2.6999999999999886</v>
      </c>
      <c r="AV114">
        <v>189.657837</v>
      </c>
      <c r="AW114">
        <v>189.657837</v>
      </c>
      <c r="AX114">
        <v>70.546550319999994</v>
      </c>
      <c r="AZ114">
        <f t="shared" si="43"/>
        <v>119.11128668000001</v>
      </c>
    </row>
    <row r="115" spans="1:55" ht="15.75" thickBot="1">
      <c r="A115" s="1">
        <v>41791</v>
      </c>
      <c r="B115">
        <v>174.50200000000001</v>
      </c>
      <c r="C115" s="49">
        <f t="shared" si="44"/>
        <v>161.86068082738151</v>
      </c>
      <c r="D115" s="2">
        <f t="shared" si="34"/>
        <v>5.0679809193113776</v>
      </c>
      <c r="E115" s="2">
        <f t="shared" si="40"/>
        <v>1.0102991763603332E-2</v>
      </c>
      <c r="F115" s="55">
        <f t="shared" si="27"/>
        <v>3.1763052467376047E-3</v>
      </c>
      <c r="G115" s="49">
        <v>4.9000000000000004</v>
      </c>
      <c r="N115">
        <v>3952.4</v>
      </c>
      <c r="O115" s="48">
        <f t="shared" si="45"/>
        <v>3666.0792134310359</v>
      </c>
      <c r="R115" s="2">
        <v>3502.360655</v>
      </c>
      <c r="S115" s="44">
        <f t="shared" si="46"/>
        <v>3248.6417354605323</v>
      </c>
      <c r="V115" s="2">
        <v>100.62308632015353</v>
      </c>
      <c r="W115" s="2">
        <f t="shared" si="37"/>
        <v>2.2897425545273418</v>
      </c>
      <c r="X115" s="277">
        <f t="shared" si="29"/>
        <v>2.1314942106085697</v>
      </c>
      <c r="Y115" s="55">
        <v>1.0781000000000001</v>
      </c>
      <c r="Z115" s="44">
        <f t="shared" si="30"/>
        <v>7.8100000000000058</v>
      </c>
      <c r="AA115" s="2">
        <v>33726</v>
      </c>
      <c r="AB115" s="49">
        <f t="shared" si="31"/>
        <v>31282.812355069102</v>
      </c>
      <c r="AC115" s="2"/>
      <c r="AD115" s="50">
        <v>107.81</v>
      </c>
      <c r="AE115">
        <v>175.58679999999998</v>
      </c>
      <c r="AG115">
        <v>183.14349999999999</v>
      </c>
      <c r="AK115">
        <v>34.406511986000737</v>
      </c>
      <c r="AL115">
        <f t="shared" si="41"/>
        <v>0.98510201405059372</v>
      </c>
      <c r="AM115">
        <f t="shared" si="38"/>
        <v>1.2323205141099325</v>
      </c>
      <c r="AN115">
        <f t="shared" si="32"/>
        <v>1.2164057118766221</v>
      </c>
      <c r="AO115">
        <f t="shared" si="42"/>
        <v>6.5950915498558516</v>
      </c>
      <c r="AQ115">
        <v>1.0269999999999999</v>
      </c>
      <c r="AR115">
        <f t="shared" si="39"/>
        <v>1.4477960366320861</v>
      </c>
      <c r="AS115">
        <f t="shared" si="33"/>
        <v>1.3460931086843024</v>
      </c>
      <c r="AT115">
        <v>2.6999999999999886</v>
      </c>
      <c r="AV115">
        <v>183.14349999999999</v>
      </c>
      <c r="AW115">
        <v>183.14349999999999</v>
      </c>
      <c r="AX115">
        <v>73.283915690519606</v>
      </c>
      <c r="AZ115">
        <f t="shared" si="43"/>
        <v>109.85958430948038</v>
      </c>
    </row>
    <row r="116" spans="1:55" ht="15.75" thickBot="1">
      <c r="A116" s="1">
        <v>41821</v>
      </c>
      <c r="B116">
        <v>112.148</v>
      </c>
      <c r="C116" s="49">
        <f t="shared" si="44"/>
        <v>104.37226617031178</v>
      </c>
      <c r="D116" s="2">
        <f t="shared" si="34"/>
        <v>0.64482779657661871</v>
      </c>
      <c r="E116" s="2">
        <f t="shared" si="40"/>
        <v>6.5146899177560636E-3</v>
      </c>
      <c r="F116" s="55">
        <f t="shared" si="27"/>
        <v>2.0481699135085629E-3</v>
      </c>
      <c r="G116" s="49">
        <v>4.9000000000000004</v>
      </c>
      <c r="N116">
        <v>4058.3</v>
      </c>
      <c r="O116" s="48">
        <f t="shared" si="45"/>
        <v>3776.9194974406701</v>
      </c>
      <c r="R116" s="2">
        <v>3551.5823087999997</v>
      </c>
      <c r="S116" s="44">
        <f t="shared" si="46"/>
        <v>3305.3348616100511</v>
      </c>
      <c r="V116" s="2">
        <v>100.48515930477288</v>
      </c>
      <c r="W116" s="2">
        <f t="shared" si="37"/>
        <v>2.3008514535859756</v>
      </c>
      <c r="X116" s="277">
        <f t="shared" si="29"/>
        <v>2.1418353531020324</v>
      </c>
      <c r="Y116" s="55">
        <v>1.0745</v>
      </c>
      <c r="Z116" s="44">
        <f t="shared" si="30"/>
        <v>7.4500000000000011</v>
      </c>
      <c r="AA116" s="2">
        <v>32515</v>
      </c>
      <c r="AB116" s="49">
        <f t="shared" si="31"/>
        <v>30260.586319218241</v>
      </c>
      <c r="AC116" s="2"/>
      <c r="AD116" s="50">
        <v>107.45</v>
      </c>
      <c r="AE116">
        <v>184.356675</v>
      </c>
      <c r="AG116">
        <v>174.624763</v>
      </c>
      <c r="AK116">
        <v>34.638709677419357</v>
      </c>
      <c r="AL116">
        <f t="shared" si="41"/>
        <v>1.0067486553566689</v>
      </c>
      <c r="AM116">
        <f t="shared" si="38"/>
        <v>1.2406370205486135</v>
      </c>
      <c r="AN116">
        <f t="shared" si="32"/>
        <v>1.2246148147999607</v>
      </c>
      <c r="AO116">
        <f t="shared" si="42"/>
        <v>5.8109506360664938</v>
      </c>
      <c r="AQ116">
        <v>0.998</v>
      </c>
      <c r="AR116">
        <f t="shared" si="39"/>
        <v>1.4449004445588221</v>
      </c>
      <c r="AS116">
        <f t="shared" si="33"/>
        <v>1.3434009224669339</v>
      </c>
      <c r="AT116">
        <v>-0.20000000000000284</v>
      </c>
      <c r="AV116">
        <v>174.624763</v>
      </c>
      <c r="AW116">
        <v>174.624763</v>
      </c>
      <c r="AX116">
        <v>74.247637712930398</v>
      </c>
      <c r="AZ116">
        <f t="shared" si="43"/>
        <v>100.3771252870696</v>
      </c>
    </row>
    <row r="117" spans="1:55" ht="15.75" thickBot="1">
      <c r="A117" s="1">
        <v>41852</v>
      </c>
      <c r="B117">
        <v>133.19800000000001</v>
      </c>
      <c r="C117" s="49">
        <f t="shared" si="44"/>
        <v>123.8475127847513</v>
      </c>
      <c r="D117" s="2">
        <f t="shared" si="34"/>
        <v>1.1865940764633811</v>
      </c>
      <c r="E117" s="2">
        <f t="shared" si="40"/>
        <v>7.7302924664050567E-3</v>
      </c>
      <c r="F117" s="55">
        <f t="shared" si="27"/>
        <v>2.4303462869597766E-3</v>
      </c>
      <c r="G117" s="49">
        <v>4.8</v>
      </c>
      <c r="N117">
        <v>4147.7</v>
      </c>
      <c r="O117" s="48">
        <f t="shared" si="45"/>
        <v>3856.531845653185</v>
      </c>
      <c r="R117" s="2">
        <v>3685.5660369999996</v>
      </c>
      <c r="S117" s="44">
        <f t="shared" si="46"/>
        <v>3426.8396438865643</v>
      </c>
      <c r="V117" s="2">
        <v>100.24136476735228</v>
      </c>
      <c r="W117" s="2">
        <f t="shared" si="37"/>
        <v>2.3064048983440451</v>
      </c>
      <c r="X117" s="277">
        <f t="shared" si="29"/>
        <v>2.1470049890191163</v>
      </c>
      <c r="Y117" s="55">
        <v>1.0754999999999999</v>
      </c>
      <c r="Z117" s="44">
        <f t="shared" si="30"/>
        <v>7.5499999999999901</v>
      </c>
      <c r="AA117">
        <v>30763</v>
      </c>
      <c r="AB117" s="49">
        <f t="shared" si="31"/>
        <v>28603.440260344029</v>
      </c>
      <c r="AD117" s="50">
        <v>107.55</v>
      </c>
      <c r="AE117">
        <v>167.776475</v>
      </c>
      <c r="AG117">
        <v>185.32991000000001</v>
      </c>
      <c r="AK117">
        <v>36.110586616716787</v>
      </c>
      <c r="AL117">
        <f t="shared" si="41"/>
        <v>1.0424922565824366</v>
      </c>
      <c r="AM117">
        <f t="shared" si="38"/>
        <v>1.2933544871514349</v>
      </c>
      <c r="AN117">
        <f t="shared" si="32"/>
        <v>1.2766514617250939</v>
      </c>
      <c r="AO117">
        <f t="shared" si="42"/>
        <v>9.3680855290888303</v>
      </c>
      <c r="AQ117">
        <v>0.97599999999999998</v>
      </c>
      <c r="AR117">
        <f t="shared" si="39"/>
        <v>1.4102228338894103</v>
      </c>
      <c r="AS117">
        <f t="shared" si="33"/>
        <v>1.3111593003277273</v>
      </c>
      <c r="AT117">
        <v>-2.4000000000000057</v>
      </c>
      <c r="AV117">
        <v>185.32991000000001</v>
      </c>
      <c r="AW117">
        <v>185.32991000000001</v>
      </c>
      <c r="AX117">
        <v>82.486249143061698</v>
      </c>
      <c r="AZ117">
        <f t="shared" si="43"/>
        <v>102.84366085693831</v>
      </c>
    </row>
    <row r="118" spans="1:55" ht="15.75" thickBot="1">
      <c r="A118" s="1">
        <v>41883</v>
      </c>
      <c r="B118">
        <v>-84.233999999999995</v>
      </c>
      <c r="C118" s="49">
        <f t="shared" si="44"/>
        <v>-77.972785337406265</v>
      </c>
      <c r="D118" s="2">
        <f t="shared" si="34"/>
        <v>-0.62958701054355493</v>
      </c>
      <c r="E118" s="2">
        <f t="shared" si="40"/>
        <v>-4.8668917245513234E-3</v>
      </c>
      <c r="F118" s="55">
        <f t="shared" si="27"/>
        <v>-1.5301144533926342E-3</v>
      </c>
      <c r="G118" s="49">
        <v>4.9000000000000004</v>
      </c>
      <c r="N118">
        <v>3884.8</v>
      </c>
      <c r="O118" s="48">
        <f t="shared" si="45"/>
        <v>3596.038137554383</v>
      </c>
      <c r="R118" s="2">
        <v>3439.7517550000002</v>
      </c>
      <c r="S118" s="44">
        <f t="shared" si="46"/>
        <v>3184.0708645746554</v>
      </c>
      <c r="V118" s="2">
        <v>100.64745443333315</v>
      </c>
      <c r="W118" s="2">
        <f t="shared" si="37"/>
        <v>2.3213378191089866</v>
      </c>
      <c r="X118" s="277">
        <f t="shared" si="29"/>
        <v>2.1609058680044044</v>
      </c>
      <c r="Y118" s="55">
        <v>1.0803</v>
      </c>
      <c r="Z118" s="44">
        <f t="shared" si="30"/>
        <v>8.0300000000000047</v>
      </c>
      <c r="AA118">
        <v>31929</v>
      </c>
      <c r="AB118" s="49">
        <f t="shared" si="31"/>
        <v>29555.678978061649</v>
      </c>
      <c r="AD118" s="50">
        <v>108.03</v>
      </c>
      <c r="AE118">
        <v>179.51675500000002</v>
      </c>
      <c r="AG118">
        <v>189.35029299999999</v>
      </c>
      <c r="AK118">
        <v>37.869515476940258</v>
      </c>
      <c r="AL118">
        <f t="shared" si="41"/>
        <v>1.0487095066854772</v>
      </c>
      <c r="AM118">
        <f t="shared" si="38"/>
        <v>1.3563531461900298</v>
      </c>
      <c r="AN118">
        <f t="shared" si="32"/>
        <v>1.3388365246350167</v>
      </c>
      <c r="AO118">
        <f t="shared" si="42"/>
        <v>16.06233771498124</v>
      </c>
      <c r="AQ118">
        <v>0.97699999999999998</v>
      </c>
      <c r="AR118">
        <f t="shared" si="39"/>
        <v>1.3777877087099537</v>
      </c>
      <c r="AS118">
        <f t="shared" si="33"/>
        <v>1.2810026364201896</v>
      </c>
      <c r="AT118">
        <v>-2.2999999999999972</v>
      </c>
      <c r="AV118">
        <v>189.35029299999999</v>
      </c>
      <c r="AW118">
        <v>189.35029299999999</v>
      </c>
      <c r="AX118">
        <v>79.153785721217304</v>
      </c>
      <c r="AZ118">
        <f t="shared" si="43"/>
        <v>110.19650727878269</v>
      </c>
    </row>
    <row r="119" spans="1:55" ht="15.75" thickBot="1">
      <c r="A119" s="1">
        <v>41913</v>
      </c>
      <c r="B119">
        <v>-35.1</v>
      </c>
      <c r="C119" s="49">
        <f t="shared" si="44"/>
        <v>-32.41296518607443</v>
      </c>
      <c r="D119" s="2">
        <f t="shared" si="34"/>
        <v>0.41569587447487016</v>
      </c>
      <c r="E119" s="2">
        <f t="shared" si="40"/>
        <v>-2.0231468114118713E-3</v>
      </c>
      <c r="F119" s="55">
        <f t="shared" si="27"/>
        <v>-6.3606226574968903E-4</v>
      </c>
      <c r="G119" s="49">
        <v>5.0999999999999996</v>
      </c>
      <c r="N119">
        <v>4150.5</v>
      </c>
      <c r="O119" s="48">
        <f t="shared" si="45"/>
        <v>3832.7638747806818</v>
      </c>
      <c r="R119" s="2">
        <v>3701.1004390000007</v>
      </c>
      <c r="S119" s="44">
        <f t="shared" si="46"/>
        <v>3417.7675122356641</v>
      </c>
      <c r="V119" s="2">
        <v>100.81823818207275</v>
      </c>
      <c r="W119" s="2">
        <f t="shared" si="37"/>
        <v>2.3403318914798308</v>
      </c>
      <c r="X119" s="277">
        <f t="shared" si="29"/>
        <v>2.1785872248950668</v>
      </c>
      <c r="Y119" s="55">
        <v>1.0829</v>
      </c>
      <c r="Z119" s="44">
        <f t="shared" si="30"/>
        <v>8.2899999999999974</v>
      </c>
      <c r="AA119">
        <v>32439</v>
      </c>
      <c r="AB119" s="49">
        <f t="shared" si="31"/>
        <v>29955.674577523318</v>
      </c>
      <c r="AD119" s="50">
        <v>108.29</v>
      </c>
      <c r="AE119">
        <v>180.54116200000001</v>
      </c>
      <c r="AG119">
        <v>356.88804800000003</v>
      </c>
      <c r="AK119">
        <v>40.759418760069863</v>
      </c>
      <c r="AL119">
        <f t="shared" si="41"/>
        <v>1.0763121272277525</v>
      </c>
      <c r="AM119">
        <f t="shared" si="38"/>
        <v>1.4598593400478457</v>
      </c>
      <c r="AN119">
        <f t="shared" si="32"/>
        <v>1.441005987840126</v>
      </c>
      <c r="AO119">
        <f t="shared" si="42"/>
        <v>27.125892248601915</v>
      </c>
      <c r="AQ119">
        <v>0.94599999999999995</v>
      </c>
      <c r="AR119">
        <f t="shared" si="39"/>
        <v>1.3033871724396162</v>
      </c>
      <c r="AS119">
        <f t="shared" si="33"/>
        <v>1.2118284940534993</v>
      </c>
      <c r="AT119">
        <v>-5.4000000000000057</v>
      </c>
      <c r="AV119">
        <v>356.88804800000003</v>
      </c>
      <c r="AW119">
        <v>356.88804800000003</v>
      </c>
      <c r="AX119">
        <v>94.787169316713701</v>
      </c>
      <c r="AZ119">
        <f t="shared" si="43"/>
        <v>262.10087868328634</v>
      </c>
    </row>
    <row r="120" spans="1:55" ht="14.25" customHeight="1">
      <c r="A120" s="1">
        <v>41944</v>
      </c>
      <c r="B120">
        <v>-45.701999999999998</v>
      </c>
      <c r="C120" s="49">
        <f t="shared" si="44"/>
        <v>-41.905373189070232</v>
      </c>
      <c r="D120" s="2">
        <f t="shared" si="34"/>
        <v>1.2928583654257593</v>
      </c>
      <c r="E120" s="2">
        <f t="shared" si="40"/>
        <v>-2.6156422796182886E-3</v>
      </c>
      <c r="F120" s="55">
        <f t="shared" si="27"/>
        <v>-8.2233842120614791E-4</v>
      </c>
      <c r="G120" s="49">
        <v>5.2</v>
      </c>
      <c r="N120" s="4">
        <v>4121.1198172474215</v>
      </c>
      <c r="O120" s="48">
        <f t="shared" si="45"/>
        <v>3778.7638155578775</v>
      </c>
      <c r="R120" s="2">
        <v>3674.2062590000005</v>
      </c>
      <c r="S120" s="44">
        <f t="shared" si="46"/>
        <v>3368.9769475518069</v>
      </c>
      <c r="V120" s="2">
        <v>101.28105179644491</v>
      </c>
      <c r="W120" s="2">
        <f t="shared" si="37"/>
        <v>2.3703127552184062</v>
      </c>
      <c r="X120" s="277">
        <f t="shared" si="29"/>
        <v>2.2064960556767041</v>
      </c>
      <c r="Y120" s="55">
        <v>1.0906</v>
      </c>
      <c r="Z120" s="44">
        <f t="shared" si="30"/>
        <v>9.0600000000000023</v>
      </c>
      <c r="AA120">
        <v>33088</v>
      </c>
      <c r="AB120" s="49">
        <f t="shared" si="31"/>
        <v>30339.262791124151</v>
      </c>
      <c r="AD120" s="51">
        <v>111.35</v>
      </c>
      <c r="AE120">
        <v>148.32109599999998</v>
      </c>
      <c r="AG120">
        <v>241.41977700000001</v>
      </c>
      <c r="AK120">
        <v>45.864636952524123</v>
      </c>
      <c r="AL120">
        <f t="shared" si="41"/>
        <v>1.1252524777771269</v>
      </c>
      <c r="AM120">
        <f t="shared" si="38"/>
        <v>1.6427103395949196</v>
      </c>
      <c r="AN120">
        <f t="shared" si="32"/>
        <v>1.6214955583087782</v>
      </c>
      <c r="AO120">
        <f t="shared" si="42"/>
        <v>40.495959008874593</v>
      </c>
      <c r="AQ120">
        <v>0.92</v>
      </c>
      <c r="AR120">
        <f t="shared" si="39"/>
        <v>1.199116198644447</v>
      </c>
      <c r="AS120">
        <f t="shared" si="33"/>
        <v>1.1148822145292194</v>
      </c>
      <c r="AT120">
        <v>-8</v>
      </c>
      <c r="AV120">
        <v>241.41977700000001</v>
      </c>
      <c r="AW120">
        <v>241.41977700000001</v>
      </c>
      <c r="AX120">
        <v>92.112989655878806</v>
      </c>
      <c r="AZ120">
        <f t="shared" si="43"/>
        <v>149.3067873441212</v>
      </c>
    </row>
    <row r="121" spans="1:55">
      <c r="A121" s="1">
        <v>41974</v>
      </c>
      <c r="B121">
        <v>-135.86220841064005</v>
      </c>
      <c r="C121" s="49">
        <f t="shared" si="44"/>
        <v>-122.01365820443651</v>
      </c>
      <c r="D121" s="2">
        <f t="shared" si="34"/>
        <v>2.9116470972333479</v>
      </c>
      <c r="E121" s="2">
        <f t="shared" si="40"/>
        <v>-7.6158272508514068E-3</v>
      </c>
      <c r="F121" s="55">
        <f t="shared" si="27"/>
        <v>-2.3943592770483343E-3</v>
      </c>
      <c r="G121" s="49">
        <v>5.2</v>
      </c>
      <c r="N121" s="4">
        <v>5898.9913422143454</v>
      </c>
      <c r="O121" s="48">
        <f t="shared" si="45"/>
        <v>5297.7021483739072</v>
      </c>
      <c r="R121" s="2">
        <v>5122.1833782143449</v>
      </c>
      <c r="S121" s="44">
        <f t="shared" si="46"/>
        <v>4600.0748794021956</v>
      </c>
      <c r="V121" s="2">
        <v>102.62540694803825</v>
      </c>
      <c r="W121" s="2">
        <f t="shared" si="37"/>
        <v>2.4325431109841471</v>
      </c>
      <c r="X121" s="277">
        <f t="shared" si="29"/>
        <v>2.2644255564306306</v>
      </c>
      <c r="Y121" s="55">
        <v>1.1134999999999999</v>
      </c>
      <c r="Z121" s="44">
        <f t="shared" si="30"/>
        <v>11.349999999999994</v>
      </c>
      <c r="AA121">
        <v>33088</v>
      </c>
      <c r="AB121" s="49">
        <f t="shared" si="31"/>
        <v>29715.312079030085</v>
      </c>
      <c r="AD121" s="51">
        <v>109.06</v>
      </c>
      <c r="AE121">
        <v>205.91400899999999</v>
      </c>
      <c r="AG121">
        <v>432.45912699999997</v>
      </c>
      <c r="AK121">
        <v>55.413075497271485</v>
      </c>
      <c r="AL121">
        <f t="shared" si="41"/>
        <v>1.2081873787561261</v>
      </c>
      <c r="AM121">
        <f t="shared" si="38"/>
        <v>1.9847018992507717</v>
      </c>
      <c r="AN121">
        <f t="shared" si="32"/>
        <v>1.959070468257784</v>
      </c>
      <c r="AO121">
        <f t="shared" si="42"/>
        <v>68.459704492654879</v>
      </c>
      <c r="AQ121">
        <v>0.86499999999999999</v>
      </c>
      <c r="AR121">
        <f t="shared" si="39"/>
        <v>1.0372355118274466</v>
      </c>
      <c r="AS121">
        <f t="shared" si="33"/>
        <v>0.96437311556777472</v>
      </c>
      <c r="AT121">
        <v>-13.5</v>
      </c>
      <c r="AV121">
        <v>432.45912700000002</v>
      </c>
      <c r="AW121">
        <v>432.45912700000002</v>
      </c>
      <c r="AX121">
        <v>122.53076400114099</v>
      </c>
      <c r="AZ121">
        <f t="shared" ref="AZ121:AZ132" si="47">AW121-AX121</f>
        <v>309.92836299885903</v>
      </c>
      <c r="BA121">
        <f>SUM(AX110:AX121)*1.047</f>
        <v>1101.2731287953413</v>
      </c>
      <c r="BB121">
        <f>SUM(AV110:AV121)</f>
        <v>2805.1387059999997</v>
      </c>
      <c r="BC121">
        <f>BB121-BA121</f>
        <v>1703.8655772046584</v>
      </c>
    </row>
    <row r="122" spans="1:55">
      <c r="A122" s="1">
        <v>42005</v>
      </c>
      <c r="V122" s="2">
        <v>103.87306434349026</v>
      </c>
      <c r="W122" s="2">
        <f t="shared" si="37"/>
        <v>2.526757070855703</v>
      </c>
      <c r="X122" s="277">
        <f t="shared" si="29"/>
        <v>2.3521282152416263</v>
      </c>
      <c r="Y122" s="42">
        <f>(100+Z122)/100</f>
        <v>1.1390003656000001</v>
      </c>
      <c r="Z122" s="44">
        <v>13.90003656</v>
      </c>
      <c r="AE122" s="56">
        <v>135.78373842859699</v>
      </c>
      <c r="AK122">
        <v>63.233564326375699</v>
      </c>
      <c r="AL122">
        <f t="shared" si="41"/>
        <v>1.1411307486351177</v>
      </c>
      <c r="AM122">
        <f t="shared" si="38"/>
        <v>2.264804364109573</v>
      </c>
      <c r="AN122">
        <f t="shared" si="32"/>
        <v>2.2355555500719557</v>
      </c>
      <c r="AO122">
        <f t="shared" si="42"/>
        <v>88.999774481838728</v>
      </c>
      <c r="AQ122">
        <v>0.86907209321225531</v>
      </c>
      <c r="AR122">
        <f t="shared" si="39"/>
        <v>0.90143243741796397</v>
      </c>
      <c r="AS122">
        <f t="shared" si="33"/>
        <v>0.83810976218411015</v>
      </c>
      <c r="AT122">
        <v>-13.092790678774463</v>
      </c>
      <c r="AU122" s="56">
        <v>330.61134728204701</v>
      </c>
      <c r="AV122">
        <v>290.99392795379299</v>
      </c>
      <c r="AW122">
        <v>215.82874288759299</v>
      </c>
      <c r="AX122" s="56">
        <v>87.381753534032796</v>
      </c>
      <c r="AZ122">
        <f>AW122-AX122</f>
        <v>128.44698935356018</v>
      </c>
    </row>
    <row r="123" spans="1:55">
      <c r="A123" s="1">
        <v>42036</v>
      </c>
      <c r="V123" s="2">
        <v>102.33823151121098</v>
      </c>
      <c r="W123" s="2">
        <f t="shared" si="37"/>
        <v>2.5858385008982023</v>
      </c>
      <c r="X123" s="277">
        <f t="shared" si="29"/>
        <v>2.40712641835449</v>
      </c>
      <c r="Y123" s="42">
        <f t="shared" ref="Y123:Y169" si="48">(100+Z123)/100</f>
        <v>1.1574300585000001</v>
      </c>
      <c r="Z123" s="44">
        <v>15.743005849999999</v>
      </c>
      <c r="AE123" s="56">
        <v>149.15954253133299</v>
      </c>
      <c r="AK123">
        <v>70.445920303605291</v>
      </c>
      <c r="AL123">
        <f t="shared" si="41"/>
        <v>1.114058982030548</v>
      </c>
      <c r="AM123">
        <f t="shared" si="38"/>
        <v>2.5231256443782533</v>
      </c>
      <c r="AN123">
        <f t="shared" si="32"/>
        <v>2.4905407403859043</v>
      </c>
      <c r="AO123">
        <f t="shared" si="42"/>
        <v>99.996012848542335</v>
      </c>
      <c r="AQ123">
        <v>1.0177400460070187</v>
      </c>
      <c r="AR123">
        <f t="shared" si="39"/>
        <v>0.91742389032997773</v>
      </c>
      <c r="AS123">
        <f t="shared" si="33"/>
        <v>0.85297786792418784</v>
      </c>
      <c r="AT123">
        <v>1.7740046007018719</v>
      </c>
      <c r="AU123" s="56">
        <v>255.57076422118899</v>
      </c>
      <c r="AV123">
        <v>177.924205959278</v>
      </c>
      <c r="AW123">
        <v>128.25553112297601</v>
      </c>
      <c r="AX123" s="56">
        <v>161.12924409397499</v>
      </c>
      <c r="AZ123">
        <f t="shared" si="47"/>
        <v>-32.87371297099898</v>
      </c>
    </row>
    <row r="124" spans="1:55">
      <c r="A124" s="1">
        <v>42064</v>
      </c>
      <c r="V124" s="2">
        <v>102.36722869306492</v>
      </c>
      <c r="W124" s="2">
        <f t="shared" si="37"/>
        <v>2.6470512118477845</v>
      </c>
      <c r="X124" s="277">
        <f t="shared" si="29"/>
        <v>2.4641086056081236</v>
      </c>
      <c r="Y124" s="42">
        <f t="shared" si="48"/>
        <v>1.1727508475999999</v>
      </c>
      <c r="Z124" s="44">
        <v>17.275084759999999</v>
      </c>
      <c r="AE124" s="56">
        <v>137.44031010959699</v>
      </c>
      <c r="AK124">
        <v>70.92030360531308</v>
      </c>
      <c r="AL124">
        <f t="shared" si="41"/>
        <v>1.0067340067340069</v>
      </c>
      <c r="AM124">
        <f t="shared" si="38"/>
        <v>2.5401163894582419</v>
      </c>
      <c r="AN124">
        <f t="shared" si="32"/>
        <v>2.5073120585029818</v>
      </c>
      <c r="AO124">
        <f t="shared" si="42"/>
        <v>95.852995031073021</v>
      </c>
      <c r="AQ124">
        <v>1.0075853000539905</v>
      </c>
      <c r="AR124">
        <f t="shared" si="39"/>
        <v>0.92438282581482989</v>
      </c>
      <c r="AS124">
        <f t="shared" si="33"/>
        <v>0.85944796099180587</v>
      </c>
      <c r="AT124">
        <v>0.75853000539905224</v>
      </c>
      <c r="AU124" s="56">
        <v>257.117928439617</v>
      </c>
      <c r="AV124">
        <v>143.735851029325</v>
      </c>
      <c r="AW124">
        <v>114.714422639124</v>
      </c>
      <c r="AX124" s="56">
        <v>198.59042881855399</v>
      </c>
      <c r="AZ124">
        <f t="shared" si="47"/>
        <v>-83.876006179429993</v>
      </c>
    </row>
    <row r="125" spans="1:55">
      <c r="A125" s="1">
        <v>42095</v>
      </c>
      <c r="V125" s="2">
        <v>101.66001446069906</v>
      </c>
      <c r="W125" s="2">
        <f t="shared" si="37"/>
        <v>2.6909926447465673</v>
      </c>
      <c r="X125" s="277">
        <f t="shared" si="29"/>
        <v>2.5050131647885485</v>
      </c>
      <c r="Y125" s="42">
        <f t="shared" si="48"/>
        <v>1.1815213812000001</v>
      </c>
      <c r="Z125" s="44">
        <v>18.15213812</v>
      </c>
      <c r="AE125" s="56">
        <v>205.00751985122201</v>
      </c>
      <c r="AK125">
        <v>71.774193548387075</v>
      </c>
      <c r="AL125">
        <f t="shared" si="41"/>
        <v>1.0120401337792642</v>
      </c>
      <c r="AM125">
        <f t="shared" si="38"/>
        <v>2.5706997306022208</v>
      </c>
      <c r="AN125">
        <f t="shared" si="32"/>
        <v>2.5375004311137199</v>
      </c>
      <c r="AO125">
        <f t="shared" si="42"/>
        <v>101.26368888712381</v>
      </c>
      <c r="AQ125">
        <v>0.99602004767841645</v>
      </c>
      <c r="AR125">
        <f t="shared" si="39"/>
        <v>0.92070382624119618</v>
      </c>
      <c r="AS125">
        <f t="shared" si="33"/>
        <v>0.85602739908417635</v>
      </c>
      <c r="AT125">
        <v>-0.39799523215835109</v>
      </c>
      <c r="AU125" s="56">
        <v>216.68012370253101</v>
      </c>
      <c r="AV125">
        <v>82.958843370556806</v>
      </c>
      <c r="AW125">
        <v>80.3240422914118</v>
      </c>
      <c r="AX125" s="56">
        <v>249.20679172571599</v>
      </c>
      <c r="AZ125">
        <f t="shared" si="47"/>
        <v>-168.88274943430417</v>
      </c>
    </row>
    <row r="126" spans="1:55">
      <c r="A126" s="1">
        <v>42125</v>
      </c>
      <c r="V126" s="2">
        <v>100.94699797580135</v>
      </c>
      <c r="W126" s="2">
        <f t="shared" si="37"/>
        <v>2.7164762906212805</v>
      </c>
      <c r="X126" s="277">
        <f t="shared" si="29"/>
        <v>2.528735588752653</v>
      </c>
      <c r="Y126" s="42">
        <f t="shared" si="48"/>
        <v>1.1818305981000001</v>
      </c>
      <c r="Z126" s="44">
        <v>18.18305981</v>
      </c>
      <c r="AE126" s="56">
        <v>152.29198581530699</v>
      </c>
      <c r="AK126">
        <v>72.390891840607196</v>
      </c>
      <c r="AL126">
        <f t="shared" si="41"/>
        <v>1.0085922009253141</v>
      </c>
      <c r="AM126">
        <f t="shared" si="38"/>
        <v>2.5927876992062058</v>
      </c>
      <c r="AN126">
        <f t="shared" si="32"/>
        <v>2.55930314466592</v>
      </c>
      <c r="AO126">
        <f t="shared" si="42"/>
        <v>107.26429165535967</v>
      </c>
      <c r="AQ126">
        <v>1.0059857493074156</v>
      </c>
      <c r="AR126">
        <f t="shared" si="39"/>
        <v>0.92621492853145426</v>
      </c>
      <c r="AS126">
        <f t="shared" si="33"/>
        <v>0.86115136449537311</v>
      </c>
      <c r="AT126">
        <v>0.59857493074156309</v>
      </c>
      <c r="AU126" s="56">
        <v>212.12203738915301</v>
      </c>
      <c r="AV126">
        <v>63.448982974928903</v>
      </c>
      <c r="AW126">
        <v>72.117717246050404</v>
      </c>
      <c r="AX126" s="56">
        <v>234.2142910103</v>
      </c>
      <c r="AZ126">
        <f t="shared" si="47"/>
        <v>-162.0965737642496</v>
      </c>
    </row>
    <row r="127" spans="1:55">
      <c r="A127" s="1">
        <v>42156</v>
      </c>
      <c r="V127" s="2">
        <v>100.42013665456393</v>
      </c>
      <c r="W127" s="2">
        <f t="shared" si="37"/>
        <v>2.7278892032307192</v>
      </c>
      <c r="X127" s="277">
        <f t="shared" si="29"/>
        <v>2.5393597338580061</v>
      </c>
      <c r="Y127" s="42">
        <f t="shared" si="48"/>
        <v>1.1794523380999999</v>
      </c>
      <c r="Z127" s="44">
        <v>17.945233810000001</v>
      </c>
      <c r="AE127" s="56">
        <v>163.207706357988</v>
      </c>
      <c r="AK127">
        <v>72.011385199240976</v>
      </c>
      <c r="AL127">
        <f t="shared" si="41"/>
        <v>0.99475753604193973</v>
      </c>
      <c r="AM127">
        <f t="shared" si="38"/>
        <v>2.5791951031422151</v>
      </c>
      <c r="AN127">
        <f t="shared" si="32"/>
        <v>2.5458860901722584</v>
      </c>
      <c r="AO127">
        <f t="shared" si="42"/>
        <v>109.29580199393897</v>
      </c>
      <c r="AQ127">
        <v>1.0118430754937056</v>
      </c>
      <c r="AR127">
        <f t="shared" si="39"/>
        <v>0.93718416185344933</v>
      </c>
      <c r="AS127">
        <f t="shared" si="33"/>
        <v>0.87135004511659941</v>
      </c>
      <c r="AT127">
        <v>1.1843075493705584</v>
      </c>
      <c r="AU127" s="56">
        <v>234.192903869926</v>
      </c>
      <c r="AV127">
        <v>81.200475735364506</v>
      </c>
      <c r="AW127">
        <v>84.621253927461495</v>
      </c>
      <c r="AX127" s="56">
        <v>220.23399191707301</v>
      </c>
      <c r="AZ127">
        <f t="shared" si="47"/>
        <v>-135.6127379896115</v>
      </c>
    </row>
    <row r="128" spans="1:55">
      <c r="A128" s="1">
        <v>42186</v>
      </c>
      <c r="V128" s="2">
        <v>100.5203420059927</v>
      </c>
      <c r="W128" s="2">
        <f t="shared" si="37"/>
        <v>2.7420835566320685</v>
      </c>
      <c r="X128" s="277">
        <f t="shared" si="29"/>
        <v>2.5525730892365339</v>
      </c>
      <c r="Y128" s="42">
        <f t="shared" si="48"/>
        <v>1.1800674438000001</v>
      </c>
      <c r="Z128" s="44">
        <v>18.006744380000001</v>
      </c>
      <c r="AE128" s="56">
        <v>163.85306692096199</v>
      </c>
      <c r="AK128">
        <v>70.445920303605291</v>
      </c>
      <c r="AL128">
        <f t="shared" si="41"/>
        <v>0.97826086956521718</v>
      </c>
      <c r="AM128">
        <f t="shared" si="38"/>
        <v>2.5231256443782533</v>
      </c>
      <c r="AN128">
        <f t="shared" si="32"/>
        <v>2.4905407403859043</v>
      </c>
      <c r="AO128">
        <f t="shared" si="42"/>
        <v>103.37339629463253</v>
      </c>
      <c r="AQ128">
        <v>1.0365040085053301</v>
      </c>
      <c r="AR128">
        <f t="shared" si="39"/>
        <v>0.97139514046880826</v>
      </c>
      <c r="AS128">
        <f t="shared" si="33"/>
        <v>0.90315781457465538</v>
      </c>
      <c r="AT128">
        <v>3.6504008505330034</v>
      </c>
      <c r="AU128" s="56">
        <v>249.71365151493401</v>
      </c>
      <c r="AV128">
        <v>89.689920925630901</v>
      </c>
      <c r="AW128">
        <v>93.235828161009195</v>
      </c>
      <c r="AX128" s="56">
        <v>207.386957670806</v>
      </c>
      <c r="AZ128">
        <f t="shared" si="47"/>
        <v>-114.1511295097968</v>
      </c>
    </row>
    <row r="129" spans="1:55">
      <c r="A129" s="1">
        <v>42217</v>
      </c>
      <c r="V129" s="2">
        <v>99.537144742152847</v>
      </c>
      <c r="W129" s="2">
        <f t="shared" si="37"/>
        <v>2.7293916787156349</v>
      </c>
      <c r="X129" s="277">
        <f t="shared" si="29"/>
        <v>2.5407583704826116</v>
      </c>
      <c r="Y129" s="42">
        <f t="shared" si="48"/>
        <v>1.1722842627000001</v>
      </c>
      <c r="Z129" s="44">
        <v>17.22842627</v>
      </c>
      <c r="AE129" s="56">
        <v>225.09957518268101</v>
      </c>
      <c r="AK129">
        <v>68.548387096774178</v>
      </c>
      <c r="AL129">
        <f t="shared" si="41"/>
        <v>0.97306397306397319</v>
      </c>
      <c r="AM129">
        <f t="shared" si="38"/>
        <v>2.4551626640583004</v>
      </c>
      <c r="AN129">
        <f t="shared" si="32"/>
        <v>2.4234554679175973</v>
      </c>
      <c r="AO129">
        <f t="shared" si="42"/>
        <v>89.829059894144336</v>
      </c>
      <c r="AQ129">
        <v>1.0134373143136639</v>
      </c>
      <c r="AR129">
        <f t="shared" si="39"/>
        <v>0.98444808229405334</v>
      </c>
      <c r="AS129">
        <f t="shared" si="33"/>
        <v>0.91529383000393683</v>
      </c>
      <c r="AT129">
        <v>1.3437314313663933</v>
      </c>
      <c r="AU129" s="56">
        <v>232.59765904532799</v>
      </c>
      <c r="AV129">
        <v>83.390095138800902</v>
      </c>
      <c r="AW129">
        <v>87.535828483549395</v>
      </c>
      <c r="AX129" s="56">
        <v>212.18938645211901</v>
      </c>
      <c r="AZ129">
        <f t="shared" si="47"/>
        <v>-124.65355796856961</v>
      </c>
    </row>
    <row r="130" spans="1:55">
      <c r="A130" s="1">
        <v>42248</v>
      </c>
      <c r="V130" s="2">
        <v>100.04899606809485</v>
      </c>
      <c r="W130" s="2">
        <f t="shared" si="37"/>
        <v>2.7307289733211135</v>
      </c>
      <c r="X130" s="277">
        <f t="shared" si="29"/>
        <v>2.5420032421839385</v>
      </c>
      <c r="Y130" s="42">
        <f t="shared" si="48"/>
        <v>1.1654632740999999</v>
      </c>
      <c r="Z130" s="44">
        <v>16.54632741</v>
      </c>
      <c r="AE130" s="56">
        <v>164.55758284359399</v>
      </c>
      <c r="AK130">
        <v>67.362428842504727</v>
      </c>
      <c r="AL130">
        <f t="shared" si="41"/>
        <v>0.98269896193771622</v>
      </c>
      <c r="AM130">
        <f t="shared" si="38"/>
        <v>2.4126858013583297</v>
      </c>
      <c r="AN130">
        <f t="shared" si="32"/>
        <v>2.3815271726249052</v>
      </c>
      <c r="AO130">
        <f t="shared" si="42"/>
        <v>77.880355727084691</v>
      </c>
      <c r="AQ130">
        <v>1.0115735762640932</v>
      </c>
      <c r="AR130">
        <f t="shared" si="39"/>
        <v>0.99584166725252388</v>
      </c>
      <c r="AS130">
        <f t="shared" si="33"/>
        <v>0.92588705294954143</v>
      </c>
      <c r="AT130">
        <v>1.1573576264093219</v>
      </c>
      <c r="AU130" s="56">
        <v>262.35631391261597</v>
      </c>
      <c r="AV130">
        <v>106.92997933579601</v>
      </c>
      <c r="AW130">
        <v>101.412124708924</v>
      </c>
      <c r="AX130" s="56">
        <v>185.330058510263</v>
      </c>
      <c r="AZ130">
        <f t="shared" si="47"/>
        <v>-83.917933801339004</v>
      </c>
    </row>
    <row r="131" spans="1:55">
      <c r="A131" s="1">
        <v>42278</v>
      </c>
      <c r="V131" s="2">
        <v>100.24078512835459</v>
      </c>
      <c r="W131" s="2">
        <f t="shared" si="37"/>
        <v>2.7373041625845409</v>
      </c>
      <c r="X131" s="277">
        <f t="shared" ref="X131:X169" si="49">W131/AVERAGE($W$2:$W$13)</f>
        <v>2.5481240079534091</v>
      </c>
      <c r="Y131" s="42">
        <f t="shared" si="48"/>
        <v>1.158803308</v>
      </c>
      <c r="Z131" s="44">
        <v>15.880330799999999</v>
      </c>
      <c r="AE131" s="56">
        <v>191.41808775498899</v>
      </c>
      <c r="AK131">
        <v>66.413662239089177</v>
      </c>
      <c r="AL131">
        <f t="shared" si="41"/>
        <v>0.98591549295774661</v>
      </c>
      <c r="AM131">
        <f t="shared" si="38"/>
        <v>2.3787043111983537</v>
      </c>
      <c r="AN131">
        <f t="shared" ref="AN131:AN169" si="50">AM131/AVERAGE($AM$2:$AM$13)</f>
        <v>2.3479845363907521</v>
      </c>
      <c r="AO131">
        <f t="shared" si="42"/>
        <v>62.940650920546517</v>
      </c>
      <c r="AQ131">
        <v>1.0124895257579987</v>
      </c>
      <c r="AR131">
        <f t="shared" si="39"/>
        <v>1.0082792574065627</v>
      </c>
      <c r="AS131">
        <f t="shared" ref="AS131:AS169" si="51">AR131/AVERAGE($AR$2:$AR$13)</f>
        <v>0.93745094314635224</v>
      </c>
      <c r="AT131">
        <v>1.2489525757998621</v>
      </c>
      <c r="AU131" s="56">
        <v>272.495055598433</v>
      </c>
      <c r="AV131">
        <v>109.344604298824</v>
      </c>
      <c r="AW131">
        <v>103.47867053313399</v>
      </c>
      <c r="AX131" s="56">
        <v>204.97510201709801</v>
      </c>
      <c r="AZ131">
        <f t="shared" si="47"/>
        <v>-101.49643148396402</v>
      </c>
    </row>
    <row r="132" spans="1:55">
      <c r="A132" s="1">
        <v>42309</v>
      </c>
      <c r="V132" s="2">
        <v>100.27770466562826</v>
      </c>
      <c r="W132" s="2">
        <f t="shared" ref="W132:W169" si="52">V132/100*W131</f>
        <v>2.744905783956475</v>
      </c>
      <c r="X132" s="277">
        <f t="shared" si="49"/>
        <v>2.5552002672094898</v>
      </c>
      <c r="Y132" s="42">
        <f t="shared" si="48"/>
        <v>1.1472927713000001</v>
      </c>
      <c r="Z132" s="44">
        <v>14.72927713</v>
      </c>
      <c r="AE132" s="56">
        <v>151.12735018135299</v>
      </c>
      <c r="AK132">
        <v>65.464895635673628</v>
      </c>
      <c r="AL132">
        <f t="shared" si="41"/>
        <v>0.98571428571428588</v>
      </c>
      <c r="AM132">
        <f t="shared" ref="AM132:AM169" si="53">AL132*AM131</f>
        <v>2.3447228210383777</v>
      </c>
      <c r="AN132">
        <f t="shared" si="50"/>
        <v>2.314441900156599</v>
      </c>
      <c r="AO132">
        <f t="shared" si="42"/>
        <v>42.735013259645626</v>
      </c>
      <c r="AQ132">
        <v>1.0141203329666324</v>
      </c>
      <c r="AR132">
        <f t="shared" ref="AR132:AR169" si="54">AQ132*AR131</f>
        <v>1.0225164962444921</v>
      </c>
      <c r="AS132">
        <f t="shared" si="51"/>
        <v>0.95068806260346228</v>
      </c>
      <c r="AT132">
        <v>1.412033296663239</v>
      </c>
      <c r="AU132" s="56">
        <v>244.921131165552</v>
      </c>
      <c r="AV132">
        <v>100.701658044404</v>
      </c>
      <c r="AW132">
        <v>100.961380743463</v>
      </c>
      <c r="AX132" s="56">
        <v>173.829126541064</v>
      </c>
      <c r="AZ132">
        <f t="shared" si="47"/>
        <v>-72.867745797601003</v>
      </c>
    </row>
    <row r="133" spans="1:55">
      <c r="A133" s="1">
        <v>42339</v>
      </c>
      <c r="V133" s="2">
        <v>100.25284631913783</v>
      </c>
      <c r="W133" s="2">
        <f t="shared" si="52"/>
        <v>2.7518461771950102</v>
      </c>
      <c r="X133" s="277">
        <f t="shared" si="49"/>
        <v>2.561660997031729</v>
      </c>
      <c r="Y133" s="42">
        <f t="shared" si="48"/>
        <v>1.1207466652</v>
      </c>
      <c r="Z133" s="44">
        <v>12.074666519999999</v>
      </c>
      <c r="AE133" s="56">
        <v>226.522707270415</v>
      </c>
      <c r="AK133">
        <v>64.51612903225805</v>
      </c>
      <c r="AL133">
        <f t="shared" si="41"/>
        <v>0.98550724637681131</v>
      </c>
      <c r="AM133">
        <f t="shared" si="53"/>
        <v>2.3107413308784004</v>
      </c>
      <c r="AN133">
        <f t="shared" si="50"/>
        <v>2.2808992639224446</v>
      </c>
      <c r="AO133">
        <f t="shared" si="42"/>
        <v>16.427627330366803</v>
      </c>
      <c r="AQ133">
        <v>1.0139761221684442</v>
      </c>
      <c r="AR133">
        <f t="shared" si="54"/>
        <v>1.0368073117152548</v>
      </c>
      <c r="AS133">
        <f t="shared" si="51"/>
        <v>0.96397499511048979</v>
      </c>
      <c r="AT133">
        <v>1.3976122168444221</v>
      </c>
      <c r="AU133" s="56">
        <v>286.64614999733101</v>
      </c>
      <c r="AV133">
        <v>169.13122927072499</v>
      </c>
      <c r="AW133">
        <v>134.822924797882</v>
      </c>
      <c r="AX133" s="56">
        <v>210.440003959644</v>
      </c>
      <c r="AZ133">
        <f>AW133-AX133</f>
        <v>-75.617079161762007</v>
      </c>
      <c r="BA133">
        <f>SUM(AX122:AX133)</f>
        <v>2344.9071362506447</v>
      </c>
      <c r="BB133">
        <f>SUM(AU122:AU133)</f>
        <v>3055.0250661386572</v>
      </c>
      <c r="BC133">
        <f>BB133-BA133</f>
        <v>710.11792988801244</v>
      </c>
    </row>
    <row r="134" spans="1:55">
      <c r="A134" s="1">
        <v>42370</v>
      </c>
      <c r="V134" s="2">
        <v>100.83349483186186</v>
      </c>
      <c r="W134" s="2">
        <f t="shared" si="52"/>
        <v>2.774782672862719</v>
      </c>
      <c r="X134" s="277">
        <f t="shared" si="49"/>
        <v>2.5830123090518096</v>
      </c>
      <c r="Y134" s="42">
        <f t="shared" si="48"/>
        <v>1.0982947408900001</v>
      </c>
      <c r="Z134" s="44">
        <v>9.8294740889999996</v>
      </c>
      <c r="AE134" s="56">
        <v>143.02428115848801</v>
      </c>
      <c r="AK134">
        <v>63.567362428842493</v>
      </c>
      <c r="AL134">
        <f t="shared" si="41"/>
        <v>0.98529411764705888</v>
      </c>
      <c r="AM134">
        <f t="shared" si="53"/>
        <v>2.276759840718424</v>
      </c>
      <c r="AN134">
        <f t="shared" si="50"/>
        <v>2.247356627688291</v>
      </c>
      <c r="AO134">
        <f t="shared" si="42"/>
        <v>0.52788120679694828</v>
      </c>
      <c r="AQ134">
        <v>1.019897735108819</v>
      </c>
      <c r="AR134">
        <f t="shared" si="54"/>
        <v>1.0574374289626516</v>
      </c>
      <c r="AS134">
        <f t="shared" si="51"/>
        <v>0.98315591421472337</v>
      </c>
      <c r="AT134">
        <v>1.9897735108819035</v>
      </c>
      <c r="AU134" s="56">
        <v>242.288455465775</v>
      </c>
      <c r="AV134">
        <v>109.655800082163</v>
      </c>
      <c r="AW134">
        <v>107.721721080067</v>
      </c>
      <c r="AX134" s="56">
        <v>111.759394711003</v>
      </c>
      <c r="AZ134">
        <f t="shared" ref="AZ134:AZ144" si="55">AW134-AX134</f>
        <v>-4.0376736309359984</v>
      </c>
    </row>
    <row r="135" spans="1:55">
      <c r="A135" s="1">
        <v>42401</v>
      </c>
      <c r="V135" s="2">
        <v>100.58229097571666</v>
      </c>
      <c r="W135" s="2">
        <f t="shared" si="52"/>
        <v>2.7909399819625484</v>
      </c>
      <c r="X135" s="277">
        <f t="shared" si="49"/>
        <v>2.5980529566290693</v>
      </c>
      <c r="Y135" s="42">
        <f t="shared" si="48"/>
        <v>1.0795113520499999</v>
      </c>
      <c r="Z135" s="44">
        <v>7.9511352049999999</v>
      </c>
      <c r="AE135" s="56">
        <v>164.33459805283101</v>
      </c>
      <c r="AK135">
        <v>62.618595825426929</v>
      </c>
      <c r="AL135">
        <f t="shared" si="41"/>
        <v>0.9850746268656716</v>
      </c>
      <c r="AM135">
        <f t="shared" si="53"/>
        <v>2.2427783505584475</v>
      </c>
      <c r="AN135">
        <f t="shared" si="50"/>
        <v>2.2138139914541375</v>
      </c>
      <c r="AO135">
        <f t="shared" si="42"/>
        <v>-11.1111111111111</v>
      </c>
      <c r="AQ135">
        <v>1.0177249245557358</v>
      </c>
      <c r="AR135">
        <f t="shared" si="54"/>
        <v>1.0761804276134259</v>
      </c>
      <c r="AS135">
        <f t="shared" si="51"/>
        <v>1.000582278620705</v>
      </c>
      <c r="AT135">
        <v>1.7724924555735839</v>
      </c>
      <c r="AU135" s="56">
        <v>208.59395836928101</v>
      </c>
      <c r="AV135">
        <v>73.598328241528705</v>
      </c>
      <c r="AW135">
        <v>101.372802041965</v>
      </c>
      <c r="AX135" s="56">
        <v>152.552575140079</v>
      </c>
      <c r="AZ135">
        <f t="shared" si="55"/>
        <v>-51.179773098113998</v>
      </c>
    </row>
    <row r="136" spans="1:55">
      <c r="A136" s="1">
        <v>42430</v>
      </c>
      <c r="V136" s="2">
        <v>100.457799671884</v>
      </c>
      <c r="W136" s="2">
        <f t="shared" si="52"/>
        <v>2.8037168960424523</v>
      </c>
      <c r="X136" s="277">
        <f t="shared" si="49"/>
        <v>2.6099468345398895</v>
      </c>
      <c r="Y136" s="42">
        <f t="shared" si="48"/>
        <v>1.0594512235</v>
      </c>
      <c r="Z136" s="44">
        <v>5.9451223500000001</v>
      </c>
      <c r="AE136" s="56">
        <v>160.668299766914</v>
      </c>
      <c r="AK136">
        <v>61.669829222011373</v>
      </c>
      <c r="AL136">
        <f t="shared" si="41"/>
        <v>0.98484848484848486</v>
      </c>
      <c r="AM136">
        <f t="shared" si="53"/>
        <v>2.2087968603984711</v>
      </c>
      <c r="AN136">
        <f t="shared" si="50"/>
        <v>2.1802713552199839</v>
      </c>
      <c r="AO136">
        <f t="shared" si="42"/>
        <v>-13.043478260869563</v>
      </c>
      <c r="AQ136">
        <v>1.016746807754539</v>
      </c>
      <c r="AR136">
        <f t="shared" si="54"/>
        <v>1.0942030143438655</v>
      </c>
      <c r="AS136">
        <f t="shared" si="51"/>
        <v>1.0173388376833643</v>
      </c>
      <c r="AT136">
        <v>1.6746807754538935</v>
      </c>
      <c r="AU136" s="56">
        <v>220.20879578477599</v>
      </c>
      <c r="AV136">
        <v>82.657313279337203</v>
      </c>
      <c r="AW136">
        <v>116.985399939964</v>
      </c>
      <c r="AX136" s="56">
        <v>161.22325712314199</v>
      </c>
      <c r="AZ136">
        <f t="shared" si="55"/>
        <v>-44.237857183177994</v>
      </c>
    </row>
    <row r="137" spans="1:55">
      <c r="A137" s="1">
        <v>42461</v>
      </c>
      <c r="V137" s="2">
        <v>100.65605177655118</v>
      </c>
      <c r="W137" s="2">
        <f t="shared" si="52"/>
        <v>2.8221107305484043</v>
      </c>
      <c r="X137" s="277">
        <f t="shared" si="49"/>
        <v>2.6270694371149297</v>
      </c>
      <c r="Y137" s="42">
        <f t="shared" si="48"/>
        <v>1.0488914675600001</v>
      </c>
      <c r="Z137" s="44">
        <v>4.8891467559999997</v>
      </c>
      <c r="AE137" s="56">
        <v>248.627440037996</v>
      </c>
      <c r="AK137">
        <v>60.958254269449696</v>
      </c>
      <c r="AL137">
        <f t="shared" si="41"/>
        <v>0.98846153846153839</v>
      </c>
      <c r="AM137">
        <f t="shared" si="53"/>
        <v>2.1833107427784886</v>
      </c>
      <c r="AN137">
        <f t="shared" si="50"/>
        <v>2.1551143780443685</v>
      </c>
      <c r="AO137">
        <f t="shared" si="42"/>
        <v>-15.069398545935229</v>
      </c>
      <c r="AQ137">
        <v>1.0109280356916301</v>
      </c>
      <c r="AR137">
        <f t="shared" si="54"/>
        <v>1.1061605039385045</v>
      </c>
      <c r="AS137">
        <f t="shared" si="51"/>
        <v>1.0284563528120498</v>
      </c>
      <c r="AT137">
        <v>1.09280356916301</v>
      </c>
      <c r="AU137" s="56">
        <v>176.052132513586</v>
      </c>
      <c r="AV137">
        <v>47.535551967933401</v>
      </c>
      <c r="AW137">
        <v>95.110447306897797</v>
      </c>
      <c r="AX137" s="56">
        <v>185.013364087855</v>
      </c>
      <c r="AZ137">
        <f t="shared" si="55"/>
        <v>-89.902916780957199</v>
      </c>
    </row>
    <row r="138" spans="1:55">
      <c r="A138" s="1">
        <v>42491</v>
      </c>
      <c r="V138" s="2">
        <v>100.76566668373432</v>
      </c>
      <c r="W138" s="2">
        <f t="shared" si="52"/>
        <v>2.8437186921903046</v>
      </c>
      <c r="X138" s="277">
        <f t="shared" si="49"/>
        <v>2.6471840325534854</v>
      </c>
      <c r="Y138" s="42">
        <f t="shared" si="48"/>
        <v>1.0469948550700001</v>
      </c>
      <c r="Z138" s="44">
        <v>4.6994855070000003</v>
      </c>
      <c r="AE138" s="56">
        <v>177.983516891184</v>
      </c>
      <c r="AK138">
        <v>60.483870967741922</v>
      </c>
      <c r="AL138">
        <f t="shared" si="41"/>
        <v>0.99221789883268485</v>
      </c>
      <c r="AM138">
        <f t="shared" si="53"/>
        <v>2.1663199976985004</v>
      </c>
      <c r="AN138">
        <f t="shared" si="50"/>
        <v>2.1383430599272919</v>
      </c>
      <c r="AO138">
        <f t="shared" si="42"/>
        <v>-16.448230668414155</v>
      </c>
      <c r="AQ138">
        <v>1.0120336301558759</v>
      </c>
      <c r="AR138">
        <f t="shared" si="54"/>
        <v>1.1194716303359378</v>
      </c>
      <c r="AS138">
        <f t="shared" si="51"/>
        <v>1.040832416193251</v>
      </c>
      <c r="AT138">
        <v>1.2033630155875841</v>
      </c>
      <c r="AU138" s="56">
        <v>167.815872524767</v>
      </c>
      <c r="AV138">
        <v>43.358199781159001</v>
      </c>
      <c r="AW138">
        <v>95.064872095760904</v>
      </c>
      <c r="AX138" s="56">
        <v>162.97167669164401</v>
      </c>
      <c r="AZ138">
        <f t="shared" si="55"/>
        <v>-67.906804595883102</v>
      </c>
    </row>
    <row r="139" spans="1:55">
      <c r="A139" s="1">
        <v>42522</v>
      </c>
      <c r="V139" s="2">
        <v>100.44582655680128</v>
      </c>
      <c r="W139" s="2">
        <f t="shared" si="52"/>
        <v>2.856396745320811</v>
      </c>
      <c r="X139" s="277">
        <f t="shared" si="49"/>
        <v>2.6589858819780119</v>
      </c>
      <c r="Y139" s="42">
        <f t="shared" si="48"/>
        <v>1.0471757050399999</v>
      </c>
      <c r="Z139" s="44">
        <v>4.7175705040000002</v>
      </c>
      <c r="AE139" s="56">
        <v>189.19938490723999</v>
      </c>
      <c r="AK139">
        <v>60.00948766603414</v>
      </c>
      <c r="AL139">
        <f t="shared" ref="AL139:AL169" si="56">AK139/AK138</f>
        <v>0.99215686274509796</v>
      </c>
      <c r="AM139">
        <f t="shared" si="53"/>
        <v>2.1493292526185122</v>
      </c>
      <c r="AN139">
        <f t="shared" si="50"/>
        <v>2.1215717418102149</v>
      </c>
      <c r="AO139">
        <f t="shared" si="42"/>
        <v>-16.666666666666671</v>
      </c>
      <c r="AQ139">
        <v>1.008982943960147</v>
      </c>
      <c r="AR139">
        <f t="shared" si="54"/>
        <v>1.1295277812562199</v>
      </c>
      <c r="AS139">
        <f t="shared" si="51"/>
        <v>1.0501821554598194</v>
      </c>
      <c r="AT139">
        <v>0.8982943960147054</v>
      </c>
      <c r="AU139" s="56">
        <v>181.95889680077499</v>
      </c>
      <c r="AV139">
        <v>71.056578314033203</v>
      </c>
      <c r="AW139">
        <v>120.077437216473</v>
      </c>
      <c r="AX139" s="56">
        <v>147.24328014485701</v>
      </c>
      <c r="AZ139">
        <f t="shared" si="55"/>
        <v>-27.165842928384009</v>
      </c>
    </row>
    <row r="140" spans="1:55">
      <c r="A140" s="1">
        <v>42552</v>
      </c>
      <c r="V140" s="2">
        <v>100.76410843133097</v>
      </c>
      <c r="W140" s="2">
        <f t="shared" si="52"/>
        <v>2.8782227136840706</v>
      </c>
      <c r="X140" s="277">
        <f t="shared" si="49"/>
        <v>2.679303417290106</v>
      </c>
      <c r="Y140" s="42">
        <f t="shared" si="48"/>
        <v>1.0496347627</v>
      </c>
      <c r="Z140" s="44">
        <v>4.9634762700000001</v>
      </c>
      <c r="AE140" s="56">
        <v>185.02679448121299</v>
      </c>
      <c r="AK140">
        <v>59.772296015180252</v>
      </c>
      <c r="AL140">
        <f t="shared" si="56"/>
        <v>0.99604743083003955</v>
      </c>
      <c r="AM140">
        <f t="shared" si="53"/>
        <v>2.1408338800785183</v>
      </c>
      <c r="AN140">
        <f t="shared" si="50"/>
        <v>2.1131860827516769</v>
      </c>
      <c r="AO140">
        <f t="shared" si="42"/>
        <v>-15.151515151515156</v>
      </c>
      <c r="AQ140">
        <v>1.0043841385224281</v>
      </c>
      <c r="AR140">
        <f t="shared" si="54"/>
        <v>1.1344797875141781</v>
      </c>
      <c r="AS140">
        <f t="shared" si="51"/>
        <v>1.0547862995031374</v>
      </c>
      <c r="AT140">
        <v>0.43841385224281737</v>
      </c>
      <c r="AU140" s="56">
        <v>193.163565099208</v>
      </c>
      <c r="AV140">
        <v>82.797258267885098</v>
      </c>
      <c r="AW140">
        <v>136.019717274242</v>
      </c>
      <c r="AX140" s="56">
        <v>138.276381224479</v>
      </c>
      <c r="AZ140">
        <f t="shared" si="55"/>
        <v>-2.2566639502369981</v>
      </c>
    </row>
    <row r="141" spans="1:55">
      <c r="A141" s="1">
        <v>42583</v>
      </c>
      <c r="V141" s="2">
        <v>99.798329786784834</v>
      </c>
      <c r="W141" s="2">
        <f t="shared" si="52"/>
        <v>2.8724181958005768</v>
      </c>
      <c r="X141" s="277">
        <f t="shared" si="49"/>
        <v>2.6739000603757757</v>
      </c>
      <c r="Y141" s="42">
        <f t="shared" si="48"/>
        <v>1.0522423133299998</v>
      </c>
      <c r="Z141" s="44">
        <v>5.2242313329999899</v>
      </c>
      <c r="AE141" s="56">
        <v>264.39513936152701</v>
      </c>
      <c r="AK141">
        <v>59.772296015180252</v>
      </c>
      <c r="AL141">
        <f t="shared" si="56"/>
        <v>1</v>
      </c>
      <c r="AM141">
        <f t="shared" si="53"/>
        <v>2.1408338800785183</v>
      </c>
      <c r="AN141">
        <f t="shared" si="50"/>
        <v>2.1131860827516769</v>
      </c>
      <c r="AO141">
        <f t="shared" si="42"/>
        <v>-12.802768166089962</v>
      </c>
      <c r="AQ141">
        <v>0.99495507610898737</v>
      </c>
      <c r="AR141">
        <f t="shared" si="54"/>
        <v>1.1287564233302769</v>
      </c>
      <c r="AS141">
        <f t="shared" si="51"/>
        <v>1.0494649829008611</v>
      </c>
      <c r="AT141">
        <v>-0.50449238910125871</v>
      </c>
      <c r="AU141" s="56">
        <v>173.503827202172</v>
      </c>
      <c r="AV141">
        <v>76.410081662019607</v>
      </c>
      <c r="AW141">
        <v>127.039558649933</v>
      </c>
      <c r="AX141" s="56">
        <v>145.08295274903699</v>
      </c>
      <c r="AZ141">
        <f t="shared" si="55"/>
        <v>-18.043394099103992</v>
      </c>
    </row>
    <row r="142" spans="1:55">
      <c r="A142" s="1">
        <v>42614</v>
      </c>
      <c r="V142" s="2">
        <v>100.37628281919942</v>
      </c>
      <c r="W142" s="2">
        <f t="shared" si="52"/>
        <v>2.8832266119669323</v>
      </c>
      <c r="X142" s="277">
        <f t="shared" si="49"/>
        <v>2.6839614869055328</v>
      </c>
      <c r="Y142" s="42">
        <f t="shared" si="48"/>
        <v>1.0555911284200001</v>
      </c>
      <c r="Z142" s="44">
        <v>5.5591128420000002</v>
      </c>
      <c r="AE142" s="56">
        <v>181.74392730032301</v>
      </c>
      <c r="AK142">
        <v>59.772296015180252</v>
      </c>
      <c r="AL142">
        <f t="shared" si="56"/>
        <v>1</v>
      </c>
      <c r="AM142">
        <f t="shared" si="53"/>
        <v>2.1408338800785183</v>
      </c>
      <c r="AN142">
        <f t="shared" si="50"/>
        <v>2.1131860827516769</v>
      </c>
      <c r="AO142">
        <f t="shared" si="42"/>
        <v>-11.267605633802816</v>
      </c>
      <c r="AQ142">
        <v>1.0004635298594264</v>
      </c>
      <c r="AR142">
        <f t="shared" si="54"/>
        <v>1.1292796356365098</v>
      </c>
      <c r="AS142">
        <f t="shared" si="51"/>
        <v>1.049951441256858</v>
      </c>
      <c r="AT142">
        <v>4.6352985942647251E-2</v>
      </c>
      <c r="AU142" s="56">
        <v>201.37610885651401</v>
      </c>
      <c r="AV142">
        <v>98.985582739773093</v>
      </c>
      <c r="AW142">
        <v>146.072275898741</v>
      </c>
      <c r="AX142" s="56">
        <v>129.97515428998801</v>
      </c>
      <c r="AZ142">
        <f t="shared" si="55"/>
        <v>16.097121608752985</v>
      </c>
    </row>
    <row r="143" spans="1:55">
      <c r="A143" s="1">
        <v>42644</v>
      </c>
      <c r="V143" s="2">
        <v>100.36873755044915</v>
      </c>
      <c r="W143" s="2">
        <f t="shared" si="52"/>
        <v>2.8938581511497974</v>
      </c>
      <c r="X143" s="277">
        <f t="shared" si="49"/>
        <v>2.6938582607473469</v>
      </c>
      <c r="Y143" s="42">
        <f t="shared" si="48"/>
        <v>1.0569389033599998</v>
      </c>
      <c r="Z143" s="44">
        <v>5.6938903359999999</v>
      </c>
      <c r="AE143" s="56">
        <v>210.41143225482901</v>
      </c>
      <c r="AK143">
        <v>59.772296015180252</v>
      </c>
      <c r="AL143">
        <f t="shared" si="56"/>
        <v>1</v>
      </c>
      <c r="AM143">
        <f t="shared" si="53"/>
        <v>2.1408338800785183</v>
      </c>
      <c r="AN143">
        <f t="shared" si="50"/>
        <v>2.1131860827516769</v>
      </c>
      <c r="AO143">
        <f t="shared" ref="AO143:AO168" si="57">(AK143/AK131)*100-100</f>
        <v>-10.000000000000014</v>
      </c>
      <c r="AQ143">
        <v>1.0003620973782938</v>
      </c>
      <c r="AR143">
        <f t="shared" si="54"/>
        <v>1.1296885448319345</v>
      </c>
      <c r="AS143">
        <f t="shared" si="51"/>
        <v>1.0503316259210731</v>
      </c>
      <c r="AT143">
        <v>3.6209737829381083E-2</v>
      </c>
      <c r="AU143" s="56">
        <v>210.76736429856601</v>
      </c>
      <c r="AV143">
        <v>101.61758794425999</v>
      </c>
      <c r="AW143">
        <v>147.483747804232</v>
      </c>
      <c r="AX143" s="56">
        <v>147.42173321153001</v>
      </c>
      <c r="AZ143">
        <f t="shared" si="55"/>
        <v>6.2014592701984839E-2</v>
      </c>
    </row>
    <row r="144" spans="1:55">
      <c r="A144" s="1">
        <v>42675</v>
      </c>
      <c r="V144" s="2">
        <v>100.38414824647855</v>
      </c>
      <c r="W144" s="2">
        <f t="shared" si="52"/>
        <v>2.9049748564930158</v>
      </c>
      <c r="X144" s="277">
        <f t="shared" si="49"/>
        <v>2.7042066700186256</v>
      </c>
      <c r="Y144" s="42">
        <f t="shared" si="48"/>
        <v>1.0580837627699999</v>
      </c>
      <c r="Z144" s="44">
        <v>5.8083762769999998</v>
      </c>
      <c r="AE144" s="56">
        <v>161.140343180402</v>
      </c>
      <c r="AK144">
        <v>59.772296015180252</v>
      </c>
      <c r="AL144">
        <f t="shared" si="56"/>
        <v>1</v>
      </c>
      <c r="AM144">
        <f t="shared" si="53"/>
        <v>2.1408338800785183</v>
      </c>
      <c r="AN144">
        <f t="shared" si="50"/>
        <v>2.1131860827516769</v>
      </c>
      <c r="AO144">
        <f t="shared" si="57"/>
        <v>-8.695652173913075</v>
      </c>
      <c r="AQ144">
        <v>1.0004968812055368</v>
      </c>
      <c r="AR144">
        <f t="shared" si="54"/>
        <v>1.1302498658379716</v>
      </c>
      <c r="AS144">
        <f t="shared" si="51"/>
        <v>1.0508535159655741</v>
      </c>
      <c r="AT144">
        <v>4.9688120553682324E-2</v>
      </c>
      <c r="AU144" s="56">
        <v>188.45249321581201</v>
      </c>
      <c r="AV144">
        <v>93.947903566996899</v>
      </c>
      <c r="AW144">
        <v>142.48381660267</v>
      </c>
      <c r="AX144" s="56">
        <v>128.101350371064</v>
      </c>
      <c r="AZ144">
        <f t="shared" si="55"/>
        <v>14.382466231606003</v>
      </c>
    </row>
    <row r="145" spans="1:55">
      <c r="A145" s="1">
        <v>42705</v>
      </c>
      <c r="V145" s="2">
        <v>100.48475873593964</v>
      </c>
      <c r="W145" s="2">
        <f t="shared" si="52"/>
        <v>2.9190569758867153</v>
      </c>
      <c r="X145" s="277">
        <f t="shared" si="49"/>
        <v>2.7173155480894029</v>
      </c>
      <c r="Y145" s="42">
        <f t="shared" si="48"/>
        <v>1.06047577813</v>
      </c>
      <c r="Z145" s="44">
        <v>6.0475778130000002</v>
      </c>
      <c r="AE145" s="56">
        <v>251.97624284870901</v>
      </c>
      <c r="AK145">
        <v>59.772296015180252</v>
      </c>
      <c r="AL145">
        <f t="shared" si="56"/>
        <v>1</v>
      </c>
      <c r="AM145">
        <f t="shared" si="53"/>
        <v>2.1408338800785183</v>
      </c>
      <c r="AN145">
        <f t="shared" si="50"/>
        <v>2.1131860827516769</v>
      </c>
      <c r="AO145">
        <f t="shared" si="57"/>
        <v>-7.3529411764705799</v>
      </c>
      <c r="AQ145">
        <v>1.0014323877876599</v>
      </c>
      <c r="AR145">
        <f t="shared" si="54"/>
        <v>1.1318688219428021</v>
      </c>
      <c r="AS145">
        <f t="shared" si="51"/>
        <v>1.0523587457084627</v>
      </c>
      <c r="AT145">
        <v>0.14323877876599056</v>
      </c>
      <c r="AU145" s="56">
        <v>241.62166973143201</v>
      </c>
      <c r="AV145">
        <v>171.546029522532</v>
      </c>
      <c r="AW145">
        <v>191.98465988134001</v>
      </c>
      <c r="AX145" s="56">
        <v>157.508189518943</v>
      </c>
      <c r="AZ145">
        <f t="shared" ref="AZ145:AZ157" si="58">AW145-AX145</f>
        <v>34.476470362397009</v>
      </c>
      <c r="BA145">
        <f>SUM(AX134:AX145)</f>
        <v>1767.1293092636208</v>
      </c>
      <c r="BB145">
        <f>SUM(AW134:AW145)</f>
        <v>1527.4164557922859</v>
      </c>
      <c r="BC145">
        <f>BB145-BA145</f>
        <v>-239.71285347133494</v>
      </c>
    </row>
    <row r="146" spans="1:55">
      <c r="A146" s="1">
        <v>42736</v>
      </c>
      <c r="V146" s="2">
        <v>100.65921204362108</v>
      </c>
      <c r="W146" s="2">
        <f t="shared" si="52"/>
        <v>2.9382997510319218</v>
      </c>
      <c r="X146" s="277">
        <f t="shared" si="49"/>
        <v>2.7352284194455962</v>
      </c>
      <c r="Y146" s="42">
        <f t="shared" si="48"/>
        <v>1.0586941163299999</v>
      </c>
      <c r="Z146" s="44">
        <v>5.8694116330000004</v>
      </c>
      <c r="AE146" s="56">
        <v>149.016596123672</v>
      </c>
      <c r="AK146">
        <v>59.867172675521807</v>
      </c>
      <c r="AL146">
        <f t="shared" si="56"/>
        <v>1.0015873015873016</v>
      </c>
      <c r="AM146">
        <f t="shared" si="53"/>
        <v>2.1442320290945158</v>
      </c>
      <c r="AN146">
        <f t="shared" si="50"/>
        <v>2.1165403463750923</v>
      </c>
      <c r="AO146">
        <f t="shared" si="57"/>
        <v>-5.8208955223880707</v>
      </c>
      <c r="AQ146">
        <v>0.99992566854111231</v>
      </c>
      <c r="AR146">
        <f t="shared" si="54"/>
        <v>1.1317846884819975</v>
      </c>
      <c r="AS146">
        <f t="shared" si="51"/>
        <v>1.0522805223476208</v>
      </c>
      <c r="AT146">
        <v>-7.4331458887684221E-3</v>
      </c>
      <c r="AU146" s="56">
        <v>206.029199235709</v>
      </c>
      <c r="AV146">
        <v>115.662270905125</v>
      </c>
      <c r="AW146">
        <v>156.58331796419901</v>
      </c>
      <c r="AX146" s="56">
        <v>84.667861793371998</v>
      </c>
      <c r="AZ146">
        <f t="shared" si="58"/>
        <v>71.915456170827014</v>
      </c>
    </row>
    <row r="147" spans="1:55">
      <c r="A147" s="1">
        <v>42767</v>
      </c>
      <c r="V147" s="2">
        <v>100.49330919934138</v>
      </c>
      <c r="W147" s="2">
        <f t="shared" si="52"/>
        <v>2.9527946540079872</v>
      </c>
      <c r="X147" s="277">
        <f t="shared" si="49"/>
        <v>2.7487215528617215</v>
      </c>
      <c r="Y147" s="42">
        <f t="shared" si="48"/>
        <v>1.0577549927500001</v>
      </c>
      <c r="Z147" s="44">
        <v>5.7754992749999996</v>
      </c>
      <c r="AE147" s="56">
        <v>169.631091840576</v>
      </c>
      <c r="AK147">
        <v>60.056925996204924</v>
      </c>
      <c r="AL147">
        <f t="shared" si="56"/>
        <v>1.0031695721077656</v>
      </c>
      <c r="AM147">
        <f t="shared" si="53"/>
        <v>2.1510283271265114</v>
      </c>
      <c r="AN147">
        <f t="shared" si="50"/>
        <v>2.123248873621923</v>
      </c>
      <c r="AO147">
        <f t="shared" si="57"/>
        <v>-4.0909090909090793</v>
      </c>
      <c r="AQ147">
        <v>0.99837217886958796</v>
      </c>
      <c r="AR147">
        <f t="shared" si="54"/>
        <v>1.1299423454510098</v>
      </c>
      <c r="AS147">
        <f t="shared" si="51"/>
        <v>1.0505675978782225</v>
      </c>
      <c r="AT147">
        <v>-0.16278211304120305</v>
      </c>
      <c r="AU147" s="56">
        <v>186.53203752474701</v>
      </c>
      <c r="AV147">
        <v>85.189369257091997</v>
      </c>
      <c r="AW147">
        <v>148.13321632793699</v>
      </c>
      <c r="AX147" s="56">
        <v>118.16036724535</v>
      </c>
      <c r="AZ147">
        <f t="shared" si="58"/>
        <v>29.97284908258699</v>
      </c>
    </row>
    <row r="148" spans="1:55">
      <c r="A148" s="1">
        <v>42795</v>
      </c>
      <c r="V148" s="2">
        <v>100.3705011335454</v>
      </c>
      <c r="W148" s="2">
        <f t="shared" si="52"/>
        <v>2.9637347916723549</v>
      </c>
      <c r="X148" s="277">
        <f t="shared" si="49"/>
        <v>2.7589055973730807</v>
      </c>
      <c r="Y148" s="42">
        <f t="shared" si="48"/>
        <v>1.05685489974</v>
      </c>
      <c r="Z148" s="44">
        <v>5.6854899740000002</v>
      </c>
      <c r="AE148" s="56">
        <v>162.12281145866601</v>
      </c>
      <c r="AK148">
        <v>60.246679316888034</v>
      </c>
      <c r="AL148">
        <f t="shared" si="56"/>
        <v>1.0031595576619272</v>
      </c>
      <c r="AM148">
        <f t="shared" si="53"/>
        <v>2.1578246251585065</v>
      </c>
      <c r="AN148">
        <f t="shared" si="50"/>
        <v>2.1299574008687534</v>
      </c>
      <c r="AO148">
        <f t="shared" si="57"/>
        <v>-2.3076923076923066</v>
      </c>
      <c r="AQ148">
        <v>0.99722614382042052</v>
      </c>
      <c r="AR148">
        <f t="shared" si="54"/>
        <v>1.1268080478935121</v>
      </c>
      <c r="AS148">
        <f t="shared" si="51"/>
        <v>1.0476534744547821</v>
      </c>
      <c r="AT148">
        <v>-0.27738561795794681</v>
      </c>
      <c r="AU148" s="56">
        <v>208.82733767241001</v>
      </c>
      <c r="AV148">
        <v>99.292034759668198</v>
      </c>
      <c r="AW148">
        <v>170.521258515683</v>
      </c>
      <c r="AX148" s="56">
        <v>128.327698040179</v>
      </c>
      <c r="AZ148">
        <f t="shared" si="58"/>
        <v>42.193560475504</v>
      </c>
    </row>
    <row r="149" spans="1:55">
      <c r="A149" s="1">
        <v>42826</v>
      </c>
      <c r="V149" s="2">
        <v>100.43615367995963</v>
      </c>
      <c r="W149" s="2">
        <f t="shared" si="52"/>
        <v>2.9766612300304778</v>
      </c>
      <c r="X149" s="277">
        <f t="shared" si="49"/>
        <v>2.7709386656626358</v>
      </c>
      <c r="Y149" s="42">
        <f t="shared" si="48"/>
        <v>1.05462347451</v>
      </c>
      <c r="Z149" s="44">
        <v>5.4623474510000003</v>
      </c>
      <c r="AE149" s="56">
        <v>261.89859522431999</v>
      </c>
      <c r="AK149">
        <v>60.436432637571151</v>
      </c>
      <c r="AL149">
        <f t="shared" si="56"/>
        <v>1.0031496062992127</v>
      </c>
      <c r="AM149">
        <f t="shared" si="53"/>
        <v>2.164620923190502</v>
      </c>
      <c r="AN149">
        <f t="shared" si="50"/>
        <v>2.1366659281155846</v>
      </c>
      <c r="AO149">
        <f t="shared" si="57"/>
        <v>-0.8560311284046378</v>
      </c>
      <c r="AQ149">
        <v>0.99783562649413016</v>
      </c>
      <c r="AR149">
        <f t="shared" si="54"/>
        <v>1.1243692144084505</v>
      </c>
      <c r="AS149">
        <f t="shared" si="51"/>
        <v>1.0453859610313396</v>
      </c>
      <c r="AT149">
        <v>-0.2164373505869861</v>
      </c>
      <c r="AU149" s="56">
        <v>171.78132900568701</v>
      </c>
      <c r="AV149">
        <v>69.4775963219532</v>
      </c>
      <c r="AW149">
        <v>136.85681255837201</v>
      </c>
      <c r="AX149" s="56">
        <v>151.87223744039699</v>
      </c>
      <c r="AZ149">
        <f t="shared" si="58"/>
        <v>-15.015424882024973</v>
      </c>
    </row>
    <row r="150" spans="1:55">
      <c r="A150" s="1">
        <v>42856</v>
      </c>
      <c r="V150" s="2">
        <v>100.61254199865874</v>
      </c>
      <c r="W150" s="2">
        <f t="shared" si="52"/>
        <v>2.9948945302222065</v>
      </c>
      <c r="X150" s="277">
        <f t="shared" si="49"/>
        <v>2.7879118287468936</v>
      </c>
      <c r="Y150" s="42">
        <f t="shared" si="48"/>
        <v>1.05304045877</v>
      </c>
      <c r="Z150" s="44">
        <v>5.3040458770000001</v>
      </c>
      <c r="AE150" s="56">
        <v>176.23761418331799</v>
      </c>
      <c r="AK150">
        <v>60.578747628083491</v>
      </c>
      <c r="AL150">
        <f t="shared" si="56"/>
        <v>1.002354788069074</v>
      </c>
      <c r="AM150">
        <f t="shared" si="53"/>
        <v>2.1697181467144988</v>
      </c>
      <c r="AN150">
        <f t="shared" si="50"/>
        <v>2.1416973235507077</v>
      </c>
      <c r="AO150">
        <f t="shared" si="57"/>
        <v>0.15686274509805287</v>
      </c>
      <c r="AQ150">
        <v>1.0010508527341757</v>
      </c>
      <c r="AR150">
        <f t="shared" si="54"/>
        <v>1.1255507608716346</v>
      </c>
      <c r="AS150">
        <f t="shared" si="51"/>
        <v>1.0464845077267584</v>
      </c>
      <c r="AT150">
        <v>0.10508527341757201</v>
      </c>
      <c r="AU150" s="56">
        <v>170.43937926499001</v>
      </c>
      <c r="AV150">
        <v>67.128097727503402</v>
      </c>
      <c r="AW150">
        <v>133.99552707960601</v>
      </c>
      <c r="AX150" s="56">
        <v>137.80921434212399</v>
      </c>
      <c r="AZ150">
        <f t="shared" si="58"/>
        <v>-3.8136872625179876</v>
      </c>
    </row>
    <row r="151" spans="1:55">
      <c r="A151" s="1">
        <v>42887</v>
      </c>
      <c r="V151" s="2">
        <v>100.35535047241879</v>
      </c>
      <c r="W151" s="2">
        <f t="shared" si="52"/>
        <v>3.0055369020837959</v>
      </c>
      <c r="X151" s="277">
        <f t="shared" si="49"/>
        <v>2.7978186866009653</v>
      </c>
      <c r="Y151" s="42">
        <f t="shared" si="48"/>
        <v>1.0520894331499999</v>
      </c>
      <c r="Z151" s="44">
        <v>5.208943315</v>
      </c>
      <c r="AE151" s="56">
        <v>188.57537630022199</v>
      </c>
      <c r="AK151">
        <v>60.673624288425046</v>
      </c>
      <c r="AL151">
        <f t="shared" si="56"/>
        <v>1.0015661707126076</v>
      </c>
      <c r="AM151">
        <f t="shared" si="53"/>
        <v>2.1731162957304964</v>
      </c>
      <c r="AN151">
        <f t="shared" si="50"/>
        <v>2.1450515871741231</v>
      </c>
      <c r="AO151">
        <f t="shared" si="57"/>
        <v>1.1067193675889513</v>
      </c>
      <c r="AQ151">
        <v>0.99857142562736922</v>
      </c>
      <c r="AR151">
        <f t="shared" si="54"/>
        <v>1.1239428278995582</v>
      </c>
      <c r="AS151">
        <f t="shared" si="51"/>
        <v>1.0449895267776648</v>
      </c>
      <c r="AT151">
        <v>-0.14285743726307487</v>
      </c>
      <c r="AU151" s="56">
        <v>188.71741041285199</v>
      </c>
      <c r="AV151">
        <v>95.069476204626994</v>
      </c>
      <c r="AW151">
        <v>164.67153462598799</v>
      </c>
      <c r="AX151" s="56">
        <v>128.16648492808</v>
      </c>
      <c r="AZ151">
        <f t="shared" si="58"/>
        <v>36.505049697907992</v>
      </c>
    </row>
    <row r="152" spans="1:55">
      <c r="A152" s="1">
        <v>42917</v>
      </c>
      <c r="V152" s="2">
        <v>100.45123297268616</v>
      </c>
      <c r="W152" s="2">
        <f t="shared" si="52"/>
        <v>3.0190988755922481</v>
      </c>
      <c r="X152" s="277">
        <f t="shared" si="49"/>
        <v>2.8104433670308837</v>
      </c>
      <c r="Y152" s="42">
        <f t="shared" si="48"/>
        <v>1.04877779398</v>
      </c>
      <c r="Z152" s="44">
        <v>4.8777793980000004</v>
      </c>
      <c r="AE152" s="56">
        <v>182.680888629089</v>
      </c>
      <c r="AK152">
        <v>60.768500948766601</v>
      </c>
      <c r="AL152">
        <f t="shared" si="56"/>
        <v>1.001563721657545</v>
      </c>
      <c r="AM152">
        <f t="shared" si="53"/>
        <v>2.1765144447464944</v>
      </c>
      <c r="AN152">
        <f t="shared" si="50"/>
        <v>2.148405850797539</v>
      </c>
      <c r="AO152">
        <f t="shared" si="57"/>
        <v>1.6666666666666856</v>
      </c>
      <c r="AQ152">
        <v>0.99966069044635564</v>
      </c>
      <c r="AR152">
        <f t="shared" si="54"/>
        <v>1.1235614633603019</v>
      </c>
      <c r="AS152">
        <f t="shared" si="51"/>
        <v>1.0446349518477709</v>
      </c>
      <c r="AT152">
        <v>-3.3930955364439797E-2</v>
      </c>
      <c r="AU152" s="56">
        <v>197.08047858426099</v>
      </c>
      <c r="AV152">
        <v>105.114048251596</v>
      </c>
      <c r="AW152">
        <v>179.54838741576</v>
      </c>
      <c r="AX152" s="56">
        <v>124.086976449017</v>
      </c>
      <c r="AZ152">
        <f t="shared" si="58"/>
        <v>55.461410966743003</v>
      </c>
    </row>
    <row r="153" spans="1:55">
      <c r="A153" s="1">
        <v>42948</v>
      </c>
      <c r="V153" s="2">
        <v>99.756433689853949</v>
      </c>
      <c r="W153" s="2">
        <f t="shared" si="52"/>
        <v>3.0117453678613071</v>
      </c>
      <c r="X153" s="277">
        <f t="shared" si="49"/>
        <v>2.8035980738230619</v>
      </c>
      <c r="Y153" s="42">
        <f t="shared" si="48"/>
        <v>1.0482452773499999</v>
      </c>
      <c r="Z153" s="44">
        <v>4.8245277350000002</v>
      </c>
      <c r="AE153" s="56">
        <v>274.80742166938001</v>
      </c>
      <c r="AK153">
        <v>60.863377609108149</v>
      </c>
      <c r="AL153">
        <f t="shared" si="56"/>
        <v>1.0015612802498046</v>
      </c>
      <c r="AM153">
        <f t="shared" si="53"/>
        <v>2.1799125937624915</v>
      </c>
      <c r="AN153">
        <f t="shared" si="50"/>
        <v>2.1517601144209535</v>
      </c>
      <c r="AO153">
        <f t="shared" si="57"/>
        <v>1.8253968253968225</v>
      </c>
      <c r="AQ153">
        <v>0.99290090059018266</v>
      </c>
      <c r="AR153">
        <f t="shared" si="54"/>
        <v>1.1155851888388673</v>
      </c>
      <c r="AS153">
        <f t="shared" si="51"/>
        <v>1.0372189844776336</v>
      </c>
      <c r="AT153">
        <v>-0.70990994098173132</v>
      </c>
      <c r="AU153" s="56">
        <v>181.33495783140199</v>
      </c>
      <c r="AV153">
        <v>96.884690764728603</v>
      </c>
      <c r="AW153">
        <v>162.40829800582699</v>
      </c>
      <c r="AX153" s="56">
        <v>133.02297587837</v>
      </c>
      <c r="AZ153">
        <f t="shared" si="58"/>
        <v>29.385322127456988</v>
      </c>
    </row>
    <row r="154" spans="1:55">
      <c r="A154" s="1">
        <v>42979</v>
      </c>
      <c r="V154" s="2">
        <v>100.27593841465317</v>
      </c>
      <c r="W154" s="2">
        <f t="shared" si="52"/>
        <v>3.0200559302827736</v>
      </c>
      <c r="X154" s="277">
        <f t="shared" si="49"/>
        <v>2.8113342779012158</v>
      </c>
      <c r="Y154" s="42">
        <f t="shared" si="48"/>
        <v>1.0471764405800001</v>
      </c>
      <c r="Z154" s="44">
        <v>4.7176440580000003</v>
      </c>
      <c r="AE154" s="56">
        <v>180.03423201444099</v>
      </c>
      <c r="AK154">
        <v>60.958254269449696</v>
      </c>
      <c r="AL154">
        <f t="shared" si="56"/>
        <v>1.0015588464536243</v>
      </c>
      <c r="AM154">
        <f t="shared" si="53"/>
        <v>2.183310742778489</v>
      </c>
      <c r="AN154">
        <f t="shared" si="50"/>
        <v>2.1551143780443689</v>
      </c>
      <c r="AO154">
        <f t="shared" si="57"/>
        <v>1.9841269841269735</v>
      </c>
      <c r="AQ154">
        <v>0.99788906910492481</v>
      </c>
      <c r="AR154">
        <f t="shared" si="54"/>
        <v>1.1132302655976589</v>
      </c>
      <c r="AS154">
        <f t="shared" si="51"/>
        <v>1.0350294868783412</v>
      </c>
      <c r="AT154">
        <v>-0.21109308950751426</v>
      </c>
      <c r="AU154" s="56">
        <v>205.935919140143</v>
      </c>
      <c r="AV154">
        <v>116.251304847844</v>
      </c>
      <c r="AW154">
        <v>181.043644947274</v>
      </c>
      <c r="AX154" s="56">
        <v>121.35702968883</v>
      </c>
      <c r="AZ154">
        <f t="shared" si="58"/>
        <v>59.686615258444007</v>
      </c>
    </row>
    <row r="155" spans="1:55">
      <c r="A155" s="1">
        <v>43009</v>
      </c>
      <c r="V155" s="2">
        <v>100.22371960143879</v>
      </c>
      <c r="W155" s="2">
        <f t="shared" si="52"/>
        <v>3.0268123873732309</v>
      </c>
      <c r="X155" s="277">
        <f t="shared" si="49"/>
        <v>2.8176237837428486</v>
      </c>
      <c r="Y155" s="42">
        <f t="shared" si="48"/>
        <v>1.04571040586</v>
      </c>
      <c r="Z155" s="44">
        <v>4.5710405859999899</v>
      </c>
      <c r="AE155" s="56">
        <v>211.03583656924999</v>
      </c>
      <c r="AK155">
        <v>61.053130929791251</v>
      </c>
      <c r="AL155">
        <f t="shared" si="56"/>
        <v>1.001556420233463</v>
      </c>
      <c r="AM155">
        <f t="shared" si="53"/>
        <v>2.1867088917944866</v>
      </c>
      <c r="AN155">
        <f t="shared" si="50"/>
        <v>2.1584686416677843</v>
      </c>
      <c r="AO155">
        <f t="shared" si="57"/>
        <v>2.1428571428571388</v>
      </c>
      <c r="AQ155">
        <v>0.9974104195778033</v>
      </c>
      <c r="AR155">
        <f t="shared" si="54"/>
        <v>1.1103474662964703</v>
      </c>
      <c r="AS155">
        <f t="shared" si="51"/>
        <v>1.0323491947827248</v>
      </c>
      <c r="AT155">
        <v>-0.25895804221967467</v>
      </c>
      <c r="AU155" s="56">
        <v>213.86358285472301</v>
      </c>
      <c r="AV155">
        <v>116.555211089997</v>
      </c>
      <c r="AW155">
        <v>177.54408251781399</v>
      </c>
      <c r="AX155" s="56">
        <v>139.84313464790301</v>
      </c>
      <c r="AZ155">
        <f t="shared" si="58"/>
        <v>37.700947869910976</v>
      </c>
    </row>
    <row r="156" spans="1:55">
      <c r="A156" s="1">
        <v>43040</v>
      </c>
      <c r="V156" s="2">
        <v>100.31270124147257</v>
      </c>
      <c r="W156" s="2">
        <f t="shared" si="52"/>
        <v>3.036277267285592</v>
      </c>
      <c r="X156" s="277">
        <f t="shared" si="49"/>
        <v>2.8264345282946386</v>
      </c>
      <c r="Y156" s="42">
        <f t="shared" si="48"/>
        <v>1.04498387775</v>
      </c>
      <c r="Z156" s="44">
        <v>4.4983877750000003</v>
      </c>
      <c r="AE156" s="56">
        <v>160.05197489084</v>
      </c>
      <c r="AK156">
        <v>61.148007590132806</v>
      </c>
      <c r="AL156">
        <f t="shared" si="56"/>
        <v>1.0015540015540014</v>
      </c>
      <c r="AM156">
        <f t="shared" si="53"/>
        <v>2.1901070408104841</v>
      </c>
      <c r="AN156">
        <f t="shared" si="50"/>
        <v>2.1618229052911997</v>
      </c>
      <c r="AO156">
        <f t="shared" si="57"/>
        <v>2.3015873015872899</v>
      </c>
      <c r="AQ156">
        <v>0.99825168583545409</v>
      </c>
      <c r="AR156">
        <f t="shared" si="54"/>
        <v>1.1084062300935764</v>
      </c>
      <c r="AS156">
        <f t="shared" si="51"/>
        <v>1.0305443240627283</v>
      </c>
      <c r="AT156">
        <v>-0.17483141645459455</v>
      </c>
      <c r="AU156" s="56">
        <v>190.56208086698101</v>
      </c>
      <c r="AV156">
        <v>106.540163317938</v>
      </c>
      <c r="AW156">
        <v>167.16422566291001</v>
      </c>
      <c r="AX156" s="56">
        <v>123.14435228093799</v>
      </c>
      <c r="AZ156">
        <f t="shared" si="58"/>
        <v>44.019873381972019</v>
      </c>
    </row>
    <row r="157" spans="1:55">
      <c r="A157" s="1">
        <v>43070</v>
      </c>
      <c r="V157" s="2">
        <v>100.41838331345959</v>
      </c>
      <c r="W157" s="2">
        <f t="shared" si="52"/>
        <v>3.0489805447222813</v>
      </c>
      <c r="X157" s="277">
        <f t="shared" si="49"/>
        <v>2.8382598587268832</v>
      </c>
      <c r="Y157" s="42">
        <f t="shared" si="48"/>
        <v>1.0443005026700001</v>
      </c>
      <c r="Z157" s="44">
        <v>4.4300502670000004</v>
      </c>
      <c r="AE157" s="56">
        <v>263.23039837539301</v>
      </c>
      <c r="AK157">
        <v>61.242884250474347</v>
      </c>
      <c r="AL157">
        <f t="shared" si="56"/>
        <v>1.0015515903801393</v>
      </c>
      <c r="AM157">
        <f t="shared" si="53"/>
        <v>2.1935051898264812</v>
      </c>
      <c r="AN157">
        <f t="shared" si="50"/>
        <v>2.1651771689146142</v>
      </c>
      <c r="AO157">
        <f t="shared" si="57"/>
        <v>2.4603174603174267</v>
      </c>
      <c r="AQ157">
        <v>0.99922830236295501</v>
      </c>
      <c r="AR157">
        <f t="shared" si="54"/>
        <v>1.1075508756249273</v>
      </c>
      <c r="AS157">
        <f t="shared" si="51"/>
        <v>1.0297490554429791</v>
      </c>
      <c r="AT157">
        <v>-7.716976370450368E-2</v>
      </c>
      <c r="AU157" s="56">
        <v>242.337108921566</v>
      </c>
      <c r="AV157">
        <v>185.78715479764199</v>
      </c>
      <c r="AW157">
        <v>220.063758009558</v>
      </c>
      <c r="AX157" s="56">
        <v>153.15731010072801</v>
      </c>
      <c r="AZ157">
        <f t="shared" si="58"/>
        <v>66.906447908829989</v>
      </c>
      <c r="BA157">
        <f>SUM(AX146:AX157)</f>
        <v>1543.6156428352879</v>
      </c>
      <c r="BB157">
        <f>SUM(AW146:AW157)</f>
        <v>1998.5340636309279</v>
      </c>
      <c r="BC157">
        <f>BB157-BA157</f>
        <v>454.91842079564003</v>
      </c>
    </row>
    <row r="158" spans="1:55">
      <c r="A158" s="1">
        <v>43101</v>
      </c>
      <c r="V158" s="2">
        <v>100.65921204362108</v>
      </c>
      <c r="W158" s="2">
        <f t="shared" si="52"/>
        <v>3.0690797916807537</v>
      </c>
      <c r="X158" s="277">
        <f t="shared" si="49"/>
        <v>2.8569700095448729</v>
      </c>
      <c r="Y158" s="42">
        <f t="shared" si="48"/>
        <v>1.04368473433</v>
      </c>
      <c r="Z158" s="44">
        <v>4.3684734330000001</v>
      </c>
      <c r="AE158" s="56">
        <v>147.79840999805</v>
      </c>
      <c r="AK158">
        <v>61.290322580645125</v>
      </c>
      <c r="AL158">
        <f t="shared" si="56"/>
        <v>1.0007745933384973</v>
      </c>
      <c r="AM158">
        <f t="shared" si="53"/>
        <v>2.19520426433448</v>
      </c>
      <c r="AN158">
        <f t="shared" si="50"/>
        <v>2.1668543007263219</v>
      </c>
      <c r="AO158">
        <f t="shared" si="57"/>
        <v>2.3771790808240496</v>
      </c>
      <c r="AQ158">
        <v>1.0025085611181253</v>
      </c>
      <c r="AR158">
        <f t="shared" si="54"/>
        <v>1.1103292346878655</v>
      </c>
      <c r="AS158">
        <f t="shared" si="51"/>
        <v>1.0323322438848894</v>
      </c>
      <c r="AT158">
        <v>0.25085611181252432</v>
      </c>
      <c r="AU158" s="56">
        <v>207.13408484963199</v>
      </c>
      <c r="AV158">
        <v>124.88642091000401</v>
      </c>
      <c r="AW158">
        <v>177.81135901269201</v>
      </c>
      <c r="AX158" s="56">
        <v>82.652023610259704</v>
      </c>
      <c r="AZ158">
        <f t="shared" ref="AZ158:AZ168" si="59">AW158-AX158</f>
        <v>95.159335402432305</v>
      </c>
    </row>
    <row r="159" spans="1:55">
      <c r="A159" s="1">
        <v>43132</v>
      </c>
      <c r="V159" s="2">
        <v>100.49330919934138</v>
      </c>
      <c r="W159" s="2">
        <f t="shared" si="52"/>
        <v>3.0842198446282425</v>
      </c>
      <c r="X159" s="277">
        <f t="shared" si="49"/>
        <v>2.8710637054243824</v>
      </c>
      <c r="Y159" s="42">
        <f t="shared" si="48"/>
        <v>1.04326793994</v>
      </c>
      <c r="Z159" s="44">
        <v>4.326793994</v>
      </c>
      <c r="AE159" s="56">
        <v>170.40612410311601</v>
      </c>
      <c r="AK159">
        <v>61.290322580645125</v>
      </c>
      <c r="AL159">
        <f t="shared" si="56"/>
        <v>1</v>
      </c>
      <c r="AM159">
        <f t="shared" si="53"/>
        <v>2.19520426433448</v>
      </c>
      <c r="AN159">
        <f t="shared" si="50"/>
        <v>2.1668543007263219</v>
      </c>
      <c r="AO159">
        <f t="shared" si="57"/>
        <v>2.0537124802527273</v>
      </c>
      <c r="AQ159">
        <v>1.0011316239324251</v>
      </c>
      <c r="AR159">
        <f t="shared" si="54"/>
        <v>1.1115857098227095</v>
      </c>
      <c r="AS159">
        <f t="shared" si="51"/>
        <v>1.0335004557582839</v>
      </c>
      <c r="AT159">
        <v>0.11316239324250432</v>
      </c>
      <c r="AU159" s="56">
        <v>186.22356554677501</v>
      </c>
      <c r="AV159">
        <v>93.826349736185904</v>
      </c>
      <c r="AW159">
        <v>167.50149001688001</v>
      </c>
      <c r="AX159" s="56">
        <v>115.29331257160899</v>
      </c>
      <c r="AZ159">
        <f t="shared" si="59"/>
        <v>52.208177445271019</v>
      </c>
    </row>
    <row r="160" spans="1:55">
      <c r="A160" s="1">
        <v>43160</v>
      </c>
      <c r="V160" s="2">
        <v>100.3705011335454</v>
      </c>
      <c r="W160" s="2">
        <f t="shared" si="52"/>
        <v>3.095646914113622</v>
      </c>
      <c r="X160" s="277">
        <f t="shared" si="49"/>
        <v>2.88170102899779</v>
      </c>
      <c r="Y160" s="42">
        <f t="shared" si="48"/>
        <v>1.0428593581400001</v>
      </c>
      <c r="Z160" s="44">
        <v>4.2859358140000001</v>
      </c>
      <c r="AE160" s="56">
        <v>159.38961418886501</v>
      </c>
      <c r="AK160">
        <v>61.290322580645125</v>
      </c>
      <c r="AL160">
        <f t="shared" si="56"/>
        <v>1</v>
      </c>
      <c r="AM160">
        <f t="shared" si="53"/>
        <v>2.19520426433448</v>
      </c>
      <c r="AN160">
        <f t="shared" si="50"/>
        <v>2.1668543007263219</v>
      </c>
      <c r="AO160">
        <f t="shared" si="57"/>
        <v>1.7322834645668905</v>
      </c>
      <c r="AQ160">
        <v>0.9999801854387852</v>
      </c>
      <c r="AR160">
        <f t="shared" si="54"/>
        <v>1.1115636842396168</v>
      </c>
      <c r="AS160">
        <f t="shared" si="51"/>
        <v>1.0334799774002377</v>
      </c>
      <c r="AT160">
        <v>-1.9814561214843707E-3</v>
      </c>
      <c r="AU160" s="56">
        <v>208.790159294353</v>
      </c>
      <c r="AV160">
        <v>107.606343199623</v>
      </c>
      <c r="AW160">
        <v>193.11034735530299</v>
      </c>
      <c r="AX160" s="56">
        <v>124.68320055303001</v>
      </c>
      <c r="AZ160">
        <f t="shared" si="59"/>
        <v>68.427146802272986</v>
      </c>
    </row>
    <row r="161" spans="1:55">
      <c r="A161" s="1">
        <v>43191</v>
      </c>
      <c r="V161" s="2">
        <v>100.43615367995963</v>
      </c>
      <c r="W161" s="2">
        <f t="shared" si="52"/>
        <v>3.1091486920480857</v>
      </c>
      <c r="X161" s="277">
        <f t="shared" si="49"/>
        <v>2.8942696740811988</v>
      </c>
      <c r="Y161" s="42">
        <f t="shared" si="48"/>
        <v>1.0424722795900001</v>
      </c>
      <c r="Z161" s="44">
        <v>4.2472279589999999</v>
      </c>
      <c r="AE161" s="56">
        <v>271.45737142321201</v>
      </c>
      <c r="AK161">
        <v>61.290322580645125</v>
      </c>
      <c r="AL161">
        <f t="shared" si="56"/>
        <v>1</v>
      </c>
      <c r="AM161">
        <f t="shared" si="53"/>
        <v>2.19520426433448</v>
      </c>
      <c r="AN161">
        <f t="shared" si="50"/>
        <v>2.1668543007263219</v>
      </c>
      <c r="AO161">
        <f t="shared" si="57"/>
        <v>1.4128728414442264</v>
      </c>
      <c r="AQ161">
        <v>1.0006019426273511</v>
      </c>
      <c r="AR161">
        <f t="shared" si="54"/>
        <v>1.1122327818041762</v>
      </c>
      <c r="AS161">
        <f t="shared" si="51"/>
        <v>1.0341020730531489</v>
      </c>
      <c r="AT161">
        <v>6.0194262735109305E-2</v>
      </c>
      <c r="AU161" s="56">
        <v>171.247640410706</v>
      </c>
      <c r="AV161">
        <v>79.993093286452805</v>
      </c>
      <c r="AW161">
        <v>155.98092319931601</v>
      </c>
      <c r="AX161" s="56">
        <v>146.59738398095899</v>
      </c>
      <c r="AZ161">
        <f t="shared" si="59"/>
        <v>9.383539218357015</v>
      </c>
    </row>
    <row r="162" spans="1:55">
      <c r="A162" s="1">
        <v>43221</v>
      </c>
      <c r="V162" s="2">
        <v>100.61254199865874</v>
      </c>
      <c r="W162" s="2">
        <f t="shared" si="52"/>
        <v>3.1281935335876292</v>
      </c>
      <c r="X162" s="277">
        <f t="shared" si="49"/>
        <v>2.9119982913893896</v>
      </c>
      <c r="Y162" s="42">
        <f t="shared" si="48"/>
        <v>1.0422324647199999</v>
      </c>
      <c r="Z162" s="44">
        <v>4.2232464719999898</v>
      </c>
      <c r="AE162" s="56">
        <v>173.04522149703899</v>
      </c>
      <c r="AK162">
        <v>61.290322580645125</v>
      </c>
      <c r="AL162">
        <f t="shared" si="56"/>
        <v>1</v>
      </c>
      <c r="AM162">
        <f t="shared" si="53"/>
        <v>2.19520426433448</v>
      </c>
      <c r="AN162">
        <f t="shared" si="50"/>
        <v>2.1668543007263219</v>
      </c>
      <c r="AO162">
        <f t="shared" si="57"/>
        <v>1.1746280344556936</v>
      </c>
      <c r="AQ162">
        <v>1.00238925090621</v>
      </c>
      <c r="AR162">
        <f t="shared" si="54"/>
        <v>1.1148901849860182</v>
      </c>
      <c r="AS162">
        <f t="shared" si="51"/>
        <v>1.0365728023683047</v>
      </c>
      <c r="AT162">
        <v>0.23892509062099521</v>
      </c>
      <c r="AU162" s="56">
        <v>170.91113256121801</v>
      </c>
      <c r="AV162">
        <v>78.843491583659798</v>
      </c>
      <c r="AW162">
        <v>154.21891573677701</v>
      </c>
      <c r="AX162" s="56">
        <v>131.99735215695699</v>
      </c>
      <c r="AZ162">
        <f t="shared" si="59"/>
        <v>22.221563579820014</v>
      </c>
    </row>
    <row r="163" spans="1:55">
      <c r="A163" s="1">
        <v>43252</v>
      </c>
      <c r="V163" s="2">
        <v>100.35535047241879</v>
      </c>
      <c r="W163" s="2">
        <f t="shared" si="52"/>
        <v>3.1393095840874068</v>
      </c>
      <c r="X163" s="277">
        <f t="shared" si="49"/>
        <v>2.9223460910746688</v>
      </c>
      <c r="Y163" s="42">
        <f t="shared" si="48"/>
        <v>1.0422981794099999</v>
      </c>
      <c r="Z163" s="44">
        <v>4.2298179410000003</v>
      </c>
      <c r="AE163" s="56">
        <v>186.63369971253701</v>
      </c>
      <c r="AK163">
        <v>61.290322580645125</v>
      </c>
      <c r="AL163">
        <f t="shared" si="56"/>
        <v>1</v>
      </c>
      <c r="AM163">
        <f t="shared" si="53"/>
        <v>2.19520426433448</v>
      </c>
      <c r="AN163">
        <f t="shared" si="50"/>
        <v>2.1668543007263219</v>
      </c>
      <c r="AO163">
        <f t="shared" si="57"/>
        <v>1.0164190774041799</v>
      </c>
      <c r="AQ163">
        <v>1.0001971955256208</v>
      </c>
      <c r="AR163">
        <f t="shared" si="54"/>
        <v>1.1151100363420561</v>
      </c>
      <c r="AS163">
        <f t="shared" si="51"/>
        <v>1.0367772098869119</v>
      </c>
      <c r="AT163">
        <v>1.9719552562079912E-2</v>
      </c>
      <c r="AU163" s="56">
        <v>189.41825217110801</v>
      </c>
      <c r="AV163">
        <v>108.611533961897</v>
      </c>
      <c r="AW163">
        <v>191.36929970204901</v>
      </c>
      <c r="AX163" s="56">
        <v>121.94035040266201</v>
      </c>
      <c r="AZ163">
        <f t="shared" si="59"/>
        <v>69.428949299387</v>
      </c>
    </row>
    <row r="164" spans="1:55">
      <c r="A164" s="1">
        <v>43282</v>
      </c>
      <c r="V164" s="2">
        <v>100.45123297268616</v>
      </c>
      <c r="W164" s="2">
        <f t="shared" si="52"/>
        <v>3.1534751840455062</v>
      </c>
      <c r="X164" s="277">
        <f t="shared" si="49"/>
        <v>2.9355326802136035</v>
      </c>
      <c r="Y164" s="42">
        <f t="shared" si="48"/>
        <v>1.0419552941400001</v>
      </c>
      <c r="Z164" s="44">
        <v>4.1955294140000001</v>
      </c>
      <c r="AE164" s="56">
        <v>178.49653293739601</v>
      </c>
      <c r="AK164">
        <v>61.290322580645125</v>
      </c>
      <c r="AL164">
        <f t="shared" si="56"/>
        <v>1</v>
      </c>
      <c r="AM164">
        <f t="shared" si="53"/>
        <v>2.19520426433448</v>
      </c>
      <c r="AN164">
        <f>AM164/AVERAGE($AM$2:$AM$13)</f>
        <v>2.1668543007263219</v>
      </c>
      <c r="AO164">
        <f t="shared" si="57"/>
        <v>0.85870413739259277</v>
      </c>
      <c r="AQ164">
        <v>1.00089328763508</v>
      </c>
      <c r="AR164">
        <f t="shared" si="54"/>
        <v>1.116106150349274</v>
      </c>
      <c r="AS164">
        <f t="shared" si="51"/>
        <v>1.0377033501488366</v>
      </c>
      <c r="AT164">
        <v>8.9328763508007114E-2</v>
      </c>
      <c r="AU164" s="56">
        <v>199.56672963882801</v>
      </c>
      <c r="AV164">
        <v>120.834156590844</v>
      </c>
      <c r="AW164">
        <v>211.46109574206</v>
      </c>
      <c r="AX164" s="56">
        <v>117.09101667806701</v>
      </c>
      <c r="AZ164">
        <f t="shared" si="59"/>
        <v>94.370079063992989</v>
      </c>
    </row>
    <row r="165" spans="1:55">
      <c r="A165" s="1">
        <v>43313</v>
      </c>
      <c r="V165" s="2">
        <v>99.756433689853949</v>
      </c>
      <c r="W165" s="2">
        <f t="shared" si="52"/>
        <v>3.1457943808983551</v>
      </c>
      <c r="X165" s="277">
        <f t="shared" si="49"/>
        <v>2.9283827115812753</v>
      </c>
      <c r="Y165" s="42">
        <f t="shared" si="48"/>
        <v>1.0423886859499998</v>
      </c>
      <c r="Z165" s="44">
        <v>4.2388685949999898</v>
      </c>
      <c r="AE165" s="56">
        <v>282.30987941807598</v>
      </c>
      <c r="AK165">
        <v>61.290322580645125</v>
      </c>
      <c r="AL165">
        <f t="shared" si="56"/>
        <v>1</v>
      </c>
      <c r="AM165">
        <f t="shared" si="53"/>
        <v>2.19520426433448</v>
      </c>
      <c r="AN165">
        <f t="shared" si="50"/>
        <v>2.1668543007263219</v>
      </c>
      <c r="AO165">
        <f t="shared" si="57"/>
        <v>0.70148090413088937</v>
      </c>
      <c r="AQ165">
        <v>0.99486352032271708</v>
      </c>
      <c r="AR165">
        <f t="shared" si="54"/>
        <v>1.1103732937903144</v>
      </c>
      <c r="AS165">
        <f t="shared" si="51"/>
        <v>1.0323732079797487</v>
      </c>
      <c r="AT165">
        <v>-0.51364796772828925</v>
      </c>
      <c r="AU165" s="56">
        <v>183.037815376373</v>
      </c>
      <c r="AV165">
        <v>114.956640220697</v>
      </c>
      <c r="AW165">
        <v>193.252206427353</v>
      </c>
      <c r="AX165" s="56">
        <v>124.81190884815901</v>
      </c>
      <c r="AZ165">
        <f t="shared" si="59"/>
        <v>68.440297579193995</v>
      </c>
    </row>
    <row r="166" spans="1:55">
      <c r="A166" s="1">
        <v>43344</v>
      </c>
      <c r="V166" s="2">
        <v>100.27593841465317</v>
      </c>
      <c r="W166" s="2">
        <f t="shared" si="52"/>
        <v>3.1544748360412544</v>
      </c>
      <c r="X166" s="277">
        <f t="shared" si="49"/>
        <v>2.9364632444105903</v>
      </c>
      <c r="Y166" s="42">
        <f t="shared" si="48"/>
        <v>1.04190375114</v>
      </c>
      <c r="Z166" s="44">
        <v>4.1903751140000001</v>
      </c>
      <c r="AE166" s="56">
        <v>175.15537746347999</v>
      </c>
      <c r="AK166">
        <v>61.290322580645125</v>
      </c>
      <c r="AL166">
        <f t="shared" si="56"/>
        <v>1</v>
      </c>
      <c r="AM166">
        <f t="shared" si="53"/>
        <v>2.19520426433448</v>
      </c>
      <c r="AN166">
        <f t="shared" si="50"/>
        <v>2.1668543007263219</v>
      </c>
      <c r="AO166">
        <f t="shared" si="57"/>
        <v>0.5447470817120319</v>
      </c>
      <c r="AQ166">
        <v>0.99897845742316671</v>
      </c>
      <c r="AR166">
        <f t="shared" si="54"/>
        <v>1.1092390001945289</v>
      </c>
      <c r="AS166">
        <f t="shared" si="51"/>
        <v>1.0313185947926153</v>
      </c>
      <c r="AT166">
        <v>-0.10215425768332409</v>
      </c>
      <c r="AU166" s="56">
        <v>209.78611067230199</v>
      </c>
      <c r="AV166">
        <v>135.439696212874</v>
      </c>
      <c r="AW166">
        <v>217.746428576494</v>
      </c>
      <c r="AX166" s="56">
        <v>113.170749200275</v>
      </c>
      <c r="AZ166">
        <f t="shared" si="59"/>
        <v>104.575679376219</v>
      </c>
    </row>
    <row r="167" spans="1:55">
      <c r="A167" s="1">
        <v>43374</v>
      </c>
      <c r="V167" s="2">
        <v>100.22371960143879</v>
      </c>
      <c r="W167" s="2">
        <f t="shared" si="52"/>
        <v>3.1615320145719328</v>
      </c>
      <c r="X167" s="277">
        <f t="shared" si="49"/>
        <v>2.9430326882773823</v>
      </c>
      <c r="Y167" s="42">
        <f t="shared" si="48"/>
        <v>1.0411832510099999</v>
      </c>
      <c r="Z167" s="44">
        <v>4.1183251009999999</v>
      </c>
      <c r="AE167" s="56">
        <v>207.905692265901</v>
      </c>
      <c r="AK167">
        <v>61.290322580645125</v>
      </c>
      <c r="AL167">
        <f t="shared" si="56"/>
        <v>1</v>
      </c>
      <c r="AM167">
        <f t="shared" si="53"/>
        <v>2.19520426433448</v>
      </c>
      <c r="AN167">
        <f t="shared" si="50"/>
        <v>2.1668543007263219</v>
      </c>
      <c r="AO167">
        <f t="shared" si="57"/>
        <v>0.38850038850036128</v>
      </c>
      <c r="AQ167">
        <v>0.99827079753872805</v>
      </c>
      <c r="AR167">
        <f t="shared" si="54"/>
        <v>1.1073209013852536</v>
      </c>
      <c r="AS167">
        <f t="shared" si="51"/>
        <v>1.0295352361401444</v>
      </c>
      <c r="AT167">
        <v>-0.17292024612719104</v>
      </c>
      <c r="AU167" s="56">
        <v>217.66270432597199</v>
      </c>
      <c r="AV167">
        <v>137.675863030644</v>
      </c>
      <c r="AW167">
        <v>215.661395941211</v>
      </c>
      <c r="AX167" s="56">
        <v>129.677503596957</v>
      </c>
      <c r="AZ167">
        <f t="shared" si="59"/>
        <v>85.983892344254002</v>
      </c>
    </row>
    <row r="168" spans="1:55">
      <c r="A168" s="1">
        <v>43405</v>
      </c>
      <c r="V168" s="2">
        <v>100.31270124147257</v>
      </c>
      <c r="W168" s="2">
        <f t="shared" si="52"/>
        <v>3.1714181644310515</v>
      </c>
      <c r="X168" s="277">
        <f t="shared" si="49"/>
        <v>2.9522355880305686</v>
      </c>
      <c r="Y168" s="42">
        <f t="shared" si="48"/>
        <v>1.0407221423799999</v>
      </c>
      <c r="Z168" s="44">
        <v>4.0722142379999999</v>
      </c>
      <c r="AE168" s="56">
        <v>155.57587481067901</v>
      </c>
      <c r="AK168">
        <v>61.290322580645125</v>
      </c>
      <c r="AL168">
        <f t="shared" si="56"/>
        <v>1</v>
      </c>
      <c r="AM168">
        <f t="shared" si="53"/>
        <v>2.19520426433448</v>
      </c>
      <c r="AN168">
        <f t="shared" si="50"/>
        <v>2.1668543007263219</v>
      </c>
      <c r="AO168">
        <f t="shared" si="57"/>
        <v>0.23273855702092305</v>
      </c>
      <c r="AQ168">
        <v>0.99935898407249579</v>
      </c>
      <c r="AR168">
        <f t="shared" si="54"/>
        <v>1.1066110910506073</v>
      </c>
      <c r="AS168">
        <f t="shared" si="51"/>
        <v>1.0288752876558516</v>
      </c>
      <c r="AT168">
        <v>-6.410159275041849E-2</v>
      </c>
      <c r="AU168" s="56">
        <v>195.26291073204001</v>
      </c>
      <c r="AV168">
        <v>129.089871524957</v>
      </c>
      <c r="AW168">
        <v>205.08773209833601</v>
      </c>
      <c r="AX168" s="56">
        <v>113.52087614423399</v>
      </c>
      <c r="AZ168">
        <f t="shared" si="59"/>
        <v>91.56685595410201</v>
      </c>
    </row>
    <row r="169" spans="1:55">
      <c r="A169" s="1">
        <v>43435</v>
      </c>
      <c r="V169" s="2">
        <v>100.41838331345959</v>
      </c>
      <c r="W169" s="2">
        <f t="shared" si="52"/>
        <v>3.1846868488310571</v>
      </c>
      <c r="X169" s="277">
        <f t="shared" si="49"/>
        <v>2.9645872491049037</v>
      </c>
      <c r="Y169" s="42">
        <f t="shared" si="48"/>
        <v>1.0403569451699999</v>
      </c>
      <c r="Z169" s="44">
        <v>4.0356945169999898</v>
      </c>
      <c r="AE169" s="56">
        <v>269.201768457421</v>
      </c>
      <c r="AK169">
        <v>61.290322580645125</v>
      </c>
      <c r="AL169">
        <f t="shared" si="56"/>
        <v>1</v>
      </c>
      <c r="AM169">
        <f t="shared" si="53"/>
        <v>2.19520426433448</v>
      </c>
      <c r="AN169">
        <f t="shared" si="50"/>
        <v>2.1668543007263219</v>
      </c>
      <c r="AO169">
        <f>(AK169/AK157)*100-100</f>
        <v>7.7459333849731138E-2</v>
      </c>
      <c r="AQ169">
        <v>1.0004263131928102</v>
      </c>
      <c r="AR169">
        <f t="shared" si="54"/>
        <v>1.1070828539580322</v>
      </c>
      <c r="AS169">
        <f t="shared" si="51"/>
        <v>1.0293139107647358</v>
      </c>
      <c r="AT169">
        <v>4.2631319281014157E-2</v>
      </c>
      <c r="AU169" s="56">
        <v>247.14890288506001</v>
      </c>
      <c r="AV169">
        <v>214.02093378327999</v>
      </c>
      <c r="AW169">
        <v>272.68610314283598</v>
      </c>
      <c r="AX169" s="56">
        <v>140.34071655303401</v>
      </c>
      <c r="AZ169">
        <f>AW169-AX169</f>
        <v>132.34538658980196</v>
      </c>
      <c r="BA169">
        <f>SUM(AX158:AX169)</f>
        <v>1461.7763942962029</v>
      </c>
      <c r="BB169">
        <f>SUM(AW158:AW169)</f>
        <v>2355.8872969513072</v>
      </c>
      <c r="BC169">
        <f>BB169-BA169</f>
        <v>894.11090265510438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9"/>
  <sheetViews>
    <sheetView view="pageBreakPreview" topLeftCell="A103" zoomScale="60" workbookViewId="0">
      <selection activeCell="D122" sqref="D122:D133"/>
    </sheetView>
  </sheetViews>
  <sheetFormatPr defaultRowHeight="15"/>
  <cols>
    <col min="2" max="4" width="14" customWidth="1"/>
  </cols>
  <sheetData>
    <row r="1" spans="1:4">
      <c r="B1" s="38" t="s">
        <v>487</v>
      </c>
      <c r="C1" s="38" t="s">
        <v>488</v>
      </c>
      <c r="D1" t="s">
        <v>486</v>
      </c>
    </row>
    <row r="2" spans="1:4">
      <c r="A2" s="1">
        <v>38353</v>
      </c>
      <c r="B2" s="2">
        <v>65.073700000000002</v>
      </c>
      <c r="C2" s="2">
        <v>65.073700000000002</v>
      </c>
      <c r="D2" s="2">
        <v>32.140201169999997</v>
      </c>
    </row>
    <row r="3" spans="1:4">
      <c r="A3" s="1">
        <v>38384</v>
      </c>
      <c r="B3" s="2">
        <v>68.881416000000002</v>
      </c>
      <c r="C3" s="2">
        <v>68.881416000000002</v>
      </c>
      <c r="D3" s="2">
        <v>37.807493479999998</v>
      </c>
    </row>
    <row r="4" spans="1:4">
      <c r="A4" s="1">
        <v>38412</v>
      </c>
      <c r="B4" s="2">
        <v>78.780500000000004</v>
      </c>
      <c r="C4" s="2">
        <v>78.780500000000004</v>
      </c>
      <c r="D4" s="2">
        <v>48.917305349999999</v>
      </c>
    </row>
    <row r="5" spans="1:4">
      <c r="A5" s="1">
        <v>38443</v>
      </c>
      <c r="B5" s="2">
        <v>83.490868000000006</v>
      </c>
      <c r="C5" s="2">
        <v>83.490868000000006</v>
      </c>
      <c r="D5" s="2">
        <v>50.852987229999897</v>
      </c>
    </row>
    <row r="6" spans="1:4">
      <c r="A6" s="1">
        <v>38473</v>
      </c>
      <c r="B6" s="2">
        <v>77.055490000000006</v>
      </c>
      <c r="C6" s="2">
        <v>77.055490000000006</v>
      </c>
      <c r="D6" s="2">
        <v>47.261532729999999</v>
      </c>
    </row>
    <row r="7" spans="1:4">
      <c r="A7" s="1">
        <v>38504</v>
      </c>
      <c r="B7" s="2">
        <v>103.6836</v>
      </c>
      <c r="C7" s="2">
        <v>103.6836</v>
      </c>
      <c r="D7" s="2">
        <v>50.435480040000002</v>
      </c>
    </row>
    <row r="8" spans="1:4">
      <c r="A8" s="1">
        <v>38534</v>
      </c>
      <c r="B8" s="2">
        <v>103.832173</v>
      </c>
      <c r="C8" s="2">
        <v>103.832173</v>
      </c>
      <c r="D8" s="2">
        <v>49.688238849999998</v>
      </c>
    </row>
    <row r="9" spans="1:4">
      <c r="A9" s="1">
        <v>38565</v>
      </c>
      <c r="B9" s="2">
        <v>106.91759999999999</v>
      </c>
      <c r="C9" s="2">
        <v>106.91759999999999</v>
      </c>
      <c r="D9" s="2">
        <v>53.313529039999999</v>
      </c>
    </row>
    <row r="10" spans="1:4">
      <c r="A10" s="1">
        <v>38596</v>
      </c>
      <c r="B10" s="2">
        <v>103.54689999999999</v>
      </c>
      <c r="C10" s="2">
        <v>103.54689999999999</v>
      </c>
      <c r="D10" s="2">
        <v>57.194232110000002</v>
      </c>
    </row>
    <row r="11" spans="1:4">
      <c r="A11" s="1">
        <v>38626</v>
      </c>
      <c r="B11" s="2">
        <v>106.3052</v>
      </c>
      <c r="C11" s="2">
        <v>106.3052</v>
      </c>
      <c r="D11" s="2">
        <v>56.849253849999997</v>
      </c>
    </row>
    <row r="12" spans="1:4">
      <c r="A12" s="1">
        <v>38657</v>
      </c>
      <c r="B12" s="2">
        <v>111.5189</v>
      </c>
      <c r="C12" s="2">
        <v>111.5189</v>
      </c>
      <c r="D12" s="2">
        <v>54.038164029999997</v>
      </c>
    </row>
    <row r="13" spans="1:4">
      <c r="A13" s="1">
        <v>38687</v>
      </c>
      <c r="B13" s="2">
        <v>163.88509999999999</v>
      </c>
      <c r="C13" s="2">
        <v>163.88509999999999</v>
      </c>
      <c r="D13" s="2">
        <v>62.861424130000003</v>
      </c>
    </row>
    <row r="14" spans="1:4">
      <c r="A14" s="1">
        <v>38718</v>
      </c>
      <c r="B14" s="2">
        <v>71.243095999999994</v>
      </c>
      <c r="C14" s="2">
        <v>71.243095999999994</v>
      </c>
      <c r="D14" s="2">
        <v>42.903038459999998</v>
      </c>
    </row>
    <row r="15" spans="1:4">
      <c r="A15" s="1">
        <v>38749</v>
      </c>
      <c r="B15" s="2">
        <v>84.352574000000004</v>
      </c>
      <c r="C15" s="2">
        <v>84.352574000000004</v>
      </c>
      <c r="D15" s="2">
        <v>52.278672239999999</v>
      </c>
    </row>
    <row r="16" spans="1:4">
      <c r="A16" s="1">
        <v>38777</v>
      </c>
      <c r="B16" s="2">
        <v>103.61020000000001</v>
      </c>
      <c r="C16" s="2">
        <v>103.61020000000001</v>
      </c>
      <c r="D16" s="2">
        <v>70.454189310000004</v>
      </c>
    </row>
    <row r="17" spans="1:4">
      <c r="A17" s="1">
        <v>38808</v>
      </c>
      <c r="B17" s="2">
        <v>87.7196</v>
      </c>
      <c r="C17" s="2">
        <v>87.7196</v>
      </c>
      <c r="D17" s="2">
        <v>84.700238780000006</v>
      </c>
    </row>
    <row r="18" spans="1:4">
      <c r="A18" s="1">
        <v>38838</v>
      </c>
      <c r="B18" s="2">
        <v>96.313817</v>
      </c>
      <c r="C18" s="2">
        <v>96.313817</v>
      </c>
      <c r="D18" s="2">
        <v>113.5081335</v>
      </c>
    </row>
    <row r="19" spans="1:4">
      <c r="A19" s="1">
        <v>38869</v>
      </c>
      <c r="B19" s="2">
        <v>109.7325</v>
      </c>
      <c r="C19" s="2">
        <v>109.7325</v>
      </c>
      <c r="D19" s="2">
        <v>92.661027730000001</v>
      </c>
    </row>
    <row r="20" spans="1:4">
      <c r="A20" s="1">
        <v>38899</v>
      </c>
      <c r="B20" s="2">
        <v>109.334551</v>
      </c>
      <c r="C20" s="2">
        <v>109.334551</v>
      </c>
      <c r="D20" s="2">
        <v>82.854006100000007</v>
      </c>
    </row>
    <row r="21" spans="1:4">
      <c r="A21" s="1">
        <v>38930</v>
      </c>
      <c r="B21" s="2">
        <v>117.99117</v>
      </c>
      <c r="C21" s="2">
        <v>117.99117</v>
      </c>
      <c r="D21" s="2">
        <v>93.383308709999994</v>
      </c>
    </row>
    <row r="22" spans="1:4">
      <c r="A22" s="1">
        <v>38961</v>
      </c>
      <c r="B22" s="2">
        <v>86.457400000000007</v>
      </c>
      <c r="C22" s="2">
        <v>86.457400000000007</v>
      </c>
      <c r="D22" s="2">
        <v>75.421685190000005</v>
      </c>
    </row>
    <row r="23" spans="1:4">
      <c r="A23" s="1">
        <v>38991</v>
      </c>
      <c r="B23" s="2">
        <v>110.042644</v>
      </c>
      <c r="C23" s="2">
        <v>110.042644</v>
      </c>
      <c r="D23" s="2">
        <v>73.26499158</v>
      </c>
    </row>
    <row r="24" spans="1:4">
      <c r="A24" s="1">
        <v>39022</v>
      </c>
      <c r="B24" s="2">
        <v>96.954099999999997</v>
      </c>
      <c r="C24" s="2">
        <v>96.954099999999997</v>
      </c>
      <c r="D24" s="2">
        <v>66.71298127</v>
      </c>
    </row>
    <row r="25" spans="1:4">
      <c r="A25" s="1">
        <v>39052</v>
      </c>
      <c r="B25" s="2">
        <v>106.26527</v>
      </c>
      <c r="C25" s="2">
        <v>106.26527</v>
      </c>
      <c r="D25" s="2">
        <v>105.79462719999999</v>
      </c>
    </row>
    <row r="26" spans="1:4">
      <c r="A26" s="1">
        <v>39083</v>
      </c>
      <c r="B26" s="2">
        <v>67.961708000000002</v>
      </c>
      <c r="C26" s="2">
        <v>67.961708000000002</v>
      </c>
      <c r="D26" s="2">
        <v>51.361691759999999</v>
      </c>
    </row>
    <row r="27" spans="1:4">
      <c r="A27" s="1">
        <v>39114</v>
      </c>
      <c r="B27" s="2">
        <v>70.028407000000001</v>
      </c>
      <c r="C27" s="2">
        <v>70.028407000000001</v>
      </c>
      <c r="D27" s="2">
        <v>59.620887349999997</v>
      </c>
    </row>
    <row r="28" spans="1:4">
      <c r="A28" s="1">
        <v>39142</v>
      </c>
      <c r="B28" s="2">
        <v>82.062923999999995</v>
      </c>
      <c r="C28" s="2">
        <v>82.062923999999995</v>
      </c>
      <c r="D28" s="2">
        <v>84.902420899999996</v>
      </c>
    </row>
    <row r="29" spans="1:4">
      <c r="A29" s="1">
        <v>39173</v>
      </c>
      <c r="B29" s="2">
        <v>85.258190999999997</v>
      </c>
      <c r="C29" s="2">
        <v>85.258190999999997</v>
      </c>
      <c r="D29" s="2">
        <v>104.0081745</v>
      </c>
    </row>
    <row r="30" spans="1:4">
      <c r="A30" s="1">
        <v>39203</v>
      </c>
      <c r="B30" s="2">
        <v>84.717764000000003</v>
      </c>
      <c r="C30" s="2">
        <v>84.717764000000003</v>
      </c>
      <c r="D30" s="2">
        <v>84.912854929999995</v>
      </c>
    </row>
    <row r="31" spans="1:4">
      <c r="A31" s="1">
        <v>39234</v>
      </c>
      <c r="B31" s="2">
        <v>96.376999999999995</v>
      </c>
      <c r="C31" s="2">
        <v>96.376999999999995</v>
      </c>
      <c r="D31" s="2">
        <v>74.204970549999999</v>
      </c>
    </row>
    <row r="32" spans="1:4">
      <c r="A32" s="1">
        <v>39264</v>
      </c>
      <c r="B32" s="2">
        <v>96.640119999999996</v>
      </c>
      <c r="C32" s="2">
        <v>96.640119999999996</v>
      </c>
      <c r="D32" s="2">
        <v>83.759720569999999</v>
      </c>
    </row>
    <row r="33" spans="1:4">
      <c r="A33" s="1">
        <v>39295</v>
      </c>
      <c r="B33" s="2">
        <v>90.975307999999998</v>
      </c>
      <c r="C33" s="2">
        <v>90.975307999999998</v>
      </c>
      <c r="D33" s="2">
        <v>92.324098280000001</v>
      </c>
    </row>
    <row r="34" spans="1:4">
      <c r="A34" s="1">
        <v>39326</v>
      </c>
      <c r="B34" s="2">
        <v>91.328199999999995</v>
      </c>
      <c r="C34" s="2">
        <v>91.328199999999995</v>
      </c>
      <c r="D34" s="2">
        <v>77.665181149999995</v>
      </c>
    </row>
    <row r="35" spans="1:4">
      <c r="A35" s="1">
        <v>39356</v>
      </c>
      <c r="B35" s="2">
        <v>103.01098</v>
      </c>
      <c r="C35" s="2">
        <v>103.01098</v>
      </c>
      <c r="D35" s="2">
        <v>93.173179689999998</v>
      </c>
    </row>
    <row r="36" spans="1:4">
      <c r="A36" s="1">
        <v>39387</v>
      </c>
      <c r="B36" s="2">
        <v>102.9139</v>
      </c>
      <c r="C36" s="2">
        <v>102.9139</v>
      </c>
      <c r="D36" s="2">
        <v>100.9173287</v>
      </c>
    </row>
    <row r="37" spans="1:4">
      <c r="A37" s="1">
        <v>39417</v>
      </c>
      <c r="B37" s="2">
        <v>133.988148</v>
      </c>
      <c r="C37" s="2">
        <v>133.988148</v>
      </c>
      <c r="D37" s="2">
        <v>85.281491630000005</v>
      </c>
    </row>
    <row r="38" spans="1:4">
      <c r="A38" s="1">
        <v>39448</v>
      </c>
      <c r="B38" s="2">
        <v>111.23189000000001</v>
      </c>
      <c r="C38" s="2">
        <v>111.23189000000001</v>
      </c>
      <c r="D38" s="2">
        <v>46.869972939999897</v>
      </c>
    </row>
    <row r="39" spans="1:4">
      <c r="A39" s="1">
        <v>39479</v>
      </c>
      <c r="B39" s="2">
        <v>141.50902300000001</v>
      </c>
      <c r="C39" s="2">
        <v>141.50902300000001</v>
      </c>
      <c r="D39" s="2">
        <v>52.947862450000002</v>
      </c>
    </row>
    <row r="40" spans="1:4">
      <c r="A40" s="1">
        <v>39508</v>
      </c>
      <c r="B40" s="2">
        <v>107.0077</v>
      </c>
      <c r="C40" s="2">
        <v>107.0077</v>
      </c>
      <c r="D40" s="2">
        <v>76.714164609999997</v>
      </c>
    </row>
    <row r="41" spans="1:4">
      <c r="A41" s="1">
        <v>39539</v>
      </c>
      <c r="B41" s="2">
        <v>102.2291</v>
      </c>
      <c r="C41" s="2">
        <v>102.2291</v>
      </c>
      <c r="D41" s="2">
        <v>73.896194730000005</v>
      </c>
    </row>
    <row r="42" spans="1:4">
      <c r="A42" s="1">
        <v>39569</v>
      </c>
      <c r="B42" s="2">
        <v>92.577634000000003</v>
      </c>
      <c r="C42" s="2">
        <v>92.577634000000003</v>
      </c>
      <c r="D42" s="2">
        <v>57.523533479999998</v>
      </c>
    </row>
    <row r="43" spans="1:4">
      <c r="A43" s="1">
        <v>39600</v>
      </c>
      <c r="B43" s="2">
        <v>98.860816999999997</v>
      </c>
      <c r="C43" s="2">
        <v>98.860816999999997</v>
      </c>
      <c r="D43" s="2">
        <v>58.889271790000002</v>
      </c>
    </row>
    <row r="44" spans="1:4">
      <c r="A44" s="1">
        <v>39630</v>
      </c>
      <c r="B44" s="2">
        <v>109.684663</v>
      </c>
      <c r="C44" s="2">
        <v>109.684663</v>
      </c>
      <c r="D44" s="2">
        <v>75.436411109999995</v>
      </c>
    </row>
    <row r="45" spans="1:4">
      <c r="A45" s="1">
        <v>39661</v>
      </c>
      <c r="B45" s="2">
        <v>114.32618100000001</v>
      </c>
      <c r="C45" s="2">
        <v>114.32618100000001</v>
      </c>
      <c r="D45" s="2">
        <v>66.516934359999894</v>
      </c>
    </row>
    <row r="46" spans="1:4">
      <c r="A46" s="1">
        <v>39692</v>
      </c>
      <c r="B46" s="2">
        <v>149.05600000000001</v>
      </c>
      <c r="C46" s="2">
        <v>149.05600000000001</v>
      </c>
      <c r="D46" s="2">
        <v>60.546537530000002</v>
      </c>
    </row>
    <row r="47" spans="1:4">
      <c r="A47" s="1">
        <v>39722</v>
      </c>
      <c r="B47" s="2">
        <v>289.46643599999999</v>
      </c>
      <c r="C47" s="2">
        <v>289.46643599999999</v>
      </c>
      <c r="D47" s="2">
        <v>57.767358229999999</v>
      </c>
    </row>
    <row r="48" spans="1:4">
      <c r="A48" s="1">
        <v>39753</v>
      </c>
      <c r="B48" s="2">
        <v>266.29578900000001</v>
      </c>
      <c r="C48" s="2">
        <v>266.29578900000001</v>
      </c>
      <c r="D48" s="2">
        <v>36.811589830000003</v>
      </c>
    </row>
    <row r="49" spans="1:4">
      <c r="A49" s="1">
        <v>39783</v>
      </c>
      <c r="B49" s="2">
        <v>421.89095700000001</v>
      </c>
      <c r="C49" s="2">
        <v>421.89095700000001</v>
      </c>
      <c r="D49" s="2">
        <v>50.485051939999998</v>
      </c>
    </row>
    <row r="50" spans="1:4">
      <c r="A50" s="1">
        <v>39814</v>
      </c>
      <c r="B50" s="2">
        <v>348.81240000000003</v>
      </c>
      <c r="C50" s="2">
        <v>348.81240000000003</v>
      </c>
      <c r="D50" s="2">
        <v>42.909608380000002</v>
      </c>
    </row>
    <row r="51" spans="1:4">
      <c r="A51" s="1">
        <v>39845</v>
      </c>
      <c r="B51" s="2">
        <v>155.38206500000001</v>
      </c>
      <c r="C51" s="2">
        <v>155.38206500000001</v>
      </c>
      <c r="D51" s="2">
        <v>107.74445129999999</v>
      </c>
    </row>
    <row r="52" spans="1:4">
      <c r="A52" s="1">
        <v>39873</v>
      </c>
      <c r="B52" s="2">
        <v>97.639336</v>
      </c>
      <c r="C52" s="2">
        <v>97.639336</v>
      </c>
      <c r="D52" s="2">
        <v>111.4679403</v>
      </c>
    </row>
    <row r="53" spans="1:4">
      <c r="A53" s="1">
        <v>39904</v>
      </c>
      <c r="B53" s="2">
        <v>83.330200000000005</v>
      </c>
      <c r="C53" s="2">
        <v>83.330200000000005</v>
      </c>
      <c r="D53" s="2">
        <v>114.03151</v>
      </c>
    </row>
    <row r="54" spans="1:4">
      <c r="A54" s="1">
        <v>39934</v>
      </c>
      <c r="B54" s="2">
        <v>71.512027000000003</v>
      </c>
      <c r="C54" s="2">
        <v>71.512027000000003</v>
      </c>
      <c r="D54" s="2">
        <v>98.951495390000005</v>
      </c>
    </row>
    <row r="55" spans="1:4">
      <c r="A55" s="1">
        <v>39965</v>
      </c>
      <c r="B55" s="2">
        <v>92.708200000000005</v>
      </c>
      <c r="C55" s="2">
        <v>92.708200000000005</v>
      </c>
      <c r="D55" s="2">
        <v>88.886994639999998</v>
      </c>
    </row>
    <row r="56" spans="1:4">
      <c r="A56" s="1">
        <v>39995</v>
      </c>
      <c r="B56" s="2">
        <v>144.13283100000001</v>
      </c>
      <c r="C56" s="2">
        <v>144.13283100000001</v>
      </c>
      <c r="D56" s="2">
        <v>79.4090159</v>
      </c>
    </row>
    <row r="57" spans="1:4">
      <c r="A57" s="1">
        <v>40026</v>
      </c>
      <c r="B57" s="2">
        <v>143.60400000000001</v>
      </c>
      <c r="C57" s="2">
        <v>143.60400000000001</v>
      </c>
      <c r="D57" s="2">
        <v>66.376607179999894</v>
      </c>
    </row>
    <row r="58" spans="1:4">
      <c r="A58" s="1">
        <v>40057</v>
      </c>
      <c r="B58" s="2">
        <v>132.47052400000001</v>
      </c>
      <c r="C58" s="2">
        <v>132.47052400000001</v>
      </c>
      <c r="D58" s="2">
        <v>68.679376919999996</v>
      </c>
    </row>
    <row r="59" spans="1:4">
      <c r="A59" s="1">
        <v>40087</v>
      </c>
      <c r="B59" s="2">
        <v>93.765867999999998</v>
      </c>
      <c r="C59" s="2">
        <v>93.765867999999998</v>
      </c>
      <c r="D59" s="2">
        <v>101.7904935</v>
      </c>
    </row>
    <row r="60" spans="1:4">
      <c r="A60" s="1">
        <v>40118</v>
      </c>
      <c r="B60" s="2">
        <v>83.976243999999994</v>
      </c>
      <c r="C60" s="2">
        <v>83.976243999999994</v>
      </c>
      <c r="D60" s="2">
        <v>81.528705700000003</v>
      </c>
    </row>
    <row r="61" spans="1:4">
      <c r="A61" s="1">
        <v>40148</v>
      </c>
      <c r="B61" s="2">
        <v>113.75839999999999</v>
      </c>
      <c r="C61" s="2">
        <v>113.75839999999999</v>
      </c>
      <c r="D61" s="2">
        <v>98.217800839999995</v>
      </c>
    </row>
    <row r="62" spans="1:4">
      <c r="A62" s="1">
        <v>40179</v>
      </c>
      <c r="B62" s="2">
        <v>67.486891</v>
      </c>
      <c r="C62" s="2">
        <v>67.486891</v>
      </c>
      <c r="D62" s="2">
        <v>54.560854470000002</v>
      </c>
    </row>
    <row r="63" spans="1:4">
      <c r="A63" s="1">
        <v>40210</v>
      </c>
      <c r="B63" s="2">
        <v>68.013450000000006</v>
      </c>
      <c r="C63" s="2">
        <v>68.013450000000006</v>
      </c>
      <c r="D63" s="2">
        <v>85.488375779999998</v>
      </c>
    </row>
    <row r="64" spans="1:4">
      <c r="A64" s="1">
        <v>40238</v>
      </c>
      <c r="B64" s="2">
        <v>79.885558000000003</v>
      </c>
      <c r="C64" s="2">
        <v>79.885558000000003</v>
      </c>
      <c r="D64" s="2">
        <v>98.423769750000005</v>
      </c>
    </row>
    <row r="65" spans="1:4">
      <c r="A65" s="1">
        <v>40269</v>
      </c>
      <c r="B65" s="2">
        <v>78.113690000000005</v>
      </c>
      <c r="C65" s="2">
        <v>78.113690000000005</v>
      </c>
      <c r="D65" s="2">
        <v>96.547434359999997</v>
      </c>
    </row>
    <row r="66" spans="1:4">
      <c r="A66" s="1">
        <v>40299</v>
      </c>
      <c r="B66" s="2">
        <v>80.693004999999999</v>
      </c>
      <c r="C66" s="2">
        <v>80.693004999999999</v>
      </c>
      <c r="D66" s="2">
        <v>112.44913870000001</v>
      </c>
    </row>
    <row r="67" spans="1:4">
      <c r="A67" s="1">
        <v>40330</v>
      </c>
      <c r="B67" s="2">
        <v>95.444630000000004</v>
      </c>
      <c r="C67" s="2">
        <v>95.444630000000004</v>
      </c>
      <c r="D67" s="2">
        <v>80.954351970000005</v>
      </c>
    </row>
    <row r="68" spans="1:4">
      <c r="A68" s="1">
        <v>40360</v>
      </c>
      <c r="B68" s="2">
        <v>106.701893</v>
      </c>
      <c r="C68" s="2">
        <v>106.701893</v>
      </c>
      <c r="D68" s="2">
        <v>74.118480509999998</v>
      </c>
    </row>
    <row r="69" spans="1:4">
      <c r="A69" s="1">
        <v>40391</v>
      </c>
      <c r="B69" s="2">
        <v>104.677098</v>
      </c>
      <c r="C69" s="2">
        <v>104.677098</v>
      </c>
      <c r="D69" s="2">
        <v>70.357294789999997</v>
      </c>
    </row>
    <row r="70" spans="1:4">
      <c r="A70" s="1">
        <v>40422</v>
      </c>
      <c r="B70" s="2">
        <v>118.462059</v>
      </c>
      <c r="C70" s="2">
        <v>118.462059</v>
      </c>
      <c r="D70" s="2">
        <v>72.625679700000006</v>
      </c>
    </row>
    <row r="71" spans="1:4">
      <c r="A71" s="1">
        <v>40452</v>
      </c>
      <c r="B71" s="2">
        <v>125.142832</v>
      </c>
      <c r="C71" s="2">
        <v>125.142832</v>
      </c>
      <c r="D71" s="2">
        <v>71.352954729999894</v>
      </c>
    </row>
    <row r="72" spans="1:4">
      <c r="A72" s="1">
        <v>40483</v>
      </c>
      <c r="B72" s="2">
        <v>111.115049</v>
      </c>
      <c r="C72" s="2">
        <v>111.115049</v>
      </c>
      <c r="D72" s="2">
        <v>76.401847660000001</v>
      </c>
    </row>
    <row r="73" spans="1:4">
      <c r="A73" s="1">
        <v>40513</v>
      </c>
      <c r="B73" s="2">
        <v>137.55037300000001</v>
      </c>
      <c r="C73" s="2">
        <v>137.55037300000001</v>
      </c>
      <c r="D73" s="2">
        <v>84.622621609999996</v>
      </c>
    </row>
    <row r="74" spans="1:4">
      <c r="A74" s="1">
        <v>40544</v>
      </c>
      <c r="B74" s="2">
        <v>84.166881000000004</v>
      </c>
      <c r="C74" s="2">
        <v>84.166881000000004</v>
      </c>
      <c r="D74" s="2">
        <v>46.672930710000003</v>
      </c>
    </row>
    <row r="75" spans="1:4">
      <c r="A75" s="1">
        <v>40575</v>
      </c>
      <c r="B75" s="2">
        <v>90.761947000000006</v>
      </c>
      <c r="C75" s="2">
        <v>90.761947000000006</v>
      </c>
      <c r="D75" s="2">
        <v>65.288942449999894</v>
      </c>
    </row>
    <row r="76" spans="1:4">
      <c r="A76" s="1">
        <v>40603</v>
      </c>
      <c r="B76" s="2">
        <v>112.703401</v>
      </c>
      <c r="C76" s="2">
        <v>112.703401</v>
      </c>
      <c r="D76" s="2">
        <v>70.559557839999997</v>
      </c>
    </row>
    <row r="77" spans="1:4">
      <c r="A77" s="1">
        <v>40634</v>
      </c>
      <c r="B77" s="2">
        <v>108.16389599999999</v>
      </c>
      <c r="C77" s="2">
        <v>108.16389599999999</v>
      </c>
      <c r="D77" s="2">
        <v>73.654492759999997</v>
      </c>
    </row>
    <row r="78" spans="1:4">
      <c r="A78" s="1">
        <v>40664</v>
      </c>
      <c r="B78" s="2">
        <v>110.179181</v>
      </c>
      <c r="C78" s="2">
        <v>110.179181</v>
      </c>
      <c r="D78" s="2">
        <v>71.152485990000002</v>
      </c>
    </row>
    <row r="79" spans="1:4">
      <c r="A79" s="1">
        <v>40695</v>
      </c>
      <c r="B79" s="2">
        <v>119.342381</v>
      </c>
      <c r="C79" s="2">
        <v>119.342381</v>
      </c>
      <c r="D79" s="2">
        <v>69.839868249999995</v>
      </c>
    </row>
    <row r="80" spans="1:4">
      <c r="A80" s="1">
        <v>40725</v>
      </c>
      <c r="B80" s="2">
        <v>130.05784800000001</v>
      </c>
      <c r="C80" s="2">
        <v>130.05784800000001</v>
      </c>
      <c r="D80" s="2">
        <v>75.986925409999998</v>
      </c>
    </row>
    <row r="81" spans="1:4">
      <c r="A81" s="1">
        <v>40756</v>
      </c>
      <c r="B81" s="2">
        <v>143.218977</v>
      </c>
      <c r="C81" s="2">
        <v>143.218977</v>
      </c>
      <c r="D81" s="2">
        <v>98.963770240000002</v>
      </c>
    </row>
    <row r="82" spans="1:4">
      <c r="A82" s="1">
        <v>40787</v>
      </c>
      <c r="B82" s="2">
        <v>147.50019499999999</v>
      </c>
      <c r="C82" s="2">
        <v>147.50019499999999</v>
      </c>
      <c r="D82" s="2">
        <v>100.88203129999999</v>
      </c>
    </row>
    <row r="83" spans="1:4">
      <c r="A83" s="1">
        <v>40817</v>
      </c>
      <c r="B83" s="2">
        <v>153.15766600000001</v>
      </c>
      <c r="C83" s="2">
        <v>153.15766600000001</v>
      </c>
      <c r="D83" s="2">
        <v>83.613903579999999</v>
      </c>
    </row>
    <row r="84" spans="1:4">
      <c r="A84" s="1">
        <v>40848</v>
      </c>
      <c r="B84" s="2">
        <v>135.821707</v>
      </c>
      <c r="C84" s="2">
        <v>135.821707</v>
      </c>
      <c r="D84" s="2">
        <v>76.856490730000004</v>
      </c>
    </row>
    <row r="85" spans="1:4">
      <c r="A85" s="1">
        <v>40878</v>
      </c>
      <c r="B85" s="2">
        <v>164.43554700000001</v>
      </c>
      <c r="C85" s="2">
        <v>164.43554700000001</v>
      </c>
      <c r="D85" s="2">
        <v>116.48409770000001</v>
      </c>
    </row>
    <row r="86" spans="1:4">
      <c r="A86" s="1">
        <v>40909</v>
      </c>
      <c r="B86" s="2">
        <v>110.668656</v>
      </c>
      <c r="C86" s="2">
        <v>110.668656</v>
      </c>
      <c r="D86" s="2">
        <v>60.759212869999999</v>
      </c>
    </row>
    <row r="87" spans="1:4">
      <c r="A87" s="1">
        <v>40940</v>
      </c>
      <c r="B87" s="2">
        <v>153.57584199999999</v>
      </c>
      <c r="C87" s="2">
        <v>153.57584199999999</v>
      </c>
      <c r="D87" s="2">
        <v>75.990600470000004</v>
      </c>
    </row>
    <row r="88" spans="1:4">
      <c r="A88" s="1">
        <v>40969</v>
      </c>
      <c r="B88" s="2">
        <v>158.97160099999999</v>
      </c>
      <c r="C88" s="2">
        <v>158.97160099999999</v>
      </c>
      <c r="D88" s="2">
        <v>67.121186660000006</v>
      </c>
    </row>
    <row r="89" spans="1:4">
      <c r="A89" s="1">
        <v>41000</v>
      </c>
      <c r="B89" s="2">
        <v>125.54175499999999</v>
      </c>
      <c r="C89" s="2">
        <v>125.54175499999999</v>
      </c>
      <c r="D89" s="2">
        <v>77.192728149999894</v>
      </c>
    </row>
    <row r="90" spans="1:4">
      <c r="A90" s="1">
        <v>41030</v>
      </c>
      <c r="B90" s="2">
        <v>140.56387699999999</v>
      </c>
      <c r="C90" s="2">
        <v>140.56387699999999</v>
      </c>
      <c r="D90" s="2">
        <v>89.30169669</v>
      </c>
    </row>
    <row r="91" spans="1:4">
      <c r="A91" s="1">
        <v>41061</v>
      </c>
      <c r="B91" s="2">
        <v>156.18539999999999</v>
      </c>
      <c r="C91" s="2">
        <v>156.18539999999999</v>
      </c>
      <c r="D91" s="2">
        <v>104.3935752</v>
      </c>
    </row>
    <row r="92" spans="1:4">
      <c r="A92" s="1">
        <v>41091</v>
      </c>
      <c r="B92" s="2">
        <v>203.32083900000001</v>
      </c>
      <c r="C92" s="2">
        <v>203.32083900000001</v>
      </c>
      <c r="D92" s="2">
        <v>71.960229519999999</v>
      </c>
    </row>
    <row r="93" spans="1:4">
      <c r="A93" s="1">
        <v>41122</v>
      </c>
      <c r="B93" s="2">
        <v>202.00983099999999</v>
      </c>
      <c r="C93" s="2">
        <v>202.00983099999999</v>
      </c>
      <c r="D93" s="2">
        <v>65.066707339999894</v>
      </c>
    </row>
    <row r="94" spans="1:4">
      <c r="A94" s="1">
        <v>41153</v>
      </c>
      <c r="B94" s="2">
        <v>172.63581300000001</v>
      </c>
      <c r="C94" s="2">
        <v>172.63581300000001</v>
      </c>
      <c r="D94" s="2">
        <v>67.908063150000004</v>
      </c>
    </row>
    <row r="95" spans="1:4">
      <c r="A95" s="1">
        <v>41183</v>
      </c>
      <c r="B95" s="2">
        <v>157.10474500000001</v>
      </c>
      <c r="C95" s="2">
        <v>157.10474500000001</v>
      </c>
      <c r="D95" s="2">
        <v>98.304630560000007</v>
      </c>
    </row>
    <row r="96" spans="1:4">
      <c r="A96" s="1">
        <v>41214</v>
      </c>
      <c r="B96" s="2">
        <v>151.29549900000001</v>
      </c>
      <c r="C96" s="2">
        <v>151.29549900000001</v>
      </c>
      <c r="D96" s="2">
        <v>89.884874240000002</v>
      </c>
    </row>
    <row r="97" spans="1:4">
      <c r="A97" s="1">
        <v>41244</v>
      </c>
      <c r="B97" s="2">
        <v>171.35457</v>
      </c>
      <c r="C97" s="2">
        <v>171.35457</v>
      </c>
      <c r="D97" s="2">
        <v>115.90539920000001</v>
      </c>
    </row>
    <row r="98" spans="1:4">
      <c r="A98" s="1">
        <v>41275</v>
      </c>
      <c r="B98" s="2">
        <v>109.930333</v>
      </c>
      <c r="C98" s="2">
        <v>109.930333</v>
      </c>
      <c r="D98" s="2">
        <v>72.907117569999997</v>
      </c>
    </row>
    <row r="99" spans="1:4">
      <c r="A99" s="1">
        <v>41306</v>
      </c>
      <c r="B99" s="2">
        <v>110.356775</v>
      </c>
      <c r="C99" s="2">
        <v>110.356775</v>
      </c>
      <c r="D99" s="2">
        <v>97.682590250000004</v>
      </c>
    </row>
    <row r="100" spans="1:4">
      <c r="A100" s="1">
        <v>41334</v>
      </c>
      <c r="B100" s="2">
        <v>123.510943</v>
      </c>
      <c r="C100" s="2">
        <v>123.510943</v>
      </c>
      <c r="D100" s="2">
        <v>97.014292179999998</v>
      </c>
    </row>
    <row r="101" spans="1:4">
      <c r="A101" s="1">
        <v>41365</v>
      </c>
      <c r="B101" s="2">
        <v>149.54101399999999</v>
      </c>
      <c r="C101" s="2">
        <v>149.54101399999999</v>
      </c>
      <c r="D101" s="2">
        <v>118.93543680000001</v>
      </c>
    </row>
    <row r="102" spans="1:4">
      <c r="A102" s="1">
        <v>41395</v>
      </c>
      <c r="B102" s="2">
        <v>127.502</v>
      </c>
      <c r="C102" s="2">
        <v>127.502</v>
      </c>
      <c r="D102" s="2">
        <v>77.671865010000005</v>
      </c>
    </row>
    <row r="103" spans="1:4">
      <c r="A103" s="1">
        <v>41426</v>
      </c>
      <c r="B103" s="2">
        <v>150.36171999999999</v>
      </c>
      <c r="C103" s="2">
        <v>150.36171999999999</v>
      </c>
      <c r="D103" s="2">
        <v>87.279698170000003</v>
      </c>
    </row>
    <row r="104" spans="1:4">
      <c r="A104" s="1">
        <v>41456</v>
      </c>
      <c r="B104" s="2">
        <v>190.00106</v>
      </c>
      <c r="C104" s="2">
        <v>190.00106</v>
      </c>
      <c r="D104" s="2">
        <v>66.604245860000006</v>
      </c>
    </row>
    <row r="105" spans="1:4">
      <c r="A105" s="1">
        <v>41487</v>
      </c>
      <c r="B105" s="2">
        <v>182.23564400000001</v>
      </c>
      <c r="C105" s="2">
        <v>182.23564400000001</v>
      </c>
      <c r="D105" s="2">
        <v>61.750289870000003</v>
      </c>
    </row>
    <row r="106" spans="1:4">
      <c r="A106" s="1">
        <v>41518</v>
      </c>
      <c r="B106" s="2">
        <v>197.15589600000001</v>
      </c>
      <c r="C106" s="2">
        <v>197.15589600000001</v>
      </c>
      <c r="D106" s="2">
        <v>64.290963439999999</v>
      </c>
    </row>
    <row r="107" spans="1:4">
      <c r="A107" s="1">
        <v>41548</v>
      </c>
      <c r="B107" s="2">
        <v>175.24827199999999</v>
      </c>
      <c r="C107" s="2">
        <v>175.24827199999999</v>
      </c>
      <c r="D107" s="2">
        <v>80.976382259999994</v>
      </c>
    </row>
    <row r="108" spans="1:4">
      <c r="A108" s="1">
        <v>41579</v>
      </c>
      <c r="B108" s="2">
        <v>140.52453</v>
      </c>
      <c r="C108" s="2">
        <v>140.52453</v>
      </c>
      <c r="D108" s="2">
        <v>74.647092049999998</v>
      </c>
    </row>
    <row r="109" spans="1:4">
      <c r="A109" s="1">
        <v>41609</v>
      </c>
      <c r="B109" s="2">
        <v>218.19675100000001</v>
      </c>
      <c r="C109" s="2">
        <v>218.19675100000001</v>
      </c>
      <c r="D109" s="2">
        <v>98.914396620000005</v>
      </c>
    </row>
    <row r="110" spans="1:4">
      <c r="A110" s="1">
        <v>41640</v>
      </c>
      <c r="B110" s="2">
        <v>213.781003</v>
      </c>
      <c r="C110" s="2">
        <v>213.781003</v>
      </c>
      <c r="D110" s="2">
        <v>65.932319620000001</v>
      </c>
    </row>
    <row r="111" spans="1:4">
      <c r="A111" s="1">
        <v>41671</v>
      </c>
      <c r="B111" s="2">
        <v>204.23599999999999</v>
      </c>
      <c r="C111" s="2">
        <v>204.23599999999999</v>
      </c>
      <c r="D111" s="2">
        <v>93.117994240000002</v>
      </c>
    </row>
    <row r="112" spans="1:4">
      <c r="A112" s="1">
        <v>41699</v>
      </c>
      <c r="B112" s="2">
        <v>268.10492299999999</v>
      </c>
      <c r="C112" s="2">
        <v>268.10492299999999</v>
      </c>
      <c r="D112" s="2">
        <v>93.171799010000001</v>
      </c>
    </row>
    <row r="113" spans="1:4">
      <c r="A113" s="1">
        <v>41730</v>
      </c>
      <c r="B113" s="2">
        <v>166.14352500000001</v>
      </c>
      <c r="C113" s="2">
        <v>166.14352500000001</v>
      </c>
      <c r="D113" s="2">
        <v>110.4656248</v>
      </c>
    </row>
    <row r="114" spans="1:4">
      <c r="A114" s="1">
        <v>41760</v>
      </c>
      <c r="B114" s="2">
        <v>189.657837</v>
      </c>
      <c r="C114" s="2">
        <v>189.657837</v>
      </c>
      <c r="D114" s="2">
        <v>70.546550319999994</v>
      </c>
    </row>
    <row r="115" spans="1:4">
      <c r="A115" s="1">
        <v>41791</v>
      </c>
      <c r="B115" s="2">
        <v>183.14349999999999</v>
      </c>
      <c r="C115" s="2">
        <v>183.14349999999999</v>
      </c>
      <c r="D115" s="2">
        <v>73.283915690519606</v>
      </c>
    </row>
    <row r="116" spans="1:4">
      <c r="A116" s="1">
        <v>41821</v>
      </c>
      <c r="B116" s="2">
        <v>174.624763</v>
      </c>
      <c r="C116" s="2">
        <v>174.624763</v>
      </c>
      <c r="D116" s="2">
        <v>74.247637712930398</v>
      </c>
    </row>
    <row r="117" spans="1:4">
      <c r="A117" s="1">
        <v>41852</v>
      </c>
      <c r="B117" s="2">
        <v>185.32991000000001</v>
      </c>
      <c r="C117" s="2">
        <v>185.32991000000001</v>
      </c>
      <c r="D117" s="2">
        <v>82.486249143061698</v>
      </c>
    </row>
    <row r="118" spans="1:4">
      <c r="A118" s="1">
        <v>41883</v>
      </c>
      <c r="B118" s="2">
        <v>189.35029299999999</v>
      </c>
      <c r="C118" s="2">
        <v>189.35029299999999</v>
      </c>
      <c r="D118" s="2">
        <v>79.153785721217304</v>
      </c>
    </row>
    <row r="119" spans="1:4">
      <c r="A119" s="1">
        <v>41913</v>
      </c>
      <c r="B119" s="2">
        <v>356.88804800000003</v>
      </c>
      <c r="C119" s="2">
        <v>356.88804800000003</v>
      </c>
      <c r="D119" s="2">
        <v>94.787169316713701</v>
      </c>
    </row>
    <row r="120" spans="1:4">
      <c r="A120" s="1">
        <v>41944</v>
      </c>
      <c r="B120" s="2">
        <v>241.41977700000001</v>
      </c>
      <c r="C120" s="2">
        <v>241.41977700000001</v>
      </c>
      <c r="D120" s="2">
        <v>92.112989655878806</v>
      </c>
    </row>
    <row r="121" spans="1:4">
      <c r="A121" s="1">
        <v>41974</v>
      </c>
      <c r="B121" s="2">
        <v>432.45912700000002</v>
      </c>
      <c r="C121" s="2">
        <v>432.45912700000002</v>
      </c>
      <c r="D121" s="2">
        <v>122.53076400114099</v>
      </c>
    </row>
    <row r="122" spans="1:4">
      <c r="A122" s="278">
        <v>42005</v>
      </c>
      <c r="B122" s="279">
        <v>290.99392795379299</v>
      </c>
      <c r="C122" s="279">
        <v>215.82874288759299</v>
      </c>
      <c r="D122" s="279">
        <v>87.381753534032796</v>
      </c>
    </row>
    <row r="123" spans="1:4">
      <c r="A123" s="278">
        <v>42036</v>
      </c>
      <c r="B123" s="279">
        <v>177.924205959278</v>
      </c>
      <c r="C123" s="279">
        <v>128.25553112297601</v>
      </c>
      <c r="D123" s="279">
        <v>161.12924409397499</v>
      </c>
    </row>
    <row r="124" spans="1:4">
      <c r="A124" s="278">
        <v>42064</v>
      </c>
      <c r="B124" s="279">
        <v>143.735851029325</v>
      </c>
      <c r="C124" s="279">
        <v>114.714422639124</v>
      </c>
      <c r="D124" s="279">
        <v>198.59042881855399</v>
      </c>
    </row>
    <row r="125" spans="1:4">
      <c r="A125" s="278">
        <v>42095</v>
      </c>
      <c r="B125" s="279">
        <v>82.958843370556806</v>
      </c>
      <c r="C125" s="279">
        <v>80.3240422914118</v>
      </c>
      <c r="D125" s="279">
        <v>249.20679172571599</v>
      </c>
    </row>
    <row r="126" spans="1:4">
      <c r="A126" s="278">
        <v>42125</v>
      </c>
      <c r="B126" s="279">
        <v>63.448982974928903</v>
      </c>
      <c r="C126" s="279">
        <v>72.117717246050404</v>
      </c>
      <c r="D126" s="279">
        <v>234.2142910103</v>
      </c>
    </row>
    <row r="127" spans="1:4">
      <c r="A127" s="278">
        <v>42156</v>
      </c>
      <c r="B127" s="279">
        <v>81.200475735364506</v>
      </c>
      <c r="C127" s="279">
        <v>84.621253927461495</v>
      </c>
      <c r="D127" s="279">
        <v>220.23399191707301</v>
      </c>
    </row>
    <row r="128" spans="1:4">
      <c r="A128" s="278">
        <v>42186</v>
      </c>
      <c r="B128" s="279">
        <v>89.689920925630901</v>
      </c>
      <c r="C128" s="279">
        <v>93.235828161009195</v>
      </c>
      <c r="D128" s="279">
        <v>207.386957670806</v>
      </c>
    </row>
    <row r="129" spans="1:4">
      <c r="A129" s="278">
        <v>42217</v>
      </c>
      <c r="B129" s="279">
        <v>83.390095138800902</v>
      </c>
      <c r="C129" s="279">
        <v>87.535828483549395</v>
      </c>
      <c r="D129" s="279">
        <v>212.18938645211901</v>
      </c>
    </row>
    <row r="130" spans="1:4">
      <c r="A130" s="278">
        <v>42248</v>
      </c>
      <c r="B130" s="279">
        <v>106.92997933579601</v>
      </c>
      <c r="C130" s="279">
        <v>101.412124708924</v>
      </c>
      <c r="D130" s="279">
        <v>185.330058510263</v>
      </c>
    </row>
    <row r="131" spans="1:4">
      <c r="A131" s="278">
        <v>42278</v>
      </c>
      <c r="B131" s="279">
        <v>109.344604298824</v>
      </c>
      <c r="C131" s="279">
        <v>103.47867053313399</v>
      </c>
      <c r="D131" s="279">
        <v>204.97510201709801</v>
      </c>
    </row>
    <row r="132" spans="1:4">
      <c r="A132" s="278">
        <v>42309</v>
      </c>
      <c r="B132" s="279">
        <v>100.701658044404</v>
      </c>
      <c r="C132" s="279">
        <v>100.961380743463</v>
      </c>
      <c r="D132" s="279">
        <v>173.829126541064</v>
      </c>
    </row>
    <row r="133" spans="1:4">
      <c r="A133" s="278">
        <v>42339</v>
      </c>
      <c r="B133" s="279">
        <v>169.13122927072499</v>
      </c>
      <c r="C133" s="279">
        <v>134.822924797882</v>
      </c>
      <c r="D133" s="279">
        <v>210.440003959644</v>
      </c>
    </row>
    <row r="134" spans="1:4">
      <c r="A134" s="278">
        <v>42370</v>
      </c>
      <c r="B134" s="279">
        <v>109.655800082163</v>
      </c>
      <c r="C134" s="279">
        <v>107.721721080067</v>
      </c>
      <c r="D134" s="279">
        <v>111.759394711003</v>
      </c>
    </row>
    <row r="135" spans="1:4">
      <c r="A135" s="278">
        <v>42401</v>
      </c>
      <c r="B135" s="279">
        <v>73.598328241528705</v>
      </c>
      <c r="C135" s="279">
        <v>101.372802041965</v>
      </c>
      <c r="D135" s="279">
        <v>152.552575140079</v>
      </c>
    </row>
    <row r="136" spans="1:4">
      <c r="A136" s="278">
        <v>42430</v>
      </c>
      <c r="B136" s="279">
        <v>82.657313279337203</v>
      </c>
      <c r="C136" s="279">
        <v>116.985399939964</v>
      </c>
      <c r="D136" s="279">
        <v>161.22325712314199</v>
      </c>
    </row>
    <row r="137" spans="1:4">
      <c r="A137" s="278">
        <v>42461</v>
      </c>
      <c r="B137" s="279">
        <v>47.535551967933401</v>
      </c>
      <c r="C137" s="279">
        <v>95.110447306897797</v>
      </c>
      <c r="D137" s="279">
        <v>185.013364087855</v>
      </c>
    </row>
    <row r="138" spans="1:4">
      <c r="A138" s="278">
        <v>42491</v>
      </c>
      <c r="B138" s="279">
        <v>43.358199781159001</v>
      </c>
      <c r="C138" s="279">
        <v>95.064872095760904</v>
      </c>
      <c r="D138" s="279">
        <v>162.97167669164401</v>
      </c>
    </row>
    <row r="139" spans="1:4">
      <c r="A139" s="278">
        <v>42522</v>
      </c>
      <c r="B139" s="279">
        <v>71.056578314033203</v>
      </c>
      <c r="C139" s="279">
        <v>120.077437216473</v>
      </c>
      <c r="D139" s="279">
        <v>147.24328014485701</v>
      </c>
    </row>
    <row r="140" spans="1:4">
      <c r="A140" s="278">
        <v>42552</v>
      </c>
      <c r="B140" s="279">
        <v>82.797258267885098</v>
      </c>
      <c r="C140" s="279">
        <v>136.019717274242</v>
      </c>
      <c r="D140" s="279">
        <v>138.276381224479</v>
      </c>
    </row>
    <row r="141" spans="1:4">
      <c r="A141" s="278">
        <v>42583</v>
      </c>
      <c r="B141" s="279">
        <v>76.410081662019607</v>
      </c>
      <c r="C141" s="279">
        <v>127.039558649933</v>
      </c>
      <c r="D141" s="279">
        <v>145.08295274903699</v>
      </c>
    </row>
    <row r="142" spans="1:4">
      <c r="A142" s="278">
        <v>42614</v>
      </c>
      <c r="B142" s="279">
        <v>98.985582739773093</v>
      </c>
      <c r="C142" s="279">
        <v>146.072275898741</v>
      </c>
      <c r="D142" s="279">
        <v>129.97515428998801</v>
      </c>
    </row>
    <row r="143" spans="1:4">
      <c r="A143" s="278">
        <v>42644</v>
      </c>
      <c r="B143" s="279">
        <v>101.61758794425999</v>
      </c>
      <c r="C143" s="279">
        <v>147.483747804232</v>
      </c>
      <c r="D143" s="279">
        <v>147.42173321153001</v>
      </c>
    </row>
    <row r="144" spans="1:4">
      <c r="A144" s="278">
        <v>42675</v>
      </c>
      <c r="B144" s="279">
        <v>93.947903566996899</v>
      </c>
      <c r="C144" s="279">
        <v>142.48381660267</v>
      </c>
      <c r="D144" s="279">
        <v>128.101350371064</v>
      </c>
    </row>
    <row r="145" spans="1:4">
      <c r="A145" s="278">
        <v>42705</v>
      </c>
      <c r="B145" s="279">
        <v>171.546029522532</v>
      </c>
      <c r="C145" s="279">
        <v>191.98465988134001</v>
      </c>
      <c r="D145" s="279">
        <v>157.508189518943</v>
      </c>
    </row>
    <row r="146" spans="1:4">
      <c r="A146" s="278">
        <v>42736</v>
      </c>
      <c r="B146" s="279">
        <v>115.662270905125</v>
      </c>
      <c r="C146" s="279">
        <v>156.58331796419901</v>
      </c>
      <c r="D146" s="279">
        <v>84.667861793371998</v>
      </c>
    </row>
    <row r="147" spans="1:4">
      <c r="A147" s="278">
        <v>42767</v>
      </c>
      <c r="B147" s="279">
        <v>85.189369257091997</v>
      </c>
      <c r="C147" s="279">
        <v>148.13321632793699</v>
      </c>
      <c r="D147" s="279">
        <v>118.16036724535</v>
      </c>
    </row>
    <row r="148" spans="1:4">
      <c r="A148" s="278">
        <v>42795</v>
      </c>
      <c r="B148" s="279">
        <v>99.292034759668198</v>
      </c>
      <c r="C148" s="279">
        <v>170.521258515683</v>
      </c>
      <c r="D148" s="279">
        <v>128.327698040179</v>
      </c>
    </row>
    <row r="149" spans="1:4">
      <c r="A149" s="278">
        <v>42826</v>
      </c>
      <c r="B149" s="279">
        <v>69.4775963219532</v>
      </c>
      <c r="C149" s="279">
        <v>136.85681255837201</v>
      </c>
      <c r="D149" s="279">
        <v>151.87223744039699</v>
      </c>
    </row>
    <row r="150" spans="1:4">
      <c r="A150" s="278">
        <v>42856</v>
      </c>
      <c r="B150" s="279">
        <v>67.128097727503402</v>
      </c>
      <c r="C150" s="279">
        <v>133.99552707960601</v>
      </c>
      <c r="D150" s="279">
        <v>137.80921434212399</v>
      </c>
    </row>
    <row r="151" spans="1:4">
      <c r="A151" s="278">
        <v>42887</v>
      </c>
      <c r="B151" s="279">
        <v>95.069476204626994</v>
      </c>
      <c r="C151" s="279">
        <v>164.67153462598799</v>
      </c>
      <c r="D151" s="279">
        <v>128.16648492808</v>
      </c>
    </row>
    <row r="152" spans="1:4">
      <c r="A152" s="278">
        <v>42917</v>
      </c>
      <c r="B152" s="279">
        <v>105.114048251596</v>
      </c>
      <c r="C152" s="279">
        <v>179.54838741576</v>
      </c>
      <c r="D152" s="279">
        <v>124.086976449017</v>
      </c>
    </row>
    <row r="153" spans="1:4">
      <c r="A153" s="278">
        <v>42948</v>
      </c>
      <c r="B153" s="279">
        <v>96.884690764728603</v>
      </c>
      <c r="C153" s="279">
        <v>162.40829800582699</v>
      </c>
      <c r="D153" s="279">
        <v>133.02297587837</v>
      </c>
    </row>
    <row r="154" spans="1:4">
      <c r="A154" s="278">
        <v>42979</v>
      </c>
      <c r="B154" s="279">
        <v>116.251304847844</v>
      </c>
      <c r="C154" s="279">
        <v>181.043644947274</v>
      </c>
      <c r="D154" s="279">
        <v>121.35702968883</v>
      </c>
    </row>
    <row r="155" spans="1:4">
      <c r="A155" s="278">
        <v>43009</v>
      </c>
      <c r="B155" s="279">
        <v>116.555211089997</v>
      </c>
      <c r="C155" s="279">
        <v>177.54408251781399</v>
      </c>
      <c r="D155" s="279">
        <v>139.84313464790301</v>
      </c>
    </row>
    <row r="156" spans="1:4">
      <c r="A156" s="278">
        <v>43040</v>
      </c>
      <c r="B156" s="279">
        <v>106.540163317938</v>
      </c>
      <c r="C156" s="279">
        <v>167.16422566291001</v>
      </c>
      <c r="D156" s="279">
        <v>123.14435228093799</v>
      </c>
    </row>
    <row r="157" spans="1:4">
      <c r="A157" s="278">
        <v>43070</v>
      </c>
      <c r="B157" s="279">
        <v>185.78715479764199</v>
      </c>
      <c r="C157" s="279">
        <v>220.063758009558</v>
      </c>
      <c r="D157" s="279">
        <v>153.15731010072801</v>
      </c>
    </row>
    <row r="158" spans="1:4">
      <c r="A158" s="278">
        <v>43101</v>
      </c>
      <c r="B158" s="279">
        <v>124.88642091000401</v>
      </c>
      <c r="C158" s="279">
        <v>177.81135901269201</v>
      </c>
      <c r="D158" s="279">
        <v>82.652023610259704</v>
      </c>
    </row>
    <row r="159" spans="1:4">
      <c r="A159" s="278">
        <v>43132</v>
      </c>
      <c r="B159" s="279">
        <v>93.826349736185904</v>
      </c>
      <c r="C159" s="279">
        <v>167.50149001688001</v>
      </c>
      <c r="D159" s="279">
        <v>115.29331257160899</v>
      </c>
    </row>
    <row r="160" spans="1:4">
      <c r="A160" s="278">
        <v>43160</v>
      </c>
      <c r="B160" s="279">
        <v>107.606343199623</v>
      </c>
      <c r="C160" s="279">
        <v>193.11034735530299</v>
      </c>
      <c r="D160" s="279">
        <v>124.68320055303001</v>
      </c>
    </row>
    <row r="161" spans="1:4">
      <c r="A161" s="278">
        <v>43191</v>
      </c>
      <c r="B161" s="279">
        <v>79.993093286452805</v>
      </c>
      <c r="C161" s="279">
        <v>155.98092319931601</v>
      </c>
      <c r="D161" s="279">
        <v>146.59738398095899</v>
      </c>
    </row>
    <row r="162" spans="1:4">
      <c r="A162" s="278">
        <v>43221</v>
      </c>
      <c r="B162" s="279">
        <v>78.843491583659798</v>
      </c>
      <c r="C162" s="279">
        <v>154.21891573677701</v>
      </c>
      <c r="D162" s="279">
        <v>131.99735215695699</v>
      </c>
    </row>
    <row r="163" spans="1:4">
      <c r="A163" s="278">
        <v>43252</v>
      </c>
      <c r="B163" s="279">
        <v>108.611533961897</v>
      </c>
      <c r="C163" s="279">
        <v>191.36929970204901</v>
      </c>
      <c r="D163" s="279">
        <v>121.94035040266201</v>
      </c>
    </row>
    <row r="164" spans="1:4">
      <c r="A164" s="278">
        <v>43282</v>
      </c>
      <c r="B164" s="279">
        <v>120.834156590844</v>
      </c>
      <c r="C164" s="279">
        <v>211.46109574206</v>
      </c>
      <c r="D164" s="279">
        <v>117.09101667806701</v>
      </c>
    </row>
    <row r="165" spans="1:4">
      <c r="A165" s="278">
        <v>43313</v>
      </c>
      <c r="B165" s="279">
        <v>114.956640220697</v>
      </c>
      <c r="C165" s="279">
        <v>193.252206427353</v>
      </c>
      <c r="D165" s="279">
        <v>124.81190884815901</v>
      </c>
    </row>
    <row r="166" spans="1:4">
      <c r="A166" s="278">
        <v>43344</v>
      </c>
      <c r="B166" s="279">
        <v>135.439696212874</v>
      </c>
      <c r="C166" s="279">
        <v>217.746428576494</v>
      </c>
      <c r="D166" s="279">
        <v>113.170749200275</v>
      </c>
    </row>
    <row r="167" spans="1:4">
      <c r="A167" s="278">
        <v>43374</v>
      </c>
      <c r="B167" s="279">
        <v>137.675863030644</v>
      </c>
      <c r="C167" s="279">
        <v>215.661395941211</v>
      </c>
      <c r="D167" s="279">
        <v>129.677503596957</v>
      </c>
    </row>
    <row r="168" spans="1:4">
      <c r="A168" s="278">
        <v>43405</v>
      </c>
      <c r="B168" s="279">
        <v>129.089871524957</v>
      </c>
      <c r="C168" s="279">
        <v>205.08773209833601</v>
      </c>
      <c r="D168" s="279">
        <v>113.52087614423399</v>
      </c>
    </row>
    <row r="169" spans="1:4">
      <c r="A169" s="278">
        <v>43435</v>
      </c>
      <c r="B169" s="279">
        <v>214.02093378327999</v>
      </c>
      <c r="C169" s="279">
        <v>272.68610314283598</v>
      </c>
      <c r="D169" s="279">
        <v>140.34071655303401</v>
      </c>
    </row>
  </sheetData>
  <phoneticPr fontId="0" type="noConversion"/>
  <pageMargins left="0.7" right="0.7" top="0.75" bottom="0.75" header="0.3" footer="0.3"/>
  <pageSetup scale="56" orientation="portrait" r:id="rId1"/>
  <drawing r:id="rId2"/>
  <legacyDrawing r:id="rId3"/>
  <oleObjects>
    <oleObject progId="EViews.Workfile.2" shapeId="2049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E291"/>
  <sheetViews>
    <sheetView workbookViewId="0">
      <pane ySplit="1" topLeftCell="A5" activePane="bottomLeft" state="frozen"/>
      <selection pane="bottomLeft" activeCell="H10" sqref="H10"/>
    </sheetView>
  </sheetViews>
  <sheetFormatPr defaultColWidth="8.85546875" defaultRowHeight="15"/>
  <cols>
    <col min="2" max="2" width="9.28515625" customWidth="1"/>
    <col min="3" max="3" width="11.140625" customWidth="1"/>
    <col min="4" max="4" width="9.140625" customWidth="1"/>
  </cols>
  <sheetData>
    <row r="1" spans="1:5" s="38" customFormat="1" ht="30">
      <c r="A1" s="38" t="s">
        <v>47</v>
      </c>
      <c r="B1" s="39" t="s">
        <v>48</v>
      </c>
      <c r="C1" s="39" t="s">
        <v>49</v>
      </c>
      <c r="D1" s="38" t="s">
        <v>50</v>
      </c>
      <c r="E1" s="40" t="s">
        <v>51</v>
      </c>
    </row>
    <row r="2" spans="1:5">
      <c r="A2" t="s">
        <v>52</v>
      </c>
      <c r="B2" s="41">
        <v>1.1949392375561843</v>
      </c>
      <c r="C2" s="41"/>
    </row>
    <row r="3" spans="1:5">
      <c r="A3" t="s">
        <v>53</v>
      </c>
      <c r="B3" s="41">
        <v>1.1639732516021177</v>
      </c>
      <c r="C3" s="41"/>
    </row>
    <row r="4" spans="1:5">
      <c r="A4" t="s">
        <v>54</v>
      </c>
      <c r="B4" s="41">
        <v>1.1249551166965888</v>
      </c>
      <c r="C4" s="41">
        <v>1</v>
      </c>
      <c r="D4">
        <f>D5/B5</f>
        <v>1.9573174224857421</v>
      </c>
      <c r="E4">
        <f>D4/GEOMEAN($D$136:$D$147)*100</f>
        <v>1.8702375067254651</v>
      </c>
    </row>
    <row r="5" spans="1:5">
      <c r="A5" t="s">
        <v>55</v>
      </c>
      <c r="B5" s="41">
        <v>1.179</v>
      </c>
      <c r="C5" s="41">
        <f>C4*B5</f>
        <v>1.179</v>
      </c>
      <c r="D5">
        <f>D6/B6</f>
        <v>2.3076772411106901</v>
      </c>
      <c r="E5">
        <f t="shared" ref="E5:E67" si="0">D5/GEOMEAN($D$136:$D$147)*100</f>
        <v>2.2050100204293233</v>
      </c>
    </row>
    <row r="6" spans="1:5">
      <c r="A6" t="s">
        <v>56</v>
      </c>
      <c r="B6" s="41">
        <v>1.1068702290076335</v>
      </c>
      <c r="C6" s="41">
        <f>C5*B6</f>
        <v>1.3049999999999999</v>
      </c>
      <c r="D6">
        <f t="shared" ref="D6:D67" si="1">D7/B7</f>
        <v>2.5542992363438937</v>
      </c>
      <c r="E6">
        <f t="shared" si="0"/>
        <v>2.4406599462767322</v>
      </c>
    </row>
    <row r="7" spans="1:5">
      <c r="A7" t="s">
        <v>57</v>
      </c>
      <c r="B7" s="41">
        <v>1.0743295019157089</v>
      </c>
      <c r="C7" s="41">
        <f t="shared" ref="C7:C70" si="2">C6*B7</f>
        <v>1.4019999999999999</v>
      </c>
      <c r="D7">
        <f t="shared" si="1"/>
        <v>2.7441590263250109</v>
      </c>
      <c r="E7">
        <f t="shared" si="0"/>
        <v>2.6220729844291024</v>
      </c>
    </row>
    <row r="8" spans="1:5">
      <c r="A8" t="s">
        <v>58</v>
      </c>
      <c r="B8" s="41">
        <v>1.0848787446504993</v>
      </c>
      <c r="C8" s="41">
        <f t="shared" si="2"/>
        <v>1.5209999999999999</v>
      </c>
      <c r="D8">
        <f t="shared" si="1"/>
        <v>2.9770797996008143</v>
      </c>
      <c r="E8">
        <f t="shared" si="0"/>
        <v>2.8446312477294327</v>
      </c>
    </row>
    <row r="9" spans="1:5">
      <c r="A9" t="s">
        <v>59</v>
      </c>
      <c r="B9" s="41">
        <v>1.0696909927679157</v>
      </c>
      <c r="C9" s="41">
        <f t="shared" si="2"/>
        <v>1.6269999999999996</v>
      </c>
      <c r="D9">
        <f t="shared" si="1"/>
        <v>3.1845554463843024</v>
      </c>
      <c r="E9">
        <f t="shared" si="0"/>
        <v>3.0428764234423316</v>
      </c>
    </row>
    <row r="10" spans="1:5">
      <c r="A10" t="s">
        <v>60</v>
      </c>
      <c r="B10" s="41">
        <v>1.0596189305470192</v>
      </c>
      <c r="C10" s="41">
        <f t="shared" si="2"/>
        <v>1.7239999999999998</v>
      </c>
      <c r="D10">
        <f t="shared" si="1"/>
        <v>3.3744152363654196</v>
      </c>
      <c r="E10">
        <f t="shared" si="0"/>
        <v>3.2242894615947018</v>
      </c>
    </row>
    <row r="11" spans="1:5">
      <c r="A11" t="s">
        <v>61</v>
      </c>
      <c r="B11" s="41">
        <v>1.0533642691415313</v>
      </c>
      <c r="C11" s="41">
        <f t="shared" si="2"/>
        <v>1.8159999999999996</v>
      </c>
      <c r="D11">
        <f t="shared" si="1"/>
        <v>3.5544884392341078</v>
      </c>
      <c r="E11">
        <f t="shared" si="0"/>
        <v>3.396351312213445</v>
      </c>
    </row>
    <row r="12" spans="1:5">
      <c r="A12" t="s">
        <v>62</v>
      </c>
      <c r="B12" s="41">
        <v>1.0468061674008811</v>
      </c>
      <c r="C12" s="41">
        <f t="shared" si="2"/>
        <v>1.9009999999999996</v>
      </c>
      <c r="D12">
        <f t="shared" si="1"/>
        <v>3.7208604201453959</v>
      </c>
      <c r="E12">
        <f t="shared" si="0"/>
        <v>3.5553215002851095</v>
      </c>
    </row>
    <row r="13" spans="1:5">
      <c r="A13" t="s">
        <v>63</v>
      </c>
      <c r="B13" s="41">
        <v>1.0794318779589689</v>
      </c>
      <c r="C13" s="41">
        <f t="shared" si="2"/>
        <v>2.0519999999999996</v>
      </c>
      <c r="D13">
        <f t="shared" si="1"/>
        <v>4.0164153509407425</v>
      </c>
      <c r="E13">
        <f t="shared" si="0"/>
        <v>3.8377273638006542</v>
      </c>
    </row>
    <row r="14" spans="1:5">
      <c r="A14" t="s">
        <v>64</v>
      </c>
      <c r="B14" s="41">
        <v>1.1500974658869396</v>
      </c>
      <c r="C14" s="41">
        <f t="shared" si="2"/>
        <v>2.3599999999999994</v>
      </c>
      <c r="D14">
        <f>D15/B15</f>
        <v>4.6192691170663513</v>
      </c>
      <c r="E14">
        <f>D14/GEOMEAN($D$136:$D$147)*100</f>
        <v>4.4137605158720978</v>
      </c>
    </row>
    <row r="15" spans="1:5">
      <c r="A15" t="s">
        <v>65</v>
      </c>
      <c r="B15" s="41">
        <v>1.146186440677966</v>
      </c>
      <c r="C15" s="41">
        <f t="shared" si="2"/>
        <v>2.7049999999999992</v>
      </c>
      <c r="D15">
        <f t="shared" si="1"/>
        <v>5.2945436278239324</v>
      </c>
      <c r="E15">
        <f t="shared" si="0"/>
        <v>5.0589924556923824</v>
      </c>
    </row>
    <row r="16" spans="1:5">
      <c r="A16" t="s">
        <v>66</v>
      </c>
      <c r="B16" s="41">
        <v>1.1648798521256931</v>
      </c>
      <c r="C16" s="41">
        <f t="shared" si="2"/>
        <v>3.1509999999999989</v>
      </c>
      <c r="D16">
        <f t="shared" si="1"/>
        <v>6.1675071982525731</v>
      </c>
      <c r="E16">
        <f t="shared" si="0"/>
        <v>5.8931183836919399</v>
      </c>
    </row>
    <row r="17" spans="1:5">
      <c r="A17" t="s">
        <v>67</v>
      </c>
      <c r="B17" s="41">
        <v>1.1779999999999999</v>
      </c>
      <c r="C17" s="41">
        <f t="shared" si="2"/>
        <v>3.7118779999999987</v>
      </c>
      <c r="D17">
        <f t="shared" si="1"/>
        <v>7.2653234795415305</v>
      </c>
      <c r="E17">
        <f t="shared" si="0"/>
        <v>6.9420934559891041</v>
      </c>
    </row>
    <row r="18" spans="1:5">
      <c r="A18" t="s">
        <v>68</v>
      </c>
      <c r="B18" s="41">
        <v>1.1103565365025467</v>
      </c>
      <c r="C18" s="41">
        <f t="shared" si="2"/>
        <v>4.1215079999999986</v>
      </c>
      <c r="D18">
        <f t="shared" si="1"/>
        <v>8.0670994153143649</v>
      </c>
      <c r="E18">
        <f t="shared" si="0"/>
        <v>7.708198845869056</v>
      </c>
    </row>
    <row r="19" spans="1:5">
      <c r="A19" t="s">
        <v>69</v>
      </c>
      <c r="B19" s="41">
        <v>1.0886850152905199</v>
      </c>
      <c r="C19" s="41">
        <f t="shared" si="2"/>
        <v>4.4870239999999981</v>
      </c>
      <c r="D19">
        <f t="shared" si="1"/>
        <v>8.7825302503116625</v>
      </c>
      <c r="E19">
        <f t="shared" si="0"/>
        <v>8.3918005783773211</v>
      </c>
    </row>
    <row r="20" spans="1:5">
      <c r="A20" t="s">
        <v>70</v>
      </c>
      <c r="B20" s="41">
        <v>1.0849719101123594</v>
      </c>
      <c r="C20" s="41">
        <f t="shared" si="2"/>
        <v>4.8682949999999972</v>
      </c>
      <c r="D20">
        <f t="shared" si="1"/>
        <v>9.528798621300222</v>
      </c>
      <c r="E20">
        <f t="shared" si="0"/>
        <v>9.1048679028040436</v>
      </c>
    </row>
    <row r="21" spans="1:5">
      <c r="A21" t="s">
        <v>71</v>
      </c>
      <c r="B21" s="41">
        <v>1.0789644012944983</v>
      </c>
      <c r="C21" s="41">
        <f t="shared" si="2"/>
        <v>5.252716999999997</v>
      </c>
      <c r="D21">
        <f t="shared" si="1"/>
        <v>10.281234499487034</v>
      </c>
      <c r="E21">
        <f t="shared" si="0"/>
        <v>9.8238283456144586</v>
      </c>
    </row>
    <row r="22" spans="1:5">
      <c r="A22" t="s">
        <v>72</v>
      </c>
      <c r="B22" s="41">
        <v>1.0665866826634676</v>
      </c>
      <c r="C22" s="41">
        <f t="shared" si="2"/>
        <v>5.6024779999999978</v>
      </c>
      <c r="D22">
        <f t="shared" si="1"/>
        <v>10.965827798493072</v>
      </c>
      <c r="E22">
        <f t="shared" si="0"/>
        <v>10.477964486204266</v>
      </c>
    </row>
    <row r="23" spans="1:5">
      <c r="A23" t="s">
        <v>73</v>
      </c>
      <c r="B23" s="41">
        <v>1.0539932508436445</v>
      </c>
      <c r="C23" s="41">
        <f t="shared" si="2"/>
        <v>5.9049739999999975</v>
      </c>
      <c r="D23">
        <f t="shared" si="1"/>
        <v>11.557908489525317</v>
      </c>
      <c r="E23">
        <f t="shared" si="0"/>
        <v>11.043703851038691</v>
      </c>
    </row>
    <row r="24" spans="1:5">
      <c r="A24" t="s">
        <v>74</v>
      </c>
      <c r="B24" s="41">
        <v>1.0458911419423693</v>
      </c>
      <c r="C24" s="41">
        <f t="shared" si="2"/>
        <v>6.1759599999999981</v>
      </c>
      <c r="D24">
        <f t="shared" si="1"/>
        <v>12.088314108575039</v>
      </c>
      <c r="E24">
        <f t="shared" si="0"/>
        <v>11.550512032036199</v>
      </c>
    </row>
    <row r="25" spans="1:5">
      <c r="A25" t="s">
        <v>75</v>
      </c>
      <c r="B25" s="41">
        <v>1.0443877551020406</v>
      </c>
      <c r="C25" s="41">
        <f t="shared" si="2"/>
        <v>6.4500969999999969</v>
      </c>
      <c r="D25">
        <f t="shared" si="1"/>
        <v>12.62488723482301</v>
      </c>
      <c r="E25">
        <f t="shared" si="0"/>
        <v>12.063213331417394</v>
      </c>
    </row>
    <row r="26" spans="1:5">
      <c r="A26" t="s">
        <v>76</v>
      </c>
      <c r="B26" s="41">
        <v>1.0473864191499758</v>
      </c>
      <c r="C26" s="41">
        <f t="shared" si="2"/>
        <v>6.7557439999999982</v>
      </c>
      <c r="D26">
        <f t="shared" si="1"/>
        <v>13.223135433053512</v>
      </c>
      <c r="E26">
        <f t="shared" si="0"/>
        <v>12.634845814635515</v>
      </c>
    </row>
    <row r="27" spans="1:5">
      <c r="A27" t="s">
        <v>77</v>
      </c>
      <c r="B27" s="41">
        <v>1.0452425373134326</v>
      </c>
      <c r="C27" s="41">
        <f t="shared" si="2"/>
        <v>7.0613909999999969</v>
      </c>
      <c r="D27">
        <f t="shared" si="1"/>
        <v>13.821383631284009</v>
      </c>
      <c r="E27">
        <f t="shared" si="0"/>
        <v>13.20647829785363</v>
      </c>
    </row>
    <row r="28" spans="1:5">
      <c r="A28" t="s">
        <v>78</v>
      </c>
      <c r="B28" s="41">
        <v>1.0321285140562251</v>
      </c>
      <c r="C28" s="41">
        <f t="shared" si="2"/>
        <v>7.2882629999999979</v>
      </c>
      <c r="D28">
        <f t="shared" si="1"/>
        <v>14.265444149558197</v>
      </c>
      <c r="E28">
        <f t="shared" si="0"/>
        <v>13.630782821479453</v>
      </c>
    </row>
    <row r="29" spans="1:5">
      <c r="A29" t="s">
        <v>79</v>
      </c>
      <c r="B29" s="41">
        <v>1.0409999999999999</v>
      </c>
      <c r="C29" s="41">
        <f t="shared" si="2"/>
        <v>7.5870817829999977</v>
      </c>
      <c r="D29">
        <f t="shared" si="1"/>
        <v>14.850327359690082</v>
      </c>
      <c r="E29">
        <f t="shared" si="0"/>
        <v>14.189644917160111</v>
      </c>
    </row>
    <row r="30" spans="1:5">
      <c r="A30" t="s">
        <v>80</v>
      </c>
      <c r="B30" s="41">
        <v>1.0278578290105669</v>
      </c>
      <c r="C30" s="41">
        <f t="shared" si="2"/>
        <v>7.7984414099999988</v>
      </c>
      <c r="D30">
        <f t="shared" si="1"/>
        <v>15.264025240027271</v>
      </c>
      <c r="E30">
        <f t="shared" si="0"/>
        <v>14.584937618983016</v>
      </c>
    </row>
    <row r="31" spans="1:5">
      <c r="A31" t="s">
        <v>81</v>
      </c>
      <c r="B31" s="41">
        <v>1.02803738317757</v>
      </c>
      <c r="C31" s="41">
        <f t="shared" si="2"/>
        <v>8.0170892999999985</v>
      </c>
      <c r="D31">
        <f t="shared" si="1"/>
        <v>15.691988564514016</v>
      </c>
      <c r="E31">
        <f t="shared" si="0"/>
        <v>14.993861103627399</v>
      </c>
    </row>
    <row r="32" spans="1:5">
      <c r="A32" t="s">
        <v>82</v>
      </c>
      <c r="B32" s="41">
        <v>1.021818181818182</v>
      </c>
      <c r="C32" s="41">
        <f t="shared" si="2"/>
        <v>8.1920076119999994</v>
      </c>
      <c r="D32">
        <f t="shared" si="1"/>
        <v>16.034359224103415</v>
      </c>
      <c r="E32">
        <f t="shared" si="0"/>
        <v>15.320999891342908</v>
      </c>
    </row>
    <row r="33" spans="1:5">
      <c r="A33" t="s">
        <v>83</v>
      </c>
      <c r="B33" s="41">
        <v>1.0160142348754448</v>
      </c>
      <c r="C33" s="41">
        <f t="shared" si="2"/>
        <v>8.3231963459999996</v>
      </c>
      <c r="D33">
        <f t="shared" si="1"/>
        <v>16.291137218795463</v>
      </c>
      <c r="E33">
        <f t="shared" si="0"/>
        <v>15.566353982129536</v>
      </c>
    </row>
    <row r="34" spans="1:5">
      <c r="A34" t="s">
        <v>84</v>
      </c>
      <c r="B34" s="41">
        <v>1.0113835376532399</v>
      </c>
      <c r="C34" s="41">
        <f t="shared" si="2"/>
        <v>8.4179437649999986</v>
      </c>
      <c r="D34">
        <f t="shared" si="1"/>
        <v>16.476587992739717</v>
      </c>
      <c r="E34">
        <f t="shared" si="0"/>
        <v>15.743554158808767</v>
      </c>
    </row>
    <row r="35" spans="1:5">
      <c r="A35" t="s">
        <v>85</v>
      </c>
      <c r="B35" s="41">
        <v>1.0077922077922079</v>
      </c>
      <c r="C35" s="41">
        <f t="shared" si="2"/>
        <v>8.4835381319999996</v>
      </c>
      <c r="D35">
        <f t="shared" si="1"/>
        <v>16.604976990085742</v>
      </c>
      <c r="E35">
        <f t="shared" si="0"/>
        <v>15.866231204202084</v>
      </c>
    </row>
    <row r="36" spans="1:5">
      <c r="A36" t="s">
        <v>86</v>
      </c>
      <c r="B36" s="41">
        <v>0.99742268041237092</v>
      </c>
      <c r="C36" s="41">
        <f t="shared" si="2"/>
        <v>8.4616733429999975</v>
      </c>
      <c r="D36">
        <f t="shared" si="1"/>
        <v>16.562180657637064</v>
      </c>
      <c r="E36">
        <f t="shared" si="0"/>
        <v>15.825338855737641</v>
      </c>
    </row>
    <row r="37" spans="1:5">
      <c r="A37" t="s">
        <v>87</v>
      </c>
      <c r="B37" s="41">
        <v>1.0034453057708872</v>
      </c>
      <c r="C37" s="41">
        <f t="shared" si="2"/>
        <v>8.4908263949999974</v>
      </c>
      <c r="D37">
        <f t="shared" si="1"/>
        <v>16.619242434235296</v>
      </c>
      <c r="E37">
        <f t="shared" si="0"/>
        <v>15.879861987023562</v>
      </c>
    </row>
    <row r="38" spans="1:5">
      <c r="A38" t="s">
        <v>88</v>
      </c>
      <c r="B38" s="41">
        <v>1.0120171673819742</v>
      </c>
      <c r="C38" s="41">
        <f t="shared" si="2"/>
        <v>8.5928620769999977</v>
      </c>
      <c r="D38">
        <f t="shared" si="1"/>
        <v>16.818958652329112</v>
      </c>
      <c r="E38">
        <f t="shared" si="0"/>
        <v>16.070692946524272</v>
      </c>
    </row>
    <row r="39" spans="1:5">
      <c r="A39" t="s">
        <v>89</v>
      </c>
      <c r="B39" s="41">
        <v>1.0186598812553009</v>
      </c>
      <c r="C39" s="41">
        <f t="shared" si="2"/>
        <v>8.753203862999996</v>
      </c>
      <c r="D39">
        <f t="shared" si="1"/>
        <v>17.132798423619388</v>
      </c>
      <c r="E39">
        <f t="shared" si="0"/>
        <v>16.370570168596814</v>
      </c>
    </row>
    <row r="40" spans="1:5">
      <c r="A40" t="s">
        <v>90</v>
      </c>
      <c r="B40" s="41">
        <v>1.0141548709408825</v>
      </c>
      <c r="C40" s="41">
        <f t="shared" si="2"/>
        <v>8.8771043339999949</v>
      </c>
      <c r="D40">
        <f t="shared" si="1"/>
        <v>17.375310974161877</v>
      </c>
      <c r="E40">
        <f t="shared" si="0"/>
        <v>16.602293476561965</v>
      </c>
    </row>
    <row r="41" spans="1:5">
      <c r="A41" t="s">
        <v>91</v>
      </c>
      <c r="B41" s="41">
        <v>1.0234000000000001</v>
      </c>
      <c r="C41" s="41">
        <f t="shared" si="2"/>
        <v>9.084828575415596</v>
      </c>
      <c r="D41">
        <f t="shared" si="1"/>
        <v>17.781893250957268</v>
      </c>
      <c r="E41">
        <f t="shared" si="0"/>
        <v>16.990787143913519</v>
      </c>
    </row>
    <row r="42" spans="1:5">
      <c r="A42" t="s">
        <v>92</v>
      </c>
      <c r="B42" s="41">
        <v>1.0154000000000001</v>
      </c>
      <c r="C42" s="41">
        <f t="shared" si="2"/>
        <v>9.224734935476997</v>
      </c>
      <c r="D42">
        <f t="shared" si="1"/>
        <v>18.055734407022012</v>
      </c>
      <c r="E42">
        <f t="shared" si="0"/>
        <v>17.25244526592979</v>
      </c>
    </row>
    <row r="43" spans="1:5">
      <c r="A43" t="s">
        <v>93</v>
      </c>
      <c r="B43" s="41">
        <v>1.0143</v>
      </c>
      <c r="C43" s="41">
        <f t="shared" si="2"/>
        <v>9.3566486450543174</v>
      </c>
      <c r="D43">
        <f t="shared" si="1"/>
        <v>18.313931409042425</v>
      </c>
      <c r="E43">
        <f t="shared" si="0"/>
        <v>17.499155233232585</v>
      </c>
    </row>
    <row r="44" spans="1:5">
      <c r="A44" t="s">
        <v>94</v>
      </c>
      <c r="B44" s="41">
        <v>1.0095999999999998</v>
      </c>
      <c r="C44" s="41">
        <f t="shared" si="2"/>
        <v>9.4464724720468372</v>
      </c>
      <c r="D44">
        <f t="shared" si="1"/>
        <v>18.489745150569227</v>
      </c>
      <c r="E44">
        <f t="shared" si="0"/>
        <v>17.667147123471612</v>
      </c>
    </row>
    <row r="45" spans="1:5">
      <c r="A45" t="s">
        <v>95</v>
      </c>
      <c r="B45" s="41">
        <v>1.0094000000000001</v>
      </c>
      <c r="C45" s="41">
        <f t="shared" si="2"/>
        <v>9.5352693132840773</v>
      </c>
      <c r="D45">
        <f t="shared" si="1"/>
        <v>18.663548754984578</v>
      </c>
      <c r="E45">
        <f t="shared" si="0"/>
        <v>17.833218306432247</v>
      </c>
    </row>
    <row r="46" spans="1:5">
      <c r="A46" t="s">
        <v>96</v>
      </c>
      <c r="B46" s="41">
        <v>1.0109999999999999</v>
      </c>
      <c r="C46" s="41">
        <f t="shared" si="2"/>
        <v>9.6401572757302016</v>
      </c>
      <c r="D46">
        <f t="shared" si="1"/>
        <v>18.868847791289408</v>
      </c>
      <c r="E46">
        <f t="shared" si="0"/>
        <v>18.029383707802999</v>
      </c>
    </row>
    <row r="47" spans="1:5">
      <c r="A47" t="s">
        <v>97</v>
      </c>
      <c r="B47" s="41">
        <v>1.0093000000000001</v>
      </c>
      <c r="C47" s="41">
        <f t="shared" si="2"/>
        <v>9.7298107383944927</v>
      </c>
      <c r="D47">
        <f t="shared" si="1"/>
        <v>19.0443280757484</v>
      </c>
      <c r="E47">
        <f t="shared" si="0"/>
        <v>18.197056976285566</v>
      </c>
    </row>
    <row r="48" spans="1:5">
      <c r="A48" t="s">
        <v>98</v>
      </c>
      <c r="B48" s="41">
        <v>0.99860000000000004</v>
      </c>
      <c r="C48" s="41">
        <f t="shared" si="2"/>
        <v>9.716189003360741</v>
      </c>
      <c r="D48">
        <f t="shared" si="1"/>
        <v>19.017666016442352</v>
      </c>
      <c r="E48">
        <f t="shared" si="0"/>
        <v>18.171581096518768</v>
      </c>
    </row>
    <row r="49" spans="1:5">
      <c r="A49" t="s">
        <v>99</v>
      </c>
      <c r="B49" s="41">
        <v>0.997</v>
      </c>
      <c r="C49" s="41">
        <f t="shared" si="2"/>
        <v>9.6870404363506584</v>
      </c>
      <c r="D49">
        <f t="shared" si="1"/>
        <v>18.960613018393026</v>
      </c>
      <c r="E49">
        <f t="shared" si="0"/>
        <v>18.117066353229212</v>
      </c>
    </row>
    <row r="50" spans="1:5">
      <c r="A50" t="s">
        <v>100</v>
      </c>
      <c r="B50" s="41">
        <v>1.0017</v>
      </c>
      <c r="C50" s="41">
        <f t="shared" si="2"/>
        <v>9.7035084050924549</v>
      </c>
      <c r="D50">
        <f t="shared" si="1"/>
        <v>18.992846060524293</v>
      </c>
      <c r="E50">
        <f t="shared" si="0"/>
        <v>18.147865366029702</v>
      </c>
    </row>
    <row r="51" spans="1:5">
      <c r="A51" t="s">
        <v>101</v>
      </c>
      <c r="B51" s="41">
        <v>1.0061</v>
      </c>
      <c r="C51" s="41">
        <f t="shared" si="2"/>
        <v>9.7626998063635195</v>
      </c>
      <c r="D51">
        <f t="shared" si="1"/>
        <v>19.10870242149349</v>
      </c>
      <c r="E51">
        <f t="shared" si="0"/>
        <v>18.258567344762479</v>
      </c>
    </row>
    <row r="52" spans="1:5">
      <c r="A52" t="s">
        <v>102</v>
      </c>
      <c r="B52" s="41">
        <v>1.0095999999999998</v>
      </c>
      <c r="C52" s="41">
        <f t="shared" si="2"/>
        <v>9.8564217245046084</v>
      </c>
      <c r="D52">
        <f t="shared" si="1"/>
        <v>19.292145964739824</v>
      </c>
      <c r="E52">
        <f t="shared" si="0"/>
        <v>18.433849591272196</v>
      </c>
    </row>
    <row r="53" spans="1:5">
      <c r="A53" t="s">
        <v>103</v>
      </c>
      <c r="B53" s="41">
        <v>1.0151000000000001</v>
      </c>
      <c r="C53" s="41">
        <f t="shared" si="2"/>
        <v>10.005253692544629</v>
      </c>
      <c r="D53">
        <f t="shared" si="1"/>
        <v>19.583457368807398</v>
      </c>
      <c r="E53">
        <f t="shared" si="0"/>
        <v>18.712200720100412</v>
      </c>
    </row>
    <row r="54" spans="1:5">
      <c r="A54" t="s">
        <v>104</v>
      </c>
      <c r="B54" s="41">
        <v>1.0088999999999999</v>
      </c>
      <c r="C54" s="41">
        <f t="shared" si="2"/>
        <v>10.094300450408277</v>
      </c>
      <c r="D54">
        <f t="shared" si="1"/>
        <v>19.757750139389781</v>
      </c>
      <c r="E54">
        <f t="shared" si="0"/>
        <v>18.878739306509303</v>
      </c>
    </row>
    <row r="55" spans="1:5">
      <c r="A55" t="s">
        <v>105</v>
      </c>
      <c r="B55" s="41">
        <v>1.0064</v>
      </c>
      <c r="C55" s="41">
        <f t="shared" si="2"/>
        <v>10.158903973290888</v>
      </c>
      <c r="D55">
        <f t="shared" si="1"/>
        <v>19.884199740281876</v>
      </c>
      <c r="E55">
        <f t="shared" si="0"/>
        <v>18.999563238070959</v>
      </c>
    </row>
    <row r="56" spans="1:5">
      <c r="A56" t="s">
        <v>106</v>
      </c>
      <c r="B56" s="41">
        <v>1.0038</v>
      </c>
      <c r="C56" s="41">
        <f t="shared" si="2"/>
        <v>10.197507808389394</v>
      </c>
      <c r="D56">
        <f t="shared" si="1"/>
        <v>19.959759699294946</v>
      </c>
      <c r="E56">
        <f t="shared" si="0"/>
        <v>19.071761578375629</v>
      </c>
    </row>
    <row r="57" spans="1:5">
      <c r="A57" t="s">
        <v>107</v>
      </c>
      <c r="B57" s="41">
        <v>1.0049999999999999</v>
      </c>
      <c r="C57" s="41">
        <f t="shared" si="2"/>
        <v>10.248495347431341</v>
      </c>
      <c r="D57">
        <f t="shared" si="1"/>
        <v>20.059558497791418</v>
      </c>
      <c r="E57">
        <f t="shared" si="0"/>
        <v>19.167120386267506</v>
      </c>
    </row>
    <row r="58" spans="1:5">
      <c r="A58" t="s">
        <v>108</v>
      </c>
      <c r="B58" s="41">
        <v>1.0007999999999999</v>
      </c>
      <c r="C58" s="41">
        <f t="shared" si="2"/>
        <v>10.256694143709284</v>
      </c>
      <c r="D58">
        <f t="shared" si="1"/>
        <v>20.075606144589649</v>
      </c>
      <c r="E58">
        <f t="shared" si="0"/>
        <v>19.182454082576516</v>
      </c>
    </row>
    <row r="59" spans="1:5">
      <c r="A59" t="s">
        <v>109</v>
      </c>
      <c r="B59" s="41">
        <v>1.0017</v>
      </c>
      <c r="C59" s="41">
        <f t="shared" si="2"/>
        <v>10.274130523753589</v>
      </c>
      <c r="D59">
        <f t="shared" si="1"/>
        <v>20.109734675035451</v>
      </c>
      <c r="E59">
        <f t="shared" si="0"/>
        <v>19.215064254516896</v>
      </c>
    </row>
    <row r="60" spans="1:5">
      <c r="A60" t="s">
        <v>110</v>
      </c>
      <c r="B60" s="41">
        <v>1.0367</v>
      </c>
      <c r="C60" s="41">
        <f t="shared" si="2"/>
        <v>10.651191113975345</v>
      </c>
      <c r="D60">
        <f t="shared" si="1"/>
        <v>20.847761937609253</v>
      </c>
      <c r="E60">
        <f t="shared" si="0"/>
        <v>19.920257112657669</v>
      </c>
    </row>
    <row r="61" spans="1:5">
      <c r="A61" t="s">
        <v>111</v>
      </c>
      <c r="B61" s="41">
        <v>1.3843000000000001</v>
      </c>
      <c r="C61" s="41">
        <f t="shared" si="2"/>
        <v>14.744443859076071</v>
      </c>
      <c r="D61">
        <f t="shared" si="1"/>
        <v>28.85955685023249</v>
      </c>
      <c r="E61">
        <f t="shared" si="0"/>
        <v>27.575611921052012</v>
      </c>
    </row>
    <row r="62" spans="1:5">
      <c r="A62" t="s">
        <v>112</v>
      </c>
      <c r="B62" s="41">
        <v>1.0449999999999999</v>
      </c>
      <c r="C62" s="41">
        <f t="shared" si="2"/>
        <v>15.407943832734492</v>
      </c>
      <c r="D62">
        <f t="shared" si="1"/>
        <v>30.158236908492949</v>
      </c>
      <c r="E62">
        <f t="shared" si="0"/>
        <v>28.816514457499348</v>
      </c>
    </row>
    <row r="63" spans="1:5">
      <c r="A63" t="s">
        <v>113</v>
      </c>
      <c r="B63" s="41">
        <v>1.0569999999999999</v>
      </c>
      <c r="C63" s="41">
        <f t="shared" si="2"/>
        <v>16.286196631200358</v>
      </c>
      <c r="D63">
        <f t="shared" si="1"/>
        <v>31.877256412277045</v>
      </c>
      <c r="E63">
        <f t="shared" si="0"/>
        <v>30.459055781576811</v>
      </c>
    </row>
    <row r="64" spans="1:5">
      <c r="A64" t="s">
        <v>114</v>
      </c>
      <c r="B64" s="41">
        <v>1.1159999999999999</v>
      </c>
      <c r="C64" s="41">
        <f t="shared" si="2"/>
        <v>18.175395440419599</v>
      </c>
      <c r="D64">
        <f t="shared" si="1"/>
        <v>35.57501815610118</v>
      </c>
      <c r="E64">
        <f t="shared" si="0"/>
        <v>33.992306252239715</v>
      </c>
    </row>
    <row r="65" spans="1:5">
      <c r="A65" t="s">
        <v>115</v>
      </c>
      <c r="B65" s="41">
        <v>1.0837999999999999</v>
      </c>
      <c r="C65" s="41">
        <f t="shared" si="2"/>
        <v>19.698493578326758</v>
      </c>
      <c r="D65">
        <f t="shared" si="1"/>
        <v>38.556204677582457</v>
      </c>
      <c r="E65">
        <f t="shared" si="0"/>
        <v>36.840861516177405</v>
      </c>
    </row>
    <row r="66" spans="1:5">
      <c r="A66" t="s">
        <v>116</v>
      </c>
      <c r="B66" s="41">
        <v>1.0412999999999999</v>
      </c>
      <c r="C66" s="41">
        <f t="shared" si="2"/>
        <v>20.512041363111653</v>
      </c>
      <c r="D66">
        <f t="shared" si="1"/>
        <v>40.148575930766611</v>
      </c>
      <c r="E66">
        <f t="shared" si="0"/>
        <v>38.362389096795532</v>
      </c>
    </row>
    <row r="67" spans="1:5">
      <c r="A67" t="s">
        <v>117</v>
      </c>
      <c r="B67" s="41">
        <v>1.0279</v>
      </c>
      <c r="C67" s="41">
        <f t="shared" si="2"/>
        <v>21.084327317142467</v>
      </c>
      <c r="D67">
        <f t="shared" si="1"/>
        <v>41.268721199235003</v>
      </c>
      <c r="E67">
        <f t="shared" si="0"/>
        <v>39.432699752596129</v>
      </c>
    </row>
    <row r="68" spans="1:5">
      <c r="A68" t="s">
        <v>118</v>
      </c>
      <c r="B68" s="41">
        <v>1.0303</v>
      </c>
      <c r="C68" s="41">
        <f t="shared" si="2"/>
        <v>21.723182434851882</v>
      </c>
      <c r="D68">
        <f t="shared" ref="D68:D131" si="3">D69/B69</f>
        <v>42.519163451571821</v>
      </c>
      <c r="E68">
        <f t="shared" ref="E68:E121" si="4">D68/GEOMEAN($D$136:$D$147)*100</f>
        <v>40.627510555099789</v>
      </c>
    </row>
    <row r="69" spans="1:5">
      <c r="A69" t="s">
        <v>119</v>
      </c>
      <c r="B69" s="41">
        <v>1.0222</v>
      </c>
      <c r="C69" s="41">
        <f t="shared" si="2"/>
        <v>22.205437084905594</v>
      </c>
      <c r="D69">
        <f t="shared" si="3"/>
        <v>43.463088880196715</v>
      </c>
      <c r="E69">
        <f t="shared" si="4"/>
        <v>41.529441289423005</v>
      </c>
    </row>
    <row r="70" spans="1:5">
      <c r="A70" t="s">
        <v>120</v>
      </c>
      <c r="B70" s="41">
        <v>1.0190999999999999</v>
      </c>
      <c r="C70" s="41">
        <f t="shared" si="2"/>
        <v>22.629560933227289</v>
      </c>
      <c r="D70">
        <f t="shared" si="3"/>
        <v>44.293233877808468</v>
      </c>
      <c r="E70">
        <f t="shared" si="4"/>
        <v>42.322653618050978</v>
      </c>
    </row>
    <row r="71" spans="1:5">
      <c r="A71" t="s">
        <v>121</v>
      </c>
      <c r="B71" s="41">
        <v>1.0282</v>
      </c>
      <c r="C71" s="41">
        <f t="shared" ref="C71:C134" si="5">C70*B71</f>
        <v>23.267714551544298</v>
      </c>
      <c r="D71">
        <f t="shared" si="3"/>
        <v>45.542303073162664</v>
      </c>
      <c r="E71">
        <f t="shared" si="4"/>
        <v>43.516152450080014</v>
      </c>
    </row>
    <row r="72" spans="1:5">
      <c r="A72" t="s">
        <v>122</v>
      </c>
      <c r="B72" s="41">
        <v>1.0116000000000001</v>
      </c>
      <c r="C72" s="41">
        <f t="shared" si="5"/>
        <v>23.537620040342212</v>
      </c>
      <c r="D72">
        <f t="shared" si="3"/>
        <v>46.070593788811351</v>
      </c>
      <c r="E72">
        <f t="shared" si="4"/>
        <v>44.020939818500942</v>
      </c>
    </row>
    <row r="73" spans="1:5">
      <c r="A73" t="s">
        <v>123</v>
      </c>
      <c r="B73" s="41">
        <v>1.0148000000000001</v>
      </c>
      <c r="C73" s="41">
        <f t="shared" si="5"/>
        <v>23.88597681693928</v>
      </c>
      <c r="D73">
        <f t="shared" si="3"/>
        <v>46.752438576885766</v>
      </c>
      <c r="E73">
        <f t="shared" si="4"/>
        <v>44.672449727814758</v>
      </c>
    </row>
    <row r="74" spans="1:5">
      <c r="A74" t="s">
        <v>124</v>
      </c>
      <c r="B74" s="41">
        <v>1.0137</v>
      </c>
      <c r="C74" s="41">
        <f t="shared" si="5"/>
        <v>24.213214699331349</v>
      </c>
      <c r="D74">
        <f t="shared" si="3"/>
        <v>47.392946985389102</v>
      </c>
      <c r="E74">
        <f t="shared" si="4"/>
        <v>45.284462289085823</v>
      </c>
    </row>
    <row r="75" spans="1:5">
      <c r="A75" t="s">
        <v>125</v>
      </c>
      <c r="B75" s="41">
        <v>1.0123</v>
      </c>
      <c r="C75" s="41">
        <f t="shared" si="5"/>
        <v>24.511037240133124</v>
      </c>
      <c r="D75">
        <f t="shared" si="3"/>
        <v>47.97588023330939</v>
      </c>
      <c r="E75">
        <f t="shared" si="4"/>
        <v>45.841461175241584</v>
      </c>
    </row>
    <row r="76" spans="1:5">
      <c r="A76" t="s">
        <v>126</v>
      </c>
      <c r="B76" s="41">
        <v>1.0125999999999999</v>
      </c>
      <c r="C76" s="41">
        <f t="shared" si="5"/>
        <v>24.819876309358801</v>
      </c>
      <c r="D76">
        <f t="shared" si="3"/>
        <v>48.580376324249087</v>
      </c>
      <c r="E76">
        <f t="shared" si="4"/>
        <v>46.419063586049624</v>
      </c>
    </row>
    <row r="77" spans="1:5">
      <c r="A77" t="s">
        <v>127</v>
      </c>
      <c r="B77" s="41">
        <v>1.0104</v>
      </c>
      <c r="C77" s="41">
        <f t="shared" si="5"/>
        <v>25.07800302297613</v>
      </c>
      <c r="D77">
        <f t="shared" si="3"/>
        <v>49.085612238021277</v>
      </c>
      <c r="E77">
        <f t="shared" si="4"/>
        <v>46.901821847344543</v>
      </c>
    </row>
    <row r="78" spans="1:5">
      <c r="A78" t="s">
        <v>128</v>
      </c>
      <c r="B78" s="41">
        <v>1.0064</v>
      </c>
      <c r="C78" s="41">
        <f t="shared" si="5"/>
        <v>25.238502242323175</v>
      </c>
      <c r="D78">
        <f t="shared" si="3"/>
        <v>49.399760156344612</v>
      </c>
      <c r="E78">
        <f t="shared" si="4"/>
        <v>47.201993507167543</v>
      </c>
    </row>
    <row r="79" spans="1:5">
      <c r="A79" t="s">
        <v>129</v>
      </c>
      <c r="B79" s="41">
        <v>1.0088999999999999</v>
      </c>
      <c r="C79" s="41">
        <f t="shared" si="5"/>
        <v>25.463124912279849</v>
      </c>
      <c r="D79">
        <f t="shared" si="3"/>
        <v>49.839418021736073</v>
      </c>
      <c r="E79">
        <f t="shared" si="4"/>
        <v>47.622091249381334</v>
      </c>
    </row>
    <row r="80" spans="1:5">
      <c r="A80" t="s">
        <v>130</v>
      </c>
      <c r="B80" s="41">
        <v>1.0175000000000001</v>
      </c>
      <c r="C80" s="41">
        <f t="shared" si="5"/>
        <v>25.908729598244747</v>
      </c>
      <c r="D80">
        <f t="shared" si="3"/>
        <v>50.71160783711646</v>
      </c>
      <c r="E80">
        <f t="shared" si="4"/>
        <v>48.455477846245508</v>
      </c>
    </row>
    <row r="81" spans="1:5">
      <c r="A81" t="s">
        <v>131</v>
      </c>
      <c r="B81" s="41">
        <v>1.0255000000000001</v>
      </c>
      <c r="C81" s="41">
        <f t="shared" si="5"/>
        <v>26.569402202999989</v>
      </c>
      <c r="D81">
        <f t="shared" si="3"/>
        <v>52.004753836962934</v>
      </c>
      <c r="E81">
        <f t="shared" si="4"/>
        <v>49.691092531324777</v>
      </c>
    </row>
    <row r="82" spans="1:5">
      <c r="A82" t="s">
        <v>132</v>
      </c>
      <c r="B82" s="41">
        <v>1.0179</v>
      </c>
      <c r="C82" s="41">
        <f t="shared" si="5"/>
        <v>27.044994502433688</v>
      </c>
      <c r="D82">
        <f t="shared" si="3"/>
        <v>52.935638930644572</v>
      </c>
      <c r="E82">
        <f t="shared" si="4"/>
        <v>50.58056308763549</v>
      </c>
    </row>
    <row r="83" spans="1:5">
      <c r="A83" t="s">
        <v>133</v>
      </c>
      <c r="B83" s="41">
        <v>1.0098</v>
      </c>
      <c r="C83" s="41">
        <f t="shared" si="5"/>
        <v>27.310035448557539</v>
      </c>
      <c r="D83">
        <f t="shared" si="3"/>
        <v>53.454408192164891</v>
      </c>
      <c r="E83">
        <f t="shared" si="4"/>
        <v>51.076252605894325</v>
      </c>
    </row>
    <row r="84" spans="1:5">
      <c r="A84" t="s">
        <v>134</v>
      </c>
      <c r="B84" s="41">
        <v>1.0131999999999999</v>
      </c>
      <c r="C84" s="41">
        <f t="shared" si="5"/>
        <v>27.670527916478495</v>
      </c>
      <c r="D84">
        <f t="shared" si="3"/>
        <v>54.160006380301461</v>
      </c>
      <c r="E84">
        <f t="shared" si="4"/>
        <v>51.750459140292115</v>
      </c>
    </row>
    <row r="85" spans="1:5">
      <c r="A85" t="s">
        <v>135</v>
      </c>
      <c r="B85" s="41">
        <v>1.0210999999999999</v>
      </c>
      <c r="C85" s="41">
        <f t="shared" si="5"/>
        <v>28.25437605551619</v>
      </c>
      <c r="D85">
        <f t="shared" si="3"/>
        <v>55.302782514925816</v>
      </c>
      <c r="E85">
        <f t="shared" si="4"/>
        <v>52.842393828152282</v>
      </c>
    </row>
    <row r="86" spans="1:5">
      <c r="A86" t="s">
        <v>136</v>
      </c>
      <c r="B86" s="41">
        <v>1.0151999999999999</v>
      </c>
      <c r="C86" s="41">
        <f t="shared" si="5"/>
        <v>28.683842571560032</v>
      </c>
      <c r="D86">
        <f t="shared" si="3"/>
        <v>56.143384809152685</v>
      </c>
      <c r="E86">
        <f t="shared" si="4"/>
        <v>53.645598214340183</v>
      </c>
    </row>
    <row r="87" spans="1:5">
      <c r="A87" t="s">
        <v>137</v>
      </c>
      <c r="B87" s="41">
        <v>1.0164</v>
      </c>
      <c r="C87" s="41">
        <f t="shared" si="5"/>
        <v>29.154257589733614</v>
      </c>
      <c r="D87">
        <f t="shared" si="3"/>
        <v>57.06413632002279</v>
      </c>
      <c r="E87">
        <f t="shared" si="4"/>
        <v>54.525386025055369</v>
      </c>
    </row>
    <row r="88" spans="1:5">
      <c r="A88" t="s">
        <v>138</v>
      </c>
      <c r="B88" s="41">
        <v>1.0276000000000001</v>
      </c>
      <c r="C88" s="41">
        <f t="shared" si="5"/>
        <v>29.958915099210262</v>
      </c>
      <c r="D88">
        <f t="shared" si="3"/>
        <v>58.639106482455425</v>
      </c>
      <c r="E88">
        <f t="shared" si="4"/>
        <v>56.030286679346894</v>
      </c>
    </row>
    <row r="89" spans="1:5">
      <c r="A89" t="s">
        <v>139</v>
      </c>
      <c r="B89" s="41">
        <v>1.0227999999999999</v>
      </c>
      <c r="C89" s="41">
        <f t="shared" si="5"/>
        <v>30.641978363472255</v>
      </c>
      <c r="D89">
        <f t="shared" si="3"/>
        <v>59.976078110255408</v>
      </c>
      <c r="E89">
        <f t="shared" si="4"/>
        <v>57.307777215636015</v>
      </c>
    </row>
    <row r="90" spans="1:5">
      <c r="A90" t="s">
        <v>140</v>
      </c>
      <c r="B90" s="41">
        <v>1.0185999999999999</v>
      </c>
      <c r="C90" s="41">
        <f t="shared" si="5"/>
        <v>31.211919161032839</v>
      </c>
      <c r="D90">
        <f t="shared" si="3"/>
        <v>61.091633163106152</v>
      </c>
      <c r="E90">
        <f t="shared" si="4"/>
        <v>58.373701871846826</v>
      </c>
    </row>
    <row r="91" spans="1:5">
      <c r="A91" t="s">
        <v>141</v>
      </c>
      <c r="B91" s="41">
        <v>1.0179</v>
      </c>
      <c r="C91" s="41">
        <f t="shared" si="5"/>
        <v>31.770612514015326</v>
      </c>
      <c r="D91">
        <f t="shared" si="3"/>
        <v>62.185173396725752</v>
      </c>
      <c r="E91">
        <f t="shared" si="4"/>
        <v>59.418591135352891</v>
      </c>
    </row>
    <row r="92" spans="1:5">
      <c r="A92" t="s">
        <v>142</v>
      </c>
      <c r="B92" s="41">
        <v>1.0178</v>
      </c>
      <c r="C92" s="41">
        <f t="shared" si="5"/>
        <v>32.336129416764798</v>
      </c>
      <c r="D92">
        <f t="shared" si="3"/>
        <v>63.292069483187475</v>
      </c>
      <c r="E92">
        <f t="shared" si="4"/>
        <v>60.476242057562182</v>
      </c>
    </row>
    <row r="93" spans="1:5">
      <c r="A93" t="s">
        <v>143</v>
      </c>
      <c r="B93" s="41">
        <v>1.0162</v>
      </c>
      <c r="C93" s="41">
        <f t="shared" si="5"/>
        <v>32.85997471331639</v>
      </c>
      <c r="D93">
        <f t="shared" si="3"/>
        <v>64.317401008815111</v>
      </c>
      <c r="E93">
        <f t="shared" si="4"/>
        <v>61.455957178894685</v>
      </c>
    </row>
    <row r="94" spans="1:5">
      <c r="A94" t="s">
        <v>144</v>
      </c>
      <c r="B94" s="41">
        <v>1.0044999999999999</v>
      </c>
      <c r="C94" s="41">
        <f t="shared" si="5"/>
        <v>33.007844599526315</v>
      </c>
      <c r="D94">
        <f t="shared" si="3"/>
        <v>64.60682931335478</v>
      </c>
      <c r="E94">
        <f t="shared" si="4"/>
        <v>61.732508986199704</v>
      </c>
    </row>
    <row r="95" spans="1:5">
      <c r="A95" t="s">
        <v>145</v>
      </c>
      <c r="B95" s="41">
        <v>1.0001</v>
      </c>
      <c r="C95" s="41">
        <f t="shared" si="5"/>
        <v>33.011145383986268</v>
      </c>
      <c r="D95">
        <f t="shared" si="3"/>
        <v>64.613289996286113</v>
      </c>
      <c r="E95">
        <f t="shared" si="4"/>
        <v>61.738682237098331</v>
      </c>
    </row>
    <row r="96" spans="1:5">
      <c r="A96" t="s">
        <v>146</v>
      </c>
      <c r="B96" s="41">
        <v>1.006</v>
      </c>
      <c r="C96" s="41">
        <f t="shared" si="5"/>
        <v>33.209212256290186</v>
      </c>
      <c r="D96">
        <f t="shared" si="3"/>
        <v>65.000969736263826</v>
      </c>
      <c r="E96">
        <f t="shared" si="4"/>
        <v>62.109114330520917</v>
      </c>
    </row>
    <row r="97" spans="1:5">
      <c r="A97" t="s">
        <v>147</v>
      </c>
      <c r="B97" s="41">
        <v>1.0109000000000001</v>
      </c>
      <c r="C97" s="41">
        <f t="shared" si="5"/>
        <v>33.571192669883757</v>
      </c>
      <c r="D97">
        <f t="shared" si="3"/>
        <v>65.709480306389111</v>
      </c>
      <c r="E97">
        <f t="shared" si="4"/>
        <v>62.786103676723606</v>
      </c>
    </row>
    <row r="98" spans="1:5">
      <c r="A98" t="s">
        <v>148</v>
      </c>
      <c r="B98" s="41">
        <v>1.0136000000000001</v>
      </c>
      <c r="C98" s="41">
        <f t="shared" si="5"/>
        <v>34.02776089019418</v>
      </c>
      <c r="D98">
        <f t="shared" si="3"/>
        <v>66.603129238556008</v>
      </c>
      <c r="E98">
        <f t="shared" si="4"/>
        <v>63.639994686727043</v>
      </c>
    </row>
    <row r="99" spans="1:5">
      <c r="A99" t="s">
        <v>149</v>
      </c>
      <c r="B99" s="41">
        <v>1.016</v>
      </c>
      <c r="C99" s="41">
        <f t="shared" si="5"/>
        <v>34.572205064437284</v>
      </c>
      <c r="D99">
        <f t="shared" si="3"/>
        <v>67.668779306372912</v>
      </c>
      <c r="E99">
        <f t="shared" si="4"/>
        <v>64.658234601714696</v>
      </c>
    </row>
    <row r="100" spans="1:5">
      <c r="A100" t="s">
        <v>150</v>
      </c>
      <c r="B100" s="41">
        <v>1.0308999999999999</v>
      </c>
      <c r="C100" s="41">
        <f t="shared" si="5"/>
        <v>35.640486200928393</v>
      </c>
      <c r="D100">
        <f t="shared" si="3"/>
        <v>69.759744586939831</v>
      </c>
      <c r="E100">
        <f t="shared" si="4"/>
        <v>66.656174050907666</v>
      </c>
    </row>
    <row r="101" spans="1:5">
      <c r="A101" t="s">
        <v>151</v>
      </c>
      <c r="B101" s="41">
        <v>1.0116000000000001</v>
      </c>
      <c r="C101" s="41">
        <f t="shared" si="5"/>
        <v>36.053915840859162</v>
      </c>
      <c r="D101">
        <f t="shared" si="3"/>
        <v>70.568957624148339</v>
      </c>
      <c r="E101">
        <f t="shared" si="4"/>
        <v>67.429385669898195</v>
      </c>
    </row>
    <row r="102" spans="1:5">
      <c r="A102" t="s">
        <v>152</v>
      </c>
      <c r="B102" s="41">
        <v>1.0107999999999999</v>
      </c>
      <c r="C102" s="41">
        <f t="shared" si="5"/>
        <v>36.443298131940438</v>
      </c>
      <c r="D102">
        <f t="shared" si="3"/>
        <v>71.331102366489134</v>
      </c>
      <c r="E102">
        <f t="shared" si="4"/>
        <v>68.157623035133099</v>
      </c>
    </row>
    <row r="103" spans="1:5">
      <c r="A103" t="s">
        <v>153</v>
      </c>
      <c r="B103" s="41">
        <v>1.0116000000000001</v>
      </c>
      <c r="C103" s="41">
        <f t="shared" si="5"/>
        <v>36.866040390270946</v>
      </c>
      <c r="D103">
        <f t="shared" si="3"/>
        <v>72.158543153940414</v>
      </c>
      <c r="E103">
        <f t="shared" si="4"/>
        <v>68.94825146234065</v>
      </c>
    </row>
    <row r="104" spans="1:5">
      <c r="A104" t="s">
        <v>154</v>
      </c>
      <c r="B104" s="41">
        <v>1.0168999999999999</v>
      </c>
      <c r="C104" s="41">
        <f t="shared" si="5"/>
        <v>37.489076472866522</v>
      </c>
      <c r="D104">
        <f t="shared" si="3"/>
        <v>73.378022533242003</v>
      </c>
      <c r="E104">
        <f t="shared" si="4"/>
        <v>70.113476912054196</v>
      </c>
    </row>
    <row r="105" spans="1:5">
      <c r="A105" t="s">
        <v>155</v>
      </c>
      <c r="B105" s="41">
        <v>1.0053000000000001</v>
      </c>
      <c r="C105" s="41">
        <f t="shared" si="5"/>
        <v>37.687768578172715</v>
      </c>
      <c r="D105">
        <f t="shared" si="3"/>
        <v>73.766926052668197</v>
      </c>
      <c r="E105">
        <f t="shared" si="4"/>
        <v>70.485078339688101</v>
      </c>
    </row>
    <row r="106" spans="1:5">
      <c r="A106" t="s">
        <v>156</v>
      </c>
      <c r="B106" s="41">
        <v>1.0072000000000001</v>
      </c>
      <c r="C106" s="41">
        <f t="shared" si="5"/>
        <v>37.959120511935559</v>
      </c>
      <c r="D106">
        <f t="shared" si="3"/>
        <v>74.298047920247413</v>
      </c>
      <c r="E106">
        <f t="shared" si="4"/>
        <v>70.992570903733849</v>
      </c>
    </row>
    <row r="107" spans="1:5">
      <c r="A107" t="s">
        <v>157</v>
      </c>
      <c r="B107" s="41">
        <v>1.0009000000000001</v>
      </c>
      <c r="C107" s="41">
        <f t="shared" si="5"/>
        <v>37.993283720396306</v>
      </c>
      <c r="D107">
        <f t="shared" si="3"/>
        <v>74.364916163375639</v>
      </c>
      <c r="E107">
        <f t="shared" si="4"/>
        <v>71.056464217547216</v>
      </c>
    </row>
    <row r="108" spans="1:5">
      <c r="A108" t="s">
        <v>158</v>
      </c>
      <c r="B108" s="41">
        <v>1.004</v>
      </c>
      <c r="C108" s="41">
        <f t="shared" si="5"/>
        <v>38.145256855277893</v>
      </c>
      <c r="D108">
        <f t="shared" si="3"/>
        <v>74.662375828029141</v>
      </c>
      <c r="E108">
        <f t="shared" si="4"/>
        <v>71.34069007441741</v>
      </c>
    </row>
    <row r="109" spans="1:5">
      <c r="A109" t="s">
        <v>159</v>
      </c>
      <c r="B109" s="41">
        <v>1.0109999999999999</v>
      </c>
      <c r="C109" s="41">
        <f t="shared" si="5"/>
        <v>38.564854680685947</v>
      </c>
      <c r="D109">
        <f t="shared" si="3"/>
        <v>75.483661962137461</v>
      </c>
      <c r="E109">
        <f t="shared" si="4"/>
        <v>72.125437665236007</v>
      </c>
    </row>
    <row r="110" spans="1:5">
      <c r="A110" t="s">
        <v>160</v>
      </c>
      <c r="B110" s="41">
        <v>1.0161</v>
      </c>
      <c r="C110" s="41">
        <f t="shared" si="5"/>
        <v>39.18574884104499</v>
      </c>
      <c r="D110">
        <f t="shared" si="3"/>
        <v>76.698948919727869</v>
      </c>
      <c r="E110">
        <f t="shared" si="4"/>
        <v>73.286657211646286</v>
      </c>
    </row>
    <row r="111" spans="1:5">
      <c r="A111" t="s">
        <v>161</v>
      </c>
      <c r="B111" s="41">
        <v>1.0154000000000001</v>
      </c>
      <c r="C111" s="41">
        <f t="shared" si="5"/>
        <v>39.789209373197089</v>
      </c>
      <c r="D111">
        <f t="shared" si="3"/>
        <v>77.880112733091678</v>
      </c>
      <c r="E111">
        <f t="shared" si="4"/>
        <v>74.415271732705648</v>
      </c>
    </row>
    <row r="112" spans="1:5">
      <c r="A112" t="s">
        <v>162</v>
      </c>
      <c r="B112" s="41">
        <v>1.024</v>
      </c>
      <c r="C112" s="41">
        <f t="shared" si="5"/>
        <v>40.74415039815382</v>
      </c>
      <c r="D112">
        <f t="shared" si="3"/>
        <v>79.749235438685886</v>
      </c>
      <c r="E112">
        <f t="shared" si="4"/>
        <v>76.201238254290587</v>
      </c>
    </row>
    <row r="113" spans="1:5">
      <c r="A113" t="s">
        <v>163</v>
      </c>
      <c r="B113" s="41">
        <v>1.0163</v>
      </c>
      <c r="C113" s="41">
        <f t="shared" si="5"/>
        <v>41.408280049643729</v>
      </c>
      <c r="D113">
        <f t="shared" si="3"/>
        <v>81.049147976336471</v>
      </c>
      <c r="E113">
        <f t="shared" si="4"/>
        <v>77.443318437835529</v>
      </c>
    </row>
    <row r="114" spans="1:5">
      <c r="A114" t="s">
        <v>164</v>
      </c>
      <c r="B114" s="41">
        <v>1.0105</v>
      </c>
      <c r="C114" s="41">
        <f t="shared" si="5"/>
        <v>41.843066990164985</v>
      </c>
      <c r="D114">
        <f t="shared" si="3"/>
        <v>81.900164030088007</v>
      </c>
      <c r="E114">
        <f t="shared" si="4"/>
        <v>78.256473281432804</v>
      </c>
    </row>
    <row r="115" spans="1:5">
      <c r="A115" t="s">
        <v>165</v>
      </c>
      <c r="B115" s="41">
        <v>1.0102</v>
      </c>
      <c r="C115" s="41">
        <f t="shared" si="5"/>
        <v>42.269866273464665</v>
      </c>
      <c r="D115">
        <f t="shared" si="3"/>
        <v>82.735545703194902</v>
      </c>
      <c r="E115">
        <f t="shared" si="4"/>
        <v>79.05468930890342</v>
      </c>
    </row>
    <row r="116" spans="1:5">
      <c r="A116" t="s">
        <v>166</v>
      </c>
      <c r="B116" s="41">
        <v>1.008</v>
      </c>
      <c r="C116" s="41">
        <f t="shared" si="5"/>
        <v>42.608025203652382</v>
      </c>
      <c r="D116">
        <f t="shared" si="3"/>
        <v>83.397430068820455</v>
      </c>
      <c r="E116">
        <f t="shared" si="4"/>
        <v>79.687126823374641</v>
      </c>
    </row>
    <row r="117" spans="1:5">
      <c r="A117" t="s">
        <v>167</v>
      </c>
      <c r="B117" s="41">
        <v>1.008</v>
      </c>
      <c r="C117" s="41">
        <f t="shared" si="5"/>
        <v>42.948889405281598</v>
      </c>
      <c r="D117">
        <f t="shared" si="3"/>
        <v>84.064609509371024</v>
      </c>
      <c r="E117">
        <f t="shared" si="4"/>
        <v>80.324623837961639</v>
      </c>
    </row>
    <row r="118" spans="1:5">
      <c r="A118" t="s">
        <v>168</v>
      </c>
      <c r="B118" s="41">
        <v>1.0070999999999999</v>
      </c>
      <c r="C118" s="41">
        <f t="shared" si="5"/>
        <v>43.253826520059093</v>
      </c>
      <c r="D118">
        <f t="shared" si="3"/>
        <v>84.661468236887544</v>
      </c>
      <c r="E118">
        <f t="shared" si="4"/>
        <v>80.894928667211147</v>
      </c>
    </row>
    <row r="119" spans="1:5">
      <c r="A119" t="s">
        <v>169</v>
      </c>
      <c r="B119" s="41">
        <v>0.99590000000000001</v>
      </c>
      <c r="C119" s="41">
        <f t="shared" si="5"/>
        <v>43.076485831326849</v>
      </c>
      <c r="D119">
        <f t="shared" si="3"/>
        <v>84.314356217116298</v>
      </c>
      <c r="E119">
        <f t="shared" si="4"/>
        <v>80.563259459675578</v>
      </c>
    </row>
    <row r="120" spans="1:5">
      <c r="A120" t="s">
        <v>170</v>
      </c>
      <c r="B120" s="41">
        <v>1.0034000000000001</v>
      </c>
      <c r="C120" s="41">
        <f t="shared" si="5"/>
        <v>43.222945883153365</v>
      </c>
      <c r="D120">
        <f t="shared" si="3"/>
        <v>84.601025028254497</v>
      </c>
      <c r="E120">
        <f t="shared" si="4"/>
        <v>80.837174541838479</v>
      </c>
    </row>
    <row r="121" spans="1:5">
      <c r="A121" t="s">
        <v>171</v>
      </c>
      <c r="B121" s="41">
        <v>1.01</v>
      </c>
      <c r="C121" s="41">
        <f t="shared" si="5"/>
        <v>43.655175341984901</v>
      </c>
      <c r="D121">
        <f t="shared" si="3"/>
        <v>85.447035278537044</v>
      </c>
      <c r="E121">
        <f t="shared" si="4"/>
        <v>81.645546287256877</v>
      </c>
    </row>
    <row r="122" spans="1:5">
      <c r="A122" t="s">
        <v>172</v>
      </c>
      <c r="B122" s="41">
        <v>1.0095999999999998</v>
      </c>
      <c r="C122" s="41">
        <f t="shared" si="5"/>
        <v>44.074265025267948</v>
      </c>
      <c r="D122">
        <f t="shared" si="3"/>
        <v>86.267326817210986</v>
      </c>
      <c r="E122">
        <f>D122/GEOMEAN($D$136:$D$147)*100</f>
        <v>82.429343531614521</v>
      </c>
    </row>
    <row r="123" spans="1:5">
      <c r="A123" t="s">
        <v>173</v>
      </c>
      <c r="B123" s="41">
        <v>1.0109999999999999</v>
      </c>
      <c r="C123" s="41">
        <f t="shared" si="5"/>
        <v>44.559081940545894</v>
      </c>
      <c r="D123">
        <f t="shared" si="3"/>
        <v>87.216267412200295</v>
      </c>
      <c r="E123">
        <f>D123/GEOMEAN($D$136:$D$147)*100</f>
        <v>83.336066310462272</v>
      </c>
    </row>
    <row r="124" spans="1:5">
      <c r="A124" t="s">
        <v>174</v>
      </c>
      <c r="B124" s="41">
        <v>1.0175000000000001</v>
      </c>
      <c r="C124" s="41">
        <f t="shared" si="5"/>
        <v>45.338865874505451</v>
      </c>
      <c r="D124">
        <f t="shared" si="3"/>
        <v>88.742552091913808</v>
      </c>
      <c r="E124">
        <f>D124/GEOMEAN($D$136:$D$147)*100</f>
        <v>84.794447470895378</v>
      </c>
    </row>
    <row r="125" spans="1:5">
      <c r="A125" t="s">
        <v>175</v>
      </c>
      <c r="B125" s="41">
        <v>1.0099</v>
      </c>
      <c r="C125" s="41">
        <f t="shared" si="5"/>
        <v>45.787720646663054</v>
      </c>
      <c r="D125">
        <f t="shared" si="3"/>
        <v>89.621103357623753</v>
      </c>
      <c r="E125">
        <f t="shared" ref="E125:E135" si="6">D125/GEOMEAN($D$136:$D$147)*100</f>
        <v>85.633912500857235</v>
      </c>
    </row>
    <row r="126" spans="1:5">
      <c r="A126" t="s">
        <v>176</v>
      </c>
      <c r="B126" s="41">
        <v>1.0075000000000001</v>
      </c>
      <c r="C126" s="41">
        <f t="shared" si="5"/>
        <v>46.131128551513029</v>
      </c>
      <c r="D126">
        <f t="shared" si="3"/>
        <v>90.293261632805937</v>
      </c>
      <c r="E126">
        <f t="shared" si="6"/>
        <v>86.27616684461367</v>
      </c>
    </row>
    <row r="127" spans="1:5">
      <c r="A127" t="s">
        <v>177</v>
      </c>
      <c r="B127" s="41">
        <v>1.0099</v>
      </c>
      <c r="C127" s="41">
        <f t="shared" si="5"/>
        <v>46.587826724173006</v>
      </c>
      <c r="D127">
        <f t="shared" si="3"/>
        <v>91.187164922970723</v>
      </c>
      <c r="E127">
        <f t="shared" si="6"/>
        <v>87.130300896375346</v>
      </c>
    </row>
    <row r="128" spans="1:5">
      <c r="A128" t="s">
        <v>178</v>
      </c>
      <c r="B128" s="41">
        <v>1.0073999999999999</v>
      </c>
      <c r="C128" s="41">
        <f t="shared" si="5"/>
        <v>46.932576641931881</v>
      </c>
      <c r="D128">
        <f t="shared" si="3"/>
        <v>91.861949943400688</v>
      </c>
      <c r="E128">
        <f t="shared" si="6"/>
        <v>87.775065123008517</v>
      </c>
    </row>
    <row r="129" spans="1:5">
      <c r="A129" t="s">
        <v>179</v>
      </c>
      <c r="B129" s="41">
        <v>1.0078</v>
      </c>
      <c r="C129" s="41">
        <f t="shared" si="5"/>
        <v>47.298650739738953</v>
      </c>
      <c r="D129">
        <f t="shared" si="3"/>
        <v>92.578473152959219</v>
      </c>
      <c r="E129">
        <f t="shared" si="6"/>
        <v>88.459710630967976</v>
      </c>
    </row>
    <row r="130" spans="1:5">
      <c r="A130" t="s">
        <v>180</v>
      </c>
      <c r="B130" s="41">
        <v>1.0092000000000001</v>
      </c>
      <c r="C130" s="41">
        <f t="shared" si="5"/>
        <v>47.733798326544559</v>
      </c>
      <c r="D130">
        <f t="shared" si="3"/>
        <v>93.430195105966447</v>
      </c>
      <c r="E130">
        <f t="shared" si="6"/>
        <v>89.27353996877288</v>
      </c>
    </row>
    <row r="131" spans="1:5">
      <c r="A131" t="s">
        <v>181</v>
      </c>
      <c r="B131" s="41">
        <v>1.0042</v>
      </c>
      <c r="C131" s="41">
        <f t="shared" si="5"/>
        <v>47.934280279516045</v>
      </c>
      <c r="D131">
        <f t="shared" si="3"/>
        <v>93.822601925411504</v>
      </c>
      <c r="E131">
        <f t="shared" si="6"/>
        <v>89.648488836641732</v>
      </c>
    </row>
    <row r="132" spans="1:5">
      <c r="A132" t="s">
        <v>182</v>
      </c>
      <c r="B132" s="41">
        <v>1.0043</v>
      </c>
      <c r="C132" s="41">
        <f t="shared" si="5"/>
        <v>48.140397684717961</v>
      </c>
      <c r="D132">
        <f>D133/B133</f>
        <v>94.226039113690774</v>
      </c>
      <c r="E132">
        <f t="shared" si="6"/>
        <v>90.033977338639289</v>
      </c>
    </row>
    <row r="133" spans="1:5">
      <c r="A133" t="s">
        <v>183</v>
      </c>
      <c r="B133" s="41">
        <v>1.0114000000000001</v>
      </c>
      <c r="C133" s="41">
        <f t="shared" si="5"/>
        <v>48.689198218323746</v>
      </c>
      <c r="D133">
        <f>D134/B134</f>
        <v>95.300215959586851</v>
      </c>
      <c r="E133">
        <f t="shared" si="6"/>
        <v>91.060364680299784</v>
      </c>
    </row>
    <row r="134" spans="1:5">
      <c r="A134" t="s">
        <v>184</v>
      </c>
      <c r="B134" s="41">
        <v>1.0109999999999999</v>
      </c>
      <c r="C134" s="41">
        <f t="shared" si="5"/>
        <v>49.224779398725303</v>
      </c>
      <c r="D134">
        <f>D135/B135</f>
        <v>96.348518335142302</v>
      </c>
      <c r="E134">
        <f t="shared" si="6"/>
        <v>92.062028691783084</v>
      </c>
    </row>
    <row r="135" spans="1:5">
      <c r="A135" t="s">
        <v>185</v>
      </c>
      <c r="B135" s="41">
        <v>1.0114000000000001</v>
      </c>
      <c r="C135" s="41">
        <f t="shared" ref="C135:C198" si="7">C134*B135</f>
        <v>49.785941883870777</v>
      </c>
      <c r="D135">
        <f>D136/B136</f>
        <v>97.446891444162929</v>
      </c>
      <c r="E135">
        <f t="shared" si="6"/>
        <v>93.111535818869413</v>
      </c>
    </row>
    <row r="136" spans="1:5">
      <c r="A136" s="42" t="s">
        <v>186</v>
      </c>
      <c r="B136" s="43">
        <v>1.0262</v>
      </c>
      <c r="C136" s="41">
        <f t="shared" si="7"/>
        <v>51.090333561228192</v>
      </c>
      <c r="D136" s="42">
        <v>100</v>
      </c>
      <c r="E136" s="42">
        <f>D136/GEOMEAN($D$136:$D$147)*100</f>
        <v>95.551058057323786</v>
      </c>
    </row>
    <row r="137" spans="1:5">
      <c r="A137" s="42" t="s">
        <v>187</v>
      </c>
      <c r="B137" s="43">
        <v>1.0123</v>
      </c>
      <c r="C137" s="41">
        <f t="shared" si="7"/>
        <v>51.718744664031298</v>
      </c>
      <c r="D137" s="42">
        <f>D136*B137</f>
        <v>101.23</v>
      </c>
      <c r="E137" s="42">
        <f t="shared" ref="E137:E200" si="8">D137/GEOMEAN($D$136:$D$147)*100</f>
        <v>96.726336071428875</v>
      </c>
    </row>
    <row r="138" spans="1:5">
      <c r="A138" s="42" t="s">
        <v>188</v>
      </c>
      <c r="B138" s="43">
        <v>1.0134000000000001</v>
      </c>
      <c r="C138" s="41">
        <f t="shared" si="7"/>
        <v>52.411775842529323</v>
      </c>
      <c r="D138" s="42">
        <f t="shared" ref="D138:D201" si="9">D137*B138</f>
        <v>102.58648200000002</v>
      </c>
      <c r="E138" s="42">
        <f t="shared" si="8"/>
        <v>98.022468974786037</v>
      </c>
    </row>
    <row r="139" spans="1:5">
      <c r="A139" s="42" t="s">
        <v>189</v>
      </c>
      <c r="B139" s="43">
        <v>1.0112000000000001</v>
      </c>
      <c r="C139" s="41">
        <f t="shared" si="7"/>
        <v>52.998787731965656</v>
      </c>
      <c r="D139" s="42">
        <f t="shared" si="9"/>
        <v>103.73545059840002</v>
      </c>
      <c r="E139" s="42">
        <f t="shared" si="8"/>
        <v>99.120320627303641</v>
      </c>
    </row>
    <row r="140" spans="1:5">
      <c r="A140" s="42" t="s">
        <v>190</v>
      </c>
      <c r="B140" s="43">
        <v>1.008</v>
      </c>
      <c r="C140" s="41">
        <f t="shared" si="7"/>
        <v>53.42277803382138</v>
      </c>
      <c r="D140" s="42">
        <f t="shared" si="9"/>
        <v>104.56533420318722</v>
      </c>
      <c r="E140" s="42">
        <f t="shared" si="8"/>
        <v>99.913283192322069</v>
      </c>
    </row>
    <row r="141" spans="1:5">
      <c r="A141" s="42" t="s">
        <v>191</v>
      </c>
      <c r="B141" s="43">
        <v>1.0064</v>
      </c>
      <c r="C141" s="41">
        <f t="shared" si="7"/>
        <v>53.764683813237838</v>
      </c>
      <c r="D141" s="42">
        <f t="shared" si="9"/>
        <v>105.23455234208761</v>
      </c>
      <c r="E141" s="42">
        <f t="shared" si="8"/>
        <v>100.55272820475292</v>
      </c>
    </row>
    <row r="142" spans="1:5">
      <c r="A142" s="42" t="s">
        <v>192</v>
      </c>
      <c r="B142" s="43">
        <v>1.0045999999999999</v>
      </c>
      <c r="C142" s="41">
        <f t="shared" si="7"/>
        <v>54.012001358778726</v>
      </c>
      <c r="D142" s="42">
        <f t="shared" si="9"/>
        <v>105.71863128286121</v>
      </c>
      <c r="E142" s="42">
        <f t="shared" si="8"/>
        <v>101.01527075449479</v>
      </c>
    </row>
    <row r="143" spans="1:5">
      <c r="A143" s="42" t="s">
        <v>193</v>
      </c>
      <c r="B143" s="43">
        <v>0.99860000000000004</v>
      </c>
      <c r="C143" s="41">
        <f t="shared" si="7"/>
        <v>53.93638455687644</v>
      </c>
      <c r="D143" s="42">
        <f t="shared" si="9"/>
        <v>105.5706251990652</v>
      </c>
      <c r="E143" s="42">
        <f t="shared" si="8"/>
        <v>100.87384937543848</v>
      </c>
    </row>
    <row r="144" spans="1:5">
      <c r="A144" s="42" t="s">
        <v>194</v>
      </c>
      <c r="B144" s="43">
        <v>1.0024999999999999</v>
      </c>
      <c r="C144" s="41">
        <f t="shared" si="7"/>
        <v>54.071225518268626</v>
      </c>
      <c r="D144" s="42">
        <f t="shared" si="9"/>
        <v>105.83455176206286</v>
      </c>
      <c r="E144" s="42">
        <f t="shared" si="8"/>
        <v>101.12603399887708</v>
      </c>
    </row>
    <row r="145" spans="1:5">
      <c r="A145" s="42" t="s">
        <v>195</v>
      </c>
      <c r="B145" s="43">
        <v>1.0055000000000001</v>
      </c>
      <c r="C145" s="41">
        <f t="shared" si="7"/>
        <v>54.368617258619111</v>
      </c>
      <c r="D145" s="42">
        <f t="shared" si="9"/>
        <v>106.41664179675421</v>
      </c>
      <c r="E145" s="42">
        <f t="shared" si="8"/>
        <v>101.6822271858709</v>
      </c>
    </row>
    <row r="146" spans="1:5">
      <c r="A146" s="42" t="s">
        <v>196</v>
      </c>
      <c r="B146" s="43">
        <v>1.0073999999999999</v>
      </c>
      <c r="C146" s="41">
        <f t="shared" si="7"/>
        <v>54.770945026332882</v>
      </c>
      <c r="D146" s="42">
        <f t="shared" si="9"/>
        <v>107.20412494605017</v>
      </c>
      <c r="E146" s="42">
        <f t="shared" si="8"/>
        <v>102.43467566704633</v>
      </c>
    </row>
    <row r="147" spans="1:5">
      <c r="A147" s="42" t="s">
        <v>197</v>
      </c>
      <c r="B147" s="43">
        <v>1.0082</v>
      </c>
      <c r="C147" s="41">
        <f t="shared" si="7"/>
        <v>55.220066775548808</v>
      </c>
      <c r="D147" s="42">
        <f t="shared" si="9"/>
        <v>108.08319877060778</v>
      </c>
      <c r="E147" s="42">
        <f t="shared" si="8"/>
        <v>103.27464000751611</v>
      </c>
    </row>
    <row r="148" spans="1:5">
      <c r="A148" s="42" t="s">
        <v>198</v>
      </c>
      <c r="B148" s="43">
        <v>1.0243</v>
      </c>
      <c r="C148" s="41">
        <f t="shared" si="7"/>
        <v>56.561914398194645</v>
      </c>
      <c r="D148" s="42">
        <f t="shared" si="9"/>
        <v>110.70962050073355</v>
      </c>
      <c r="E148" s="42">
        <f t="shared" si="8"/>
        <v>105.78421375969876</v>
      </c>
    </row>
    <row r="149" spans="1:5">
      <c r="A149" s="42" t="s">
        <v>199</v>
      </c>
      <c r="B149" s="43">
        <v>1.0165999999999999</v>
      </c>
      <c r="C149" s="41">
        <f t="shared" si="7"/>
        <v>57.500842177204674</v>
      </c>
      <c r="D149" s="42">
        <f t="shared" si="9"/>
        <v>112.54740020104572</v>
      </c>
      <c r="E149" s="42">
        <f t="shared" si="8"/>
        <v>107.54023170810976</v>
      </c>
    </row>
    <row r="150" spans="1:5">
      <c r="A150" s="42" t="s">
        <v>200</v>
      </c>
      <c r="B150" s="43">
        <v>1.0082</v>
      </c>
      <c r="C150" s="41">
        <f t="shared" si="7"/>
        <v>57.97234908305775</v>
      </c>
      <c r="D150" s="42">
        <f t="shared" si="9"/>
        <v>113.47028888269429</v>
      </c>
      <c r="E150" s="42">
        <f t="shared" si="8"/>
        <v>108.42206160811625</v>
      </c>
    </row>
    <row r="151" spans="1:5">
      <c r="A151" s="42" t="s">
        <v>201</v>
      </c>
      <c r="B151" s="43">
        <v>1.0034999999999998</v>
      </c>
      <c r="C151" s="41">
        <f t="shared" si="7"/>
        <v>58.175252304848442</v>
      </c>
      <c r="D151" s="42">
        <f t="shared" si="9"/>
        <v>113.86743489378371</v>
      </c>
      <c r="E151" s="42">
        <f t="shared" si="8"/>
        <v>108.80153882374464</v>
      </c>
    </row>
    <row r="152" spans="1:5">
      <c r="A152" s="42" t="s">
        <v>202</v>
      </c>
      <c r="B152" s="43">
        <v>1.0048000000000001</v>
      </c>
      <c r="C152" s="41">
        <f t="shared" si="7"/>
        <v>58.454493515911722</v>
      </c>
      <c r="D152" s="42">
        <f t="shared" si="9"/>
        <v>114.41399858127389</v>
      </c>
      <c r="E152" s="42">
        <f t="shared" si="8"/>
        <v>109.32378621009863</v>
      </c>
    </row>
    <row r="153" spans="1:5">
      <c r="A153" s="42" t="s">
        <v>203</v>
      </c>
      <c r="B153" s="43">
        <v>1.0027999999999999</v>
      </c>
      <c r="C153" s="41">
        <f t="shared" si="7"/>
        <v>58.618166097756273</v>
      </c>
      <c r="D153" s="42">
        <f t="shared" si="9"/>
        <v>114.73435777730144</v>
      </c>
      <c r="E153" s="42">
        <f t="shared" si="8"/>
        <v>109.6298928114869</v>
      </c>
    </row>
    <row r="154" spans="1:5">
      <c r="A154" s="42" t="s">
        <v>204</v>
      </c>
      <c r="B154" s="43">
        <v>1.0066999999999999</v>
      </c>
      <c r="C154" s="41">
        <f t="shared" si="7"/>
        <v>59.010907810611236</v>
      </c>
      <c r="D154" s="42">
        <f t="shared" si="9"/>
        <v>115.50307797440935</v>
      </c>
      <c r="E154" s="42">
        <f t="shared" si="8"/>
        <v>110.36441309332386</v>
      </c>
    </row>
    <row r="155" spans="1:5">
      <c r="A155" s="42" t="s">
        <v>205</v>
      </c>
      <c r="B155" s="43">
        <v>1.0019</v>
      </c>
      <c r="C155" s="41">
        <f t="shared" si="7"/>
        <v>59.123028535451397</v>
      </c>
      <c r="D155" s="42">
        <f t="shared" si="9"/>
        <v>115.72253382256073</v>
      </c>
      <c r="E155" s="42">
        <f t="shared" si="8"/>
        <v>110.57410547820116</v>
      </c>
    </row>
    <row r="156" spans="1:5">
      <c r="A156" s="42" t="s">
        <v>206</v>
      </c>
      <c r="B156" s="43">
        <v>1.0009000000000001</v>
      </c>
      <c r="C156" s="41">
        <f t="shared" si="7"/>
        <v>59.176239261133311</v>
      </c>
      <c r="D156" s="42">
        <f t="shared" si="9"/>
        <v>115.82668410300106</v>
      </c>
      <c r="E156" s="42">
        <f t="shared" si="8"/>
        <v>110.67362217313158</v>
      </c>
    </row>
    <row r="157" spans="1:5">
      <c r="A157" s="42" t="s">
        <v>207</v>
      </c>
      <c r="B157" s="43">
        <v>1.0027999999999999</v>
      </c>
      <c r="C157" s="41">
        <f t="shared" si="7"/>
        <v>59.341932731064482</v>
      </c>
      <c r="D157" s="42">
        <f t="shared" si="9"/>
        <v>116.15099881848946</v>
      </c>
      <c r="E157" s="42">
        <f t="shared" si="8"/>
        <v>110.98350831521633</v>
      </c>
    </row>
    <row r="158" spans="1:5">
      <c r="A158" s="42" t="s">
        <v>208</v>
      </c>
      <c r="B158" s="43">
        <v>1.0063</v>
      </c>
      <c r="C158" s="41">
        <f t="shared" si="7"/>
        <v>59.715786907270186</v>
      </c>
      <c r="D158" s="42">
        <f t="shared" si="9"/>
        <v>116.88275011104594</v>
      </c>
      <c r="E158" s="42">
        <f t="shared" si="8"/>
        <v>111.6827044176022</v>
      </c>
    </row>
    <row r="159" spans="1:5">
      <c r="A159" s="42" t="s">
        <v>209</v>
      </c>
      <c r="B159" s="43">
        <v>1.0079</v>
      </c>
      <c r="C159" s="41">
        <f t="shared" si="7"/>
        <v>60.187541623837625</v>
      </c>
      <c r="D159" s="42">
        <f t="shared" si="9"/>
        <v>117.80612383692321</v>
      </c>
      <c r="E159" s="42">
        <f t="shared" si="8"/>
        <v>112.56499778250124</v>
      </c>
    </row>
    <row r="160" spans="1:5">
      <c r="A160" s="42" t="s">
        <v>210</v>
      </c>
      <c r="B160" s="43">
        <v>1.0168000000000001</v>
      </c>
      <c r="C160" s="41">
        <f t="shared" si="7"/>
        <v>61.198692323118102</v>
      </c>
      <c r="D160" s="42">
        <f t="shared" si="9"/>
        <v>119.78526671738354</v>
      </c>
      <c r="E160" s="42">
        <f t="shared" si="8"/>
        <v>114.4560897452473</v>
      </c>
    </row>
    <row r="161" spans="1:5">
      <c r="A161" s="42" t="s">
        <v>211</v>
      </c>
      <c r="B161" s="43">
        <v>1.0110999999999999</v>
      </c>
      <c r="C161" s="41">
        <f t="shared" si="7"/>
        <v>61.877997807904705</v>
      </c>
      <c r="D161" s="42">
        <f t="shared" si="9"/>
        <v>121.11488317794648</v>
      </c>
      <c r="E161" s="42">
        <f t="shared" si="8"/>
        <v>115.72655234141953</v>
      </c>
    </row>
    <row r="162" spans="1:5">
      <c r="A162" s="42" t="s">
        <v>212</v>
      </c>
      <c r="B162" s="43">
        <v>1.0059</v>
      </c>
      <c r="C162" s="41">
        <f t="shared" si="7"/>
        <v>62.243077994971344</v>
      </c>
      <c r="D162" s="42">
        <f t="shared" si="9"/>
        <v>121.82946098869637</v>
      </c>
      <c r="E162" s="42">
        <f t="shared" si="8"/>
        <v>116.40933900023391</v>
      </c>
    </row>
    <row r="163" spans="1:5">
      <c r="A163" s="42" t="s">
        <v>213</v>
      </c>
      <c r="B163" s="43">
        <v>1.0057</v>
      </c>
      <c r="C163" s="41">
        <f t="shared" si="7"/>
        <v>62.597863539542686</v>
      </c>
      <c r="D163" s="42">
        <f t="shared" si="9"/>
        <v>122.52388891633194</v>
      </c>
      <c r="E163" s="42">
        <f t="shared" si="8"/>
        <v>117.07287223253525</v>
      </c>
    </row>
    <row r="164" spans="1:5">
      <c r="A164" s="42" t="s">
        <v>214</v>
      </c>
      <c r="B164" s="43">
        <v>1.0063</v>
      </c>
      <c r="C164" s="41">
        <f t="shared" si="7"/>
        <v>62.992230079841804</v>
      </c>
      <c r="D164" s="42">
        <f t="shared" si="9"/>
        <v>123.29578941650483</v>
      </c>
      <c r="E164" s="42">
        <f t="shared" si="8"/>
        <v>117.81043132760021</v>
      </c>
    </row>
    <row r="165" spans="1:5">
      <c r="A165" s="42" t="s">
        <v>215</v>
      </c>
      <c r="B165" s="43">
        <v>1.0095000000000001</v>
      </c>
      <c r="C165" s="41">
        <f t="shared" si="7"/>
        <v>63.590656265600302</v>
      </c>
      <c r="D165" s="42">
        <f t="shared" si="9"/>
        <v>124.46709941596164</v>
      </c>
      <c r="E165" s="42">
        <f t="shared" si="8"/>
        <v>118.92963042521242</v>
      </c>
    </row>
    <row r="166" spans="1:5">
      <c r="A166" s="42" t="s">
        <v>216</v>
      </c>
      <c r="B166" s="43">
        <v>1.0087000000000002</v>
      </c>
      <c r="C166" s="41">
        <f t="shared" si="7"/>
        <v>64.143894975111039</v>
      </c>
      <c r="D166" s="42">
        <f t="shared" si="9"/>
        <v>125.54996318088052</v>
      </c>
      <c r="E166" s="42">
        <f t="shared" si="8"/>
        <v>119.9643182099118</v>
      </c>
    </row>
    <row r="167" spans="1:5">
      <c r="A167" s="42" t="s">
        <v>217</v>
      </c>
      <c r="B167" s="43">
        <v>1.0009000000000001</v>
      </c>
      <c r="C167" s="41">
        <f t="shared" si="7"/>
        <v>64.201624480588649</v>
      </c>
      <c r="D167" s="42">
        <f t="shared" si="9"/>
        <v>125.66295814774334</v>
      </c>
      <c r="E167" s="42">
        <f t="shared" si="8"/>
        <v>120.07228609630074</v>
      </c>
    </row>
    <row r="168" spans="1:5">
      <c r="A168" s="42" t="s">
        <v>218</v>
      </c>
      <c r="B168" s="43">
        <v>1.0079</v>
      </c>
      <c r="C168" s="41">
        <f t="shared" si="7"/>
        <v>64.708817313985307</v>
      </c>
      <c r="D168" s="42">
        <f t="shared" si="9"/>
        <v>126.65569551711052</v>
      </c>
      <c r="E168" s="42">
        <f t="shared" si="8"/>
        <v>121.02085715646152</v>
      </c>
    </row>
    <row r="169" spans="1:5">
      <c r="A169" s="42" t="s">
        <v>219</v>
      </c>
      <c r="B169" s="43">
        <v>1.0164</v>
      </c>
      <c r="C169" s="41">
        <f t="shared" si="7"/>
        <v>65.770041917934662</v>
      </c>
      <c r="D169" s="42">
        <f t="shared" si="9"/>
        <v>128.73284892359112</v>
      </c>
      <c r="E169" s="42">
        <f t="shared" si="8"/>
        <v>123.00559921382748</v>
      </c>
    </row>
    <row r="170" spans="1:5">
      <c r="A170" s="42" t="s">
        <v>220</v>
      </c>
      <c r="B170" s="43">
        <v>1.0123</v>
      </c>
      <c r="C170" s="41">
        <f t="shared" si="7"/>
        <v>66.579013433525262</v>
      </c>
      <c r="D170" s="42">
        <f t="shared" si="9"/>
        <v>130.31626296535129</v>
      </c>
      <c r="E170" s="42">
        <f t="shared" si="8"/>
        <v>124.51856808415755</v>
      </c>
    </row>
    <row r="171" spans="1:5">
      <c r="A171" s="42" t="s">
        <v>221</v>
      </c>
      <c r="B171" s="43">
        <v>1.0112999999999999</v>
      </c>
      <c r="C171" s="41">
        <f t="shared" si="7"/>
        <v>67.331356285324091</v>
      </c>
      <c r="D171" s="42">
        <f t="shared" si="9"/>
        <v>131.78883673685974</v>
      </c>
      <c r="E171" s="42">
        <f t="shared" si="8"/>
        <v>125.92562790350851</v>
      </c>
    </row>
    <row r="172" spans="1:5">
      <c r="A172" s="42" t="s">
        <v>222</v>
      </c>
      <c r="B172" s="43">
        <v>1.0231000000000001</v>
      </c>
      <c r="C172" s="41">
        <f t="shared" si="7"/>
        <v>68.886710615515085</v>
      </c>
      <c r="D172" s="42">
        <f t="shared" si="9"/>
        <v>134.83315886548121</v>
      </c>
      <c r="E172" s="42">
        <f t="shared" si="8"/>
        <v>128.83450990807955</v>
      </c>
    </row>
    <row r="173" spans="1:5">
      <c r="A173" s="42" t="s">
        <v>223</v>
      </c>
      <c r="B173" s="43">
        <v>1.012</v>
      </c>
      <c r="C173" s="41">
        <f t="shared" si="7"/>
        <v>69.71335114290126</v>
      </c>
      <c r="D173" s="42">
        <f t="shared" si="9"/>
        <v>136.45115677186698</v>
      </c>
      <c r="E173" s="42">
        <f t="shared" si="8"/>
        <v>130.3805240269765</v>
      </c>
    </row>
    <row r="174" spans="1:5">
      <c r="A174" s="42" t="s">
        <v>224</v>
      </c>
      <c r="B174" s="43">
        <v>1.012</v>
      </c>
      <c r="C174" s="41">
        <f t="shared" si="7"/>
        <v>70.549911356616079</v>
      </c>
      <c r="D174" s="42">
        <f t="shared" si="9"/>
        <v>138.08857065312938</v>
      </c>
      <c r="E174" s="42">
        <f t="shared" si="8"/>
        <v>131.94509031530023</v>
      </c>
    </row>
    <row r="175" spans="1:5">
      <c r="A175" s="42" t="s">
        <v>225</v>
      </c>
      <c r="B175" s="43">
        <v>1.0142</v>
      </c>
      <c r="C175" s="41">
        <f t="shared" si="7"/>
        <v>71.551720097880022</v>
      </c>
      <c r="D175" s="42">
        <f t="shared" si="9"/>
        <v>140.04942835640381</v>
      </c>
      <c r="E175" s="42">
        <f t="shared" si="8"/>
        <v>133.81871059777748</v>
      </c>
    </row>
    <row r="176" spans="1:5">
      <c r="A176" s="42" t="s">
        <v>226</v>
      </c>
      <c r="B176" s="43">
        <v>1.0134999999999998</v>
      </c>
      <c r="C176" s="41">
        <f t="shared" si="7"/>
        <v>72.517668319201391</v>
      </c>
      <c r="D176" s="42">
        <f t="shared" si="9"/>
        <v>141.94009563921523</v>
      </c>
      <c r="E176" s="42">
        <f t="shared" si="8"/>
        <v>135.62526319084748</v>
      </c>
    </row>
    <row r="177" spans="1:5">
      <c r="A177" s="42" t="s">
        <v>227</v>
      </c>
      <c r="B177" s="43">
        <v>1.0097</v>
      </c>
      <c r="C177" s="41">
        <f t="shared" si="7"/>
        <v>73.221089701897654</v>
      </c>
      <c r="D177" s="42">
        <f t="shared" si="9"/>
        <v>143.31691456691561</v>
      </c>
      <c r="E177" s="42">
        <f t="shared" si="8"/>
        <v>136.94082824379868</v>
      </c>
    </row>
    <row r="178" spans="1:5">
      <c r="A178" s="42" t="s">
        <v>228</v>
      </c>
      <c r="B178" s="43">
        <v>1.0051125839341117</v>
      </c>
      <c r="C178" s="41">
        <f t="shared" si="7"/>
        <v>73.595438668745729</v>
      </c>
      <c r="D178" s="42">
        <f t="shared" si="9"/>
        <v>144.04963432181688</v>
      </c>
      <c r="E178" s="42">
        <f t="shared" si="8"/>
        <v>137.64094972220187</v>
      </c>
    </row>
    <row r="179" spans="1:5">
      <c r="A179" s="42" t="s">
        <v>229</v>
      </c>
      <c r="B179" s="43">
        <v>1.0036</v>
      </c>
      <c r="C179" s="41">
        <f t="shared" si="7"/>
        <v>73.860382247953211</v>
      </c>
      <c r="D179" s="42">
        <f t="shared" si="9"/>
        <v>144.56821300537544</v>
      </c>
      <c r="E179" s="42">
        <f t="shared" si="8"/>
        <v>138.13645714120182</v>
      </c>
    </row>
    <row r="180" spans="1:5">
      <c r="A180" s="42" t="s">
        <v>230</v>
      </c>
      <c r="B180" s="43">
        <v>1.008</v>
      </c>
      <c r="C180" s="41">
        <f t="shared" si="7"/>
        <v>74.451265305936843</v>
      </c>
      <c r="D180" s="42">
        <f t="shared" si="9"/>
        <v>145.72475870941844</v>
      </c>
      <c r="E180" s="42">
        <f t="shared" si="8"/>
        <v>139.24154879833142</v>
      </c>
    </row>
    <row r="181" spans="1:5">
      <c r="A181" s="42" t="s">
        <v>231</v>
      </c>
      <c r="B181" s="43">
        <v>1.0090999999999999</v>
      </c>
      <c r="C181" s="41">
        <f t="shared" si="7"/>
        <v>75.128771820220862</v>
      </c>
      <c r="D181" s="42">
        <f t="shared" si="9"/>
        <v>147.05085401367413</v>
      </c>
      <c r="E181" s="42">
        <f t="shared" si="8"/>
        <v>140.50864689239623</v>
      </c>
    </row>
    <row r="182" spans="1:5">
      <c r="A182" s="42" t="s">
        <v>232</v>
      </c>
      <c r="B182" s="43">
        <v>1.0083</v>
      </c>
      <c r="C182" s="41">
        <f t="shared" si="7"/>
        <v>75.752340626328689</v>
      </c>
      <c r="D182" s="42">
        <f t="shared" si="9"/>
        <v>148.27137610198761</v>
      </c>
      <c r="E182" s="42">
        <f t="shared" si="8"/>
        <v>141.67486866160311</v>
      </c>
    </row>
    <row r="183" spans="1:5">
      <c r="A183" s="42" t="s">
        <v>233</v>
      </c>
      <c r="B183" s="43">
        <v>1.0068999999999999</v>
      </c>
      <c r="C183" s="41">
        <f t="shared" si="7"/>
        <v>76.275031776650351</v>
      </c>
      <c r="D183" s="42">
        <f t="shared" si="9"/>
        <v>149.2944485970913</v>
      </c>
      <c r="E183" s="42">
        <f t="shared" si="8"/>
        <v>142.65242525536814</v>
      </c>
    </row>
    <row r="184" spans="1:5">
      <c r="A184" s="42" t="s">
        <v>234</v>
      </c>
      <c r="B184" s="43">
        <v>1.0237325512007422</v>
      </c>
      <c r="C184" s="41">
        <f t="shared" si="7"/>
        <v>78.085232873627945</v>
      </c>
      <c r="D184" s="42">
        <f t="shared" si="9"/>
        <v>152.83758674240835</v>
      </c>
      <c r="E184" s="42">
        <f t="shared" si="8"/>
        <v>146.03793124165122</v>
      </c>
    </row>
    <row r="185" spans="1:5">
      <c r="A185" s="42" t="s">
        <v>235</v>
      </c>
      <c r="B185" s="43">
        <v>1.016451052189123</v>
      </c>
      <c r="C185" s="41">
        <f t="shared" si="7"/>
        <v>79.369817114831818</v>
      </c>
      <c r="D185" s="42">
        <f t="shared" si="9"/>
        <v>155.35192585836734</v>
      </c>
      <c r="E185" s="42">
        <f t="shared" si="8"/>
        <v>148.44040887009919</v>
      </c>
    </row>
    <row r="186" spans="1:5">
      <c r="A186" s="42" t="s">
        <v>236</v>
      </c>
      <c r="B186" s="43">
        <v>1.0130447689276258</v>
      </c>
      <c r="C186" s="41">
        <f t="shared" si="7"/>
        <v>80.405178038922728</v>
      </c>
      <c r="D186" s="42">
        <f t="shared" si="9"/>
        <v>157.3784558336514</v>
      </c>
      <c r="E186" s="42">
        <f t="shared" si="8"/>
        <v>150.37677970333192</v>
      </c>
    </row>
    <row r="187" spans="1:5">
      <c r="A187" s="42" t="s">
        <v>237</v>
      </c>
      <c r="B187" s="43">
        <v>1.0069058523365402</v>
      </c>
      <c r="C187" s="41">
        <f t="shared" si="7"/>
        <v>80.960444325552757</v>
      </c>
      <c r="D187" s="42">
        <f t="shared" si="9"/>
        <v>158.4652882105913</v>
      </c>
      <c r="E187" s="42">
        <f t="shared" si="8"/>
        <v>151.41525953880756</v>
      </c>
    </row>
    <row r="188" spans="1:5">
      <c r="A188" s="42" t="s">
        <v>238</v>
      </c>
      <c r="B188" s="43">
        <v>1.0056984508670248</v>
      </c>
      <c r="C188" s="41">
        <f t="shared" si="7"/>
        <v>81.421793439714421</v>
      </c>
      <c r="D188" s="42">
        <f t="shared" si="9"/>
        <v>159.36829486958828</v>
      </c>
      <c r="E188" s="42">
        <f t="shared" si="8"/>
        <v>152.27809195580727</v>
      </c>
    </row>
    <row r="189" spans="1:5">
      <c r="A189" s="42" t="s">
        <v>239</v>
      </c>
      <c r="B189" s="43">
        <v>1.0059726312669619</v>
      </c>
      <c r="C189" s="41">
        <f t="shared" si="7"/>
        <v>81.908095789024571</v>
      </c>
      <c r="D189" s="42">
        <f t="shared" si="9"/>
        <v>160.3201429304888</v>
      </c>
      <c r="E189" s="42">
        <f t="shared" si="8"/>
        <v>153.18759284909584</v>
      </c>
    </row>
    <row r="190" spans="1:5">
      <c r="A190" s="42" t="s">
        <v>240</v>
      </c>
      <c r="B190" s="43">
        <v>1.0063147967226771</v>
      </c>
      <c r="C190" s="41">
        <f t="shared" si="7"/>
        <v>82.425328763873821</v>
      </c>
      <c r="D190" s="42">
        <f t="shared" si="9"/>
        <v>161.33253204364539</v>
      </c>
      <c r="E190" s="42">
        <f t="shared" si="8"/>
        <v>154.15494135837412</v>
      </c>
    </row>
    <row r="191" spans="1:5">
      <c r="A191" s="42" t="s">
        <v>241</v>
      </c>
      <c r="B191" s="43">
        <v>1.0000623876898198</v>
      </c>
      <c r="C191" s="41">
        <f t="shared" si="7"/>
        <v>82.43047108971804</v>
      </c>
      <c r="D191" s="42">
        <f t="shared" si="9"/>
        <v>161.34259720761236</v>
      </c>
      <c r="E191" s="42">
        <f t="shared" si="8"/>
        <v>154.16455872903975</v>
      </c>
    </row>
    <row r="192" spans="1:5">
      <c r="A192" s="42" t="s">
        <v>242</v>
      </c>
      <c r="B192" s="43">
        <v>0.99970604943003694</v>
      </c>
      <c r="C192" s="41">
        <f t="shared" si="7"/>
        <v>82.406240605758896</v>
      </c>
      <c r="D192" s="42">
        <f t="shared" si="9"/>
        <v>161.29517045920386</v>
      </c>
      <c r="E192" s="42">
        <f t="shared" si="8"/>
        <v>154.11924196913324</v>
      </c>
    </row>
    <row r="193" spans="1:5">
      <c r="A193" s="42" t="s">
        <v>243</v>
      </c>
      <c r="B193" s="43">
        <v>1.0000968424454471</v>
      </c>
      <c r="C193" s="41">
        <f t="shared" si="7"/>
        <v>82.414221027619263</v>
      </c>
      <c r="D193" s="42">
        <f t="shared" si="9"/>
        <v>161.31079067794994</v>
      </c>
      <c r="E193" s="42">
        <f t="shared" si="8"/>
        <v>154.134167253416</v>
      </c>
    </row>
    <row r="194" spans="1:5">
      <c r="A194" s="42" t="s">
        <v>244</v>
      </c>
      <c r="B194" s="43">
        <v>1.0028879260656938</v>
      </c>
      <c r="C194" s="41">
        <f t="shared" si="7"/>
        <v>82.652227204708765</v>
      </c>
      <c r="D194" s="42">
        <f t="shared" si="9"/>
        <v>161.77664431502646</v>
      </c>
      <c r="E194" s="42">
        <f t="shared" si="8"/>
        <v>154.57929533264115</v>
      </c>
    </row>
    <row r="195" spans="1:5">
      <c r="A195" s="42" t="s">
        <v>245</v>
      </c>
      <c r="B195" s="43">
        <v>1.004059402519677</v>
      </c>
      <c r="C195" s="41">
        <f t="shared" si="7"/>
        <v>82.987745864080466</v>
      </c>
      <c r="D195" s="42">
        <f t="shared" si="9"/>
        <v>162.43336083258376</v>
      </c>
      <c r="E195" s="42">
        <f t="shared" si="8"/>
        <v>155.20679491360434</v>
      </c>
    </row>
    <row r="196" spans="1:5">
      <c r="A196" s="42" t="s">
        <v>246</v>
      </c>
      <c r="B196" s="43">
        <v>1.0163675210000001</v>
      </c>
      <c r="C196" s="41">
        <f t="shared" si="7"/>
        <v>84.346049537253464</v>
      </c>
      <c r="D196" s="42">
        <f t="shared" si="9"/>
        <v>165.09199227711167</v>
      </c>
      <c r="E196" s="42">
        <f t="shared" si="8"/>
        <v>157.74714538869549</v>
      </c>
    </row>
    <row r="197" spans="1:5">
      <c r="A197" s="42" t="s">
        <v>247</v>
      </c>
      <c r="B197" s="43">
        <v>1.0085510521568504</v>
      </c>
      <c r="C197" s="41">
        <f t="shared" si="7"/>
        <v>85.067297006070802</v>
      </c>
      <c r="D197" s="42">
        <f t="shared" si="9"/>
        <v>166.50370251375159</v>
      </c>
      <c r="E197" s="42">
        <f t="shared" si="8"/>
        <v>159.09604945650847</v>
      </c>
    </row>
    <row r="198" spans="1:5">
      <c r="A198" s="42" t="s">
        <v>248</v>
      </c>
      <c r="B198" s="43">
        <v>1.0062831916692181</v>
      </c>
      <c r="C198" s="41">
        <f t="shared" si="7"/>
        <v>85.601791137942243</v>
      </c>
      <c r="D198" s="42">
        <f t="shared" si="9"/>
        <v>167.54987719027997</v>
      </c>
      <c r="E198" s="42">
        <f t="shared" si="8"/>
        <v>160.09568042905912</v>
      </c>
    </row>
    <row r="199" spans="1:5">
      <c r="A199" s="42" t="s">
        <v>249</v>
      </c>
      <c r="B199" s="43">
        <v>1.002941532542249</v>
      </c>
      <c r="C199" s="41">
        <f t="shared" ref="C199:C262" si="10">C198*B199</f>
        <v>85.853591592249302</v>
      </c>
      <c r="D199" s="42">
        <f t="shared" si="9"/>
        <v>168.04273060648501</v>
      </c>
      <c r="E199" s="42">
        <f t="shared" si="8"/>
        <v>160.56660708291471</v>
      </c>
    </row>
    <row r="200" spans="1:5">
      <c r="A200" s="42" t="s">
        <v>250</v>
      </c>
      <c r="B200" s="43">
        <v>1.0050180675755942</v>
      </c>
      <c r="C200" s="41">
        <f t="shared" si="10"/>
        <v>86.284410716466681</v>
      </c>
      <c r="D200" s="42">
        <f t="shared" si="9"/>
        <v>168.88598038425573</v>
      </c>
      <c r="E200" s="42">
        <f t="shared" si="8"/>
        <v>161.37234116764066</v>
      </c>
    </row>
    <row r="201" spans="1:5">
      <c r="A201" s="42" t="s">
        <v>251</v>
      </c>
      <c r="B201" s="43">
        <v>1.0038963362127544</v>
      </c>
      <c r="C201" s="41">
        <f t="shared" si="10"/>
        <v>86.62060379053743</v>
      </c>
      <c r="D201" s="42">
        <f t="shared" si="9"/>
        <v>169.54401694545345</v>
      </c>
      <c r="E201" s="42">
        <f t="shared" ref="E201:E264" si="11">D201/GEOMEAN($D$136:$D$147)*100</f>
        <v>162.00110206426913</v>
      </c>
    </row>
    <row r="202" spans="1:5">
      <c r="A202" s="42" t="s">
        <v>252</v>
      </c>
      <c r="B202" s="43">
        <v>1.0035606194428301</v>
      </c>
      <c r="C202" s="41">
        <f t="shared" si="10"/>
        <v>86.92902679654371</v>
      </c>
      <c r="D202" s="42">
        <f t="shared" ref="D202:D265" si="12">D201*B202</f>
        <v>170.14769866860496</v>
      </c>
      <c r="E202" s="42">
        <f t="shared" si="11"/>
        <v>162.57792633803908</v>
      </c>
    </row>
    <row r="203" spans="1:5">
      <c r="A203" s="42" t="s">
        <v>253</v>
      </c>
      <c r="B203" s="43">
        <v>1.0055362469079843</v>
      </c>
      <c r="C203" s="41">
        <f t="shared" si="10"/>
        <v>87.410287352360157</v>
      </c>
      <c r="D203" s="42">
        <f t="shared" si="12"/>
        <v>171.08967833925965</v>
      </c>
      <c r="E203" s="42">
        <f t="shared" si="11"/>
        <v>163.47799788003451</v>
      </c>
    </row>
    <row r="204" spans="1:5">
      <c r="A204" s="42" t="s">
        <v>254</v>
      </c>
      <c r="B204" s="43">
        <v>1.0083528725823607</v>
      </c>
      <c r="C204" s="41">
        <f t="shared" si="10"/>
        <v>88.140414345001957</v>
      </c>
      <c r="D204" s="42">
        <f t="shared" si="12"/>
        <v>172.51876862258456</v>
      </c>
      <c r="E204" s="42">
        <f t="shared" si="11"/>
        <v>164.84350876634585</v>
      </c>
    </row>
    <row r="205" spans="1:5">
      <c r="A205" s="42" t="s">
        <v>255</v>
      </c>
      <c r="B205" s="43">
        <v>1.0050063103722264</v>
      </c>
      <c r="C205" s="41">
        <f t="shared" si="10"/>
        <v>88.581672615549678</v>
      </c>
      <c r="D205" s="42">
        <f t="shared" si="12"/>
        <v>173.38245112334354</v>
      </c>
      <c r="E205" s="42">
        <f t="shared" si="11"/>
        <v>165.66876653407704</v>
      </c>
    </row>
    <row r="206" spans="1:5">
      <c r="A206" s="42" t="s">
        <v>256</v>
      </c>
      <c r="B206" s="43">
        <v>1.0080628326063228</v>
      </c>
      <c r="C206" s="41">
        <f t="shared" si="10"/>
        <v>89.295891813836946</v>
      </c>
      <c r="D206" s="42">
        <f t="shared" si="12"/>
        <v>174.780404803625</v>
      </c>
      <c r="E206" s="42">
        <f t="shared" si="11"/>
        <v>167.00452606673727</v>
      </c>
    </row>
    <row r="207" spans="1:5">
      <c r="A207" s="42" t="s">
        <v>257</v>
      </c>
      <c r="B207" s="43">
        <v>1.0108471540081514</v>
      </c>
      <c r="C207" s="41">
        <f t="shared" si="10"/>
        <v>90.264498104636857</v>
      </c>
      <c r="D207" s="42">
        <f t="shared" si="12"/>
        <v>176.67627477213696</v>
      </c>
      <c r="E207" s="42">
        <f t="shared" si="11"/>
        <v>168.81604988104149</v>
      </c>
    </row>
    <row r="208" spans="1:5">
      <c r="A208" s="42" t="s">
        <v>258</v>
      </c>
      <c r="B208" s="43">
        <v>1.0237087100000002</v>
      </c>
      <c r="C208" s="41">
        <f t="shared" si="10"/>
        <v>92.404552913495266</v>
      </c>
      <c r="D208" s="42">
        <f t="shared" si="12"/>
        <v>180.8650413345899</v>
      </c>
      <c r="E208" s="42">
        <f t="shared" si="11"/>
        <v>172.81846065101666</v>
      </c>
    </row>
    <row r="209" spans="1:5">
      <c r="A209" s="42" t="s">
        <v>259</v>
      </c>
      <c r="B209" s="43">
        <v>1.0077849916586936</v>
      </c>
      <c r="C209" s="41">
        <f t="shared" si="10"/>
        <v>93.12392158715214</v>
      </c>
      <c r="D209" s="42">
        <f t="shared" si="12"/>
        <v>182.27307417272897</v>
      </c>
      <c r="E209" s="42">
        <f t="shared" si="11"/>
        <v>174.16385092565312</v>
      </c>
    </row>
    <row r="210" spans="1:5">
      <c r="A210" s="42" t="s">
        <v>260</v>
      </c>
      <c r="B210" s="43">
        <v>1.0062036133947738</v>
      </c>
      <c r="C210" s="41">
        <f t="shared" si="10"/>
        <v>93.701626394484066</v>
      </c>
      <c r="D210" s="42">
        <f t="shared" si="12"/>
        <v>183.4038258571735</v>
      </c>
      <c r="E210" s="42">
        <f t="shared" si="11"/>
        <v>175.24429612414087</v>
      </c>
    </row>
    <row r="211" spans="1:5">
      <c r="A211" s="42" t="s">
        <v>261</v>
      </c>
      <c r="B211" s="43">
        <v>1.0043396609856245</v>
      </c>
      <c r="C211" s="41">
        <f t="shared" si="10"/>
        <v>94.108259686837769</v>
      </c>
      <c r="D211" s="42">
        <f t="shared" si="12"/>
        <v>184.19973628486017</v>
      </c>
      <c r="E211" s="42">
        <f t="shared" si="11"/>
        <v>176.00479695898406</v>
      </c>
    </row>
    <row r="212" spans="1:5">
      <c r="A212" s="42" t="s">
        <v>262</v>
      </c>
      <c r="B212" s="43">
        <v>1.0048248457439155</v>
      </c>
      <c r="C212" s="41">
        <f t="shared" si="10"/>
        <v>94.5623175230551</v>
      </c>
      <c r="D212" s="42">
        <f t="shared" si="12"/>
        <v>185.08847159850453</v>
      </c>
      <c r="E212" s="42">
        <f t="shared" si="11"/>
        <v>176.85399295450031</v>
      </c>
    </row>
    <row r="213" spans="1:5">
      <c r="A213" s="42" t="s">
        <v>263</v>
      </c>
      <c r="B213" s="43">
        <v>1.0022660907877137</v>
      </c>
      <c r="C213" s="41">
        <f t="shared" si="10"/>
        <v>94.776604319658944</v>
      </c>
      <c r="D213" s="42">
        <f t="shared" si="12"/>
        <v>185.50789887890591</v>
      </c>
      <c r="E213" s="42">
        <f t="shared" si="11"/>
        <v>177.2547601587049</v>
      </c>
    </row>
    <row r="214" spans="1:5">
      <c r="A214" s="42" t="s">
        <v>264</v>
      </c>
      <c r="B214" s="43">
        <v>0.99985246618026979</v>
      </c>
      <c r="C214" s="41">
        <f t="shared" si="10"/>
        <v>94.762621565202608</v>
      </c>
      <c r="D214" s="42">
        <f t="shared" si="12"/>
        <v>185.48053018999417</v>
      </c>
      <c r="E214" s="42">
        <f t="shared" si="11"/>
        <v>177.22860908687329</v>
      </c>
    </row>
    <row r="215" spans="1:5">
      <c r="A215" s="42" t="s">
        <v>265</v>
      </c>
      <c r="B215" s="43">
        <v>0.99763127265925833</v>
      </c>
      <c r="C215" s="41">
        <f t="shared" si="10"/>
        <v>94.538154752620756</v>
      </c>
      <c r="D215" s="42">
        <f t="shared" si="12"/>
        <v>185.04117738695786</v>
      </c>
      <c r="E215" s="42">
        <f t="shared" si="11"/>
        <v>176.80880283496759</v>
      </c>
    </row>
    <row r="216" spans="1:5">
      <c r="A216" s="42" t="s">
        <v>266</v>
      </c>
      <c r="B216" s="43">
        <v>0.99963207512450769</v>
      </c>
      <c r="C216" s="41">
        <f t="shared" si="10"/>
        <v>94.503371813804122</v>
      </c>
      <c r="D216" s="42">
        <f t="shared" si="12"/>
        <v>184.97309613480681</v>
      </c>
      <c r="E216" s="42">
        <f t="shared" si="11"/>
        <v>176.74375047819859</v>
      </c>
    </row>
    <row r="217" spans="1:5">
      <c r="A217" s="42" t="s">
        <v>267</v>
      </c>
      <c r="B217" s="43">
        <v>1.004750785968284</v>
      </c>
      <c r="C217" s="41">
        <f t="shared" si="10"/>
        <v>94.952337106572671</v>
      </c>
      <c r="D217" s="42">
        <f t="shared" si="12"/>
        <v>185.85186372443411</v>
      </c>
      <c r="E217" s="42">
        <f t="shared" si="11"/>
        <v>177.58342220795234</v>
      </c>
    </row>
    <row r="218" spans="1:5">
      <c r="A218" s="42" t="s">
        <v>268</v>
      </c>
      <c r="B218" s="43">
        <v>1.0042191937377474</v>
      </c>
      <c r="C218" s="41">
        <f t="shared" si="10"/>
        <v>95.352959412677194</v>
      </c>
      <c r="D218" s="42">
        <f t="shared" si="12"/>
        <v>186.63600874400893</v>
      </c>
      <c r="E218" s="42">
        <f t="shared" si="11"/>
        <v>178.33268107085988</v>
      </c>
    </row>
    <row r="219" spans="1:5">
      <c r="A219" s="42" t="s">
        <v>269</v>
      </c>
      <c r="B219" s="43">
        <v>1.0044085833174627</v>
      </c>
      <c r="C219" s="41">
        <f t="shared" si="10"/>
        <v>95.773330878814619</v>
      </c>
      <c r="D219" s="42">
        <f t="shared" si="12"/>
        <v>187.4588091385956</v>
      </c>
      <c r="E219" s="42">
        <f t="shared" si="11"/>
        <v>179.11887555358729</v>
      </c>
    </row>
    <row r="220" spans="1:5">
      <c r="A220" s="42" t="s">
        <v>270</v>
      </c>
      <c r="B220" s="43">
        <v>1.0049887620000002</v>
      </c>
      <c r="C220" s="41">
        <f t="shared" si="10"/>
        <v>96.251121232516297</v>
      </c>
      <c r="D220" s="42">
        <f t="shared" si="12"/>
        <v>188.39399652219151</v>
      </c>
      <c r="E220" s="42">
        <f t="shared" si="11"/>
        <v>180.01245699343178</v>
      </c>
    </row>
    <row r="221" spans="1:5">
      <c r="A221" s="42" t="s">
        <v>271</v>
      </c>
      <c r="B221" s="43">
        <v>1.0037468342406199</v>
      </c>
      <c r="C221" s="41">
        <f t="shared" si="10"/>
        <v>96.611758229248352</v>
      </c>
      <c r="D221" s="42">
        <f t="shared" si="12"/>
        <v>189.0998775990881</v>
      </c>
      <c r="E221" s="42">
        <f t="shared" si="11"/>
        <v>180.68693383103289</v>
      </c>
    </row>
    <row r="222" spans="1:5">
      <c r="A222" s="42" t="s">
        <v>272</v>
      </c>
      <c r="B222" s="43">
        <v>1.0058145259790043</v>
      </c>
      <c r="C222" s="41">
        <f t="shared" si="10"/>
        <v>97.173509807349603</v>
      </c>
      <c r="D222" s="42">
        <f t="shared" si="12"/>
        <v>190.19940375001454</v>
      </c>
      <c r="E222" s="42">
        <f t="shared" si="11"/>
        <v>181.73754270186006</v>
      </c>
    </row>
    <row r="223" spans="1:5">
      <c r="A223" s="42" t="s">
        <v>273</v>
      </c>
      <c r="B223" s="43">
        <v>1.0030584750329197</v>
      </c>
      <c r="C223" s="41">
        <f t="shared" si="10"/>
        <v>97.470712560956557</v>
      </c>
      <c r="D223" s="42">
        <f t="shared" si="12"/>
        <v>190.78112387766018</v>
      </c>
      <c r="E223" s="42">
        <f t="shared" si="11"/>
        <v>182.2933824387579</v>
      </c>
    </row>
    <row r="224" spans="1:5">
      <c r="A224" s="42" t="s">
        <v>274</v>
      </c>
      <c r="B224" s="43">
        <v>1.0052252420833585</v>
      </c>
      <c r="C224" s="41">
        <f t="shared" si="10"/>
        <v>97.980020630125011</v>
      </c>
      <c r="D224" s="42">
        <f t="shared" si="12"/>
        <v>191.77800143485615</v>
      </c>
      <c r="E224" s="42">
        <f t="shared" si="11"/>
        <v>183.24590949219467</v>
      </c>
    </row>
    <row r="225" spans="1:5">
      <c r="A225" s="42" t="s">
        <v>275</v>
      </c>
      <c r="B225" s="43">
        <v>1.0088556205034724</v>
      </c>
      <c r="C225" s="41">
        <f t="shared" si="10"/>
        <v>98.847694509747797</v>
      </c>
      <c r="D225" s="42">
        <f t="shared" si="12"/>
        <v>193.47631463647764</v>
      </c>
      <c r="E225" s="42">
        <f t="shared" si="11"/>
        <v>184.8686657254712</v>
      </c>
    </row>
    <row r="226" spans="1:5">
      <c r="A226" s="42" t="s">
        <v>276</v>
      </c>
      <c r="B226" s="43">
        <v>1.0122688644428504</v>
      </c>
      <c r="C226" s="41">
        <f t="shared" si="10"/>
        <v>100.06044347417618</v>
      </c>
      <c r="D226" s="42">
        <f t="shared" si="12"/>
        <v>195.85004931365484</v>
      </c>
      <c r="E226" s="42">
        <f t="shared" si="11"/>
        <v>187.13679432498759</v>
      </c>
    </row>
    <row r="227" spans="1:5">
      <c r="A227" s="42" t="s">
        <v>277</v>
      </c>
      <c r="B227" s="43">
        <v>1.0010024057194997</v>
      </c>
      <c r="C227" s="41">
        <f t="shared" si="10"/>
        <v>100.16074463501037</v>
      </c>
      <c r="D227" s="42">
        <f t="shared" si="12"/>
        <v>196.04637052325114</v>
      </c>
      <c r="E227" s="42">
        <f t="shared" si="11"/>
        <v>187.32438131794783</v>
      </c>
    </row>
    <row r="228" spans="1:5">
      <c r="A228" s="42" t="s">
        <v>278</v>
      </c>
      <c r="B228" s="43">
        <v>1.0055064556101756</v>
      </c>
      <c r="C228" s="41">
        <f t="shared" si="10"/>
        <v>100.71227532922519</v>
      </c>
      <c r="D228" s="42">
        <f t="shared" si="12"/>
        <v>197.12589116007345</v>
      </c>
      <c r="E228" s="42">
        <f t="shared" si="11"/>
        <v>188.35587470837868</v>
      </c>
    </row>
    <row r="229" spans="1:5">
      <c r="A229" s="42" t="s">
        <v>279</v>
      </c>
      <c r="B229" s="43">
        <v>1.004557492568402</v>
      </c>
      <c r="C229" s="41">
        <f t="shared" si="10"/>
        <v>101.17127077558499</v>
      </c>
      <c r="D229" s="42">
        <f t="shared" si="12"/>
        <v>198.02429094407509</v>
      </c>
      <c r="E229" s="42">
        <f t="shared" si="11"/>
        <v>189.21430520757696</v>
      </c>
    </row>
    <row r="230" spans="1:5">
      <c r="A230" s="42" t="s">
        <v>280</v>
      </c>
      <c r="B230" s="43">
        <v>1.0033968656367465</v>
      </c>
      <c r="C230" s="41">
        <f t="shared" si="10"/>
        <v>101.51493598870854</v>
      </c>
      <c r="D230" s="42">
        <f t="shared" si="12"/>
        <v>198.6969528532241</v>
      </c>
      <c r="E230" s="42">
        <f t="shared" si="11"/>
        <v>189.85704077891745</v>
      </c>
    </row>
    <row r="231" spans="1:5">
      <c r="A231" s="42" t="s">
        <v>281</v>
      </c>
      <c r="B231" s="43">
        <v>1.0054378718029535</v>
      </c>
      <c r="C231" s="41">
        <f t="shared" si="10"/>
        <v>102.06696119670018</v>
      </c>
      <c r="D231" s="42">
        <f t="shared" si="12"/>
        <v>199.77744141047745</v>
      </c>
      <c r="E231" s="42">
        <f t="shared" si="11"/>
        <v>190.88945902756134</v>
      </c>
    </row>
    <row r="232" spans="1:5">
      <c r="A232" s="42" t="s">
        <v>282</v>
      </c>
      <c r="B232" s="43">
        <v>1.0097370530000001</v>
      </c>
      <c r="C232" s="41">
        <f t="shared" si="10"/>
        <v>103.06079260742139</v>
      </c>
      <c r="D232" s="42">
        <f t="shared" si="12"/>
        <v>201.72268494569568</v>
      </c>
      <c r="E232" s="42">
        <f t="shared" si="11"/>
        <v>192.74815980725404</v>
      </c>
    </row>
    <row r="233" spans="1:5">
      <c r="A233" s="42" t="s">
        <v>283</v>
      </c>
      <c r="B233" s="43">
        <v>1.0055774470069883</v>
      </c>
      <c r="C233" s="41">
        <f t="shared" si="10"/>
        <v>103.63560871668749</v>
      </c>
      <c r="D233" s="42">
        <f t="shared" si="12"/>
        <v>202.84778253108769</v>
      </c>
      <c r="E233" s="42">
        <f t="shared" si="11"/>
        <v>193.82320245427348</v>
      </c>
    </row>
    <row r="234" spans="1:5">
      <c r="A234" s="42" t="s">
        <v>284</v>
      </c>
      <c r="B234" s="43">
        <v>1.0033889475737794</v>
      </c>
      <c r="C234" s="41">
        <f t="shared" si="10"/>
        <v>103.98682436140506</v>
      </c>
      <c r="D234" s="42">
        <f t="shared" si="12"/>
        <v>203.53522303154296</v>
      </c>
      <c r="E234" s="42">
        <f t="shared" si="11"/>
        <v>194.48005912597307</v>
      </c>
    </row>
    <row r="235" spans="1:5">
      <c r="A235" s="42" t="s">
        <v>285</v>
      </c>
      <c r="B235" s="43">
        <v>1.0050794821735476</v>
      </c>
      <c r="C235" s="41">
        <f t="shared" si="10"/>
        <v>104.51502358203264</v>
      </c>
      <c r="D235" s="42">
        <f t="shared" si="12"/>
        <v>204.56907656862072</v>
      </c>
      <c r="E235" s="42">
        <f t="shared" si="11"/>
        <v>195.46791711941393</v>
      </c>
    </row>
    <row r="236" spans="1:5">
      <c r="A236" s="42" t="s">
        <v>286</v>
      </c>
      <c r="B236" s="43">
        <v>1.0065630956439702</v>
      </c>
      <c r="C236" s="41">
        <f t="shared" si="10"/>
        <v>105.20096567803331</v>
      </c>
      <c r="D236" s="42">
        <f t="shared" si="12"/>
        <v>205.91168298393924</v>
      </c>
      <c r="E236" s="42">
        <f t="shared" si="11"/>
        <v>196.7507917547963</v>
      </c>
    </row>
    <row r="237" spans="1:5">
      <c r="A237" s="42" t="s">
        <v>287</v>
      </c>
      <c r="B237" s="43">
        <v>1.0041644037552566</v>
      </c>
      <c r="C237" s="41">
        <f t="shared" si="10"/>
        <v>105.63906497455953</v>
      </c>
      <c r="D237" s="42">
        <f t="shared" si="12"/>
        <v>206.76918236980876</v>
      </c>
      <c r="E237" s="42">
        <f t="shared" si="11"/>
        <v>197.57014149082968</v>
      </c>
    </row>
    <row r="238" spans="1:5">
      <c r="A238" s="42" t="s">
        <v>288</v>
      </c>
      <c r="B238" s="43">
        <v>1.0082337472902132</v>
      </c>
      <c r="C238" s="41">
        <f t="shared" si="10"/>
        <v>106.50887033953447</v>
      </c>
      <c r="D238" s="42">
        <f t="shared" si="12"/>
        <v>208.47166756484577</v>
      </c>
      <c r="E238" s="42">
        <f t="shared" si="11"/>
        <v>199.19688410795683</v>
      </c>
    </row>
    <row r="239" spans="1:5">
      <c r="A239" s="42" t="s">
        <v>289</v>
      </c>
      <c r="B239" s="43">
        <v>1.0014404788958253</v>
      </c>
      <c r="C239" s="41">
        <f t="shared" si="10"/>
        <v>106.66229411947677</v>
      </c>
      <c r="D239" s="42">
        <f t="shared" si="12"/>
        <v>208.77196660235046</v>
      </c>
      <c r="E239" s="42">
        <f t="shared" si="11"/>
        <v>199.48382301562853</v>
      </c>
    </row>
    <row r="240" spans="1:5">
      <c r="A240" s="42" t="s">
        <v>290</v>
      </c>
      <c r="B240" s="43">
        <v>1.0021145341329021</v>
      </c>
      <c r="C240" s="41">
        <f t="shared" si="10"/>
        <v>106.88783518108605</v>
      </c>
      <c r="D240" s="42">
        <f t="shared" si="12"/>
        <v>209.21342205172422</v>
      </c>
      <c r="E240" s="42">
        <f t="shared" si="11"/>
        <v>199.90563836835688</v>
      </c>
    </row>
    <row r="241" spans="1:5">
      <c r="A241" s="42" t="s">
        <v>291</v>
      </c>
      <c r="B241" s="43">
        <v>1.0056579870433702</v>
      </c>
      <c r="C241" s="41">
        <f t="shared" si="10"/>
        <v>107.49260516763452</v>
      </c>
      <c r="D241" s="42">
        <f t="shared" si="12"/>
        <v>210.39714888299201</v>
      </c>
      <c r="E241" s="42">
        <f t="shared" si="11"/>
        <v>201.03670188014169</v>
      </c>
    </row>
    <row r="242" spans="1:5">
      <c r="A242" s="42" t="s">
        <v>292</v>
      </c>
      <c r="B242" s="43">
        <v>1.0055867023528609</v>
      </c>
      <c r="C242" s="41">
        <f t="shared" si="10"/>
        <v>108.09313435783969</v>
      </c>
      <c r="D242" s="42">
        <f t="shared" si="12"/>
        <v>211.57257512969184</v>
      </c>
      <c r="E242" s="42">
        <f t="shared" si="11"/>
        <v>202.15983409554684</v>
      </c>
    </row>
    <row r="243" spans="1:5">
      <c r="A243" s="42" t="s">
        <v>293</v>
      </c>
      <c r="B243" s="43">
        <v>1.0052331808147399</v>
      </c>
      <c r="C243" s="41">
        <f t="shared" si="10"/>
        <v>108.65880527476624</v>
      </c>
      <c r="D243" s="42">
        <f t="shared" si="12"/>
        <v>212.67977267078567</v>
      </c>
      <c r="E243" s="42">
        <f t="shared" si="11"/>
        <v>203.21777306084664</v>
      </c>
    </row>
    <row r="244" spans="1:5">
      <c r="A244" s="42" t="s">
        <v>294</v>
      </c>
      <c r="B244" s="43">
        <v>1.0058590700000001</v>
      </c>
      <c r="C244" s="41">
        <f t="shared" si="10"/>
        <v>109.29544482098747</v>
      </c>
      <c r="D244" s="42">
        <f t="shared" si="12"/>
        <v>213.92587834644792</v>
      </c>
      <c r="E244" s="42">
        <f t="shared" si="11"/>
        <v>204.40844021845433</v>
      </c>
    </row>
    <row r="245" spans="1:5">
      <c r="A245" s="42" t="s">
        <v>295</v>
      </c>
      <c r="B245" s="43">
        <v>1.0069734575480838</v>
      </c>
      <c r="C245" s="41">
        <f t="shared" si="10"/>
        <v>110.05761196564556</v>
      </c>
      <c r="D245" s="42">
        <f t="shared" si="12"/>
        <v>215.4176813775334</v>
      </c>
      <c r="E245" s="42">
        <f t="shared" si="11"/>
        <v>205.83387379878769</v>
      </c>
    </row>
    <row r="246" spans="1:5">
      <c r="A246" s="42" t="s">
        <v>296</v>
      </c>
      <c r="B246" s="43">
        <v>1.0102146010076816</v>
      </c>
      <c r="C246" s="41">
        <f t="shared" si="10"/>
        <v>111.18180655973288</v>
      </c>
      <c r="D246" s="42">
        <f t="shared" si="12"/>
        <v>217.61808704280477</v>
      </c>
      <c r="E246" s="42">
        <f t="shared" si="11"/>
        <v>207.93638469350779</v>
      </c>
    </row>
    <row r="247" spans="1:5">
      <c r="A247" s="42" t="s">
        <v>297</v>
      </c>
      <c r="B247" s="43">
        <v>1.0090257414307529</v>
      </c>
      <c r="C247" s="41">
        <f t="shared" si="10"/>
        <v>112.185304797545</v>
      </c>
      <c r="D247" s="42">
        <f t="shared" si="12"/>
        <v>219.58225162710821</v>
      </c>
      <c r="E247" s="42">
        <f t="shared" si="11"/>
        <v>209.81316473579699</v>
      </c>
    </row>
    <row r="248" spans="1:5">
      <c r="A248" s="42" t="s">
        <v>298</v>
      </c>
      <c r="B248" s="43">
        <v>1.0090396149051368</v>
      </c>
      <c r="C248" s="41">
        <f t="shared" si="10"/>
        <v>113.19941675093021</v>
      </c>
      <c r="D248" s="42">
        <f t="shared" si="12"/>
        <v>221.56719062182012</v>
      </c>
      <c r="E248" s="42">
        <f t="shared" si="11"/>
        <v>211.70979494703661</v>
      </c>
    </row>
    <row r="249" spans="1:5">
      <c r="A249" s="42" t="s">
        <v>299</v>
      </c>
      <c r="B249" s="43">
        <v>1.0062308632015353</v>
      </c>
      <c r="C249" s="41">
        <f t="shared" si="10"/>
        <v>113.90474683119885</v>
      </c>
      <c r="D249" s="42">
        <f t="shared" si="12"/>
        <v>222.94774547653319</v>
      </c>
      <c r="E249" s="42">
        <f t="shared" si="11"/>
        <v>213.02892971777672</v>
      </c>
    </row>
    <row r="250" spans="1:5">
      <c r="A250" s="42" t="s">
        <v>300</v>
      </c>
      <c r="B250" s="43">
        <v>1.0048515930477289</v>
      </c>
      <c r="C250" s="41">
        <f t="shared" si="10"/>
        <v>114.45736630902842</v>
      </c>
      <c r="D250" s="42">
        <f t="shared" si="12"/>
        <v>224.02939720849395</v>
      </c>
      <c r="E250" s="42">
        <f t="shared" si="11"/>
        <v>214.06245939216055</v>
      </c>
    </row>
    <row r="251" spans="1:5">
      <c r="A251" s="42" t="s">
        <v>301</v>
      </c>
      <c r="B251" s="43">
        <v>1.0018963954107976</v>
      </c>
      <c r="C251" s="41">
        <f t="shared" si="10"/>
        <v>114.67442273322884</v>
      </c>
      <c r="D251" s="42">
        <f t="shared" si="12"/>
        <v>224.45424552924388</v>
      </c>
      <c r="E251" s="42">
        <f t="shared" si="11"/>
        <v>214.4684064577759</v>
      </c>
    </row>
    <row r="252" spans="1:5">
      <c r="A252" s="42" t="s">
        <v>302</v>
      </c>
      <c r="B252" s="43">
        <v>1.0045199748664149</v>
      </c>
      <c r="C252" s="41">
        <f t="shared" si="10"/>
        <v>115.19274824180367</v>
      </c>
      <c r="D252" s="42">
        <f t="shared" si="12"/>
        <v>225.46877307769617</v>
      </c>
      <c r="E252" s="42">
        <f t="shared" si="11"/>
        <v>215.43779826460511</v>
      </c>
    </row>
    <row r="253" spans="1:5">
      <c r="A253" s="42" t="s">
        <v>303</v>
      </c>
      <c r="B253" s="43">
        <v>1.0064696878865405</v>
      </c>
      <c r="C253" s="41">
        <f t="shared" si="10"/>
        <v>115.93800936972097</v>
      </c>
      <c r="D253" s="42">
        <f t="shared" si="12"/>
        <v>226.92748566767008</v>
      </c>
      <c r="E253" s="42">
        <f t="shared" si="11"/>
        <v>216.83161357834058</v>
      </c>
    </row>
    <row r="254" spans="1:5">
      <c r="A254" s="42" t="s">
        <v>304</v>
      </c>
      <c r="B254" s="43">
        <v>1.0040460796778443</v>
      </c>
      <c r="C254" s="41">
        <f t="shared" si="10"/>
        <v>116.40710379332153</v>
      </c>
      <c r="D254" s="42">
        <f t="shared" si="12"/>
        <v>227.84565235577435</v>
      </c>
      <c r="E254" s="42">
        <f t="shared" si="11"/>
        <v>217.70893156355407</v>
      </c>
    </row>
    <row r="255" spans="1:5">
      <c r="A255" s="42" t="s">
        <v>305</v>
      </c>
      <c r="B255" s="43">
        <v>1.0038569162909947</v>
      </c>
      <c r="C255" s="41">
        <f t="shared" si="10"/>
        <v>116.8560762483295</v>
      </c>
      <c r="D255" s="42">
        <f t="shared" si="12"/>
        <v>228.72443396417765</v>
      </c>
      <c r="E255" s="42">
        <f t="shared" si="11"/>
        <v>218.54861668839658</v>
      </c>
    </row>
    <row r="256" spans="1:5">
      <c r="A256" s="42" t="s">
        <v>306</v>
      </c>
      <c r="B256" s="43">
        <v>1.0101421230964578</v>
      </c>
      <c r="C256" s="41">
        <f t="shared" si="10"/>
        <v>118.04124495820912</v>
      </c>
      <c r="D256" s="42">
        <f t="shared" si="12"/>
        <v>231.04418532860996</v>
      </c>
      <c r="E256" s="42">
        <f t="shared" si="11"/>
        <v>220.76516366141087</v>
      </c>
    </row>
    <row r="257" spans="1:5">
      <c r="A257" s="42" t="s">
        <v>307</v>
      </c>
      <c r="B257" s="43">
        <v>1.0092595199938654</v>
      </c>
      <c r="C257" s="41">
        <f t="shared" si="10"/>
        <v>119.13425022600042</v>
      </c>
      <c r="D257" s="42">
        <f t="shared" si="12"/>
        <v>233.18354358212656</v>
      </c>
      <c r="E257" s="42">
        <f t="shared" si="11"/>
        <v>222.80934310828266</v>
      </c>
    </row>
    <row r="258" spans="1:5">
      <c r="A258" s="42" t="s">
        <v>308</v>
      </c>
      <c r="B258" s="43">
        <v>1.0082831087083104</v>
      </c>
      <c r="C258" s="41">
        <f t="shared" si="10"/>
        <v>120.12105217150543</v>
      </c>
      <c r="D258" s="42">
        <f t="shared" si="12"/>
        <v>235.11502822260636</v>
      </c>
      <c r="E258" s="42">
        <f t="shared" si="11"/>
        <v>224.65489711847582</v>
      </c>
    </row>
    <row r="259" spans="1:5">
      <c r="A259" s="42" t="s">
        <v>309</v>
      </c>
      <c r="B259" s="43">
        <v>1.0075750786404656</v>
      </c>
      <c r="C259" s="41">
        <f t="shared" si="10"/>
        <v>121.03097858808005</v>
      </c>
      <c r="D259" s="42">
        <f t="shared" si="12"/>
        <v>236.8960430509479</v>
      </c>
      <c r="E259" s="42">
        <f t="shared" si="11"/>
        <v>226.356675631114</v>
      </c>
    </row>
    <row r="260" spans="1:5">
      <c r="A260" s="42" t="s">
        <v>310</v>
      </c>
      <c r="B260" s="43">
        <v>1.0065734040649994</v>
      </c>
      <c r="C260" s="41">
        <f t="shared" si="10"/>
        <v>121.82656411472179</v>
      </c>
      <c r="D260" s="42">
        <f t="shared" si="12"/>
        <v>238.45325646332128</v>
      </c>
      <c r="E260" s="42">
        <f t="shared" si="11"/>
        <v>227.84460952284732</v>
      </c>
    </row>
    <row r="261" spans="1:5">
      <c r="A261" s="42" t="s">
        <v>311</v>
      </c>
      <c r="B261" s="43">
        <v>1.0021142334612334</v>
      </c>
      <c r="C261" s="41">
        <f t="shared" si="10"/>
        <v>122.08413391304023</v>
      </c>
      <c r="D261" s="42">
        <f t="shared" si="12"/>
        <v>238.95740231707612</v>
      </c>
      <c r="E261" s="42">
        <f t="shared" si="11"/>
        <v>228.32632622026216</v>
      </c>
    </row>
    <row r="262" spans="1:5">
      <c r="A262" s="42" t="s">
        <v>312</v>
      </c>
      <c r="B262" s="43">
        <v>1.0057682400227668</v>
      </c>
      <c r="C262" s="41">
        <f t="shared" si="10"/>
        <v>122.78834450042226</v>
      </c>
      <c r="D262" s="42">
        <f t="shared" si="12"/>
        <v>240.33576596885786</v>
      </c>
      <c r="E262" s="42">
        <f t="shared" si="11"/>
        <v>229.6433672734172</v>
      </c>
    </row>
    <row r="263" spans="1:5">
      <c r="A263" s="42" t="s">
        <v>313</v>
      </c>
      <c r="B263" s="43">
        <v>0.99892736073180799</v>
      </c>
      <c r="C263" s="41">
        <f t="shared" ref="C263:C291" si="13">C262*B263</f>
        <v>122.65663690043482</v>
      </c>
      <c r="D263" s="42">
        <f t="shared" si="12"/>
        <v>240.07797238872865</v>
      </c>
      <c r="E263" s="42">
        <f t="shared" si="11"/>
        <v>229.39704277999988</v>
      </c>
    </row>
    <row r="264" spans="1:5">
      <c r="A264" s="42" t="s">
        <v>314</v>
      </c>
      <c r="B264" s="43">
        <v>1.0022848881643329</v>
      </c>
      <c r="C264" s="41">
        <f t="shared" si="13"/>
        <v>122.9368935983655</v>
      </c>
      <c r="D264" s="42">
        <f t="shared" si="12"/>
        <v>240.62652370635669</v>
      </c>
      <c r="E264" s="42">
        <f t="shared" si="11"/>
        <v>229.9211893679809</v>
      </c>
    </row>
    <row r="265" spans="1:5">
      <c r="A265" s="42" t="s">
        <v>315</v>
      </c>
      <c r="B265" s="43">
        <v>1.0023291686451246</v>
      </c>
      <c r="C265" s="41">
        <f t="shared" si="13"/>
        <v>123.22323435626383</v>
      </c>
      <c r="D265" s="42">
        <f t="shared" si="12"/>
        <v>241.18698346055885</v>
      </c>
      <c r="E265" s="42">
        <f t="shared" ref="E265:E291" si="14">D265/GEOMEAN($D$136:$D$147)*100</f>
        <v>230.45671459310651</v>
      </c>
    </row>
    <row r="266" spans="1:5">
      <c r="A266" s="42" t="s">
        <v>316</v>
      </c>
      <c r="B266" s="43">
        <v>1.0023488325729248</v>
      </c>
      <c r="C266" s="41">
        <f t="shared" si="13"/>
        <v>123.51266510286098</v>
      </c>
      <c r="D266" s="42">
        <f t="shared" ref="D266:D291" si="15">D265*B266</f>
        <v>241.75349130347649</v>
      </c>
      <c r="E266" s="42">
        <f t="shared" si="14"/>
        <v>230.99801883099204</v>
      </c>
    </row>
    <row r="267" spans="1:5">
      <c r="A267" s="42" t="s">
        <v>317</v>
      </c>
      <c r="B267" s="43">
        <v>1.0032787291742553</v>
      </c>
      <c r="C267" s="41">
        <f t="shared" si="13"/>
        <v>123.91762968132376</v>
      </c>
      <c r="D267" s="42">
        <f t="shared" si="15"/>
        <v>242.54613552839129</v>
      </c>
      <c r="E267" s="42">
        <f t="shared" si="14"/>
        <v>231.7553987745284</v>
      </c>
    </row>
    <row r="268" spans="1:5">
      <c r="A268" s="42" t="s">
        <v>318</v>
      </c>
      <c r="B268" s="43">
        <v>1.0054010134299991</v>
      </c>
      <c r="C268" s="41">
        <f t="shared" si="13"/>
        <v>124.58691046344624</v>
      </c>
      <c r="D268" s="42">
        <f t="shared" si="15"/>
        <v>243.85613046377452</v>
      </c>
      <c r="E268" s="42">
        <f t="shared" si="14"/>
        <v>233.00711279578445</v>
      </c>
    </row>
    <row r="269" spans="1:5">
      <c r="A269" s="42" t="s">
        <v>319</v>
      </c>
      <c r="B269" s="43">
        <v>1.0044828025524288</v>
      </c>
      <c r="C269" s="41">
        <f t="shared" si="13"/>
        <v>125.145408983671</v>
      </c>
      <c r="D269" s="42">
        <f t="shared" si="15"/>
        <v>244.94928934784295</v>
      </c>
      <c r="E269" s="42">
        <f t="shared" si="14"/>
        <v>234.05163767575945</v>
      </c>
    </row>
    <row r="270" spans="1:5">
      <c r="A270" s="42" t="s">
        <v>320</v>
      </c>
      <c r="B270" s="43">
        <v>1.0038946666870436</v>
      </c>
      <c r="C270" s="41">
        <f t="shared" si="13"/>
        <v>125.63280863907616</v>
      </c>
      <c r="D270" s="42">
        <f t="shared" si="15"/>
        <v>245.90328518508102</v>
      </c>
      <c r="E270" s="42">
        <f t="shared" si="14"/>
        <v>234.96319079206324</v>
      </c>
    </row>
    <row r="271" spans="1:5">
      <c r="A271" s="42" t="s">
        <v>321</v>
      </c>
      <c r="B271" s="43">
        <v>1.0040738234948627</v>
      </c>
      <c r="C271" s="41">
        <f t="shared" si="13"/>
        <v>126.14461452663562</v>
      </c>
      <c r="D271" s="42">
        <f t="shared" si="15"/>
        <v>246.90505176573194</v>
      </c>
      <c r="E271" s="42">
        <f t="shared" si="14"/>
        <v>235.9203893591399</v>
      </c>
    </row>
    <row r="272" spans="1:5">
      <c r="A272" s="42" t="s">
        <v>322</v>
      </c>
      <c r="B272" s="43">
        <v>1.0058483844478696</v>
      </c>
      <c r="C272" s="41">
        <f t="shared" si="13"/>
        <v>126.8823567284157</v>
      </c>
      <c r="D272" s="42">
        <f t="shared" si="15"/>
        <v>248.34904743057908</v>
      </c>
      <c r="E272" s="42">
        <f t="shared" si="14"/>
        <v>237.3001424952032</v>
      </c>
    </row>
    <row r="273" spans="1:5">
      <c r="A273" s="42" t="s">
        <v>323</v>
      </c>
      <c r="B273" s="43">
        <v>1.0029264923954235</v>
      </c>
      <c r="C273" s="41">
        <f t="shared" si="13"/>
        <v>127.25367698049483</v>
      </c>
      <c r="D273" s="42">
        <f t="shared" si="15"/>
        <v>249.07583902929534</v>
      </c>
      <c r="E273" s="42">
        <f t="shared" si="14"/>
        <v>237.99459955764831</v>
      </c>
    </row>
    <row r="274" spans="1:5">
      <c r="A274" s="42" t="s">
        <v>324</v>
      </c>
      <c r="B274" s="43">
        <v>1.0061634555797461</v>
      </c>
      <c r="C274" s="41">
        <f t="shared" si="13"/>
        <v>128.03799936592347</v>
      </c>
      <c r="D274" s="42">
        <f t="shared" si="15"/>
        <v>250.61100689914039</v>
      </c>
      <c r="E274" s="42">
        <f t="shared" si="14"/>
        <v>239.46146870024134</v>
      </c>
    </row>
    <row r="275" spans="1:5">
      <c r="A275" s="42" t="s">
        <v>325</v>
      </c>
      <c r="B275" s="43">
        <v>0.99902772542135343</v>
      </c>
      <c r="C275" s="41">
        <f t="shared" si="13"/>
        <v>127.91351127403921</v>
      </c>
      <c r="D275" s="42">
        <f t="shared" si="15"/>
        <v>250.36734418800333</v>
      </c>
      <c r="E275" s="42">
        <f t="shared" si="14"/>
        <v>239.22864640165872</v>
      </c>
    </row>
    <row r="276" spans="1:5">
      <c r="A276" s="42" t="s">
        <v>326</v>
      </c>
      <c r="B276" s="43">
        <v>1.0028143444478628</v>
      </c>
      <c r="C276" s="41">
        <f t="shared" si="13"/>
        <v>128.27350395429994</v>
      </c>
      <c r="D276" s="42">
        <f t="shared" si="15"/>
        <v>251.07196413304499</v>
      </c>
      <c r="E276" s="42">
        <f t="shared" si="14"/>
        <v>239.90191821442897</v>
      </c>
    </row>
    <row r="277" spans="1:5">
      <c r="A277" s="42" t="s">
        <v>327</v>
      </c>
      <c r="B277" s="43">
        <v>1.00264966582296</v>
      </c>
      <c r="C277" s="41">
        <f t="shared" si="13"/>
        <v>128.61338587371898</v>
      </c>
      <c r="D277" s="42">
        <f t="shared" si="15"/>
        <v>251.73722093551174</v>
      </c>
      <c r="E277" s="42">
        <f t="shared" si="14"/>
        <v>240.53757812798429</v>
      </c>
    </row>
    <row r="278" spans="1:5">
      <c r="A278" s="42" t="s">
        <v>328</v>
      </c>
      <c r="B278" s="43">
        <v>1.0031874397800278</v>
      </c>
      <c r="C278" s="41">
        <f t="shared" si="13"/>
        <v>129.02333329609695</v>
      </c>
      <c r="D278" s="42">
        <f t="shared" si="15"/>
        <v>252.53961816763524</v>
      </c>
      <c r="E278" s="42">
        <f t="shared" si="14"/>
        <v>241.30427717310096</v>
      </c>
    </row>
    <row r="279" spans="1:5">
      <c r="A279" s="42" t="s">
        <v>329</v>
      </c>
      <c r="B279" s="43">
        <v>1.0040126280800956</v>
      </c>
      <c r="C279" s="41">
        <f t="shared" si="13"/>
        <v>129.54105594626841</v>
      </c>
      <c r="D279" s="42">
        <f t="shared" si="15"/>
        <v>253.55296573083132</v>
      </c>
      <c r="E279" s="42">
        <f t="shared" si="14"/>
        <v>242.27254149153293</v>
      </c>
    </row>
    <row r="280" spans="1:5">
      <c r="A280" s="42" t="s">
        <v>330</v>
      </c>
      <c r="B280" s="43">
        <v>1.0054711853124985</v>
      </c>
      <c r="C280" s="41">
        <f t="shared" si="13"/>
        <v>130.24979906892719</v>
      </c>
      <c r="D280" s="42">
        <f t="shared" si="15"/>
        <v>254.94020099287826</v>
      </c>
      <c r="E280" s="42">
        <f t="shared" si="14"/>
        <v>243.59805946216309</v>
      </c>
    </row>
    <row r="281" spans="1:5">
      <c r="A281" s="42" t="s">
        <v>331</v>
      </c>
      <c r="B281" s="43">
        <v>1.0044547259349714</v>
      </c>
      <c r="C281" s="41">
        <f t="shared" si="13"/>
        <v>130.83002622686436</v>
      </c>
      <c r="D281" s="42">
        <f t="shared" si="15"/>
        <v>256.07588971810804</v>
      </c>
      <c r="E281" s="42">
        <f t="shared" si="14"/>
        <v>244.68322205535787</v>
      </c>
    </row>
    <row r="282" spans="1:5">
      <c r="A282" s="42" t="s">
        <v>332</v>
      </c>
      <c r="B282" s="43">
        <v>1.003583172427142</v>
      </c>
      <c r="C282" s="41">
        <f t="shared" si="13"/>
        <v>131.29881276948274</v>
      </c>
      <c r="D282" s="42">
        <f t="shared" si="15"/>
        <v>256.99345378540181</v>
      </c>
      <c r="E282" s="42">
        <f t="shared" si="14"/>
        <v>245.55996423001085</v>
      </c>
    </row>
    <row r="283" spans="1:5">
      <c r="A283" s="42" t="s">
        <v>333</v>
      </c>
      <c r="B283" s="43">
        <v>1.0038265186685684</v>
      </c>
      <c r="C283" s="41">
        <f t="shared" si="13"/>
        <v>131.80123012770602</v>
      </c>
      <c r="D283" s="42">
        <f t="shared" si="15"/>
        <v>257.97684403401155</v>
      </c>
      <c r="E283" s="42">
        <f t="shared" si="14"/>
        <v>246.49960401739003</v>
      </c>
    </row>
    <row r="284" spans="1:5">
      <c r="A284" s="42" t="s">
        <v>334</v>
      </c>
      <c r="B284" s="43">
        <v>1.0047491081408042</v>
      </c>
      <c r="C284" s="41">
        <f t="shared" si="13"/>
        <v>132.4271684226735</v>
      </c>
      <c r="D284" s="42">
        <f t="shared" si="15"/>
        <v>259.20200396415242</v>
      </c>
      <c r="E284" s="42">
        <f t="shared" si="14"/>
        <v>247.67025729353401</v>
      </c>
    </row>
    <row r="285" spans="1:5">
      <c r="A285" s="42" t="s">
        <v>335</v>
      </c>
      <c r="B285" s="43">
        <v>1.0027072480786123</v>
      </c>
      <c r="C285" s="41">
        <f t="shared" si="13"/>
        <v>132.78568161994187</v>
      </c>
      <c r="D285" s="42">
        <f t="shared" si="15"/>
        <v>259.90372809135687</v>
      </c>
      <c r="E285" s="42">
        <f t="shared" si="14"/>
        <v>248.34076212172138</v>
      </c>
    </row>
    <row r="286" spans="1:5">
      <c r="A286" s="42" t="s">
        <v>336</v>
      </c>
      <c r="B286" s="43">
        <v>1.0045992986098324</v>
      </c>
      <c r="C286" s="41">
        <f t="shared" si="13"/>
        <v>133.39640262082213</v>
      </c>
      <c r="D286" s="42">
        <f t="shared" si="15"/>
        <v>261.09910294665769</v>
      </c>
      <c r="E286" s="42">
        <f t="shared" si="14"/>
        <v>249.48295544371248</v>
      </c>
    </row>
    <row r="287" spans="1:5">
      <c r="A287" s="42" t="s">
        <v>337</v>
      </c>
      <c r="B287" s="43">
        <v>0.99869134195384246</v>
      </c>
      <c r="C287" s="41">
        <f t="shared" si="13"/>
        <v>133.22183234520392</v>
      </c>
      <c r="D287" s="42">
        <f t="shared" si="15"/>
        <v>260.75741350474203</v>
      </c>
      <c r="E287" s="42">
        <f t="shared" si="14"/>
        <v>249.15646756669193</v>
      </c>
    </row>
    <row r="288" spans="1:5">
      <c r="A288" s="42" t="s">
        <v>338</v>
      </c>
      <c r="B288" s="43">
        <v>1.0030081460106828</v>
      </c>
      <c r="C288" s="41">
        <f t="shared" si="13"/>
        <v>133.62258306870899</v>
      </c>
      <c r="D288" s="42">
        <f t="shared" si="15"/>
        <v>261.54180987793228</v>
      </c>
      <c r="E288" s="42">
        <f t="shared" si="14"/>
        <v>249.90596660063846</v>
      </c>
    </row>
    <row r="289" spans="1:5">
      <c r="A289" s="42" t="s">
        <v>339</v>
      </c>
      <c r="B289" s="43">
        <v>1.0022793887343355</v>
      </c>
      <c r="C289" s="41">
        <f t="shared" si="13"/>
        <v>133.92716087920863</v>
      </c>
      <c r="D289" s="42">
        <f t="shared" si="15"/>
        <v>262.13796533292577</v>
      </c>
      <c r="E289" s="42">
        <f t="shared" si="14"/>
        <v>250.47559944555121</v>
      </c>
    </row>
    <row r="290" spans="1:5">
      <c r="A290" s="42" t="s">
        <v>340</v>
      </c>
      <c r="B290" s="43">
        <v>1.0030009107244247</v>
      </c>
      <c r="C290" s="41">
        <f t="shared" si="13"/>
        <v>134.32906433258279</v>
      </c>
      <c r="D290" s="42">
        <f t="shared" si="15"/>
        <v>262.9246179643722</v>
      </c>
      <c r="E290" s="42">
        <f t="shared" si="14"/>
        <v>251.22725435813408</v>
      </c>
    </row>
    <row r="291" spans="1:5">
      <c r="A291" s="42" t="s">
        <v>341</v>
      </c>
      <c r="B291" s="43">
        <v>1.0033848925043414</v>
      </c>
      <c r="C291" s="41">
        <f t="shared" si="13"/>
        <v>134.78375377555733</v>
      </c>
      <c r="D291" s="42">
        <f t="shared" si="15"/>
        <v>263.81458953292662</v>
      </c>
      <c r="E291" s="42">
        <f t="shared" si="14"/>
        <v>252.07763160829714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6"/>
  <sheetViews>
    <sheetView view="pageBreakPreview" zoomScale="120" zoomScaleSheetLayoutView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5"/>
  <cols>
    <col min="1" max="1" width="46" customWidth="1"/>
    <col min="2" max="11" width="7" customWidth="1"/>
    <col min="12" max="12" width="8" customWidth="1"/>
    <col min="13" max="15" width="7" customWidth="1"/>
  </cols>
  <sheetData>
    <row r="1" spans="1:32" ht="15.75" thickBot="1">
      <c r="A1" s="262"/>
      <c r="B1" s="256">
        <v>2005</v>
      </c>
      <c r="C1" s="257">
        <v>2006</v>
      </c>
      <c r="D1" s="257">
        <v>2007</v>
      </c>
      <c r="E1" s="257">
        <v>2008</v>
      </c>
      <c r="F1" s="257">
        <v>2009</v>
      </c>
      <c r="G1" s="257">
        <v>2010</v>
      </c>
      <c r="H1" s="257">
        <v>2011</v>
      </c>
      <c r="I1" s="257">
        <v>2012</v>
      </c>
      <c r="J1" s="257">
        <v>2013</v>
      </c>
      <c r="K1" s="258">
        <v>2014</v>
      </c>
      <c r="L1" s="259">
        <v>2015</v>
      </c>
      <c r="M1" s="260">
        <v>2016</v>
      </c>
      <c r="N1" s="260">
        <v>2017</v>
      </c>
      <c r="O1" s="261">
        <v>2018</v>
      </c>
      <c r="P1" s="260">
        <v>2019</v>
      </c>
      <c r="Q1" s="261">
        <v>2020</v>
      </c>
      <c r="R1" s="260">
        <v>2021</v>
      </c>
      <c r="S1" s="261">
        <v>2022</v>
      </c>
      <c r="T1" s="260">
        <v>2023</v>
      </c>
      <c r="U1" s="261">
        <v>2024</v>
      </c>
      <c r="V1" s="260">
        <v>2025</v>
      </c>
      <c r="W1" s="261">
        <v>2026</v>
      </c>
      <c r="X1" s="260">
        <v>2027</v>
      </c>
      <c r="Y1" s="261">
        <v>2028</v>
      </c>
      <c r="Z1" s="260">
        <v>2029</v>
      </c>
      <c r="AA1" s="261">
        <v>2030</v>
      </c>
      <c r="AB1" s="260">
        <v>2031</v>
      </c>
      <c r="AC1" s="261">
        <v>2032</v>
      </c>
      <c r="AD1" s="260">
        <v>2033</v>
      </c>
      <c r="AE1" s="261">
        <v>2034</v>
      </c>
      <c r="AF1" s="260">
        <v>2035</v>
      </c>
    </row>
    <row r="2" spans="1:32" ht="16.5" customHeight="1">
      <c r="A2" s="263" t="s">
        <v>359</v>
      </c>
      <c r="B2" s="203">
        <f t="shared" ref="B2:N2" si="0">B4+B16+B17+B35+B36+B38+B40</f>
        <v>2259.0114670000003</v>
      </c>
      <c r="C2" s="204">
        <f t="shared" si="0"/>
        <v>2523.7513519999998</v>
      </c>
      <c r="D2" s="204">
        <f t="shared" si="0"/>
        <v>2891.9657590000002</v>
      </c>
      <c r="E2" s="204">
        <f t="shared" si="0"/>
        <v>2409.5270129999999</v>
      </c>
      <c r="F2" s="204">
        <f t="shared" si="0"/>
        <v>4070.7827000000002</v>
      </c>
      <c r="G2" s="204">
        <f t="shared" si="0"/>
        <v>4950.7351813174118</v>
      </c>
      <c r="H2" s="204">
        <f t="shared" si="0"/>
        <v>3865.6663845576431</v>
      </c>
      <c r="I2" s="204">
        <f t="shared" si="0"/>
        <v>3758.248822402978</v>
      </c>
      <c r="J2" s="204">
        <f t="shared" si="0"/>
        <v>4259.9051696889328</v>
      </c>
      <c r="K2" s="205">
        <f t="shared" si="0"/>
        <v>3425.2809001508695</v>
      </c>
      <c r="L2" s="203">
        <f>L4+L16+L17+L35+L36+L38+L40</f>
        <v>5163.0185651311949</v>
      </c>
      <c r="M2" s="204">
        <f>M4+M16+M17+M35+M36+M38+M40</f>
        <v>5170.5010938727401</v>
      </c>
      <c r="N2" s="204">
        <f t="shared" si="0"/>
        <v>5517.5114394540342</v>
      </c>
      <c r="O2" s="204">
        <f t="shared" ref="O2:AF2" ca="1" si="1">O4+O16+O17+O35+O36+O38+O40</f>
        <v>5436.9042261049635</v>
      </c>
      <c r="P2" s="204">
        <f t="shared" ca="1" si="1"/>
        <v>5412.1721179817687</v>
      </c>
      <c r="Q2" s="204">
        <f t="shared" ca="1" si="1"/>
        <v>5208.7719956512119</v>
      </c>
      <c r="R2" s="204">
        <f t="shared" ca="1" si="1"/>
        <v>6362.5750137062232</v>
      </c>
      <c r="S2" s="204">
        <f t="shared" ca="1" si="1"/>
        <v>6634.8229887806483</v>
      </c>
      <c r="T2" s="204">
        <f t="shared" ca="1" si="1"/>
        <v>6902.6185484724683</v>
      </c>
      <c r="U2" s="204">
        <f t="shared" ca="1" si="1"/>
        <v>7253.422673490506</v>
      </c>
      <c r="V2" s="204">
        <f t="shared" ca="1" si="1"/>
        <v>7635.2907290842631</v>
      </c>
      <c r="W2" s="204">
        <f t="shared" ca="1" si="1"/>
        <v>8099.5652009649584</v>
      </c>
      <c r="X2" s="204">
        <f t="shared" ca="1" si="1"/>
        <v>8548.5754255907668</v>
      </c>
      <c r="Y2" s="204">
        <f t="shared" ca="1" si="1"/>
        <v>9149.8567251891654</v>
      </c>
      <c r="Z2" s="204">
        <f t="shared" ca="1" si="1"/>
        <v>9705.9314475986703</v>
      </c>
      <c r="AA2" s="204">
        <f t="shared" ca="1" si="1"/>
        <v>10279.877222591587</v>
      </c>
      <c r="AB2" s="204">
        <f t="shared" ca="1" si="1"/>
        <v>11296.695702144698</v>
      </c>
      <c r="AC2" s="204">
        <f t="shared" ca="1" si="1"/>
        <v>11923.828744632057</v>
      </c>
      <c r="AD2" s="204">
        <f t="shared" ca="1" si="1"/>
        <v>12544.504411279077</v>
      </c>
      <c r="AE2" s="204">
        <f t="shared" ca="1" si="1"/>
        <v>13149.336299717073</v>
      </c>
      <c r="AF2" s="204">
        <f t="shared" ca="1" si="1"/>
        <v>13713.973091757463</v>
      </c>
    </row>
    <row r="3" spans="1:32" ht="7.5" customHeight="1">
      <c r="A3" s="263"/>
      <c r="B3" s="206"/>
      <c r="C3" s="207"/>
      <c r="D3" s="207"/>
      <c r="E3" s="207"/>
      <c r="F3" s="207"/>
      <c r="G3" s="207"/>
      <c r="H3" s="207"/>
      <c r="I3" s="207"/>
      <c r="J3" s="207"/>
      <c r="K3" s="208"/>
      <c r="L3" s="206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</row>
    <row r="4" spans="1:32" ht="16.5" customHeight="1">
      <c r="A4" s="263" t="s">
        <v>435</v>
      </c>
      <c r="B4" s="203">
        <f ca="1">номинал!J61/1000</f>
        <v>687.19814599999995</v>
      </c>
      <c r="C4" s="204">
        <f ca="1">номинал!K61/1000</f>
        <v>1172.3899299999998</v>
      </c>
      <c r="D4" s="204">
        <f ca="1">номинал!L61/1000</f>
        <v>1396.8500770000001</v>
      </c>
      <c r="E4" s="204">
        <f ca="1">номинал!M61/1000</f>
        <v>5.4981000000000002E-2</v>
      </c>
      <c r="F4" s="204">
        <f ca="1">номинал!N61/1000</f>
        <v>1269.4390000000001</v>
      </c>
      <c r="G4" s="204">
        <f ca="1">номинал!O61/1000</f>
        <v>2473.596</v>
      </c>
      <c r="H4" s="204">
        <f ca="1">номинал!P61/1000</f>
        <v>1870.067</v>
      </c>
      <c r="I4" s="204">
        <f ca="1">номинал!Q61/1000</f>
        <v>2467.1412810000002</v>
      </c>
      <c r="J4" s="204">
        <f ca="1">номинал!R61/1000</f>
        <v>2807.8767210000001</v>
      </c>
      <c r="K4" s="205">
        <f ca="1">('saving rate'!N12+'saving rate'!N13)/1000</f>
        <v>378.38637196437992</v>
      </c>
      <c r="L4" s="204">
        <f>L6+L7</f>
        <v>1295.5388796150069</v>
      </c>
      <c r="M4" s="204">
        <f>M6+M7</f>
        <v>1618.2703957378787</v>
      </c>
      <c r="N4" s="204">
        <f>N6+N7</f>
        <v>2017.1562032877416</v>
      </c>
      <c r="O4" s="204">
        <f t="shared" ref="O4:T4" si="2">O6+O7</f>
        <v>1960.8653015130562</v>
      </c>
      <c r="P4" s="204">
        <f t="shared" si="2"/>
        <v>2069.7378576013193</v>
      </c>
      <c r="Q4" s="204">
        <f t="shared" si="2"/>
        <v>1792.7434772126396</v>
      </c>
      <c r="R4" s="204">
        <f t="shared" si="2"/>
        <v>2591.0433032118708</v>
      </c>
      <c r="S4" s="204">
        <f t="shared" si="2"/>
        <v>2906.2616100276382</v>
      </c>
      <c r="T4" s="204">
        <f t="shared" si="2"/>
        <v>3172.5073972520395</v>
      </c>
      <c r="U4" s="204">
        <f t="shared" ref="U4:AF4" si="3">U6+U7</f>
        <v>3483.3044223934876</v>
      </c>
      <c r="V4" s="204">
        <f t="shared" si="3"/>
        <v>3829.7084564278034</v>
      </c>
      <c r="W4" s="204">
        <f t="shared" si="3"/>
        <v>4269.6057545176536</v>
      </c>
      <c r="X4" s="204">
        <f t="shared" si="3"/>
        <v>4537.5716698825827</v>
      </c>
      <c r="Y4" s="204">
        <f>Y6+Y7</f>
        <v>4894.1430834417952</v>
      </c>
      <c r="Z4" s="204">
        <f t="shared" si="3"/>
        <v>5113.5209322886149</v>
      </c>
      <c r="AA4" s="204">
        <f t="shared" si="3"/>
        <v>5515.08394604759</v>
      </c>
      <c r="AB4" s="204">
        <f t="shared" si="3"/>
        <v>5596.4435584360235</v>
      </c>
      <c r="AC4" s="204">
        <f t="shared" si="3"/>
        <v>5928.6544072785564</v>
      </c>
      <c r="AD4" s="204">
        <f t="shared" si="3"/>
        <v>6327.9274226607104</v>
      </c>
      <c r="AE4" s="204">
        <f t="shared" si="3"/>
        <v>6496.1338466499765</v>
      </c>
      <c r="AF4" s="204">
        <f t="shared" si="3"/>
        <v>6697.5722971856403</v>
      </c>
    </row>
    <row r="5" spans="1:32" ht="16.5" customHeight="1">
      <c r="A5" s="263"/>
      <c r="B5" s="203"/>
      <c r="C5" s="204"/>
      <c r="D5" s="204"/>
      <c r="E5" s="204"/>
      <c r="F5" s="204"/>
      <c r="G5" s="204"/>
      <c r="H5" s="204"/>
      <c r="I5" s="204"/>
      <c r="J5" s="204"/>
      <c r="K5" s="205"/>
      <c r="L5" s="204"/>
      <c r="M5" s="204"/>
      <c r="N5" s="204"/>
      <c r="O5" s="205"/>
    </row>
    <row r="6" spans="1:32" ht="16.5" customHeight="1">
      <c r="A6" s="263" t="s">
        <v>598</v>
      </c>
      <c r="B6" s="203">
        <f ca="1">(номинал!J63+номинал!J64)/1000</f>
        <v>401.12634900000006</v>
      </c>
      <c r="C6" s="204">
        <f ca="1">(номинал!K63+номинал!K64)/1000</f>
        <v>865.45768599999997</v>
      </c>
      <c r="D6" s="204">
        <f ca="1">(номинал!L63+номинал!L64)/1000</f>
        <v>1041.428813</v>
      </c>
      <c r="E6" s="204">
        <f ca="1">(номинал!M63+номинал!M64)/1000</f>
        <v>-162.00924200000003</v>
      </c>
      <c r="F6" s="204">
        <f ca="1">(номинал!N63+номинал!N64)/1000</f>
        <v>1184.672</v>
      </c>
      <c r="G6" s="204">
        <f ca="1">(номинал!O63+номинал!O64)/1000</f>
        <v>2399.3359999999998</v>
      </c>
      <c r="H6" s="204">
        <f ca="1">(номинал!P63+номинал!P64)/1000</f>
        <v>1781.1369999999999</v>
      </c>
      <c r="I6" s="204">
        <f ca="1">(номинал!Q63+номинал!Q64)/1000</f>
        <v>2052.5061620000001</v>
      </c>
      <c r="J6" s="204">
        <f ca="1">(номинал!R63+номинал!R64)/1000</f>
        <v>2242.0920000000001</v>
      </c>
      <c r="K6" s="205">
        <f ca="1">'saving rate'!N12/1000</f>
        <v>-308.42709503562003</v>
      </c>
      <c r="L6" s="204">
        <f>L10/AVERAGE(K13)</f>
        <v>1295.5388796150069</v>
      </c>
      <c r="M6" s="204">
        <f>M10/AVERAGE(K13)</f>
        <v>1292.1901878610538</v>
      </c>
      <c r="N6" s="204">
        <f>N10/AVERAGE(K13)</f>
        <v>1643.7322401261008</v>
      </c>
      <c r="O6" s="204">
        <f>O10/AVERAGE(K13)*0.915</f>
        <v>1729.4478527543517</v>
      </c>
      <c r="P6" s="204">
        <f>P10/$K$13*1.085</f>
        <v>1825.4714848750461</v>
      </c>
      <c r="Q6" s="204">
        <f>Q10/$K$13*1.005</f>
        <v>1581.1674339957847</v>
      </c>
      <c r="R6" s="204">
        <f>R10/$K$13</f>
        <v>2285.2534917495841</v>
      </c>
      <c r="S6" s="204">
        <f>S10/$K$13</f>
        <v>2563.2703567788831</v>
      </c>
      <c r="T6" s="204">
        <f>T10/$K$13</f>
        <v>2798.0943422228761</v>
      </c>
      <c r="U6" s="204">
        <f t="shared" ref="U6:AF6" si="4">U10/$K$13</f>
        <v>3072.211716505833</v>
      </c>
      <c r="V6" s="204">
        <f t="shared" si="4"/>
        <v>3377.7338308416934</v>
      </c>
      <c r="W6" s="204">
        <f t="shared" si="4"/>
        <v>3765.7153189260075</v>
      </c>
      <c r="X6" s="204">
        <f t="shared" si="4"/>
        <v>4002.0564263858791</v>
      </c>
      <c r="Y6" s="204">
        <f>Y10/$K$13</f>
        <v>4316.5459862030284</v>
      </c>
      <c r="Z6" s="204">
        <f t="shared" si="4"/>
        <v>4510.0332947587176</v>
      </c>
      <c r="AA6" s="204">
        <f t="shared" si="4"/>
        <v>4864.2046350109749</v>
      </c>
      <c r="AB6" s="204">
        <f t="shared" si="4"/>
        <v>4935.9623466893499</v>
      </c>
      <c r="AC6" s="204">
        <f t="shared" si="4"/>
        <v>5228.9663275079647</v>
      </c>
      <c r="AD6" s="204">
        <f t="shared" si="4"/>
        <v>5581.1179304674315</v>
      </c>
      <c r="AE6" s="204">
        <f t="shared" si="4"/>
        <v>5729.472964626716</v>
      </c>
      <c r="AF6" s="204">
        <f t="shared" si="4"/>
        <v>5907.1380472166575</v>
      </c>
    </row>
    <row r="7" spans="1:32" ht="16.5" customHeight="1">
      <c r="A7" s="263" t="s">
        <v>599</v>
      </c>
      <c r="B7" s="203">
        <f ca="1">номинал!J66/1000</f>
        <v>68.100481000000002</v>
      </c>
      <c r="C7" s="204">
        <f ca="1">номинал!K66/1000</f>
        <v>100.033349</v>
      </c>
      <c r="D7" s="204">
        <f ca="1">номинал!L66/1000</f>
        <v>101.27448</v>
      </c>
      <c r="E7" s="204">
        <f ca="1">номинал!M66/1000</f>
        <v>129.96060299999999</v>
      </c>
      <c r="F7" s="204">
        <f ca="1">номинал!N66/1000</f>
        <v>84.766000000000005</v>
      </c>
      <c r="G7" s="204">
        <f ca="1">номинал!O66/1000</f>
        <v>74.260000000000005</v>
      </c>
      <c r="H7" s="204">
        <f ca="1">номинал!P66/1000</f>
        <v>88.93</v>
      </c>
      <c r="I7" s="204">
        <f ca="1">номинал!Q66/1000</f>
        <v>414.63528100000002</v>
      </c>
      <c r="J7" s="204">
        <f ca="1">номинал!R66/1000</f>
        <v>565.78499999999997</v>
      </c>
      <c r="K7" s="205">
        <f ca="1">'saving rate'!N13/1000</f>
        <v>686.81346699999995</v>
      </c>
      <c r="L7" s="204">
        <v>0</v>
      </c>
      <c r="M7" s="204">
        <f>AVERAGE($J$8)*M6</f>
        <v>326.080207876825</v>
      </c>
      <c r="N7" s="204">
        <f>AVERAGE($I$8,$J$8)*N6</f>
        <v>373.42396316164081</v>
      </c>
      <c r="O7" s="204">
        <f>AVERAGE($I$8,$J$8,$G$8:$H$8)*O6</f>
        <v>231.4174487587045</v>
      </c>
      <c r="P7" s="204">
        <f>AVERAGE($I$8,$J$8,$G$8:$H$8)*P6</f>
        <v>244.26637272627312</v>
      </c>
      <c r="Q7" s="204">
        <f t="shared" ref="Q7:AF7" si="5">AVERAGE($I$8,$J$8,$G$8:$H$8)*Q6</f>
        <v>211.57604321685497</v>
      </c>
      <c r="R7" s="204">
        <f t="shared" si="5"/>
        <v>305.78981146228676</v>
      </c>
      <c r="S7" s="204">
        <f t="shared" si="5"/>
        <v>342.99125324875496</v>
      </c>
      <c r="T7" s="204">
        <f t="shared" si="5"/>
        <v>374.41305502916327</v>
      </c>
      <c r="U7" s="204">
        <f t="shared" si="5"/>
        <v>411.0927058876544</v>
      </c>
      <c r="V7" s="204">
        <f t="shared" si="5"/>
        <v>451.97462558611005</v>
      </c>
      <c r="W7" s="204">
        <f t="shared" si="5"/>
        <v>503.89043559164639</v>
      </c>
      <c r="X7" s="204">
        <f t="shared" si="5"/>
        <v>535.51524349670376</v>
      </c>
      <c r="Y7" s="204">
        <f>AVERAGE($I$8,$J$8,$G$8:$H$8)*Y6</f>
        <v>577.59709723876631</v>
      </c>
      <c r="Z7" s="204">
        <f t="shared" si="5"/>
        <v>603.48763752989692</v>
      </c>
      <c r="AA7" s="204">
        <f t="shared" si="5"/>
        <v>650.87931103661469</v>
      </c>
      <c r="AB7" s="204">
        <f t="shared" si="5"/>
        <v>660.48121174667381</v>
      </c>
      <c r="AC7" s="204">
        <f t="shared" si="5"/>
        <v>699.6880797705918</v>
      </c>
      <c r="AD7" s="204">
        <f t="shared" si="5"/>
        <v>746.80949219327863</v>
      </c>
      <c r="AE7" s="204">
        <f t="shared" si="5"/>
        <v>766.6608820232608</v>
      </c>
      <c r="AF7" s="204">
        <f t="shared" si="5"/>
        <v>790.43424996898318</v>
      </c>
    </row>
    <row r="8" spans="1:32" ht="16.5" customHeight="1">
      <c r="A8" s="263"/>
      <c r="B8" s="593">
        <f>B7/B6</f>
        <v>0.16977314297545681</v>
      </c>
      <c r="C8" s="224">
        <f t="shared" ref="C8:K8" si="6">C7/C6</f>
        <v>0.11558433256550917</v>
      </c>
      <c r="D8" s="224">
        <f t="shared" si="6"/>
        <v>9.7245705837793059E-2</v>
      </c>
      <c r="E8" s="224">
        <f t="shared" si="6"/>
        <v>-0.80218018056031626</v>
      </c>
      <c r="F8" s="224">
        <f t="shared" si="6"/>
        <v>7.1552294643580677E-2</v>
      </c>
      <c r="G8" s="224">
        <f t="shared" si="6"/>
        <v>3.0950229563512576E-2</v>
      </c>
      <c r="H8" s="224">
        <f t="shared" si="6"/>
        <v>4.9928781446907232E-2</v>
      </c>
      <c r="I8" s="224">
        <f t="shared" si="6"/>
        <v>0.20201414674242521</v>
      </c>
      <c r="J8" s="224">
        <f t="shared" si="6"/>
        <v>0.25234691529161157</v>
      </c>
      <c r="K8" s="224">
        <f t="shared" si="6"/>
        <v>-2.2268259762349358</v>
      </c>
      <c r="L8" s="204"/>
      <c r="M8" s="204"/>
      <c r="N8" s="204"/>
      <c r="O8" s="205"/>
    </row>
    <row r="9" spans="1:32" ht="16.5" customHeight="1">
      <c r="A9" s="263"/>
      <c r="B9" s="203"/>
      <c r="C9" s="204"/>
      <c r="D9" s="204"/>
      <c r="E9" s="204"/>
      <c r="F9" s="204"/>
      <c r="G9" s="204"/>
      <c r="H9" s="204"/>
      <c r="I9" s="204"/>
      <c r="J9" s="204"/>
      <c r="K9" s="205"/>
      <c r="L9" s="204"/>
      <c r="M9" s="204"/>
      <c r="N9" s="204"/>
      <c r="O9">
        <f>O10/N10</f>
        <v>1.1498873701935353</v>
      </c>
      <c r="P9">
        <f>P10/O10</f>
        <v>0.89014127182628033</v>
      </c>
      <c r="Q9">
        <f t="shared" ref="Q9:AF9" si="7">Q10/P10</f>
        <v>0.93511814481208111</v>
      </c>
      <c r="R9">
        <f t="shared" si="7"/>
        <v>1.452521541886534</v>
      </c>
      <c r="S9">
        <f t="shared" si="7"/>
        <v>1.121656904160969</v>
      </c>
      <c r="T9">
        <f t="shared" si="7"/>
        <v>1.0916110876962206</v>
      </c>
      <c r="U9">
        <f t="shared" si="7"/>
        <v>1.0979657369469504</v>
      </c>
      <c r="V9">
        <f t="shared" si="7"/>
        <v>1.099446959561545</v>
      </c>
      <c r="W9">
        <f t="shared" si="7"/>
        <v>1.1148644350071935</v>
      </c>
      <c r="X9">
        <f t="shared" si="7"/>
        <v>1.0627612783876814</v>
      </c>
      <c r="Y9">
        <f t="shared" si="7"/>
        <v>1.078581990434641</v>
      </c>
      <c r="Z9">
        <f t="shared" si="7"/>
        <v>1.0448245678776811</v>
      </c>
      <c r="AA9">
        <f t="shared" si="7"/>
        <v>1.0785296509149618</v>
      </c>
      <c r="AB9">
        <f t="shared" si="7"/>
        <v>1.0147521983680305</v>
      </c>
      <c r="AC9">
        <f t="shared" si="7"/>
        <v>1.0593610648215617</v>
      </c>
      <c r="AD9">
        <f t="shared" si="7"/>
        <v>1.0673463130001253</v>
      </c>
      <c r="AE9">
        <f t="shared" si="7"/>
        <v>1.0265815981686055</v>
      </c>
      <c r="AF9">
        <f t="shared" si="7"/>
        <v>1.0310089747672833</v>
      </c>
    </row>
    <row r="10" spans="1:32" ht="16.5" customHeight="1">
      <c r="A10" s="263" t="s">
        <v>597</v>
      </c>
      <c r="B10" s="203"/>
      <c r="C10" s="204" t="e">
        <f>'[11]Схема 1'!C75-'[11]Схема 1'!B75</f>
        <v>#VALUE!</v>
      </c>
      <c r="D10" s="204" t="e">
        <f>'[11]Схема 1'!D75-'[11]Схема 1'!C75</f>
        <v>#VALUE!</v>
      </c>
      <c r="E10" s="204">
        <f>'[11]Схема 1'!E75-'[11]Схема 1'!D75</f>
        <v>912.67599999999993</v>
      </c>
      <c r="F10" s="204">
        <f>'[11]Схема 1'!F75-'[11]Схема 1'!E75</f>
        <v>717.1909999999998</v>
      </c>
      <c r="G10" s="204">
        <f>'[11]Схема 1'!G75-'[11]Схема 1'!F75</f>
        <v>316.0610000000006</v>
      </c>
      <c r="H10" s="204">
        <f>'[11]Схема 1'!H75-'[11]Схема 1'!G75</f>
        <v>1120.2659999999996</v>
      </c>
      <c r="I10" s="204">
        <f>'[11]Схема 1'!I75-'[11]Схема 1'!H75</f>
        <v>465.94999999999982</v>
      </c>
      <c r="J10" s="204">
        <f>'[11]Схема 1'!J75-'[11]Схема 1'!I75</f>
        <v>968.92399999999998</v>
      </c>
      <c r="K10" s="204">
        <f>'[11]Схема 1'!K83-'[11]Схема 1'!J83</f>
        <v>-383.91619617962351</v>
      </c>
      <c r="L10" s="204">
        <f>'[17]Схема 1'!$L$83-'[17]Схема 1'!$K$83</f>
        <v>1612.6286136020663</v>
      </c>
      <c r="M10" s="204">
        <f>'[17]Схема 1'!$M$83-'[17]Схема 1'!$L$83</f>
        <v>1608.4603124993137</v>
      </c>
      <c r="N10" s="749">
        <f>'[17]Схема 1'!$N$83-'[17]Схема 1'!$M$83</f>
        <v>2046.0440711090705</v>
      </c>
      <c r="O10" s="749">
        <f>'[17]Схема 1'!$O$83-'[17]Схема 1'!$N$83</f>
        <v>2352.7202362276839</v>
      </c>
      <c r="P10" s="204">
        <f>[12]out!H28-[12]out!G28</f>
        <v>2094.2533833271373</v>
      </c>
      <c r="Q10" s="204">
        <f>[12]out!I28-[12]out!H28</f>
        <v>1958.3743385832968</v>
      </c>
      <c r="R10" s="204">
        <f>[12]out!J28-[12]out!I28</f>
        <v>2844.5809138700315</v>
      </c>
      <c r="S10" s="204">
        <f>[12]out!K28-[12]out!J28</f>
        <v>3190.6438214868394</v>
      </c>
      <c r="T10" s="204">
        <f>[12]out!L28-[12]out!K28</f>
        <v>3482.9421724244748</v>
      </c>
      <c r="U10" s="204">
        <f>[12]out!M28-[12]out!L28</f>
        <v>3824.1511690896514</v>
      </c>
      <c r="V10" s="204">
        <f>[12]out!N28-[12]out!M28</f>
        <v>4204.451375759345</v>
      </c>
      <c r="W10" s="204">
        <f>[12]out!O28-[12]out!N28</f>
        <v>4687.3933075511595</v>
      </c>
      <c r="X10" s="204">
        <f>[12]out!P28-[12]out!O28</f>
        <v>4981.5801038389327</v>
      </c>
      <c r="Y10" s="204">
        <f>[12]out!Q28-[12]out!P28</f>
        <v>5373.0425839082018</v>
      </c>
      <c r="Z10" s="204">
        <f>[12]out!R28-[12]out!Q28</f>
        <v>5613.8868959202664</v>
      </c>
      <c r="AA10" s="204">
        <f>[12]out!S28-[12]out!R28</f>
        <v>6054.7434741329635</v>
      </c>
      <c r="AB10" s="204">
        <f>[12]out!T28-[12]out!S28</f>
        <v>6144.0642509309109</v>
      </c>
      <c r="AC10" s="204">
        <f>[12]out!U28-[12]out!T28</f>
        <v>6508.7824471982603</v>
      </c>
      <c r="AD10" s="204">
        <f>[12]out!V28-[12]out!U28</f>
        <v>6947.1249471369956</v>
      </c>
      <c r="AE10" s="204">
        <f>[12]out!W28-[12]out!V28</f>
        <v>7131.7906309088867</v>
      </c>
      <c r="AF10" s="204">
        <f>[12]out!X28-[12]out!W28</f>
        <v>7352.940146628287</v>
      </c>
    </row>
    <row r="11" spans="1:32" ht="16.5" customHeight="1">
      <c r="A11" s="263"/>
      <c r="B11" s="203"/>
      <c r="C11" s="204"/>
      <c r="D11" s="204"/>
      <c r="E11" s="204"/>
      <c r="F11" s="204"/>
      <c r="G11" s="204"/>
      <c r="H11" s="204"/>
      <c r="I11" s="204">
        <f>'[11]Схема 1'!I126</f>
        <v>14135.673000000001</v>
      </c>
      <c r="J11" s="204">
        <f t="shared" ref="J11:AF11" si="8">I11*J12/100</f>
        <v>16704.570890456042</v>
      </c>
      <c r="K11" s="205">
        <f t="shared" si="8"/>
        <v>16239.472053949568</v>
      </c>
      <c r="L11" s="205">
        <f t="shared" si="8"/>
        <v>18193.10594428028</v>
      </c>
      <c r="M11" s="205">
        <f t="shared" si="8"/>
        <v>20141.690107581002</v>
      </c>
      <c r="N11" s="205">
        <f t="shared" si="8"/>
        <v>22620.389173635929</v>
      </c>
      <c r="O11" s="205">
        <f t="shared" si="8"/>
        <v>25470.613924203008</v>
      </c>
      <c r="P11" s="205">
        <f t="shared" si="8"/>
        <v>28106.374533258979</v>
      </c>
      <c r="Q11" s="205">
        <f t="shared" si="8"/>
        <v>30859.815562196145</v>
      </c>
      <c r="R11" s="205">
        <f t="shared" si="8"/>
        <v>33740.68885694044</v>
      </c>
      <c r="S11" s="205">
        <f t="shared" si="8"/>
        <v>36632.268383804585</v>
      </c>
      <c r="T11" s="205">
        <f t="shared" si="8"/>
        <v>39572.798207222171</v>
      </c>
      <c r="U11" s="205">
        <f t="shared" si="8"/>
        <v>42633.945690175628</v>
      </c>
      <c r="V11" s="205">
        <f t="shared" si="8"/>
        <v>45807.871650688779</v>
      </c>
      <c r="W11" s="205">
        <f t="shared" si="8"/>
        <v>49085.194820808247</v>
      </c>
      <c r="X11" s="205">
        <f t="shared" si="8"/>
        <v>52454.982121265166</v>
      </c>
      <c r="Y11" s="205">
        <f t="shared" si="8"/>
        <v>55887.943073443639</v>
      </c>
      <c r="Z11" s="205">
        <f t="shared" si="8"/>
        <v>59426.485922960623</v>
      </c>
      <c r="AA11" s="205">
        <f t="shared" si="8"/>
        <v>63125.882398042289</v>
      </c>
      <c r="AB11" s="205">
        <f t="shared" si="8"/>
        <v>66988.516814938164</v>
      </c>
      <c r="AC11" s="205">
        <f t="shared" si="8"/>
        <v>71016.415983108978</v>
      </c>
      <c r="AD11" s="205">
        <f t="shared" si="8"/>
        <v>75211.218986466236</v>
      </c>
      <c r="AE11" s="205">
        <f t="shared" si="8"/>
        <v>79574.147128360259</v>
      </c>
      <c r="AF11" s="205">
        <f t="shared" si="8"/>
        <v>84105.974235745205</v>
      </c>
    </row>
    <row r="12" spans="1:32" ht="16.5" customHeight="1">
      <c r="A12" s="263"/>
      <c r="B12" s="203"/>
      <c r="C12" s="204"/>
      <c r="D12" s="204"/>
      <c r="E12" s="204"/>
      <c r="F12" s="204"/>
      <c r="G12" s="204"/>
      <c r="H12" s="204"/>
      <c r="I12" s="204"/>
      <c r="J12" s="204">
        <f>[17]external!$J$23*100</f>
        <v>118.17315589046267</v>
      </c>
      <c r="K12" s="204">
        <f>[17]external!$K$23*100</f>
        <v>97.215739095865061</v>
      </c>
      <c r="L12" s="204">
        <f>[17]external!$L$23*100</f>
        <v>112.0301564228227</v>
      </c>
      <c r="M12" s="204">
        <f>[17]external!$M$23*100</f>
        <v>110.71056349184477</v>
      </c>
      <c r="N12" s="204">
        <f>[17]external!$N$23*100</f>
        <v>112.30631120236522</v>
      </c>
      <c r="O12" s="204">
        <f>[17]external!$O$23*100</f>
        <v>112.60024630296377</v>
      </c>
      <c r="P12" s="204">
        <f>O12*0.98</f>
        <v>110.3482413769045</v>
      </c>
      <c r="Q12" s="204">
        <f>P12*0.995</f>
        <v>109.79650017001997</v>
      </c>
      <c r="R12" s="204">
        <f>Q12*0.9958</f>
        <v>109.33535486930589</v>
      </c>
      <c r="S12" s="204">
        <f>R12*0.993</f>
        <v>108.57000738522075</v>
      </c>
      <c r="T12" s="204">
        <f>S12*0.995</f>
        <v>108.02715734829465</v>
      </c>
      <c r="U12" s="204">
        <f>T12*0.9973</f>
        <v>107.73548402345425</v>
      </c>
      <c r="V12" s="204">
        <f>U12*0.9973</f>
        <v>107.44459821659092</v>
      </c>
      <c r="W12" s="204">
        <f>V12*0.9973</f>
        <v>107.15449780140612</v>
      </c>
      <c r="X12" s="204">
        <f>W12*0.9973</f>
        <v>106.86518065734232</v>
      </c>
      <c r="Y12" s="204">
        <f>X12*0.997</f>
        <v>106.5445851153703</v>
      </c>
      <c r="Z12" s="204">
        <f>Y12*0.998</f>
        <v>106.33149594513955</v>
      </c>
      <c r="AA12" s="204">
        <f t="shared" ref="AA12:AF12" si="9">Z12*0.999</f>
        <v>106.22516444919441</v>
      </c>
      <c r="AB12" s="204">
        <f t="shared" si="9"/>
        <v>106.11893928474521</v>
      </c>
      <c r="AC12" s="204">
        <f t="shared" si="9"/>
        <v>106.01282034546047</v>
      </c>
      <c r="AD12" s="204">
        <f t="shared" si="9"/>
        <v>105.90680752511501</v>
      </c>
      <c r="AE12" s="204">
        <f t="shared" si="9"/>
        <v>105.8009007175899</v>
      </c>
      <c r="AF12" s="204">
        <f t="shared" si="9"/>
        <v>105.6950998168723</v>
      </c>
    </row>
    <row r="13" spans="1:32" ht="14.25" customHeight="1">
      <c r="A13" s="263"/>
      <c r="B13" s="203"/>
      <c r="C13" s="204"/>
      <c r="D13" s="204"/>
      <c r="E13" s="210">
        <f t="shared" ref="E13:K13" si="10">E10/E6</f>
        <v>-5.633481082517501</v>
      </c>
      <c r="F13" s="210">
        <f t="shared" si="10"/>
        <v>0.60539204100375443</v>
      </c>
      <c r="G13" s="210">
        <f t="shared" si="10"/>
        <v>0.13172852822614284</v>
      </c>
      <c r="H13" s="210">
        <f t="shared" si="10"/>
        <v>0.62896116357135901</v>
      </c>
      <c r="I13" s="210">
        <f t="shared" si="10"/>
        <v>0.22701515280517817</v>
      </c>
      <c r="J13" s="210">
        <f t="shared" si="10"/>
        <v>0.43215175826861696</v>
      </c>
      <c r="K13" s="210">
        <f t="shared" si="10"/>
        <v>1.244755089157408</v>
      </c>
      <c r="L13" s="557"/>
      <c r="M13" s="204"/>
      <c r="N13" s="204"/>
      <c r="O13" s="205"/>
    </row>
    <row r="14" spans="1:32" ht="14.25" customHeight="1">
      <c r="A14" s="263"/>
      <c r="B14" s="203"/>
      <c r="C14" s="204"/>
      <c r="D14" s="204"/>
      <c r="E14" s="210"/>
      <c r="F14" s="210"/>
      <c r="G14" s="210"/>
      <c r="H14" s="210"/>
      <c r="I14" s="210"/>
      <c r="J14" s="210"/>
      <c r="K14" s="561"/>
      <c r="L14" s="557"/>
      <c r="M14" s="204"/>
      <c r="N14" s="204"/>
      <c r="O14" s="205"/>
    </row>
    <row r="15" spans="1:32" ht="16.5" customHeight="1">
      <c r="A15" s="264" t="str">
        <f>'[11]Схема 1'!$C$75</f>
        <v>Другие депозиты</v>
      </c>
      <c r="B15" s="203"/>
      <c r="C15" s="204"/>
      <c r="D15" s="204"/>
      <c r="E15" s="204"/>
      <c r="F15" s="204"/>
      <c r="G15" s="204">
        <f>'[11]Схема 1'!G75-'[11]Схема 1'!F75</f>
        <v>316.0610000000006</v>
      </c>
      <c r="H15" s="204">
        <f>'[11]Схема 1'!H75-'[11]Схема 1'!G75</f>
        <v>1120.2659999999996</v>
      </c>
      <c r="I15" s="204">
        <f>'[11]Схема 1'!I75-'[11]Схема 1'!H75</f>
        <v>465.94999999999982</v>
      </c>
      <c r="J15" s="204">
        <f>'[11]Схема 1'!J75-'[11]Схема 1'!I75</f>
        <v>968.92399999999998</v>
      </c>
      <c r="K15" s="205"/>
      <c r="L15" s="203"/>
      <c r="M15" s="204"/>
      <c r="N15" s="204"/>
      <c r="O15" s="205"/>
      <c r="P15">
        <f>29.3*38</f>
        <v>1113.4000000000001</v>
      </c>
    </row>
    <row r="16" spans="1:32" ht="16.5" customHeight="1">
      <c r="A16" s="263" t="s">
        <v>360</v>
      </c>
      <c r="B16" s="203">
        <f ca="1">(номинал!J67-номинал!J24)/1000</f>
        <v>158.58932799999999</v>
      </c>
      <c r="C16" s="204">
        <f ca="1">(номинал!K67-номинал!K24)/1000</f>
        <v>212.426794</v>
      </c>
      <c r="D16" s="204">
        <f ca="1">(номинал!L67-номинал!L24)/1000</f>
        <v>282.904696</v>
      </c>
      <c r="E16" s="204">
        <f t="shared" ref="E16:O16" si="11">E20-E22</f>
        <v>628.71738100000005</v>
      </c>
      <c r="F16" s="204">
        <f t="shared" si="11"/>
        <v>152.35970000000009</v>
      </c>
      <c r="G16" s="204">
        <f t="shared" si="11"/>
        <v>259.39118131741122</v>
      </c>
      <c r="H16" s="204">
        <f t="shared" si="11"/>
        <v>422.6783845576432</v>
      </c>
      <c r="I16" s="204">
        <f t="shared" si="11"/>
        <v>557.56171240297908</v>
      </c>
      <c r="J16" s="204">
        <f t="shared" si="11"/>
        <v>542.93123168893248</v>
      </c>
      <c r="K16" s="205">
        <f t="shared" si="11"/>
        <v>903.9065649914894</v>
      </c>
      <c r="L16" s="203">
        <f t="shared" si="11"/>
        <v>621.01076919226193</v>
      </c>
      <c r="M16" s="204">
        <f t="shared" si="11"/>
        <v>1237.9293611805688</v>
      </c>
      <c r="N16" s="204">
        <f t="shared" si="11"/>
        <v>1271.5329563011992</v>
      </c>
      <c r="O16" s="205">
        <f t="shared" ca="1" si="11"/>
        <v>1369.9791522694629</v>
      </c>
      <c r="P16" s="205">
        <f ca="1">P20-P22</f>
        <v>1598.9674234168519</v>
      </c>
      <c r="Q16" s="205">
        <f ca="1">Q20-Q22</f>
        <v>1692.838875440211</v>
      </c>
      <c r="R16" s="205">
        <f t="shared" ref="R16:AF16" ca="1" si="12">R20-R22</f>
        <v>1770.3775323069019</v>
      </c>
      <c r="S16" s="205">
        <f t="shared" ca="1" si="12"/>
        <v>1846.2422500770197</v>
      </c>
      <c r="T16" s="205">
        <f t="shared" ca="1" si="12"/>
        <v>1924.6924654683855</v>
      </c>
      <c r="U16" s="205">
        <f t="shared" ca="1" si="12"/>
        <v>2008.3114848440327</v>
      </c>
      <c r="V16" s="205">
        <f t="shared" ca="1" si="12"/>
        <v>2100.525336266292</v>
      </c>
      <c r="W16" s="205">
        <f t="shared" ca="1" si="12"/>
        <v>2206.5729907301447</v>
      </c>
      <c r="X16" s="205">
        <f t="shared" ca="1" si="12"/>
        <v>2312.8058340934926</v>
      </c>
      <c r="Y16" s="205">
        <f t="shared" ca="1" si="12"/>
        <v>2426.5831918880986</v>
      </c>
      <c r="Z16" s="205">
        <f t="shared" ca="1" si="12"/>
        <v>2549.305897096127</v>
      </c>
      <c r="AA16" s="205">
        <f t="shared" ca="1" si="12"/>
        <v>2676.5139593628696</v>
      </c>
      <c r="AB16" s="205">
        <f t="shared" ca="1" si="12"/>
        <v>2801.1735120603698</v>
      </c>
      <c r="AC16" s="205">
        <f t="shared" ca="1" si="12"/>
        <v>2942.9790623272611</v>
      </c>
      <c r="AD16" s="205">
        <f t="shared" ca="1" si="12"/>
        <v>3090.4120268807565</v>
      </c>
      <c r="AE16" s="205">
        <f t="shared" ca="1" si="12"/>
        <v>3245.4631221014852</v>
      </c>
      <c r="AF16" s="205">
        <f t="shared" ca="1" si="12"/>
        <v>3391.9735492221585</v>
      </c>
    </row>
    <row r="17" spans="1:32" ht="16.5" customHeight="1">
      <c r="A17" s="263" t="s">
        <v>361</v>
      </c>
      <c r="B17" s="203">
        <f ca="1">(-номинал!J28+номинал!J68)/1000</f>
        <v>571.61159600000019</v>
      </c>
      <c r="C17" s="204">
        <f ca="1">(-номинал!K28+номинал!K68)/1000</f>
        <v>226.08001299999992</v>
      </c>
      <c r="D17" s="204">
        <f ca="1">(-номинал!L28+номинал!L68)/1000</f>
        <v>113.12960900000006</v>
      </c>
      <c r="E17" s="204">
        <f ca="1">(-номинал!M28+номинал!M68)/1000</f>
        <v>1289.7309529999998</v>
      </c>
      <c r="F17" s="204">
        <f ca="1">(-номинал!N28+номинал!N68)/1000</f>
        <v>504.80900000000003</v>
      </c>
      <c r="G17" s="204">
        <f ca="1">(-номинал!O28+номинал!O68)/1000</f>
        <v>195.364</v>
      </c>
      <c r="H17" s="204">
        <f ca="1">(-номинал!P28+номинал!P68)/1000</f>
        <v>549.548</v>
      </c>
      <c r="I17" s="204">
        <f ca="1">(-номинал!Q28+номинал!Q68)/1000</f>
        <v>919.60139799999979</v>
      </c>
      <c r="J17" s="204">
        <f ca="1">(-номинал!R28+номинал!R68)/1000</f>
        <v>782.53478000000007</v>
      </c>
      <c r="K17" s="205">
        <f t="shared" ref="K17:S17" si="13">K25-K27</f>
        <v>1292</v>
      </c>
      <c r="L17" s="205">
        <f t="shared" si="13"/>
        <v>345.35687623311151</v>
      </c>
      <c r="M17" s="205">
        <f t="shared" si="13"/>
        <v>803.1058026287742</v>
      </c>
      <c r="N17" s="205">
        <f t="shared" si="13"/>
        <v>953.13380332800625</v>
      </c>
      <c r="O17" s="205">
        <f t="shared" si="13"/>
        <v>927.84550823777545</v>
      </c>
      <c r="P17" s="205">
        <f>P25-P27</f>
        <v>1068.6796687875535</v>
      </c>
      <c r="Q17" s="205">
        <f>Q25-Q27</f>
        <v>1180.1231289003426</v>
      </c>
      <c r="R17" s="205">
        <f>R25-R27</f>
        <v>1119.5254556703694</v>
      </c>
      <c r="S17" s="205">
        <f t="shared" si="13"/>
        <v>1148.7001210888779</v>
      </c>
      <c r="T17" s="205">
        <f>T25-T27</f>
        <v>1241.6379112474242</v>
      </c>
      <c r="U17" s="205">
        <f>U25-U27</f>
        <v>1308.2192886605926</v>
      </c>
      <c r="V17" s="205">
        <f>V25-V27</f>
        <v>1383.9215473295365</v>
      </c>
      <c r="W17" s="205">
        <f>W25-W27</f>
        <v>1501.9421784715</v>
      </c>
      <c r="X17" s="205">
        <f>X25-X27</f>
        <v>1643.6850647049546</v>
      </c>
      <c r="Y17" s="205">
        <f t="shared" ref="Y17:AF17" si="14">Y25-Y27</f>
        <v>1861.1731272773713</v>
      </c>
      <c r="Z17" s="205">
        <f>Z25-Z27</f>
        <v>2078.5542776742896</v>
      </c>
      <c r="AA17" s="205">
        <f t="shared" si="14"/>
        <v>2272.5672695007806</v>
      </c>
      <c r="AB17" s="205">
        <f t="shared" si="14"/>
        <v>2475.2143931350652</v>
      </c>
      <c r="AC17" s="205">
        <f>AC25-AC27</f>
        <v>2653.8360842422917</v>
      </c>
      <c r="AD17" s="205">
        <f t="shared" si="14"/>
        <v>2801.283600683505</v>
      </c>
      <c r="AE17" s="205">
        <f t="shared" si="14"/>
        <v>2955.5607084822414</v>
      </c>
      <c r="AF17" s="205">
        <f t="shared" si="14"/>
        <v>3056.1940318524612</v>
      </c>
    </row>
    <row r="18" spans="1:32" ht="16.5" customHeight="1">
      <c r="A18" s="263" t="s">
        <v>478</v>
      </c>
      <c r="B18" s="203"/>
      <c r="C18" s="204"/>
      <c r="D18" s="204"/>
      <c r="E18" s="204"/>
      <c r="F18" s="204"/>
      <c r="G18" s="204"/>
      <c r="H18" s="204"/>
      <c r="I18" s="204"/>
      <c r="J18" s="204"/>
      <c r="K18" s="205">
        <f ca="1">БДДРН!O4-K16</f>
        <v>3032.5789267986493</v>
      </c>
      <c r="L18" s="203">
        <f ca="1">БДДРН!P4-L16</f>
        <v>3283.9342740753227</v>
      </c>
      <c r="M18" s="207"/>
      <c r="N18" s="207"/>
      <c r="O18" s="208"/>
    </row>
    <row r="19" spans="1:32" ht="13.5" customHeight="1">
      <c r="A19" s="263"/>
      <c r="B19" s="203"/>
      <c r="C19" s="204"/>
      <c r="D19" s="204"/>
      <c r="E19" s="204"/>
      <c r="F19" s="204"/>
      <c r="G19" s="274">
        <f ca="1">G20/F20</f>
        <v>1.3167748734540894</v>
      </c>
      <c r="H19" s="274">
        <f ca="1">H20/G20</f>
        <v>1.3074234186927647</v>
      </c>
      <c r="I19" s="274">
        <f ca="1">I20/H20</f>
        <v>1.1715017159381433</v>
      </c>
      <c r="J19" s="274">
        <f ca="1">J20/I20</f>
        <v>1.035007438341387</v>
      </c>
      <c r="K19" s="274">
        <f>K20/J20</f>
        <v>1.2604849272564818</v>
      </c>
      <c r="L19" s="206"/>
      <c r="M19" s="207"/>
      <c r="N19" s="207"/>
      <c r="O19" s="208"/>
    </row>
    <row r="20" spans="1:32" ht="16.5" customHeight="1">
      <c r="A20" s="263" t="s">
        <v>438</v>
      </c>
      <c r="B20" s="203">
        <f ca="1">номинал!J67/1000</f>
        <v>352.23513500000001</v>
      </c>
      <c r="C20" s="204">
        <f ca="1">номинал!K67/1000</f>
        <v>572.31495600000005</v>
      </c>
      <c r="D20" s="204">
        <f ca="1">номинал!L67/1000</f>
        <v>834.00640899999996</v>
      </c>
      <c r="E20" s="204">
        <f ca="1">номинал!M67/1000</f>
        <v>1194.732381</v>
      </c>
      <c r="F20" s="204">
        <f ca="1">номинал!N67/1000</f>
        <v>838.82600000000002</v>
      </c>
      <c r="G20" s="204">
        <f ca="1">номинал!O67/1000</f>
        <v>1104.5450000000001</v>
      </c>
      <c r="H20" s="204">
        <f ca="1">номинал!P67/1000</f>
        <v>1444.1079999999999</v>
      </c>
      <c r="I20" s="204">
        <f ca="1">номинал!Q67/1000</f>
        <v>1691.7750000000001</v>
      </c>
      <c r="J20" s="204">
        <f ca="1">номинал!R67/1000</f>
        <v>1750.9997089999999</v>
      </c>
      <c r="K20" s="205">
        <f ca="1">'saving rate'!N14/1000</f>
        <v>2207.1087408249855</v>
      </c>
      <c r="L20" s="203">
        <f>AVERAGE($F$21:$J$21)*L43</f>
        <v>1970.0290737224009</v>
      </c>
      <c r="M20" s="203">
        <f>AVERAGE($J$21:$K$21,E21)*M43</f>
        <v>2525.6945705714847</v>
      </c>
      <c r="N20" s="203">
        <f>AVERAGE($J$21:$K$21,D21:E21)*N43</f>
        <v>2634.6485283002294</v>
      </c>
      <c r="O20" s="203">
        <f t="shared" ref="O20:T20" ca="1" si="15">AVERAGE($K$21)*O43</f>
        <v>3056.2044703082929</v>
      </c>
      <c r="P20" s="203">
        <f t="shared" ca="1" si="15"/>
        <v>3249.3219031086933</v>
      </c>
      <c r="Q20" s="203">
        <f t="shared" ca="1" si="15"/>
        <v>3429.8529160518619</v>
      </c>
      <c r="R20" s="203">
        <f t="shared" ca="1" si="15"/>
        <v>3592.8963098465492</v>
      </c>
      <c r="S20" s="203">
        <f t="shared" ca="1" si="15"/>
        <v>3761.7808910773679</v>
      </c>
      <c r="T20" s="203">
        <f t="shared" ca="1" si="15"/>
        <v>3940.8127695127773</v>
      </c>
      <c r="U20" s="203">
        <f t="shared" ref="U20:AF20" ca="1" si="16">AVERAGE($K$21)*U43</f>
        <v>4132.6572418679107</v>
      </c>
      <c r="V20" s="203">
        <f t="shared" ca="1" si="16"/>
        <v>4342.3296863919031</v>
      </c>
      <c r="W20" s="203">
        <f t="shared" ca="1" si="16"/>
        <v>4570.5784388515913</v>
      </c>
      <c r="X20" s="203">
        <f t="shared" ca="1" si="16"/>
        <v>4809.2033795235538</v>
      </c>
      <c r="Y20" s="203">
        <f t="shared" ca="1" si="16"/>
        <v>5062.7408481865759</v>
      </c>
      <c r="Z20" s="203">
        <f t="shared" ca="1" si="16"/>
        <v>5335.0099195306693</v>
      </c>
      <c r="AA20" s="203">
        <f t="shared" ca="1" si="16"/>
        <v>5611.3076536737608</v>
      </c>
      <c r="AB20" s="203">
        <f t="shared" ca="1" si="16"/>
        <v>5894.0719022804533</v>
      </c>
      <c r="AC20" s="203">
        <f t="shared" ca="1" si="16"/>
        <v>6201.7170820318106</v>
      </c>
      <c r="AD20" s="203">
        <f t="shared" ca="1" si="16"/>
        <v>6522.9263452397363</v>
      </c>
      <c r="AE20" s="203">
        <f t="shared" ca="1" si="16"/>
        <v>6856.974194856145</v>
      </c>
      <c r="AF20" s="203">
        <f t="shared" ca="1" si="16"/>
        <v>7209.340538263802</v>
      </c>
    </row>
    <row r="21" spans="1:32" s="201" customFormat="1" ht="10.5" customHeight="1">
      <c r="A21" s="265"/>
      <c r="B21" s="209">
        <f t="shared" ref="B21:K21" si="17">B20/B43</f>
        <v>2.5489238077954255E-2</v>
      </c>
      <c r="C21" s="210">
        <f t="shared" si="17"/>
        <v>3.310079889658047E-2</v>
      </c>
      <c r="D21" s="210">
        <f t="shared" si="17"/>
        <v>3.9134190207291211E-2</v>
      </c>
      <c r="E21" s="210">
        <f t="shared" si="17"/>
        <v>4.7327291895788347E-2</v>
      </c>
      <c r="F21" s="210">
        <f t="shared" si="17"/>
        <v>2.9229949217847807E-2</v>
      </c>
      <c r="G21" s="210">
        <f t="shared" si="17"/>
        <v>3.3987794555552536E-2</v>
      </c>
      <c r="H21" s="210">
        <f t="shared" si="17"/>
        <v>4.0509445035739618E-2</v>
      </c>
      <c r="I21" s="210">
        <f t="shared" si="17"/>
        <v>4.2396474094582429E-2</v>
      </c>
      <c r="J21" s="210">
        <f t="shared" si="17"/>
        <v>3.9215724941314992E-2</v>
      </c>
      <c r="K21" s="211">
        <f t="shared" si="17"/>
        <v>4.6077105073295148E-2</v>
      </c>
      <c r="L21" s="237"/>
      <c r="M21" s="238"/>
      <c r="N21" s="238"/>
      <c r="O21" s="239"/>
    </row>
    <row r="22" spans="1:32" ht="16.5" customHeight="1">
      <c r="A22" s="263" t="s">
        <v>439</v>
      </c>
      <c r="B22" s="203">
        <f ca="1">номинал!J24/1000</f>
        <v>193.64580699999999</v>
      </c>
      <c r="C22" s="204">
        <f ca="1">номинал!K24/1000</f>
        <v>359.88816200000002</v>
      </c>
      <c r="D22" s="204">
        <f ca="1">номинал!L24/1000</f>
        <v>551.10171300000002</v>
      </c>
      <c r="E22" s="212">
        <f ca="1">SUM('расчет по доходн части'!AL36:AW36)/1000</f>
        <v>566.01499999999999</v>
      </c>
      <c r="F22" s="212">
        <f ca="1">SUM('расчет по доходн части'!AX36:BI36)/1000</f>
        <v>686.46629999999993</v>
      </c>
      <c r="G22" s="212">
        <f ca="1">SUM('расчет по доходн части'!BJ36:BU36)/1000</f>
        <v>845.15381868258885</v>
      </c>
      <c r="H22" s="212">
        <f ca="1">$G$23*H47</f>
        <v>1021.4296154423567</v>
      </c>
      <c r="I22" s="212">
        <f ca="1">$G$23*I47</f>
        <v>1134.213287597021</v>
      </c>
      <c r="J22" s="212">
        <f ca="1">$G$23*J47</f>
        <v>1208.0684773110675</v>
      </c>
      <c r="K22" s="213">
        <f>$G$23*K47</f>
        <v>1303.2021758334961</v>
      </c>
      <c r="L22" s="240">
        <f>AVERAGE($G$23)*L47</f>
        <v>1349.0183045301389</v>
      </c>
      <c r="M22" s="212">
        <f>$G$23*M47*0.9</f>
        <v>1287.765209390916</v>
      </c>
      <c r="N22" s="212">
        <f>AVERAGE($C$23:$G$23)*N47</f>
        <v>1363.1155719990302</v>
      </c>
      <c r="O22" s="212">
        <f>AVERAGE($F$23:$G$23)*O47</f>
        <v>1686.22531803883</v>
      </c>
      <c r="P22" s="212">
        <f>AVERAGE($E$23:$G$23)*P47</f>
        <v>1650.3544796918413</v>
      </c>
      <c r="Q22" s="212">
        <f>AVERAGE($E$23:$G$23)*Q47</f>
        <v>1737.0140406116509</v>
      </c>
      <c r="R22" s="212">
        <f t="shared" ref="R22:AF22" si="18">AVERAGE($E$23:$G$23)*R47</f>
        <v>1822.5187775396473</v>
      </c>
      <c r="S22" s="212">
        <f t="shared" si="18"/>
        <v>1915.5386410003482</v>
      </c>
      <c r="T22" s="212">
        <f t="shared" si="18"/>
        <v>2016.1203040443918</v>
      </c>
      <c r="U22" s="212">
        <f t="shared" si="18"/>
        <v>2124.3457570238779</v>
      </c>
      <c r="V22" s="212">
        <f t="shared" si="18"/>
        <v>2241.8043501256111</v>
      </c>
      <c r="W22" s="212">
        <f t="shared" si="18"/>
        <v>2364.0054481214465</v>
      </c>
      <c r="X22" s="212">
        <f t="shared" si="18"/>
        <v>2496.3975454300612</v>
      </c>
      <c r="Y22" s="212">
        <f t="shared" si="18"/>
        <v>2636.1576562984774</v>
      </c>
      <c r="Z22" s="212">
        <f t="shared" si="18"/>
        <v>2785.7040224345424</v>
      </c>
      <c r="AA22" s="212">
        <f t="shared" si="18"/>
        <v>2934.7936943108912</v>
      </c>
      <c r="AB22" s="212">
        <f t="shared" si="18"/>
        <v>3092.8983902200835</v>
      </c>
      <c r="AC22" s="212">
        <f t="shared" si="18"/>
        <v>3258.7380197045495</v>
      </c>
      <c r="AD22" s="212">
        <f t="shared" si="18"/>
        <v>3432.5143183589798</v>
      </c>
      <c r="AE22" s="212">
        <f t="shared" si="18"/>
        <v>3611.5110727546598</v>
      </c>
      <c r="AF22" s="212">
        <f t="shared" si="18"/>
        <v>3817.3669890416436</v>
      </c>
    </row>
    <row r="23" spans="1:32" s="201" customFormat="1" ht="10.5" customHeight="1">
      <c r="A23" s="265"/>
      <c r="B23" s="214">
        <f t="shared" ref="B23:G23" si="19">B22/B47</f>
        <v>8.9610323210421398E-3</v>
      </c>
      <c r="C23" s="215">
        <f t="shared" si="19"/>
        <v>1.3370192427691297E-2</v>
      </c>
      <c r="D23" s="215">
        <f t="shared" si="19"/>
        <v>1.657572730950153E-2</v>
      </c>
      <c r="E23" s="215">
        <f t="shared" si="19"/>
        <v>1.3712650339063404E-2</v>
      </c>
      <c r="F23" s="215">
        <f t="shared" si="19"/>
        <v>1.768913942331702E-2</v>
      </c>
      <c r="G23" s="215">
        <f t="shared" si="19"/>
        <v>1.8250495415445902E-2</v>
      </c>
      <c r="H23" s="216"/>
      <c r="I23" s="216"/>
      <c r="J23" s="216"/>
      <c r="K23" s="217"/>
      <c r="L23" s="241"/>
      <c r="M23" s="242"/>
      <c r="N23" s="242"/>
      <c r="O23" s="217"/>
    </row>
    <row r="24" spans="1:32" ht="6.75" customHeight="1">
      <c r="A24" s="263"/>
      <c r="B24" s="203"/>
      <c r="C24" s="204"/>
      <c r="D24" s="204"/>
      <c r="E24" s="204"/>
      <c r="F24" s="204"/>
      <c r="G24" s="204"/>
      <c r="H24" s="204"/>
      <c r="I24" s="204"/>
      <c r="J24" s="204"/>
      <c r="K24" s="208"/>
      <c r="L24" s="206"/>
      <c r="M24" s="207"/>
      <c r="N24" s="207"/>
      <c r="O24" s="208"/>
    </row>
    <row r="25" spans="1:32" ht="16.5" customHeight="1">
      <c r="A25" s="263" t="s">
        <v>440</v>
      </c>
      <c r="B25" s="203">
        <f ca="1">номинал!J68/1000</f>
        <v>1172.971438</v>
      </c>
      <c r="C25" s="204">
        <f ca="1">номинал!K68/1000</f>
        <v>1180.016903</v>
      </c>
      <c r="D25" s="204">
        <f ca="1">номинал!L68/1000</f>
        <v>1105.2626640000001</v>
      </c>
      <c r="E25" s="204">
        <f ca="1">номинал!M68/1000</f>
        <v>2004.1362009999998</v>
      </c>
      <c r="F25" s="204">
        <f ca="1">номинал!N68/1000</f>
        <v>1561.0920000000001</v>
      </c>
      <c r="G25" s="204">
        <f ca="1">номинал!O68/1000</f>
        <v>1173.287</v>
      </c>
      <c r="H25" s="204">
        <f ca="1">номинал!P68/1000</f>
        <v>1499.51</v>
      </c>
      <c r="I25" s="204">
        <f ca="1">номинал!Q68/1000</f>
        <v>1903.3908429999999</v>
      </c>
      <c r="J25" s="204">
        <f ca="1">номинал!R68/1000</f>
        <v>1874.5777330000001</v>
      </c>
      <c r="K25" s="205">
        <f ca="1">'saving rate'!N15/1000</f>
        <v>2805.1387059999997</v>
      </c>
      <c r="L25" s="205">
        <f ca="1">Sheet1!BB133*0.96</f>
        <v>2932.8240634931108</v>
      </c>
      <c r="M25" s="205">
        <f t="shared" ref="M25:R25" si="20">L25*M26</f>
        <v>3420.2856365054427</v>
      </c>
      <c r="N25" s="205">
        <f t="shared" si="20"/>
        <v>3426.2413569558071</v>
      </c>
      <c r="O25" s="205">
        <f t="shared" si="20"/>
        <v>3626.3913488822413</v>
      </c>
      <c r="P25" s="205">
        <f t="shared" si="20"/>
        <v>4101.9519598212128</v>
      </c>
      <c r="Q25" s="205">
        <f t="shared" si="20"/>
        <v>4450.4298246849003</v>
      </c>
      <c r="R25" s="205">
        <f t="shared" si="20"/>
        <v>4149.7330944717114</v>
      </c>
      <c r="S25" s="205">
        <f t="shared" ref="S25:AF25" si="21">R25*S26</f>
        <v>3907.6888789432037</v>
      </c>
      <c r="T25" s="205">
        <f>S25*T26</f>
        <v>3717.6423853144061</v>
      </c>
      <c r="U25" s="205">
        <f t="shared" si="21"/>
        <v>3519.1544175031108</v>
      </c>
      <c r="V25" s="205">
        <f>U25*V26</f>
        <v>3397.3002421706774</v>
      </c>
      <c r="W25" s="205">
        <f t="shared" si="21"/>
        <v>3449.8354272555998</v>
      </c>
      <c r="X25" s="205">
        <f t="shared" si="21"/>
        <v>3557.375824968793</v>
      </c>
      <c r="Y25" s="205">
        <f t="shared" si="21"/>
        <v>3818.0070882563696</v>
      </c>
      <c r="Z25" s="205">
        <f>Y25*Z26</f>
        <v>4062.1078319457411</v>
      </c>
      <c r="AA25" s="205">
        <f t="shared" si="21"/>
        <v>4249.6162822068991</v>
      </c>
      <c r="AB25" s="205">
        <f t="shared" si="21"/>
        <v>4445.7801942071164</v>
      </c>
      <c r="AC25" s="205">
        <f>AB25*AC26</f>
        <v>4650.9991073688143</v>
      </c>
      <c r="AD25" s="205">
        <f t="shared" si="21"/>
        <v>4840.3488633610068</v>
      </c>
      <c r="AE25" s="205">
        <f t="shared" si="21"/>
        <v>5037.4073566087063</v>
      </c>
      <c r="AF25" s="205">
        <f t="shared" si="21"/>
        <v>5165.6834134624651</v>
      </c>
    </row>
    <row r="26" spans="1:32" s="201" customFormat="1" ht="10.5" customHeight="1">
      <c r="A26" s="265"/>
      <c r="B26" s="209"/>
      <c r="C26" s="210">
        <f t="shared" ref="C26:K26" si="22">C25/B25</f>
        <v>1.0060065102795792</v>
      </c>
      <c r="D26" s="210">
        <f t="shared" si="22"/>
        <v>0.93664985746394869</v>
      </c>
      <c r="E26" s="210">
        <f t="shared" si="22"/>
        <v>1.8132668968903121</v>
      </c>
      <c r="F26" s="210">
        <f t="shared" si="22"/>
        <v>0.77893508396338795</v>
      </c>
      <c r="G26" s="210">
        <f t="shared" si="22"/>
        <v>0.7515809446208167</v>
      </c>
      <c r="H26" s="210">
        <f t="shared" si="22"/>
        <v>1.278041945406367</v>
      </c>
      <c r="I26" s="210">
        <f t="shared" si="22"/>
        <v>1.2693418803475802</v>
      </c>
      <c r="J26" s="210">
        <f t="shared" si="22"/>
        <v>0.98486222096425213</v>
      </c>
      <c r="K26" s="218">
        <f t="shared" si="22"/>
        <v>1.4964109818539062</v>
      </c>
      <c r="L26" s="243">
        <f ca="1">AVERAGE($F$32:$J$32)*L31</f>
        <v>1.4820182226213323</v>
      </c>
      <c r="M26" s="244">
        <f ca="1">AVERAGE($E$32:$K$32)*M31</f>
        <v>1.1662089380266969</v>
      </c>
      <c r="N26" s="244">
        <f>AVERAGE($F$32:$K$32)*N31</f>
        <v>1.0017412932963252</v>
      </c>
      <c r="O26" s="245">
        <f>AVERAGE($I$32:$J$32)*O31</f>
        <v>1.0584167812696845</v>
      </c>
      <c r="P26" s="245">
        <f>AVERAGE($H$32:$K$32)*P31</f>
        <v>1.1311388003077916</v>
      </c>
      <c r="Q26" s="245">
        <f>AVERAGE($I$32:$K$32)*Q31</f>
        <v>1.0849541555525375</v>
      </c>
      <c r="R26" s="245">
        <f>AVERAGE($F$32:$J$32)*R31</f>
        <v>0.93243422724130276</v>
      </c>
      <c r="S26" s="245">
        <f>AVERAGE($F$32:$J$32)*S31</f>
        <v>0.94167234132456379</v>
      </c>
      <c r="T26" s="245">
        <f>AVERAGE($F$32:$J$32)*T31</f>
        <v>0.95136601210683025</v>
      </c>
      <c r="U26" s="245">
        <f>T26*0.995</f>
        <v>0.94660918204629607</v>
      </c>
      <c r="V26" s="245">
        <f>AVERAGE($F$32:$J$32)*V31</f>
        <v>0.96537401862039041</v>
      </c>
      <c r="W26" s="245">
        <f>AVERAGE($F$32:$K$32)*W31</f>
        <v>1.0154638040031916</v>
      </c>
      <c r="X26" s="245">
        <f>AVERAGE($F$32:$K$32)*X31</f>
        <v>1.0311726167757351</v>
      </c>
      <c r="Y26" s="245">
        <f>AVERAGE($I$32:$J$32)*Y31*0.985</f>
        <v>1.0732650347085166</v>
      </c>
      <c r="Z26" s="245">
        <f>AVERAGE($I$32:$J$32)*Z31*0.96</f>
        <v>1.0639340729461162</v>
      </c>
      <c r="AA26" s="245">
        <f>AVERAGE($I$32:$J$32)*AA31*0.96</f>
        <v>1.0461603822494643</v>
      </c>
      <c r="AB26" s="245">
        <f>AVERAGE($I$32:$J$32)*AB31*0.96</f>
        <v>1.0461603822494643</v>
      </c>
      <c r="AC26" s="245">
        <f>AVERAGE($I$32:$J$32)*AC31*0.96</f>
        <v>1.0461603822494643</v>
      </c>
      <c r="AD26" s="245">
        <f>AVERAGE($I$32:$J$32)*AD31*0.955</f>
        <v>1.0407116302585817</v>
      </c>
      <c r="AE26" s="245">
        <f>AVERAGE($I$32:$J$32)*AE31*0.955</f>
        <v>1.0407116302585817</v>
      </c>
      <c r="AF26" s="245">
        <f>AVERAGE($I$32:$J$32)*AF31*0.95</f>
        <v>1.0254646979632231</v>
      </c>
    </row>
    <row r="27" spans="1:32" ht="16.5" customHeight="1">
      <c r="A27" s="263" t="s">
        <v>474</v>
      </c>
      <c r="B27" s="203">
        <f ca="1">номинал!J28/1000</f>
        <v>601.35984199999996</v>
      </c>
      <c r="C27" s="204">
        <f ca="1">номинал!K28/1000</f>
        <v>953.93689000000006</v>
      </c>
      <c r="D27" s="204">
        <f ca="1">номинал!L28/1000</f>
        <v>992.13305500000001</v>
      </c>
      <c r="E27" s="204">
        <f ca="1">номинал!M28/1000</f>
        <v>714.40524800000003</v>
      </c>
      <c r="F27" s="204">
        <f ca="1">номинал!N28/1000</f>
        <v>1056.2829999999999</v>
      </c>
      <c r="G27" s="204">
        <f ca="1">номинал!O28/1000</f>
        <v>977.923</v>
      </c>
      <c r="H27" s="204">
        <f ca="1">номинал!P28/1000</f>
        <v>949.96199999999999</v>
      </c>
      <c r="I27" s="204">
        <f ca="1">номинал!Q28/1000</f>
        <v>983.78944500000011</v>
      </c>
      <c r="J27" s="204">
        <f ca="1">номинал!R28/1000</f>
        <v>1092.0429529999999</v>
      </c>
      <c r="K27" s="559">
        <f>K25-1292</f>
        <v>1513.1387059999997</v>
      </c>
      <c r="L27" s="558">
        <f ca="1">K27*1.71</f>
        <v>2587.4671872599993</v>
      </c>
      <c r="M27" s="556">
        <f ca="1">Sheet1!BA145*M28*0.85</f>
        <v>2617.1798338766685</v>
      </c>
      <c r="N27" s="246">
        <f>M27*N28</f>
        <v>2473.1075536278008</v>
      </c>
      <c r="O27" s="246">
        <f>N27*O28</f>
        <v>2698.5458406444659</v>
      </c>
      <c r="P27" s="246">
        <f>O27*P28</f>
        <v>3033.2722910336593</v>
      </c>
      <c r="Q27" s="246">
        <f t="shared" ref="Q27:AF27" si="23">P27*Q28</f>
        <v>3270.3066957845576</v>
      </c>
      <c r="R27" s="246">
        <f>Q27*R28</f>
        <v>3030.207638801342</v>
      </c>
      <c r="S27" s="246">
        <f>R27*S28</f>
        <v>2758.9887578543257</v>
      </c>
      <c r="T27" s="246">
        <f t="shared" si="23"/>
        <v>2476.0044740669819</v>
      </c>
      <c r="U27" s="246">
        <f t="shared" si="23"/>
        <v>2210.9351288425182</v>
      </c>
      <c r="V27" s="246">
        <f t="shared" si="23"/>
        <v>2013.3786948411409</v>
      </c>
      <c r="W27" s="246">
        <f t="shared" si="23"/>
        <v>1947.8932487840998</v>
      </c>
      <c r="X27" s="246">
        <f t="shared" si="23"/>
        <v>1913.6907602638385</v>
      </c>
      <c r="Y27" s="246">
        <f t="shared" si="23"/>
        <v>1956.8339609789982</v>
      </c>
      <c r="Z27" s="246">
        <f t="shared" si="23"/>
        <v>1983.5535542714517</v>
      </c>
      <c r="AA27" s="246">
        <f t="shared" si="23"/>
        <v>1977.0490127061184</v>
      </c>
      <c r="AB27" s="246">
        <f t="shared" si="23"/>
        <v>1970.5658010720513</v>
      </c>
      <c r="AC27" s="246">
        <f t="shared" si="23"/>
        <v>1997.1630231265224</v>
      </c>
      <c r="AD27" s="246">
        <f t="shared" si="23"/>
        <v>2039.0652626775016</v>
      </c>
      <c r="AE27" s="246">
        <f t="shared" si="23"/>
        <v>2081.846648126465</v>
      </c>
      <c r="AF27" s="246">
        <f t="shared" si="23"/>
        <v>2109.4893816100039</v>
      </c>
    </row>
    <row r="28" spans="1:32" s="201" customFormat="1" ht="10.5" customHeight="1">
      <c r="A28" s="265"/>
      <c r="B28" s="209"/>
      <c r="C28" s="210">
        <f>C27/B27</f>
        <v>1.5862996219158914</v>
      </c>
      <c r="D28" s="210">
        <f t="shared" ref="D28:I28" si="24">D27/C27</f>
        <v>1.0400405576096339</v>
      </c>
      <c r="E28" s="210">
        <f t="shared" si="24"/>
        <v>0.72006999907890379</v>
      </c>
      <c r="F28" s="210">
        <f t="shared" si="24"/>
        <v>1.4785487690034436</v>
      </c>
      <c r="G28" s="210">
        <f t="shared" si="24"/>
        <v>0.92581533547354267</v>
      </c>
      <c r="H28" s="210">
        <f t="shared" si="24"/>
        <v>0.9714077693233516</v>
      </c>
      <c r="I28" s="210">
        <f t="shared" si="24"/>
        <v>1.0356092612125538</v>
      </c>
      <c r="J28" s="210">
        <f>J27/I27</f>
        <v>1.1100372732703996</v>
      </c>
      <c r="K28" s="220">
        <f>K26/AVERAGE($H$33:$I$33)</f>
        <v>1.1776479689923058</v>
      </c>
      <c r="L28" s="247">
        <f>L26/AVERAGE($H$33:$I$33)</f>
        <v>1.1663211317236852</v>
      </c>
      <c r="M28" s="248">
        <f>M26/AVERAGE($F$33:$G$33)</f>
        <v>1.7423937696791956</v>
      </c>
      <c r="N28" s="248">
        <f>N26/AVERAGE($G$33:$J$33)</f>
        <v>0.94495132570410256</v>
      </c>
      <c r="O28" s="248">
        <f>O26/AVERAGE($F$33:$I$33)</f>
        <v>1.091155876616029</v>
      </c>
      <c r="P28" s="248">
        <f>P26/AVERAGE($F$33:$K$33)</f>
        <v>1.1240395643267094</v>
      </c>
      <c r="Q28" s="248">
        <f>Q26/AVERAGE($F$33:$K$33)</f>
        <v>1.0781447829301614</v>
      </c>
      <c r="R28" s="248">
        <f>R26/AVERAGE($F$33:$K$33)*1</f>
        <v>0.92658209785256396</v>
      </c>
      <c r="S28" s="248">
        <f>S26/AVERAGE($G$33:$J$33)*1.025</f>
        <v>0.91049495174056716</v>
      </c>
      <c r="T28" s="248">
        <f>T26/AVERAGE($G$33:$J$33)</f>
        <v>0.8974318822497046</v>
      </c>
      <c r="U28" s="248">
        <f>U26/AVERAGE($G$33:$J$33)</f>
        <v>0.89294472283845605</v>
      </c>
      <c r="V28" s="248">
        <f>V26/AVERAGE($G$33:$J$33)</f>
        <v>0.91064575734304642</v>
      </c>
      <c r="W28" s="248">
        <f t="shared" ref="W28:AB28" si="25">W26/AVERAGE($G$33:$J$33)*1.01</f>
        <v>0.96747484900638225</v>
      </c>
      <c r="X28" s="248">
        <f t="shared" si="25"/>
        <v>0.98244129212850295</v>
      </c>
      <c r="Y28" s="248">
        <f t="shared" si="25"/>
        <v>1.0225444996709978</v>
      </c>
      <c r="Z28" s="248">
        <f t="shared" si="25"/>
        <v>1.0136545020299452</v>
      </c>
      <c r="AA28" s="248">
        <f t="shared" si="25"/>
        <v>0.99672076332331627</v>
      </c>
      <c r="AB28" s="248">
        <f t="shared" si="25"/>
        <v>0.99672076332331627</v>
      </c>
      <c r="AC28" s="248">
        <f>AC26/AVERAGE($G$33:$J$33)*1.027</f>
        <v>1.0134972514188572</v>
      </c>
      <c r="AD28" s="248">
        <f>AD26/AVERAGE($G$33:$J$33)*1.04</f>
        <v>1.0209808809124565</v>
      </c>
      <c r="AE28" s="248">
        <f>AE26/AVERAGE($G$33:$J$33)*1.04</f>
        <v>1.0209808809124565</v>
      </c>
      <c r="AF28" s="248">
        <f>AF26/AVERAGE($G$33:$J$33)*1.0475</f>
        <v>1.013277987362045</v>
      </c>
    </row>
    <row r="29" spans="1:32" ht="6" customHeight="1">
      <c r="A29" s="263"/>
      <c r="B29" s="203"/>
      <c r="C29" s="204"/>
      <c r="D29" s="204"/>
      <c r="E29" s="204"/>
      <c r="F29" s="204"/>
      <c r="G29" s="204"/>
      <c r="H29" s="204"/>
      <c r="I29" s="204"/>
      <c r="J29" s="204"/>
      <c r="K29" s="219"/>
      <c r="L29" s="206"/>
      <c r="M29" s="207"/>
      <c r="N29" s="207"/>
      <c r="O29" s="208"/>
    </row>
    <row r="30" spans="1:32" s="202" customFormat="1" ht="16.5" customHeight="1">
      <c r="A30" s="266" t="s">
        <v>475</v>
      </c>
      <c r="B30" s="221">
        <v>28.285391666666669</v>
      </c>
      <c r="C30" s="222">
        <v>27.191000000000003</v>
      </c>
      <c r="D30" s="222">
        <v>25.542499999999997</v>
      </c>
      <c r="E30" s="222">
        <v>24.850416666666668</v>
      </c>
      <c r="F30" s="222">
        <v>31.743525000000002</v>
      </c>
      <c r="G30" s="222">
        <v>30.370911111111113</v>
      </c>
      <c r="H30" s="222">
        <v>29.352225710852416</v>
      </c>
      <c r="I30" s="222">
        <v>31.067201777009871</v>
      </c>
      <c r="J30" s="222">
        <v>31.821674688498039</v>
      </c>
      <c r="K30" s="223">
        <v>37.967677847893171</v>
      </c>
      <c r="L30" s="221">
        <v>57.669959794447635</v>
      </c>
      <c r="M30" s="222">
        <v>58.874337626161356</v>
      </c>
      <c r="N30" s="222">
        <v>57.700723805194791</v>
      </c>
      <c r="O30" s="249">
        <v>56.527109166639498</v>
      </c>
      <c r="P30" s="202">
        <v>53.987876505402042</v>
      </c>
      <c r="Q30" s="202">
        <v>51.45680936218146</v>
      </c>
      <c r="R30" s="202">
        <v>49.174859728382017</v>
      </c>
      <c r="S30" s="202">
        <v>47.4597026988788</v>
      </c>
      <c r="T30" s="202">
        <v>46.275883002453099</v>
      </c>
      <c r="U30" s="202">
        <v>45.575233841805549</v>
      </c>
      <c r="V30" s="202">
        <v>45.092735388521007</v>
      </c>
      <c r="W30" s="202">
        <v>44.799243383165418</v>
      </c>
      <c r="X30" s="202">
        <v>45.1961770642801</v>
      </c>
      <c r="Y30" s="202">
        <v>45.581776754111822</v>
      </c>
      <c r="Z30" s="202">
        <v>46.757742204370857</v>
      </c>
      <c r="AA30" s="202">
        <v>47.162776727291082</v>
      </c>
      <c r="AB30" s="202">
        <v>47.571319823487585</v>
      </c>
      <c r="AC30" s="202">
        <v>47.983401885644781</v>
      </c>
      <c r="AD30" s="202">
        <v>48.399053569720856</v>
      </c>
      <c r="AE30" s="202">
        <v>48.818305797228319</v>
      </c>
      <c r="AF30" s="202">
        <v>48.775149618571263</v>
      </c>
    </row>
    <row r="31" spans="1:32" s="201" customFormat="1" ht="10.5" customHeight="1">
      <c r="A31" s="265"/>
      <c r="B31" s="209"/>
      <c r="C31" s="210">
        <f>C30/B30</f>
        <v>0.96130894422238566</v>
      </c>
      <c r="D31" s="210">
        <f t="shared" ref="D31:O31" si="26">D30/C30</f>
        <v>0.93937332205509161</v>
      </c>
      <c r="E31" s="210">
        <f t="shared" si="26"/>
        <v>0.9729046360640764</v>
      </c>
      <c r="F31" s="210">
        <f t="shared" si="26"/>
        <v>1.2773840143525428</v>
      </c>
      <c r="G31" s="210">
        <f t="shared" si="26"/>
        <v>0.95675924810212831</v>
      </c>
      <c r="H31" s="210">
        <f t="shared" si="26"/>
        <v>0.96645851694959473</v>
      </c>
      <c r="I31" s="210">
        <f t="shared" si="26"/>
        <v>1.058427462470874</v>
      </c>
      <c r="J31" s="210">
        <f t="shared" si="26"/>
        <v>1.0242851904366388</v>
      </c>
      <c r="K31" s="220">
        <f t="shared" si="26"/>
        <v>1.1931388972943215</v>
      </c>
      <c r="L31" s="271">
        <f t="shared" si="26"/>
        <v>1.5189224904795631</v>
      </c>
      <c r="M31" s="272">
        <f t="shared" si="26"/>
        <v>1.020883972106214</v>
      </c>
      <c r="N31" s="272">
        <f t="shared" si="26"/>
        <v>0.98006578301706349</v>
      </c>
      <c r="O31" s="273">
        <f t="shared" si="26"/>
        <v>0.97966031340408188</v>
      </c>
      <c r="P31" s="273">
        <f t="shared" ref="P31:AF31" si="27">P30/O30</f>
        <v>0.95507938228802913</v>
      </c>
      <c r="Q31" s="273">
        <f t="shared" si="27"/>
        <v>0.95311786076699423</v>
      </c>
      <c r="R31" s="273">
        <f t="shared" si="27"/>
        <v>0.95565310671056536</v>
      </c>
      <c r="S31" s="273">
        <f t="shared" si="27"/>
        <v>0.96512126238942197</v>
      </c>
      <c r="T31" s="273">
        <f t="shared" si="27"/>
        <v>0.97505631874820686</v>
      </c>
      <c r="U31" s="273">
        <f t="shared" si="27"/>
        <v>0.98485930218532169</v>
      </c>
      <c r="V31" s="273">
        <f t="shared" si="27"/>
        <v>0.98941314366132882</v>
      </c>
      <c r="W31" s="273">
        <f t="shared" si="27"/>
        <v>0.99349136833623308</v>
      </c>
      <c r="X31" s="273">
        <f t="shared" si="27"/>
        <v>1.0088602764497545</v>
      </c>
      <c r="Y31" s="273">
        <f t="shared" si="27"/>
        <v>1.0085316881842308</v>
      </c>
      <c r="Z31" s="273">
        <f t="shared" si="27"/>
        <v>1.0257990261459686</v>
      </c>
      <c r="AA31" s="273">
        <f t="shared" si="27"/>
        <v>1.0086624054931883</v>
      </c>
      <c r="AB31" s="273">
        <f t="shared" si="27"/>
        <v>1.0086624054931883</v>
      </c>
      <c r="AC31" s="273">
        <f t="shared" si="27"/>
        <v>1.0086624054931883</v>
      </c>
      <c r="AD31" s="273">
        <f t="shared" si="27"/>
        <v>1.0086624054931883</v>
      </c>
      <c r="AE31" s="273">
        <f t="shared" si="27"/>
        <v>1.0086624054931883</v>
      </c>
      <c r="AF31" s="273">
        <f t="shared" si="27"/>
        <v>0.99911598368783405</v>
      </c>
    </row>
    <row r="32" spans="1:32" ht="16.5" customHeight="1">
      <c r="A32" s="266" t="s">
        <v>479</v>
      </c>
      <c r="B32" s="203"/>
      <c r="C32" s="224"/>
      <c r="D32" s="224">
        <f>D26/D31</f>
        <v>0.99710076438493622</v>
      </c>
      <c r="E32" s="224">
        <f t="shared" ref="E32:K32" si="28">E26/E31</f>
        <v>1.8637663237231081</v>
      </c>
      <c r="F32" s="224">
        <f t="shared" si="28"/>
        <v>0.60978928435878421</v>
      </c>
      <c r="G32" s="224">
        <f t="shared" si="28"/>
        <v>0.78554865930137308</v>
      </c>
      <c r="H32" s="224">
        <f t="shared" si="28"/>
        <v>1.3223971055066224</v>
      </c>
      <c r="I32" s="224">
        <f t="shared" si="28"/>
        <v>1.1992714903526136</v>
      </c>
      <c r="J32" s="224">
        <f t="shared" si="28"/>
        <v>0.96151172560097131</v>
      </c>
      <c r="K32" s="225">
        <f t="shared" si="28"/>
        <v>1.2541800332277442</v>
      </c>
      <c r="L32" s="225">
        <f t="shared" ref="L32:AF32" si="29">L26/L31</f>
        <v>0.97570365302407291</v>
      </c>
      <c r="M32" s="225">
        <f t="shared" si="29"/>
        <v>1.1423520888673167</v>
      </c>
      <c r="N32" s="225">
        <f t="shared" si="29"/>
        <v>1.022116383058018</v>
      </c>
      <c r="O32" s="225">
        <f t="shared" si="29"/>
        <v>1.0803916079767926</v>
      </c>
      <c r="P32" s="225">
        <f t="shared" si="29"/>
        <v>1.1843400886719877</v>
      </c>
      <c r="Q32" s="225">
        <f t="shared" si="29"/>
        <v>1.1383210830604431</v>
      </c>
      <c r="R32" s="225">
        <f t="shared" si="29"/>
        <v>0.97570365302407291</v>
      </c>
      <c r="S32" s="225">
        <f t="shared" si="29"/>
        <v>0.97570365302407291</v>
      </c>
      <c r="T32" s="225">
        <f t="shared" si="29"/>
        <v>0.97570365302407291</v>
      </c>
      <c r="U32" s="225">
        <f t="shared" si="29"/>
        <v>0.96116184306311392</v>
      </c>
      <c r="V32" s="225">
        <f t="shared" si="29"/>
        <v>0.97570365302407291</v>
      </c>
      <c r="W32" s="225">
        <f t="shared" si="29"/>
        <v>1.022116383058018</v>
      </c>
      <c r="X32" s="225">
        <f t="shared" si="29"/>
        <v>1.022116383058018</v>
      </c>
      <c r="Y32" s="225">
        <f t="shared" si="29"/>
        <v>1.0641857338571408</v>
      </c>
      <c r="Z32" s="225">
        <f t="shared" si="29"/>
        <v>1.037175943657721</v>
      </c>
      <c r="AA32" s="225">
        <f t="shared" si="29"/>
        <v>1.0371759436577208</v>
      </c>
      <c r="AB32" s="225">
        <f t="shared" si="29"/>
        <v>1.0371759436577208</v>
      </c>
      <c r="AC32" s="225">
        <f t="shared" si="29"/>
        <v>1.0371759436577208</v>
      </c>
      <c r="AD32" s="225">
        <f t="shared" si="29"/>
        <v>1.031773985617837</v>
      </c>
      <c r="AE32" s="225">
        <f t="shared" si="29"/>
        <v>1.031773985617837</v>
      </c>
      <c r="AF32" s="225">
        <f t="shared" si="29"/>
        <v>1.0263720275779529</v>
      </c>
    </row>
    <row r="33" spans="1:32" ht="16.5" customHeight="1">
      <c r="A33" s="266"/>
      <c r="B33" s="203"/>
      <c r="C33" s="224"/>
      <c r="D33" s="224">
        <f t="shared" ref="D33:K33" si="30">D26/D28</f>
        <v>0.90058974201610742</v>
      </c>
      <c r="E33" s="224">
        <f t="shared" si="30"/>
        <v>2.5181814257083333</v>
      </c>
      <c r="F33" s="224">
        <f t="shared" si="30"/>
        <v>0.52682407255893082</v>
      </c>
      <c r="G33" s="224">
        <f t="shared" si="30"/>
        <v>0.81180438022923085</v>
      </c>
      <c r="H33" s="224">
        <f t="shared" si="30"/>
        <v>1.3156595878336508</v>
      </c>
      <c r="I33" s="224">
        <f t="shared" si="30"/>
        <v>1.2256957598673444</v>
      </c>
      <c r="J33" s="224">
        <f t="shared" si="30"/>
        <v>0.88723346925337399</v>
      </c>
      <c r="K33" s="224">
        <f t="shared" si="30"/>
        <v>1.2706776738504977</v>
      </c>
      <c r="L33" s="224">
        <f t="shared" ref="L33:AF33" si="31">L26/L28</f>
        <v>1.2706776738504977</v>
      </c>
      <c r="M33" s="224">
        <f t="shared" si="31"/>
        <v>0.66931422639408078</v>
      </c>
      <c r="N33" s="224">
        <f t="shared" si="31"/>
        <v>1.0600982992959</v>
      </c>
      <c r="O33" s="224">
        <f t="shared" si="31"/>
        <v>0.96999595012228934</v>
      </c>
      <c r="P33" s="224">
        <f t="shared" si="31"/>
        <v>1.0063158239321714</v>
      </c>
      <c r="Q33" s="224">
        <f t="shared" si="31"/>
        <v>1.0063158239321714</v>
      </c>
      <c r="R33" s="224">
        <f t="shared" si="31"/>
        <v>1.0063158239321714</v>
      </c>
      <c r="S33" s="224">
        <f t="shared" si="31"/>
        <v>1.0342422432155123</v>
      </c>
      <c r="T33" s="224">
        <f t="shared" si="31"/>
        <v>1.0600982992959</v>
      </c>
      <c r="U33" s="224">
        <f t="shared" si="31"/>
        <v>1.0600982992959</v>
      </c>
      <c r="V33" s="224">
        <f t="shared" si="31"/>
        <v>1.0600982992959</v>
      </c>
      <c r="W33" s="224">
        <f t="shared" si="31"/>
        <v>1.0496022765305941</v>
      </c>
      <c r="X33" s="224">
        <f t="shared" si="31"/>
        <v>1.0496022765305941</v>
      </c>
      <c r="Y33" s="224">
        <f t="shared" si="31"/>
        <v>1.0496022765305941</v>
      </c>
      <c r="Z33" s="224">
        <f t="shared" si="31"/>
        <v>1.0496022765305941</v>
      </c>
      <c r="AA33" s="224">
        <f t="shared" si="31"/>
        <v>1.0496022765305941</v>
      </c>
      <c r="AB33" s="224">
        <f t="shared" si="31"/>
        <v>1.0496022765305941</v>
      </c>
      <c r="AC33" s="224">
        <f t="shared" si="31"/>
        <v>1.0322281395286272</v>
      </c>
      <c r="AD33" s="224">
        <f t="shared" si="31"/>
        <v>1.0193252877845191</v>
      </c>
      <c r="AE33" s="224">
        <f t="shared" si="31"/>
        <v>1.0193252877845191</v>
      </c>
      <c r="AF33" s="224">
        <f t="shared" si="31"/>
        <v>1.0120270160342719</v>
      </c>
    </row>
    <row r="34" spans="1:32" ht="7.5" customHeight="1">
      <c r="A34" s="266"/>
      <c r="B34" s="203"/>
      <c r="C34" s="204"/>
      <c r="D34" s="204"/>
      <c r="E34" s="204"/>
      <c r="F34" s="204"/>
      <c r="G34" s="204"/>
      <c r="H34" s="204"/>
      <c r="I34" s="204"/>
      <c r="J34" s="204"/>
      <c r="K34" s="219"/>
      <c r="L34" s="206"/>
      <c r="M34" s="207"/>
      <c r="N34" s="207"/>
      <c r="O34" s="208"/>
    </row>
    <row r="35" spans="1:32" ht="32.25" customHeight="1">
      <c r="A35" s="263" t="s">
        <v>362</v>
      </c>
      <c r="B35" s="203">
        <f ca="1">номинал!J69/1000</f>
        <v>956.48082399999998</v>
      </c>
      <c r="C35" s="204">
        <f ca="1">номинал!K69/1000</f>
        <v>925.58005600000001</v>
      </c>
      <c r="D35" s="204">
        <f ca="1">номинал!L69/1000</f>
        <v>996.38361800000007</v>
      </c>
      <c r="E35" s="204">
        <f ca="1">номинал!M69/1000</f>
        <v>1247.553269</v>
      </c>
      <c r="F35" s="204">
        <f ca="1">номинал!N69/1000</f>
        <v>1396.5070000000001</v>
      </c>
      <c r="G35" s="204">
        <f ca="1">номинал!O69/1000</f>
        <v>1693.4069999999999</v>
      </c>
      <c r="H35" s="204">
        <f ca="1">номинал!P69/1000</f>
        <v>1884.0360000000001</v>
      </c>
      <c r="I35" s="204">
        <f ca="1">номинал!Q69/1000</f>
        <v>1997.1882309999999</v>
      </c>
      <c r="J35" s="204">
        <f ca="1">номинал!R69/1000</f>
        <v>2027.5000049999999</v>
      </c>
      <c r="K35" s="205">
        <f ca="1">'saving rate'!N17/1000</f>
        <v>2022.2849130000002</v>
      </c>
      <c r="L35" s="206">
        <f ca="1">SUM(Sheet1!AE122:AE133)</f>
        <v>2065.4691732480383</v>
      </c>
      <c r="M35" s="207">
        <f ca="1">SUM(Sheet1!AE134:AE145)</f>
        <v>2338.5314002416562</v>
      </c>
      <c r="N35" s="207">
        <f ca="1">SUM(Sheet1!AE146:AE157)*1.02</f>
        <v>2426.9092940247506</v>
      </c>
      <c r="O35" s="208">
        <f ca="1">SUM(Sheet1!AE158:AE169)*1.07</f>
        <v>2543.7918559150762</v>
      </c>
      <c r="P35" s="208">
        <f ca="1">O35*P49/O49*1.02</f>
        <v>2759.0412652429973</v>
      </c>
      <c r="Q35" s="208">
        <f ca="1">P35*Q49/P49*0.97</f>
        <v>2826.2562905746709</v>
      </c>
      <c r="R35" s="208">
        <f t="shared" ref="R35:AF35" ca="1" si="32">Q35*R49/Q49</f>
        <v>2978.3996488525213</v>
      </c>
      <c r="S35" s="208">
        <f ca="1">R35*S49/R49*0.99</f>
        <v>3104.968892163512</v>
      </c>
      <c r="T35" s="208">
        <f ca="1">S35*T49/S49*0.97</f>
        <v>3170.7477693749202</v>
      </c>
      <c r="U35" s="208">
        <f t="shared" ca="1" si="32"/>
        <v>3338.3542135412827</v>
      </c>
      <c r="V35" s="208">
        <f t="shared" ca="1" si="32"/>
        <v>3520.4309731548929</v>
      </c>
      <c r="W35" s="208">
        <f t="shared" ca="1" si="32"/>
        <v>3715.370351287444</v>
      </c>
      <c r="X35" s="208">
        <f t="shared" ca="1" si="32"/>
        <v>3917.7299447834116</v>
      </c>
      <c r="Y35" s="208">
        <f ca="1">X35*Y49/X49*1.01</f>
        <v>4174.1770283903961</v>
      </c>
      <c r="Z35" s="208">
        <f t="shared" ca="1" si="32"/>
        <v>4406.4975051675428</v>
      </c>
      <c r="AA35" s="208">
        <f t="shared" ca="1" si="32"/>
        <v>4645.1161839281185</v>
      </c>
      <c r="AB35" s="208">
        <f t="shared" ca="1" si="32"/>
        <v>4891.7835840787366</v>
      </c>
      <c r="AC35" s="208">
        <f t="shared" ca="1" si="32"/>
        <v>5152.5560161828744</v>
      </c>
      <c r="AD35" s="208">
        <f t="shared" ca="1" si="32"/>
        <v>5422.5685273744402</v>
      </c>
      <c r="AE35" s="208">
        <f t="shared" ca="1" si="32"/>
        <v>5699.2500967440455</v>
      </c>
      <c r="AF35" s="208">
        <f t="shared" ca="1" si="32"/>
        <v>5991.0244976492077</v>
      </c>
    </row>
    <row r="36" spans="1:32" ht="16.5" customHeight="1">
      <c r="A36" s="263" t="s">
        <v>363</v>
      </c>
      <c r="B36" s="203">
        <f ca="1">номинал!J71/1000</f>
        <v>238.44822500000001</v>
      </c>
      <c r="C36" s="204">
        <f ca="1">номинал!K71/1000</f>
        <v>288.13447100000002</v>
      </c>
      <c r="D36" s="204">
        <f ca="1">номинал!L71/1000</f>
        <v>459.07126199999999</v>
      </c>
      <c r="E36" s="204">
        <f ca="1">номинал!M71/1000</f>
        <v>256.48923000000002</v>
      </c>
      <c r="F36" s="204">
        <f ca="1">номинал!N71/1000</f>
        <v>153.70500000000001</v>
      </c>
      <c r="G36" s="204">
        <f ca="1">номинал!O71/1000</f>
        <v>139.81899999999999</v>
      </c>
      <c r="H36" s="204">
        <f ca="1">номинал!P71/1000</f>
        <v>141.887</v>
      </c>
      <c r="I36" s="204">
        <f ca="1">номинал!Q71/1000</f>
        <v>125.42880000000001</v>
      </c>
      <c r="J36" s="204">
        <f ca="1">номинал!R71/1000</f>
        <v>74.957098000000002</v>
      </c>
      <c r="K36" s="226">
        <f ca="1">'saving rate'!N19/1000</f>
        <v>77.420289999999994</v>
      </c>
      <c r="L36" s="227">
        <f>AVERAGE($J$37:$K$37)*L43</f>
        <v>87.559764732312601</v>
      </c>
      <c r="M36" s="227">
        <f>AVERAGE($J$37:$K$37)*M43</f>
        <v>94.128758994953586</v>
      </c>
      <c r="N36" s="227">
        <f>AVERAGE($J$37:$K$37)*N43</f>
        <v>101.08918594191059</v>
      </c>
      <c r="O36" s="227">
        <f ca="1">AVERAGE($J$37:$K$37)*O43</f>
        <v>109.27652891478806</v>
      </c>
      <c r="P36" s="227">
        <f ca="1">AVERAGE($J$37:$K$37)*P43</f>
        <v>116.18156518915546</v>
      </c>
      <c r="Q36" s="227">
        <f t="shared" ref="Q36:AF36" ca="1" si="33">AVERAGE($J$37:$K$37)*Q43</f>
        <v>122.63656603990354</v>
      </c>
      <c r="R36" s="227">
        <f t="shared" ca="1" si="33"/>
        <v>128.46628597829925</v>
      </c>
      <c r="S36" s="227">
        <f ca="1">AVERAGE($J$37:$K$37)*S43*0.94</f>
        <v>126.43456960097943</v>
      </c>
      <c r="T36" s="227">
        <f ca="1">AVERAGE($K$37)*T43</f>
        <v>138.23463330462857</v>
      </c>
      <c r="U36" s="227">
        <f t="shared" ca="1" si="33"/>
        <v>147.76578038979568</v>
      </c>
      <c r="V36" s="227">
        <f t="shared" ca="1" si="33"/>
        <v>155.26275160662954</v>
      </c>
      <c r="W36" s="227">
        <f t="shared" ca="1" si="33"/>
        <v>163.42393049379001</v>
      </c>
      <c r="X36" s="227">
        <f t="shared" ca="1" si="33"/>
        <v>171.95611657049545</v>
      </c>
      <c r="Y36" s="227">
        <f t="shared" ca="1" si="33"/>
        <v>181.02150954223666</v>
      </c>
      <c r="Z36" s="227">
        <f t="shared" ca="1" si="33"/>
        <v>190.75666284640482</v>
      </c>
      <c r="AA36" s="227">
        <f t="shared" ca="1" si="33"/>
        <v>200.63586354371034</v>
      </c>
      <c r="AB36" s="227">
        <f t="shared" ca="1" si="33"/>
        <v>210.74627856637429</v>
      </c>
      <c r="AC36" s="227">
        <f t="shared" ca="1" si="33"/>
        <v>221.74632706025108</v>
      </c>
      <c r="AD36" s="227">
        <f t="shared" ca="1" si="33"/>
        <v>233.23136795972269</v>
      </c>
      <c r="AE36" s="227">
        <f t="shared" ca="1" si="33"/>
        <v>245.17546065776389</v>
      </c>
      <c r="AF36" s="227">
        <f t="shared" ca="1" si="33"/>
        <v>257.77454271790526</v>
      </c>
    </row>
    <row r="37" spans="1:32" s="201" customFormat="1" ht="10.5" customHeight="1">
      <c r="A37" s="265"/>
      <c r="B37" s="214">
        <f ca="1">B36/B43</f>
        <v>1.7255131508361891E-2</v>
      </c>
      <c r="C37" s="215">
        <f t="shared" ref="C37:K37" si="34">C36/C43</f>
        <v>1.6664742166450735E-2</v>
      </c>
      <c r="D37" s="215">
        <f t="shared" si="34"/>
        <v>2.1541059986997318E-2</v>
      </c>
      <c r="E37" s="215">
        <f t="shared" si="34"/>
        <v>1.0160384743381283E-2</v>
      </c>
      <c r="F37" s="215">
        <f t="shared" si="34"/>
        <v>5.3560444532349946E-3</v>
      </c>
      <c r="G37" s="215">
        <f t="shared" si="34"/>
        <v>4.3023502410158019E-3</v>
      </c>
      <c r="H37" s="270">
        <f t="shared" si="34"/>
        <v>3.9801480414110215E-3</v>
      </c>
      <c r="I37" s="270">
        <f t="shared" si="34"/>
        <v>3.1432896631730348E-3</v>
      </c>
      <c r="J37" s="270">
        <f t="shared" si="34"/>
        <v>1.6787535271755962E-3</v>
      </c>
      <c r="K37" s="217">
        <f t="shared" si="34"/>
        <v>1.6162786958115961E-3</v>
      </c>
      <c r="L37" s="241"/>
      <c r="M37" s="242"/>
      <c r="N37" s="242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</row>
    <row r="38" spans="1:32" ht="17.25" customHeight="1">
      <c r="A38" s="263" t="s">
        <v>364</v>
      </c>
      <c r="B38" s="203">
        <f ca="1">номинал!J74/1000</f>
        <v>204.743629</v>
      </c>
      <c r="C38" s="204">
        <f ca="1">номинал!K74/1000</f>
        <v>583.86826800000006</v>
      </c>
      <c r="D38" s="204">
        <f ca="1">номинал!L74/1000</f>
        <v>818.99319800000001</v>
      </c>
      <c r="E38" s="204">
        <f ca="1">номинал!M74/1000</f>
        <v>85.13</v>
      </c>
      <c r="F38" s="204">
        <f ca="1">номинал!N74/1000</f>
        <v>101.527</v>
      </c>
      <c r="G38" s="204">
        <f ca="1">номинал!O74/1000</f>
        <v>735.33900000000006</v>
      </c>
      <c r="H38" s="204">
        <f ca="1">номинал!P74/1000</f>
        <v>581.57100000000003</v>
      </c>
      <c r="I38" s="204">
        <f ca="1">номинал!Q74/1000</f>
        <v>3.0753999999999797</v>
      </c>
      <c r="J38" s="204">
        <f ca="1">номинал!R74/1000</f>
        <v>331.78641700000003</v>
      </c>
      <c r="K38" s="226">
        <f ca="1">'saving rate'!N21/1000</f>
        <v>114.72876019500004</v>
      </c>
      <c r="L38" s="250">
        <f>$K$39*L43-8</f>
        <v>119.29421606286786</v>
      </c>
      <c r="M38" s="251">
        <f>$K$39*M43</f>
        <v>136.84420717511873</v>
      </c>
      <c r="N38" s="251">
        <f>$K$39*N43</f>
        <v>146.96326236427433</v>
      </c>
      <c r="O38" s="252">
        <f ca="1">$K$39*O43</f>
        <v>158.86600569114921</v>
      </c>
      <c r="P38" s="252">
        <f t="shared" ref="P38:AF38" ca="1" si="35">$K$39*P43</f>
        <v>168.90453402797664</v>
      </c>
      <c r="Q38" s="252">
        <f t="shared" ca="1" si="35"/>
        <v>178.28880173921561</v>
      </c>
      <c r="R38" s="252">
        <f t="shared" ca="1" si="35"/>
        <v>186.76403727340036</v>
      </c>
      <c r="S38" s="252">
        <f t="shared" ca="1" si="35"/>
        <v>195.54290632605117</v>
      </c>
      <c r="T38" s="252">
        <f t="shared" ca="1" si="35"/>
        <v>204.84924681954172</v>
      </c>
      <c r="U38" s="252">
        <f t="shared" ca="1" si="35"/>
        <v>214.82160479921311</v>
      </c>
      <c r="V38" s="252">
        <f t="shared" ca="1" si="35"/>
        <v>225.72068700678068</v>
      </c>
      <c r="W38" s="252">
        <f t="shared" ca="1" si="35"/>
        <v>237.58539303661016</v>
      </c>
      <c r="X38" s="252">
        <f t="shared" ca="1" si="35"/>
        <v>249.98946859868082</v>
      </c>
      <c r="Y38" s="252">
        <f t="shared" ca="1" si="35"/>
        <v>263.16871931009547</v>
      </c>
      <c r="Z38" s="252">
        <f t="shared" ca="1" si="35"/>
        <v>277.32166629315884</v>
      </c>
      <c r="AA38" s="252">
        <f t="shared" ca="1" si="35"/>
        <v>291.6840290968492</v>
      </c>
      <c r="AB38" s="252">
        <f t="shared" ca="1" si="35"/>
        <v>306.38253083808672</v>
      </c>
      <c r="AC38" s="252">
        <f t="shared" ca="1" si="35"/>
        <v>322.37437999348811</v>
      </c>
      <c r="AD38" s="252">
        <f t="shared" ca="1" si="35"/>
        <v>339.07131016704182</v>
      </c>
      <c r="AE38" s="252">
        <f t="shared" ca="1" si="35"/>
        <v>356.43560895459092</v>
      </c>
      <c r="AF38" s="252">
        <f t="shared" ca="1" si="35"/>
        <v>374.75213000578992</v>
      </c>
    </row>
    <row r="39" spans="1:32" s="201" customFormat="1" ht="10.5" customHeight="1">
      <c r="A39" s="265"/>
      <c r="B39" s="214">
        <f ca="1">B38/B43</f>
        <v>1.4816123055201006E-2</v>
      </c>
      <c r="C39" s="215">
        <f t="shared" ref="C39:K39" si="36">C38/C43</f>
        <v>3.3769004144568869E-2</v>
      </c>
      <c r="D39" s="215">
        <f t="shared" si="36"/>
        <v>3.8429723372796903E-2</v>
      </c>
      <c r="E39" s="215">
        <f t="shared" si="36"/>
        <v>3.3722802053093941E-3</v>
      </c>
      <c r="F39" s="215">
        <f t="shared" si="36"/>
        <v>3.537836278608954E-3</v>
      </c>
      <c r="G39" s="215">
        <f t="shared" si="36"/>
        <v>2.2627010090748179E-2</v>
      </c>
      <c r="H39" s="270">
        <f t="shared" si="36"/>
        <v>1.6313958830558466E-2</v>
      </c>
      <c r="I39" s="270">
        <f t="shared" si="36"/>
        <v>7.7070601250448753E-5</v>
      </c>
      <c r="J39" s="270">
        <f t="shared" si="36"/>
        <v>7.4307521591578055E-3</v>
      </c>
      <c r="K39" s="217">
        <f t="shared" si="36"/>
        <v>2.3951557259738504E-3</v>
      </c>
      <c r="L39" s="241"/>
      <c r="M39" s="242"/>
      <c r="N39" s="242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</row>
    <row r="40" spans="1:32" ht="34.5" customHeight="1">
      <c r="A40" s="263" t="s">
        <v>436</v>
      </c>
      <c r="B40" s="203">
        <f ca="1">номинал!J70/1000</f>
        <v>-558.06028099999992</v>
      </c>
      <c r="C40" s="204">
        <f ca="1">номинал!K70/1000</f>
        <v>-884.72818000000007</v>
      </c>
      <c r="D40" s="204">
        <f ca="1">номинал!L70/1000</f>
        <v>-1175.3667009999999</v>
      </c>
      <c r="E40" s="204">
        <f ca="1">номинал!M70/1000</f>
        <v>-1098.148801</v>
      </c>
      <c r="F40" s="204">
        <f ca="1">номинал!N70/1000</f>
        <v>492.43599999999998</v>
      </c>
      <c r="G40" s="204">
        <f ca="1">номинал!O70/1000</f>
        <v>-546.18100000000004</v>
      </c>
      <c r="H40" s="204">
        <f ca="1">номинал!P70/1000</f>
        <v>-1584.1210000000001</v>
      </c>
      <c r="I40" s="204">
        <f ca="1">номинал!Q70/1000</f>
        <v>-2311.748</v>
      </c>
      <c r="J40" s="204">
        <f ca="1">номинал!R70/1000</f>
        <v>-2307.6810829999999</v>
      </c>
      <c r="K40" s="205">
        <f ca="1">'saving rate'!N16/1000</f>
        <v>-1363.4459999999999</v>
      </c>
      <c r="L40" s="253">
        <f>L41/(K41/-K40)*-1</f>
        <v>628.78888604759527</v>
      </c>
      <c r="M40" s="253">
        <f t="shared" ref="M40:R40" si="37">M41/(L41/L40)</f>
        <v>-1058.3088320862096</v>
      </c>
      <c r="N40" s="253">
        <f t="shared" si="37"/>
        <v>-1399.2732657938484</v>
      </c>
      <c r="O40" s="253">
        <f t="shared" si="37"/>
        <v>-1633.7201264363462</v>
      </c>
      <c r="P40" s="253">
        <f t="shared" si="37"/>
        <v>-2369.3401962840849</v>
      </c>
      <c r="Q40" s="253">
        <f t="shared" si="37"/>
        <v>-2584.1151442557712</v>
      </c>
      <c r="R40" s="253">
        <f t="shared" si="37"/>
        <v>-2412.0012495871388</v>
      </c>
      <c r="S40" s="253">
        <f t="shared" ref="S40:AF40" si="38">S41/(R41/R40)</f>
        <v>-2693.3273605034278</v>
      </c>
      <c r="T40" s="253">
        <f t="shared" si="38"/>
        <v>-2950.0508749944706</v>
      </c>
      <c r="U40" s="253">
        <f t="shared" si="38"/>
        <v>-3247.3541211378993</v>
      </c>
      <c r="V40" s="253">
        <f t="shared" si="38"/>
        <v>-3580.2790227076712</v>
      </c>
      <c r="W40" s="253">
        <f t="shared" si="38"/>
        <v>-3994.9353975721824</v>
      </c>
      <c r="X40" s="253">
        <f t="shared" si="38"/>
        <v>-4285.1626730428516</v>
      </c>
      <c r="Y40" s="253">
        <f t="shared" si="38"/>
        <v>-4650.4099346608282</v>
      </c>
      <c r="Z40" s="253">
        <f t="shared" si="38"/>
        <v>-4910.0254937674672</v>
      </c>
      <c r="AA40" s="253">
        <f t="shared" si="38"/>
        <v>-5321.7240288883295</v>
      </c>
      <c r="AB40" s="253">
        <f t="shared" si="38"/>
        <v>-4985.048154969958</v>
      </c>
      <c r="AC40" s="253">
        <f t="shared" si="38"/>
        <v>-5298.3175324526665</v>
      </c>
      <c r="AD40" s="253">
        <f t="shared" si="38"/>
        <v>-5669.9898444470982</v>
      </c>
      <c r="AE40" s="253">
        <f t="shared" si="38"/>
        <v>-5848.6825438730293</v>
      </c>
      <c r="AF40" s="253">
        <f t="shared" si="38"/>
        <v>-6055.3179568756996</v>
      </c>
    </row>
    <row r="41" spans="1:32" ht="34.5" customHeight="1">
      <c r="A41" s="263" t="s">
        <v>437</v>
      </c>
      <c r="B41" s="203"/>
      <c r="C41" s="204"/>
      <c r="D41" s="204"/>
      <c r="E41" s="204"/>
      <c r="F41" s="204"/>
      <c r="G41" s="205">
        <f>'[11]Схема 1'!G104-'[11]Схема 1'!F104</f>
        <v>-1.1278056674064747E-3</v>
      </c>
      <c r="H41" s="205">
        <f>'[11]Схема 1'!H115-'[11]Схема 1'!G115</f>
        <v>1529.6009999999997</v>
      </c>
      <c r="I41" s="205">
        <f>'[11]Схема 1'!I115-'[11]Схема 1'!H115</f>
        <v>2357.5510000000004</v>
      </c>
      <c r="J41" s="205">
        <f>'[11]Схема 1'!J115-'[11]Схема 1'!I115</f>
        <v>2382.1839999999993</v>
      </c>
      <c r="K41" s="205">
        <f ca="1">'[11]Схема 1'!K115-'[11]Схема 1'!J115</f>
        <v>1449.4549999999999</v>
      </c>
      <c r="L41" s="205">
        <f>'[17]Схема 1'!$L$118-'[17]Схема 1'!$K$118</f>
        <v>-668.45419241107993</v>
      </c>
      <c r="M41" s="205">
        <f>'[17]Схема 1'!$M$118-'[17]Схема 1'!$L$118</f>
        <v>1125.0691470080346</v>
      </c>
      <c r="N41" s="205">
        <f>'[17]Схема 1'!$N$118-'[17]Схема 1'!$M$118</f>
        <v>1487.5423239873253</v>
      </c>
      <c r="O41" s="205">
        <f>'[17]Схема 1'!$O$118-'[17]Схема 1'!$N$118</f>
        <v>1736.7785785896867</v>
      </c>
      <c r="P41" s="205">
        <f>[12]out!H12-[12]out!G12</f>
        <v>2518.8030873279531</v>
      </c>
      <c r="Q41" s="205">
        <f>[12]out!I12-[12]out!H12</f>
        <v>2747.1264842298478</v>
      </c>
      <c r="R41" s="205">
        <f>[12]out!J12-[12]out!I12</f>
        <v>2564.1552883064869</v>
      </c>
      <c r="S41" s="205">
        <f>[12]out!K12-[12]out!J12</f>
        <v>2863.2280334670359</v>
      </c>
      <c r="T41" s="205">
        <f>[12]out!L12-[12]out!K12</f>
        <v>3136.1461994205201</v>
      </c>
      <c r="U41" s="205">
        <f>[12]out!M12-[12]out!L12</f>
        <v>3452.2039506177243</v>
      </c>
      <c r="V41" s="205">
        <f>[12]out!N12-[12]out!M12</f>
        <v>3806.1304451065516</v>
      </c>
      <c r="W41" s="205">
        <f>[12]out!O12-[12]out!N12</f>
        <v>4246.9442036486871</v>
      </c>
      <c r="X41" s="205">
        <f>[12]out!P12-[12]out!O12</f>
        <v>4555.4796172751448</v>
      </c>
      <c r="Y41" s="205">
        <f>[12]out!Q12-[12]out!P12</f>
        <v>4943.7674332858151</v>
      </c>
      <c r="Z41" s="205">
        <f>[12]out!R12-[12]out!Q12</f>
        <v>5219.7600800242362</v>
      </c>
      <c r="AA41" s="205">
        <f>[12]out!S12-[12]out!R12</f>
        <v>5657.4294121603161</v>
      </c>
      <c r="AB41" s="205">
        <f>[12]out!T12-[12]out!S12</f>
        <v>5299.5153262116582</v>
      </c>
      <c r="AC41" s="205">
        <f>[12]out!U12-[12]out!T12</f>
        <v>5632.5463854096015</v>
      </c>
      <c r="AD41" s="205">
        <f>[12]out!V12-[12]out!U12</f>
        <v>6027.6645572931156</v>
      </c>
      <c r="AE41" s="205">
        <f>[12]out!W12-[12]out!V12</f>
        <v>6217.6295626152278</v>
      </c>
      <c r="AF41" s="205">
        <f>[12]out!X12-[12]out!W12</f>
        <v>6437.2999658096232</v>
      </c>
    </row>
    <row r="42" spans="1:32" ht="21" customHeight="1">
      <c r="A42" s="267"/>
      <c r="B42" s="206"/>
      <c r="C42" s="207"/>
      <c r="D42" s="207"/>
      <c r="E42" s="207"/>
      <c r="F42" s="207"/>
      <c r="G42" s="207"/>
      <c r="H42" s="207"/>
      <c r="I42" s="207"/>
      <c r="J42" s="207"/>
      <c r="K42" s="208"/>
      <c r="L42" s="206"/>
      <c r="M42" s="207"/>
      <c r="N42" s="207"/>
      <c r="O42" s="208">
        <f>O41/N41</f>
        <v>1.1675490173175638</v>
      </c>
      <c r="P42">
        <f>O42*0.98</f>
        <v>1.1441980369712126</v>
      </c>
      <c r="Q42">
        <f>P42*1.005</f>
        <v>1.1499190271560684</v>
      </c>
      <c r="R42">
        <f>Q42*1</f>
        <v>1.1499190271560684</v>
      </c>
      <c r="S42">
        <f t="shared" ref="S42:Z42" si="39">R42*0.995</f>
        <v>1.144169432020288</v>
      </c>
      <c r="T42">
        <f t="shared" si="39"/>
        <v>1.1384485848601866</v>
      </c>
      <c r="U42">
        <f t="shared" si="39"/>
        <v>1.1327563419358857</v>
      </c>
      <c r="V42">
        <f t="shared" si="39"/>
        <v>1.1270925602262063</v>
      </c>
      <c r="W42">
        <f t="shared" si="39"/>
        <v>1.1214570974250753</v>
      </c>
      <c r="X42">
        <f t="shared" si="39"/>
        <v>1.1158498119379499</v>
      </c>
      <c r="Y42">
        <f>X42*0.98</f>
        <v>1.0935328156991908</v>
      </c>
      <c r="Z42">
        <f t="shared" si="39"/>
        <v>1.0880651516206949</v>
      </c>
      <c r="AA42">
        <f t="shared" ref="AA42:AF42" si="40">Z42*0.997</f>
        <v>1.0848009561658329</v>
      </c>
      <c r="AB42">
        <f t="shared" si="40"/>
        <v>1.0815465532973354</v>
      </c>
      <c r="AC42">
        <f t="shared" si="40"/>
        <v>1.0783019136374434</v>
      </c>
      <c r="AD42">
        <f t="shared" si="40"/>
        <v>1.0750670078965312</v>
      </c>
      <c r="AE42">
        <f t="shared" si="40"/>
        <v>1.0718418068728417</v>
      </c>
      <c r="AF42">
        <f t="shared" si="40"/>
        <v>1.0686262814522232</v>
      </c>
    </row>
    <row r="43" spans="1:32">
      <c r="A43" s="267" t="str">
        <f ca="1">номинал!A32</f>
        <v>ВСЕГО ДЕНЕЖНЫХ ДОХОДОВ</v>
      </c>
      <c r="B43" s="227">
        <f ca="1">номинал!J32/1000</f>
        <v>13818.974656</v>
      </c>
      <c r="C43" s="228">
        <f ca="1">номинал!K32/1000</f>
        <v>17290.064743999999</v>
      </c>
      <c r="D43" s="228">
        <f ca="1">номинал!L32/1000</f>
        <v>21311.451817000001</v>
      </c>
      <c r="E43" s="228">
        <f ca="1">номинал!M32/1000</f>
        <v>25244.046999999999</v>
      </c>
      <c r="F43" s="228">
        <f ca="1">номинал!N32/1000</f>
        <v>28697.484</v>
      </c>
      <c r="G43" s="228">
        <f ca="1">номинал!O32/1000</f>
        <v>32498.284</v>
      </c>
      <c r="H43" s="228">
        <f ca="1">номинал!P32/1000</f>
        <v>35648.673999999999</v>
      </c>
      <c r="I43" s="228">
        <f ca="1">номинал!Q32/1000</f>
        <v>39903.672088999992</v>
      </c>
      <c r="J43" s="228">
        <f ca="1">номинал!R32/1000</f>
        <v>44650.448554000002</v>
      </c>
      <c r="K43" s="226">
        <f ca="1">'saving rate'!N4/1000</f>
        <v>47900.334391974568</v>
      </c>
      <c r="L43" s="227">
        <f ca="1">БДДРН!O2</f>
        <v>53146.530174404877</v>
      </c>
      <c r="M43" s="228">
        <f ca="1">БДДРН!P2</f>
        <v>57133.741113838849</v>
      </c>
      <c r="N43" s="228">
        <f ca="1">БДДРН!Q2</f>
        <v>61358.541647441431</v>
      </c>
      <c r="O43" s="226">
        <f ca="1">БДДРН!R2</f>
        <v>66328.048722825988</v>
      </c>
      <c r="P43" s="226">
        <f ca="1">БДДРН!S2</f>
        <v>70519.22853963972</v>
      </c>
      <c r="Q43" s="226">
        <f ca="1">БДДРН!T2</f>
        <v>74437.248403431004</v>
      </c>
      <c r="R43" s="226">
        <f ca="1">БДДРН!U2</f>
        <v>77975.738799807543</v>
      </c>
      <c r="S43" s="226">
        <f ca="1">БДДРН!V2</f>
        <v>81640.999040488299</v>
      </c>
      <c r="T43" s="226">
        <f ca="1">БДДРН!W2</f>
        <v>85526.483559331711</v>
      </c>
      <c r="U43" s="226">
        <f ca="1">БДДРН!X2</f>
        <v>89690.036630861825</v>
      </c>
      <c r="V43" s="226">
        <f ca="1">БДДРН!Y2</f>
        <v>94240.505767116469</v>
      </c>
      <c r="W43" s="226">
        <f ca="1">БДДРН!Z2</f>
        <v>99194.131913911318</v>
      </c>
      <c r="X43" s="226">
        <f ca="1">БДДРН!AA2</f>
        <v>104372.94990372167</v>
      </c>
      <c r="Y43" s="226">
        <f ca="1">БДДРН!AB2</f>
        <v>109875.41079530152</v>
      </c>
      <c r="Z43" s="226">
        <f ca="1">БДДРН!AC2</f>
        <v>115784.39902082032</v>
      </c>
      <c r="AA43" s="226">
        <f ca="1">БДДРН!AD2</f>
        <v>121780.82031733151</v>
      </c>
      <c r="AB43" s="226">
        <f ca="1">БДДРН!AE2</f>
        <v>127917.58277575632</v>
      </c>
      <c r="AC43" s="226">
        <f ca="1">БДДРН!AF2</f>
        <v>134594.32992082942</v>
      </c>
      <c r="AD43" s="226">
        <f ca="1">БДДРН!AG2</f>
        <v>141565.4550098943</v>
      </c>
      <c r="AE43" s="226">
        <f ca="1">БДДРН!AH2</f>
        <v>148815.21276019211</v>
      </c>
      <c r="AF43" s="226">
        <f ca="1">БДДРН!AI2</f>
        <v>156462.53224450315</v>
      </c>
    </row>
    <row r="44" spans="1:32" ht="6.75" customHeight="1">
      <c r="A44" s="267"/>
      <c r="B44" s="206"/>
      <c r="C44" s="207"/>
      <c r="D44" s="207"/>
      <c r="E44" s="207"/>
      <c r="F44" s="207"/>
      <c r="G44" s="207"/>
      <c r="H44" s="207"/>
      <c r="I44" s="207"/>
      <c r="J44" s="207"/>
      <c r="K44" s="208"/>
      <c r="L44" s="206"/>
      <c r="M44" s="207"/>
      <c r="N44" s="207"/>
      <c r="O44" s="208"/>
    </row>
    <row r="45" spans="1:32">
      <c r="A45" s="268" t="s">
        <v>477</v>
      </c>
      <c r="B45" s="229"/>
      <c r="C45" s="230"/>
      <c r="D45" s="231">
        <f t="shared" ref="D45:AF45" si="41">D2/D49*100</f>
        <v>16.31669020451854</v>
      </c>
      <c r="E45" s="231">
        <f t="shared" si="41"/>
        <v>11.405516014155136</v>
      </c>
      <c r="F45" s="231">
        <f t="shared" si="41"/>
        <v>16.887270938641755</v>
      </c>
      <c r="G45" s="231">
        <f t="shared" si="41"/>
        <v>17.904926328181656</v>
      </c>
      <c r="H45" s="231">
        <f t="shared" si="41"/>
        <v>12.825178490049611</v>
      </c>
      <c r="I45" s="231">
        <f t="shared" si="41"/>
        <v>11.228845845710786</v>
      </c>
      <c r="J45" s="231">
        <f t="shared" si="41"/>
        <v>11.447462412287043</v>
      </c>
      <c r="K45" s="232">
        <f t="shared" si="41"/>
        <v>8.603651814994894</v>
      </c>
      <c r="L45" s="254">
        <f t="shared" si="41"/>
        <v>12.059481600995651</v>
      </c>
      <c r="M45" s="231">
        <f t="shared" si="41"/>
        <v>11.196508250576271</v>
      </c>
      <c r="N45" s="231">
        <f t="shared" si="41"/>
        <v>10.983695051931706</v>
      </c>
      <c r="O45" s="232">
        <f t="shared" ca="1" si="41"/>
        <v>10.036265962011411</v>
      </c>
      <c r="P45" s="232">
        <f t="shared" ca="1" si="41"/>
        <v>9.3954076220289995</v>
      </c>
      <c r="Q45" s="232">
        <f t="shared" ca="1" si="41"/>
        <v>8.5624443701377029</v>
      </c>
      <c r="R45" s="232">
        <f t="shared" ca="1" si="41"/>
        <v>9.9248488432028363</v>
      </c>
      <c r="S45" s="232">
        <f t="shared" ca="1" si="41"/>
        <v>9.8283641562905455</v>
      </c>
      <c r="T45" s="232">
        <f t="shared" ca="1" si="41"/>
        <v>9.7125454676663843</v>
      </c>
      <c r="U45" s="232">
        <f t="shared" ca="1" si="41"/>
        <v>9.6937419970434107</v>
      </c>
      <c r="V45" s="232">
        <f t="shared" ca="1" si="41"/>
        <v>9.6763291164050997</v>
      </c>
      <c r="W45" s="232">
        <f t="shared" ca="1" si="41"/>
        <v>9.7261392042154924</v>
      </c>
      <c r="X45" s="232">
        <f t="shared" ca="1" si="41"/>
        <v>9.7350937496893799</v>
      </c>
      <c r="Y45" s="232">
        <f t="shared" ca="1" si="41"/>
        <v>9.8774693348964817</v>
      </c>
      <c r="Z45" s="232">
        <f t="shared" ca="1" si="41"/>
        <v>9.9253527613661578</v>
      </c>
      <c r="AA45" s="232">
        <f t="shared" ca="1" si="41"/>
        <v>9.972260315410832</v>
      </c>
      <c r="AB45" s="232">
        <f t="shared" ca="1" si="41"/>
        <v>10.406063104356615</v>
      </c>
      <c r="AC45" s="232">
        <f t="shared" ca="1" si="41"/>
        <v>10.427861829824419</v>
      </c>
      <c r="AD45" s="232">
        <f t="shared" ca="1" si="41"/>
        <v>10.424391648133154</v>
      </c>
      <c r="AE45" s="232">
        <f t="shared" ca="1" si="41"/>
        <v>10.396529199202313</v>
      </c>
      <c r="AF45" s="232">
        <f t="shared" ca="1" si="41"/>
        <v>10.314886597866074</v>
      </c>
    </row>
    <row r="46" spans="1:32" ht="8.25" customHeight="1">
      <c r="A46" s="267"/>
      <c r="B46" s="206"/>
      <c r="C46" s="207"/>
      <c r="D46" s="207"/>
      <c r="E46" s="207"/>
      <c r="F46" s="207"/>
      <c r="G46" s="207"/>
      <c r="H46" s="207"/>
      <c r="I46" s="207"/>
      <c r="J46" s="207"/>
      <c r="K46" s="208"/>
      <c r="L46" s="206"/>
      <c r="M46" s="207"/>
      <c r="N46" s="207"/>
      <c r="O46" s="208"/>
    </row>
    <row r="47" spans="1:32">
      <c r="A47" s="267" t="s">
        <v>473</v>
      </c>
      <c r="B47" s="206">
        <v>21609.765489326972</v>
      </c>
      <c r="C47" s="207">
        <v>26917.201375099718</v>
      </c>
      <c r="D47" s="207">
        <v>33247.513228822107</v>
      </c>
      <c r="E47" s="207">
        <v>41276.849187030297</v>
      </c>
      <c r="F47" s="207">
        <v>38807.218574756174</v>
      </c>
      <c r="G47" s="207">
        <v>46308.541189918149</v>
      </c>
      <c r="H47" s="207">
        <v>55967.226762397499</v>
      </c>
      <c r="I47" s="207">
        <v>62146.986247677676</v>
      </c>
      <c r="J47" s="207">
        <v>66193.736104755022</v>
      </c>
      <c r="K47" s="226">
        <v>71406.399999999994</v>
      </c>
      <c r="L47" s="226">
        <v>73916.804657720539</v>
      </c>
      <c r="M47" s="226">
        <v>78400.624206924535</v>
      </c>
      <c r="N47" s="226">
        <v>85624.768388578814</v>
      </c>
      <c r="O47" s="226">
        <v>93836.530371206842</v>
      </c>
      <c r="P47">
        <v>99714.714465681143</v>
      </c>
      <c r="Q47">
        <v>104950.70072146639</v>
      </c>
      <c r="R47">
        <v>110116.91230398069</v>
      </c>
      <c r="S47">
        <v>115737.18918313477</v>
      </c>
      <c r="T47">
        <v>121814.35135304199</v>
      </c>
      <c r="U47">
        <v>128353.3526855215</v>
      </c>
      <c r="V47">
        <v>135450.22200469158</v>
      </c>
      <c r="W47">
        <v>142833.63432246388</v>
      </c>
      <c r="X47">
        <v>150832.78865148185</v>
      </c>
      <c r="Y47">
        <v>159277.11968485976</v>
      </c>
      <c r="Z47">
        <v>168312.73802148664</v>
      </c>
      <c r="AA47">
        <v>177320.76280880877</v>
      </c>
      <c r="AB47">
        <v>186873.47696947333</v>
      </c>
      <c r="AC47">
        <v>196893.53720782022</v>
      </c>
      <c r="AD47">
        <v>207393.13242476113</v>
      </c>
      <c r="AE47">
        <v>218208.14851644443</v>
      </c>
      <c r="AF47">
        <v>230646</v>
      </c>
    </row>
    <row r="48" spans="1:32" ht="8.25" customHeight="1">
      <c r="A48" s="267"/>
      <c r="B48" s="206"/>
      <c r="C48" s="207"/>
      <c r="D48" s="207"/>
      <c r="E48" s="207"/>
      <c r="F48" s="207"/>
      <c r="G48" s="207"/>
      <c r="H48" s="207"/>
      <c r="I48" s="207"/>
      <c r="J48" s="207"/>
      <c r="K48" s="208"/>
      <c r="L48" s="206"/>
      <c r="M48" s="207"/>
      <c r="N48" s="207"/>
      <c r="O48" s="208"/>
    </row>
    <row r="49" spans="1:32" ht="15.75" thickBot="1">
      <c r="A49" s="269" t="s">
        <v>476</v>
      </c>
      <c r="B49" s="233"/>
      <c r="C49" s="234"/>
      <c r="D49" s="235">
        <f ca="1">БДДРН!G54</f>
        <v>17723.972955000001</v>
      </c>
      <c r="E49" s="235">
        <f ca="1">БДДРН!H54</f>
        <v>21125.979833000001</v>
      </c>
      <c r="F49" s="235">
        <f ca="1">БДДРН!I54</f>
        <v>24105.627930000002</v>
      </c>
      <c r="G49" s="235">
        <f ca="1">БДДРН!J54</f>
        <v>27650.128744317411</v>
      </c>
      <c r="H49" s="235">
        <f ca="1">БДДРН!K54</f>
        <v>30141.228736557645</v>
      </c>
      <c r="I49" s="235">
        <f ca="1">БДДРН!L54</f>
        <v>33469.591390272406</v>
      </c>
      <c r="J49" s="235">
        <f ca="1">БДДРН!M54</f>
        <v>37212.659157688933</v>
      </c>
      <c r="K49" s="236">
        <f ca="1">БДДРН!N54</f>
        <v>39811.942345006464</v>
      </c>
      <c r="L49" s="255">
        <f ca="1">БДДРН!O54</f>
        <v>42812.939527225841</v>
      </c>
      <c r="M49" s="235">
        <f ca="1">БДДРН!P54</f>
        <v>46179.585440010916</v>
      </c>
      <c r="N49" s="235">
        <f ca="1">БДДРН!Q54</f>
        <v>50233.654643240188</v>
      </c>
      <c r="O49" s="236">
        <f ca="1">БДДРН!R54</f>
        <v>54172.58018753551</v>
      </c>
      <c r="P49" s="236">
        <f ca="1">БДДРН!S54</f>
        <v>57604.441826367241</v>
      </c>
      <c r="Q49" s="236">
        <f ca="1">БДДРН!T54</f>
        <v>60832.768897363858</v>
      </c>
      <c r="R49" s="236">
        <f ca="1">БДДРН!U54</f>
        <v>64107.525607946329</v>
      </c>
      <c r="S49" s="236">
        <f ca="1">БДДРН!V54</f>
        <v>67506.890091512294</v>
      </c>
      <c r="T49" s="236">
        <f ca="1">БДДРН!W54</f>
        <v>71069.098944778976</v>
      </c>
      <c r="U49" s="236">
        <f ca="1">БДДРН!X54</f>
        <v>74825.827587559048</v>
      </c>
      <c r="V49" s="236">
        <f ca="1">БДДРН!Y54</f>
        <v>78906.893691115867</v>
      </c>
      <c r="W49" s="236">
        <f ca="1">БДДРН!Z54</f>
        <v>83276.26235756994</v>
      </c>
      <c r="X49" s="236">
        <f ca="1">БДДРН!AA54</f>
        <v>87811.947633925229</v>
      </c>
      <c r="Y49" s="236">
        <f ca="1">БДДРН!AB54</f>
        <v>92633.613073981352</v>
      </c>
      <c r="Z49" s="236">
        <f ca="1">БДДРН!AC54</f>
        <v>97789.284481438575</v>
      </c>
      <c r="AA49" s="236">
        <f ca="1">БДДРН!AD54</f>
        <v>103084.7260044483</v>
      </c>
      <c r="AB49" s="236">
        <f ca="1">БДДРН!AE54</f>
        <v>108558.78528562075</v>
      </c>
      <c r="AC49" s="236">
        <f ca="1">БДДРН!AF54</f>
        <v>114345.86437009615</v>
      </c>
      <c r="AD49" s="236">
        <f ca="1">БДДРН!AG54</f>
        <v>120337.9999016595</v>
      </c>
      <c r="AE49" s="236">
        <f ca="1">БДДРН!AH54</f>
        <v>126478.13561400831</v>
      </c>
      <c r="AF49" s="236">
        <f ca="1">БДДРН!AI54</f>
        <v>132953.21244340762</v>
      </c>
    </row>
    <row r="51" spans="1:32">
      <c r="A51" t="s">
        <v>563</v>
      </c>
      <c r="C51">
        <f ca="1">БДДРН!F111/БДДРН!F54*100</f>
        <v>1.7296740260487842</v>
      </c>
      <c r="D51">
        <f ca="1">БДДРН!G111/БДДРН!G54*100</f>
        <v>2.1937109021051313</v>
      </c>
      <c r="E51">
        <f ca="1">БДДРН!H111/БДДРН!H54*100</f>
        <v>2.8212026505345951</v>
      </c>
      <c r="F51">
        <f ca="1">БДДРН!I111/БДДРН!I54*100</f>
        <v>2.6315929285978981</v>
      </c>
      <c r="G51">
        <f ca="1">БДДРН!J111/БДДРН!J54*100</f>
        <v>2.3648291371315349</v>
      </c>
      <c r="H51">
        <f ca="1">БДДРН!K111/БДДРН!K54*100</f>
        <v>2.7361591964554668</v>
      </c>
      <c r="I51">
        <f ca="1">БДДРН!L111/БДДРН!L54*100</f>
        <v>3.5866715222250871</v>
      </c>
      <c r="J51">
        <f ca="1">БДДРН!M111/БДДРН!M54*100</f>
        <v>4.463724532453325</v>
      </c>
      <c r="K51">
        <f ca="1">БДДРН!N111/БДДРН!N54*100</f>
        <v>5.0341985576309991</v>
      </c>
      <c r="L51">
        <f ca="1">БДДРН!O111/БДДРН!O54*100</f>
        <v>6.0221097209885102</v>
      </c>
      <c r="M51">
        <f ca="1">БДДРН!P111/БДДРН!P54*100</f>
        <v>6.3023927512320528</v>
      </c>
      <c r="N51">
        <f ca="1">БДДРН!Q111/БДДРН!Q54*100</f>
        <v>5.6860235970951392</v>
      </c>
      <c r="O51">
        <f ca="1">БДДРН!R111/БДДРН!R54*100</f>
        <v>5.5010701033257492</v>
      </c>
      <c r="P51">
        <f ca="1">БДДРН!S111/БДДРН!S54*100</f>
        <v>5.421793631757108</v>
      </c>
      <c r="Q51">
        <f ca="1">БДДРН!T111/БДДРН!T54*100</f>
        <v>5.3193677966292192</v>
      </c>
      <c r="R51">
        <f ca="1">БДДРН!U111/БДДРН!U54*100</f>
        <v>5.3007776127963364</v>
      </c>
      <c r="S51">
        <f ca="1">БДДРН!V111/БДДРН!V54*100</f>
        <v>5.2910552683960672</v>
      </c>
      <c r="T51">
        <f ca="1">БДДРН!W111/БДДРН!W54*100</f>
        <v>5.324414174379239</v>
      </c>
      <c r="U51">
        <f ca="1">БДДРН!X111/БДДРН!X54*100</f>
        <v>5.388929077418946</v>
      </c>
      <c r="V51">
        <f ca="1">БДДРН!Y111/БДДРН!Y54*100</f>
        <v>5.3746583123320049</v>
      </c>
      <c r="W51">
        <f ca="1">БДДРН!Z111/БДДРН!Z54*100</f>
        <v>5.2908974464039717</v>
      </c>
      <c r="X51">
        <f ca="1">БДДРН!AA111/БДДРН!AA54*100</f>
        <v>5.2045201455023635</v>
      </c>
      <c r="Y51">
        <f ca="1">БДДРН!AB111/БДДРН!AB54*100</f>
        <v>5.0451202109074211</v>
      </c>
      <c r="Z51">
        <f ca="1">БДДРН!AC111/БДДРН!AC54*100</f>
        <v>4.9248033398743765</v>
      </c>
      <c r="AA51">
        <f ca="1">БДДРН!AD111/БДДРН!AD54*100</f>
        <v>4.7966021813837374</v>
      </c>
      <c r="AB51">
        <f ca="1">БДДРН!AE111/БДДРН!AE54*100</f>
        <v>4.6074774385688659</v>
      </c>
      <c r="AC51">
        <f ca="1">БДДРН!AF111/БДДРН!AF54*100</f>
        <v>4.5476760004672174</v>
      </c>
      <c r="AD51">
        <f ca="1">БДДРН!AG111/БДДРН!AG54*100</f>
        <v>4.5217515310002492</v>
      </c>
      <c r="AE51">
        <f ca="1">БДДРН!AH111/БДДРН!AH54*100</f>
        <v>4.5791814853066146</v>
      </c>
      <c r="AF51">
        <f ca="1">БДДРН!AI111/БДДРН!AI54*100</f>
        <v>4.632966773711698</v>
      </c>
    </row>
    <row r="52" spans="1:32">
      <c r="A52" t="s">
        <v>564</v>
      </c>
      <c r="C52">
        <f ca="1">БДДРН!F133/БДДРН!F54*100</f>
        <v>13.027969077456971</v>
      </c>
      <c r="D52">
        <f ca="1">БДДРН!G133/БДДРН!G54*100</f>
        <v>16.763171595575251</v>
      </c>
      <c r="E52">
        <f ca="1">БДДРН!H133/БДДРН!H54*100</f>
        <v>19.015506204947158</v>
      </c>
      <c r="F52">
        <f ca="1">БДДРН!I133/БДДРН!I54*100</f>
        <v>14.825382190324049</v>
      </c>
      <c r="G52">
        <f ca="1">БДДРН!J133/БДДРН!J54*100</f>
        <v>14.773243418765283</v>
      </c>
      <c r="H52">
        <f ca="1">БДДРН!K133/БДДРН!K54*100</f>
        <v>18.416249684165837</v>
      </c>
      <c r="I52">
        <f ca="1">БДДРН!L133/БДДРН!L54*100</f>
        <v>23.116716564543125</v>
      </c>
      <c r="J52">
        <f ca="1">БДДРН!M133/БДДРН!M54*100</f>
        <v>26.757023618782881</v>
      </c>
      <c r="K52">
        <f ca="1">БДДРН!N133/БДДРН!N54*100</f>
        <v>30.756175857709238</v>
      </c>
      <c r="L52">
        <f ca="1">БДДРН!O133/БДДРН!O54*100</f>
        <v>30.597306351970353</v>
      </c>
      <c r="M52">
        <f ca="1">БДДРН!P133/БДДРН!P54*100</f>
        <v>31.066925268955959</v>
      </c>
      <c r="N52">
        <f ca="1">БДДРН!Q133/БДДРН!Q54*100</f>
        <v>32.183975507344513</v>
      </c>
      <c r="O52">
        <f ca="1">БДДРН!R133/БДДРН!R54*100</f>
        <v>33.712687693228105</v>
      </c>
      <c r="P52">
        <f ca="1">БДДРН!S133/БДДРН!S54*100</f>
        <v>34.14117635598128</v>
      </c>
      <c r="Q52">
        <f ca="1">БДДРН!T133/БДДРН!T54*100</f>
        <v>34.835659814344048</v>
      </c>
      <c r="R52">
        <f ca="1">БДДРН!U133/БДДРН!U54*100</f>
        <v>37.055948567282826</v>
      </c>
      <c r="S52">
        <f ca="1">БДДРН!V133/БДДРН!V54*100</f>
        <v>39.431352435908032</v>
      </c>
      <c r="T52">
        <f ca="1">БДДРН!W133/БДДРН!W54*100</f>
        <v>41.867740539451063</v>
      </c>
      <c r="U52">
        <f ca="1">БДДРН!X133/БДДРН!X54*100</f>
        <v>44.379368690156333</v>
      </c>
      <c r="V52">
        <f ca="1">БДДРН!Y133/БДДРН!Y54*100</f>
        <v>46.907638375096013</v>
      </c>
      <c r="W52">
        <f ca="1">БДДРН!Z133/БДДРН!Z54*100</f>
        <v>49.546297325564545</v>
      </c>
      <c r="X52">
        <f ca="1">БДДРН!AA133/БДДРН!AA54*100</f>
        <v>52.174886676666191</v>
      </c>
      <c r="Y52">
        <f ca="1">БДДРН!AB133/БДДРН!AB54*100</f>
        <v>54.796039920542562</v>
      </c>
      <c r="Z52">
        <f ca="1">БДДРН!AC133/БДДРН!AC54*100</f>
        <v>57.244832065940152</v>
      </c>
      <c r="AA52">
        <f ca="1">БДДРН!AD133/БДДРН!AD54*100</f>
        <v>59.79231209227305</v>
      </c>
      <c r="AB52">
        <f ca="1">БДДРН!AE133/БДДРН!AE54*100</f>
        <v>61.658995393274786</v>
      </c>
      <c r="AC52">
        <f ca="1">БДДРН!AF133/БДДРН!AF54*100</f>
        <v>63.464300351770156</v>
      </c>
      <c r="AD52">
        <f ca="1">БДДРН!AG133/БДДРН!AG54*100</f>
        <v>65.313090981392321</v>
      </c>
      <c r="AE52">
        <f ca="1">БДДРН!AH133/БДДРН!AH54*100</f>
        <v>67.058307360264536</v>
      </c>
      <c r="AF52">
        <f ca="1">БДДРН!AI133/БДДРН!AI54*100</f>
        <v>68.63421741556283</v>
      </c>
    </row>
    <row r="53" spans="1:32">
      <c r="A53" t="s">
        <v>600</v>
      </c>
      <c r="E53">
        <f t="shared" ref="E53:O53" si="42">(E10+E40)/E49</f>
        <v>-8.7793703518679357E-3</v>
      </c>
      <c r="F53">
        <f t="shared" si="42"/>
        <v>5.0180273399747927E-2</v>
      </c>
      <c r="G53">
        <f t="shared" si="42"/>
        <v>-8.3225652266553426E-3</v>
      </c>
      <c r="H53">
        <f t="shared" si="42"/>
        <v>-1.5389385882513833E-2</v>
      </c>
      <c r="I53">
        <f t="shared" si="42"/>
        <v>-5.5148507147191002E-2</v>
      </c>
      <c r="J53">
        <f t="shared" si="42"/>
        <v>-3.5975851049155246E-2</v>
      </c>
      <c r="K53">
        <f t="shared" si="42"/>
        <v>-4.3890403061401795E-2</v>
      </c>
      <c r="L53">
        <f t="shared" si="42"/>
        <v>5.2353739883342666E-2</v>
      </c>
      <c r="M53">
        <f t="shared" si="42"/>
        <v>1.1913304876410645E-2</v>
      </c>
      <c r="N53">
        <f>(N10+N40)/N49</f>
        <v>1.2875248872665019E-2</v>
      </c>
      <c r="O53">
        <f t="shared" ca="1" si="42"/>
        <v>1.3272399197200717E-2</v>
      </c>
      <c r="P53">
        <f t="shared" ref="P53:AF53" ca="1" si="43">(P10+P40)/P49</f>
        <v>-4.775444466350723E-3</v>
      </c>
      <c r="Q53">
        <f t="shared" ca="1" si="43"/>
        <v>-1.028624567012912E-2</v>
      </c>
      <c r="R53">
        <f t="shared" ca="1" si="43"/>
        <v>6.7477204927290646E-3</v>
      </c>
      <c r="S53">
        <f t="shared" ca="1" si="43"/>
        <v>7.3668992944164631E-3</v>
      </c>
      <c r="T53">
        <f t="shared" ca="1" si="43"/>
        <v>7.4982137854887288E-3</v>
      </c>
      <c r="U53">
        <f t="shared" ca="1" si="43"/>
        <v>7.7085288134875708E-3</v>
      </c>
      <c r="V53">
        <f t="shared" ca="1" si="43"/>
        <v>7.9102385590671068E-3</v>
      </c>
      <c r="W53">
        <f t="shared" ca="1" si="43"/>
        <v>8.3151895915514942E-3</v>
      </c>
      <c r="X53">
        <f t="shared" ca="1" si="43"/>
        <v>7.9307821949165785E-3</v>
      </c>
      <c r="Y53">
        <f t="shared" ca="1" si="43"/>
        <v>7.8009766138588026E-3</v>
      </c>
      <c r="Z53">
        <f t="shared" ca="1" si="43"/>
        <v>7.1977354766963189E-3</v>
      </c>
      <c r="AA53">
        <f t="shared" ca="1" si="43"/>
        <v>7.1108443865195202E-3</v>
      </c>
      <c r="AB53">
        <f t="shared" ca="1" si="43"/>
        <v>1.0676391532122933E-2</v>
      </c>
      <c r="AC53">
        <f t="shared" ca="1" si="43"/>
        <v>1.0585996453949198E-2</v>
      </c>
      <c r="AD53">
        <f t="shared" ca="1" si="43"/>
        <v>1.0612899530768131E-2</v>
      </c>
      <c r="AE53">
        <f t="shared" ca="1" si="43"/>
        <v>1.0144900387776941E-2</v>
      </c>
      <c r="AF53">
        <f t="shared" ca="1" si="43"/>
        <v>9.7599912473339337E-3</v>
      </c>
    </row>
    <row r="54" spans="1:32">
      <c r="I54">
        <v>62599.0573</v>
      </c>
      <c r="J54">
        <v>67304.462608675487</v>
      </c>
      <c r="K54">
        <v>71406.399999999994</v>
      </c>
      <c r="L54">
        <v>73823.947262569403</v>
      </c>
      <c r="M54">
        <v>78189.44190743209</v>
      </c>
      <c r="N54">
        <v>85496.71306052219</v>
      </c>
      <c r="O54">
        <v>93689.548164074789</v>
      </c>
      <c r="P54">
        <v>98198.899973119449</v>
      </c>
      <c r="Q54">
        <v>102945.81517133543</v>
      </c>
      <c r="R54">
        <v>107900.84334011136</v>
      </c>
      <c r="S54">
        <v>113441.68562562122</v>
      </c>
      <c r="T54">
        <v>119472.20764076238</v>
      </c>
      <c r="U54">
        <v>126163.2068809552</v>
      </c>
      <c r="V54">
        <v>133438.73219229464</v>
      </c>
      <c r="W54">
        <v>141432.84280973749</v>
      </c>
      <c r="X54">
        <v>149683.16073639289</v>
      </c>
      <c r="Y54">
        <v>158329.12009444312</v>
      </c>
      <c r="Z54">
        <v>167177.67580830597</v>
      </c>
      <c r="AA54">
        <v>176503.73928305265</v>
      </c>
      <c r="AB54">
        <v>186265.27015886016</v>
      </c>
      <c r="AC54">
        <v>196456.91295384875</v>
      </c>
      <c r="AD54">
        <v>207149.6827721782</v>
      </c>
      <c r="AE54">
        <v>218065.67339987736</v>
      </c>
      <c r="AF54">
        <v>229532.36444928712</v>
      </c>
    </row>
    <row r="56" spans="1:32">
      <c r="I56">
        <f ca="1">БДДРН!L133/сбережения!I54*100</f>
        <v>12.359723789322944</v>
      </c>
      <c r="J56">
        <f ca="1">БДДРН!M133/сбережения!J54*100</f>
        <v>14.793967018045176</v>
      </c>
      <c r="K56">
        <f ca="1">БДДРН!N133/сбережения!K54*100</f>
        <v>17.147806079006926</v>
      </c>
      <c r="L56">
        <f ca="1">БДДРН!O133/сбережения!L54*100</f>
        <v>17.744386139145025</v>
      </c>
      <c r="M56">
        <f ca="1">БДДРН!P133/сбережения!M54*100</f>
        <v>18.348484076848464</v>
      </c>
      <c r="N56">
        <f ca="1">БДДРН!Q133/сбережения!N54*100</f>
        <v>18.909717728422937</v>
      </c>
      <c r="O56">
        <f ca="1">БДДРН!R133/сбережения!O54*100</f>
        <v>19.493137849276515</v>
      </c>
      <c r="P56">
        <f ca="1">БДДРН!S133/сбережения!P54*100</f>
        <v>20.02755028641074</v>
      </c>
      <c r="Q56">
        <f ca="1">БДДРН!T133/сбережения!Q54*100</f>
        <v>20.585097503441204</v>
      </c>
      <c r="R56">
        <f ca="1">БДДРН!U133/сбережения!R54*100</f>
        <v>22.016187252734166</v>
      </c>
      <c r="S56">
        <f ca="1">БДДРН!V133/сбережения!S54*100</f>
        <v>23.464813312411962</v>
      </c>
      <c r="T56">
        <f ca="1">БДДРН!W133/сбережения!T54*100</f>
        <v>24.90539560413529</v>
      </c>
      <c r="U56">
        <f ca="1">БДДРН!X133/сбережения!U54*100</f>
        <v>26.320851158988962</v>
      </c>
      <c r="V56">
        <f ca="1">БДДРН!Y133/сбережения!V54*100</f>
        <v>27.738093533675979</v>
      </c>
      <c r="W56">
        <f ca="1">БДДРН!Z133/сбережения!W54*100</f>
        <v>29.173071635705018</v>
      </c>
      <c r="X56">
        <f ca="1">БДДРН!AA133/сбережения!X54*100</f>
        <v>30.608509294682882</v>
      </c>
      <c r="Y56">
        <f ca="1">БДДРН!AB133/сбережения!Y54*100</f>
        <v>32.059517269837507</v>
      </c>
      <c r="Z56">
        <f ca="1">БДДРН!AC133/сбережения!Z54*100</f>
        <v>33.484920405325283</v>
      </c>
      <c r="AA56">
        <f ca="1">БДДРН!AD133/сбережения!AA54*100</f>
        <v>34.920926515443206</v>
      </c>
      <c r="AB56">
        <f ca="1">БДДРН!AE133/сбережения!AB54*100</f>
        <v>35.935983321618679</v>
      </c>
      <c r="AC56">
        <f ca="1">БДДРН!AF133/сбережения!AC54*100</f>
        <v>36.938788110099885</v>
      </c>
      <c r="AD56">
        <f ca="1">БДДРН!AG133/сбережения!AD54*100</f>
        <v>37.941871939721253</v>
      </c>
      <c r="AE56">
        <f ca="1">БДДРН!AH133/сбережения!AE54*100</f>
        <v>38.89383212003581</v>
      </c>
      <c r="AF56">
        <f ca="1">БДДРН!AI133/сбережения!AF54*100</f>
        <v>39.755350888455908</v>
      </c>
    </row>
  </sheetData>
  <phoneticPr fontId="0" type="noConversion"/>
  <pageMargins left="0.7" right="0.7" top="0.75" bottom="0.75" header="0.3" footer="0.3"/>
  <pageSetup scale="51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0" sqref="O30"/>
    </sheetView>
  </sheetViews>
  <sheetFormatPr defaultRowHeight="12.75"/>
  <cols>
    <col min="1" max="1" width="46.42578125" style="7" customWidth="1"/>
    <col min="2" max="2" width="12.28515625" style="7" customWidth="1"/>
    <col min="3" max="5" width="11.28515625" style="7" customWidth="1"/>
    <col min="6" max="6" width="11.85546875" style="7" customWidth="1"/>
    <col min="7" max="7" width="11.42578125" style="7" customWidth="1"/>
    <col min="8" max="8" width="10.7109375" style="7" customWidth="1"/>
    <col min="9" max="9" width="10.85546875" style="7" customWidth="1"/>
    <col min="10" max="10" width="9.85546875" style="7" customWidth="1"/>
    <col min="11" max="11" width="10.7109375" style="8" customWidth="1"/>
    <col min="12" max="12" width="11.42578125" style="9" customWidth="1"/>
    <col min="13" max="13" width="10.42578125" style="7" customWidth="1"/>
    <col min="14" max="14" width="11.42578125" style="7" customWidth="1"/>
    <col min="15" max="16384" width="9.140625" style="7"/>
  </cols>
  <sheetData>
    <row r="1" spans="1:14" ht="14.25">
      <c r="A1" s="813" t="s">
        <v>8</v>
      </c>
      <c r="B1" s="813"/>
      <c r="C1" s="813"/>
      <c r="D1" s="813"/>
      <c r="E1" s="813"/>
    </row>
    <row r="3" spans="1:14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1" t="s">
        <v>16</v>
      </c>
      <c r="I3" s="11" t="s">
        <v>17</v>
      </c>
      <c r="J3" s="12" t="s">
        <v>18</v>
      </c>
      <c r="K3" s="12" t="s">
        <v>19</v>
      </c>
      <c r="L3" s="13" t="s">
        <v>20</v>
      </c>
      <c r="M3" s="13" t="s">
        <v>21</v>
      </c>
      <c r="N3" s="13" t="s">
        <v>22</v>
      </c>
    </row>
    <row r="4" spans="1:14">
      <c r="A4" s="14" t="s">
        <v>23</v>
      </c>
      <c r="B4" s="15">
        <v>2678616.9988941108</v>
      </c>
      <c r="C4" s="15">
        <v>3584535.0697499998</v>
      </c>
      <c r="D4" s="15">
        <v>3521909.7517499998</v>
      </c>
      <c r="E4" s="15">
        <v>4042169.4596450008</v>
      </c>
      <c r="F4" s="15">
        <v>3765357.3338250187</v>
      </c>
      <c r="G4" s="15">
        <v>3959051.5837499998</v>
      </c>
      <c r="H4" s="16">
        <v>4066963.7370300004</v>
      </c>
      <c r="I4" s="16">
        <v>4154699.853868675</v>
      </c>
      <c r="J4" s="17">
        <v>3888858.2837500032</v>
      </c>
      <c r="K4" s="17">
        <v>4155109.8677499979</v>
      </c>
      <c r="L4" s="18">
        <v>4125356.6459974218</v>
      </c>
      <c r="M4" s="18">
        <v>5957705.805964346</v>
      </c>
      <c r="N4" s="18">
        <f>SUM(B4:M4)</f>
        <v>47900334.391974568</v>
      </c>
    </row>
    <row r="5" spans="1:14" ht="14.25" customHeight="1">
      <c r="A5" s="19" t="s">
        <v>24</v>
      </c>
      <c r="B5" s="15"/>
      <c r="C5" s="15"/>
      <c r="D5" s="15"/>
      <c r="E5" s="15"/>
      <c r="F5" s="15"/>
      <c r="G5" s="15"/>
      <c r="H5" s="16"/>
      <c r="I5" s="16"/>
      <c r="J5" s="17"/>
      <c r="K5" s="17"/>
      <c r="L5" s="18"/>
      <c r="M5" s="18"/>
      <c r="N5" s="18">
        <f>-2795+(N12+N13+N14+N15+N16+N17+N19+N21)/1000</f>
        <v>3446.621781984366</v>
      </c>
    </row>
    <row r="6" spans="1:14">
      <c r="A6" s="20" t="s">
        <v>25</v>
      </c>
      <c r="B6" s="15">
        <v>2868616.9988941108</v>
      </c>
      <c r="C6" s="15">
        <v>3534535.0697499998</v>
      </c>
      <c r="D6" s="15">
        <v>3546909.7517499998</v>
      </c>
      <c r="E6" s="15">
        <v>3900286.5897500007</v>
      </c>
      <c r="F6" s="15">
        <v>3785681.1611250187</v>
      </c>
      <c r="G6" s="15">
        <v>3970610.5837499998</v>
      </c>
      <c r="H6" s="16">
        <v>4016772.4672300005</v>
      </c>
      <c r="I6" s="16">
        <v>4080699.853868675</v>
      </c>
      <c r="J6" s="17">
        <v>3898858.2837500032</v>
      </c>
      <c r="K6" s="17">
        <v>4221684.9037499977</v>
      </c>
      <c r="L6" s="18">
        <v>4134733.018997422</v>
      </c>
      <c r="M6" s="18">
        <v>5826216.9491643459</v>
      </c>
      <c r="N6" s="18">
        <f>SUM(B6:M6)</f>
        <v>47785605.631779566</v>
      </c>
    </row>
    <row r="7" spans="1:14" ht="16.5" customHeight="1">
      <c r="A7" s="19" t="s">
        <v>26</v>
      </c>
      <c r="B7" s="15"/>
      <c r="C7" s="15"/>
      <c r="D7" s="15"/>
      <c r="E7" s="15"/>
      <c r="F7" s="15"/>
      <c r="G7" s="15"/>
      <c r="H7" s="16"/>
      <c r="I7" s="16"/>
      <c r="J7" s="17"/>
      <c r="K7" s="17"/>
      <c r="L7" s="18"/>
      <c r="M7" s="18"/>
      <c r="N7" s="18"/>
    </row>
    <row r="8" spans="1:14">
      <c r="A8" s="21" t="s">
        <v>27</v>
      </c>
      <c r="B8" s="15">
        <v>2601098.1688941107</v>
      </c>
      <c r="C8" s="15">
        <v>2613518.5117500001</v>
      </c>
      <c r="D8" s="15">
        <v>2836110.5287499996</v>
      </c>
      <c r="E8" s="15">
        <v>2811609.9287500009</v>
      </c>
      <c r="F8" s="15">
        <v>2871537.8287499994</v>
      </c>
      <c r="G8" s="15">
        <v>2909404.0287499996</v>
      </c>
      <c r="H8" s="16">
        <v>2993426.028750001</v>
      </c>
      <c r="I8" s="16">
        <v>3067428.928749999</v>
      </c>
      <c r="J8" s="17">
        <v>3076670.4417500035</v>
      </c>
      <c r="K8" s="17">
        <v>3138695.1287499974</v>
      </c>
      <c r="L8" s="18">
        <v>3165395.7287500007</v>
      </c>
      <c r="M8" s="18">
        <v>3860443.2287500007</v>
      </c>
      <c r="N8" s="18">
        <f>SUM(B8:M8)</f>
        <v>35945338.481144115</v>
      </c>
    </row>
    <row r="9" spans="1:14" ht="16.5" customHeight="1">
      <c r="A9" s="19" t="s">
        <v>28</v>
      </c>
      <c r="B9" s="15">
        <v>1951214.4287499997</v>
      </c>
      <c r="C9" s="15">
        <v>1956567.6287499999</v>
      </c>
      <c r="D9" s="15">
        <v>2144876.0287499996</v>
      </c>
      <c r="E9" s="15">
        <v>2137404.2287500012</v>
      </c>
      <c r="F9" s="15">
        <v>2191237.0287499996</v>
      </c>
      <c r="G9" s="15">
        <v>2213496.0287499996</v>
      </c>
      <c r="H9" s="16">
        <v>2286536.6287500011</v>
      </c>
      <c r="I9" s="16">
        <v>2351859.6287499988</v>
      </c>
      <c r="J9" s="17">
        <v>2343913.0287500033</v>
      </c>
      <c r="K9" s="17">
        <v>2414110.0287499973</v>
      </c>
      <c r="L9" s="18">
        <v>2451143.8287500008</v>
      </c>
      <c r="M9" s="18">
        <v>3080179.2287500007</v>
      </c>
      <c r="N9" s="18">
        <f t="shared" ref="N9:N22" si="0">SUM(B9:M9)</f>
        <v>27522537.745000001</v>
      </c>
    </row>
    <row r="10" spans="1:14" ht="23.25" customHeight="1">
      <c r="A10" s="19" t="s">
        <v>29</v>
      </c>
      <c r="B10" s="15">
        <v>90427.040144111001</v>
      </c>
      <c r="C10" s="15">
        <v>85000</v>
      </c>
      <c r="D10" s="15">
        <v>99666.2</v>
      </c>
      <c r="E10" s="15">
        <v>75000</v>
      </c>
      <c r="F10" s="15">
        <v>94893</v>
      </c>
      <c r="G10" s="15">
        <v>94000.4</v>
      </c>
      <c r="H10" s="16">
        <v>95000</v>
      </c>
      <c r="I10" s="16">
        <v>97000</v>
      </c>
      <c r="J10" s="17">
        <v>111244.913</v>
      </c>
      <c r="K10" s="17">
        <v>96000</v>
      </c>
      <c r="L10" s="18">
        <v>82233.8</v>
      </c>
      <c r="M10" s="18">
        <v>100000</v>
      </c>
      <c r="N10" s="18">
        <f t="shared" si="0"/>
        <v>1120465.3531441111</v>
      </c>
    </row>
    <row r="11" spans="1:14" ht="20.25" customHeight="1">
      <c r="A11" s="19" t="s">
        <v>30</v>
      </c>
      <c r="B11" s="15">
        <v>559456.69999999995</v>
      </c>
      <c r="C11" s="15">
        <v>571950.88300000003</v>
      </c>
      <c r="D11" s="15">
        <v>591568.30000000005</v>
      </c>
      <c r="E11" s="15">
        <v>599205.69999999995</v>
      </c>
      <c r="F11" s="15">
        <v>585407.80000000005</v>
      </c>
      <c r="G11" s="15">
        <v>601907.6</v>
      </c>
      <c r="H11" s="16">
        <v>611889.4</v>
      </c>
      <c r="I11" s="16">
        <v>618569.30000000005</v>
      </c>
      <c r="J11" s="17">
        <v>621512.5</v>
      </c>
      <c r="K11" s="17">
        <v>628585.1</v>
      </c>
      <c r="L11" s="18">
        <v>632018.1</v>
      </c>
      <c r="M11" s="18">
        <v>680264</v>
      </c>
      <c r="N11" s="18">
        <f t="shared" si="0"/>
        <v>7302335.3829999994</v>
      </c>
    </row>
    <row r="12" spans="1:14" ht="25.5" customHeight="1">
      <c r="A12" s="21" t="s">
        <v>31</v>
      </c>
      <c r="B12" s="15">
        <v>-560928</v>
      </c>
      <c r="C12" s="15">
        <v>72295</v>
      </c>
      <c r="D12" s="15">
        <v>-294236.09999999963</v>
      </c>
      <c r="E12" s="15">
        <v>267219</v>
      </c>
      <c r="F12" s="15">
        <v>34361.989375019635</v>
      </c>
      <c r="G12" s="15">
        <v>174502</v>
      </c>
      <c r="H12" s="16">
        <v>112148</v>
      </c>
      <c r="I12" s="16">
        <v>133198</v>
      </c>
      <c r="J12" s="17">
        <v>-84234</v>
      </c>
      <c r="K12" s="17">
        <v>-35100</v>
      </c>
      <c r="L12" s="18">
        <v>-45702</v>
      </c>
      <c r="M12" s="18">
        <v>-81950.984410640041</v>
      </c>
      <c r="N12" s="18">
        <f t="shared" si="0"/>
        <v>-308427.09503562003</v>
      </c>
    </row>
    <row r="13" spans="1:14" ht="25.5">
      <c r="A13" s="21" t="s">
        <v>32</v>
      </c>
      <c r="B13" s="15">
        <v>33616.667999999998</v>
      </c>
      <c r="C13" s="15">
        <v>34165.53</v>
      </c>
      <c r="D13" s="15">
        <v>37034.9</v>
      </c>
      <c r="E13" s="15">
        <v>38913.911</v>
      </c>
      <c r="F13" s="15">
        <v>36342.455000000002</v>
      </c>
      <c r="G13" s="15">
        <v>42217.055</v>
      </c>
      <c r="H13" s="16">
        <v>52617.457000000002</v>
      </c>
      <c r="I13" s="16">
        <v>46651.02</v>
      </c>
      <c r="J13" s="17">
        <v>48586.546999999999</v>
      </c>
      <c r="K13" s="17">
        <v>58954.006999999998</v>
      </c>
      <c r="L13" s="18">
        <v>71031.053</v>
      </c>
      <c r="M13" s="18">
        <v>186682.864</v>
      </c>
      <c r="N13" s="18">
        <f t="shared" si="0"/>
        <v>686813.46699999995</v>
      </c>
    </row>
    <row r="14" spans="1:14" ht="19.5" customHeight="1">
      <c r="A14" s="22" t="s">
        <v>33</v>
      </c>
      <c r="B14" s="15">
        <v>135000</v>
      </c>
      <c r="C14" s="15">
        <v>158000</v>
      </c>
      <c r="D14" s="15">
        <v>227624</v>
      </c>
      <c r="E14" s="15">
        <v>177000</v>
      </c>
      <c r="F14" s="15">
        <v>141000</v>
      </c>
      <c r="G14" s="15">
        <v>145000</v>
      </c>
      <c r="H14" s="16">
        <v>150000</v>
      </c>
      <c r="I14" s="16">
        <v>135000</v>
      </c>
      <c r="J14" s="17">
        <v>155000</v>
      </c>
      <c r="K14" s="17">
        <v>160000</v>
      </c>
      <c r="L14" s="18">
        <v>200000</v>
      </c>
      <c r="M14" s="18">
        <v>423484.74082498555</v>
      </c>
      <c r="N14" s="18">
        <f t="shared" si="0"/>
        <v>2207108.7408249853</v>
      </c>
    </row>
    <row r="15" spans="1:14" ht="27.75" customHeight="1">
      <c r="A15" s="23" t="s">
        <v>34</v>
      </c>
      <c r="B15" s="15">
        <v>213781.003</v>
      </c>
      <c r="C15" s="15">
        <v>204236</v>
      </c>
      <c r="D15" s="15">
        <v>268104.92300000001</v>
      </c>
      <c r="E15" s="15">
        <v>166143.52499999999</v>
      </c>
      <c r="F15" s="15">
        <v>189657.837</v>
      </c>
      <c r="G15" s="15">
        <v>183143.5</v>
      </c>
      <c r="H15" s="16">
        <v>174624.76300000001</v>
      </c>
      <c r="I15" s="16">
        <v>185329.91</v>
      </c>
      <c r="J15" s="17">
        <v>189350.29300000001</v>
      </c>
      <c r="K15" s="17">
        <v>356888.04800000001</v>
      </c>
      <c r="L15" s="18">
        <v>241419.777</v>
      </c>
      <c r="M15" s="18">
        <v>432459.12699999998</v>
      </c>
      <c r="N15" s="18">
        <f t="shared" si="0"/>
        <v>2805138.7059999998</v>
      </c>
    </row>
    <row r="16" spans="1:14" ht="27" customHeight="1">
      <c r="A16" s="22" t="s">
        <v>35</v>
      </c>
      <c r="B16" s="15">
        <v>-13579</v>
      </c>
      <c r="C16" s="15">
        <v>-119467</v>
      </c>
      <c r="D16" s="15">
        <v>-145143</v>
      </c>
      <c r="E16" s="15">
        <v>-188708</v>
      </c>
      <c r="F16" s="15">
        <v>-111215</v>
      </c>
      <c r="G16" s="15">
        <v>-124551</v>
      </c>
      <c r="H16" s="16">
        <v>-176599</v>
      </c>
      <c r="I16" s="16">
        <v>-135264</v>
      </c>
      <c r="J16" s="17">
        <v>-130337</v>
      </c>
      <c r="K16" s="17">
        <v>-107674</v>
      </c>
      <c r="L16" s="18">
        <v>-110785</v>
      </c>
      <c r="M16" s="18">
        <v>-124</v>
      </c>
      <c r="N16" s="18">
        <f t="shared" si="0"/>
        <v>-1363446</v>
      </c>
    </row>
    <row r="17" spans="1:14" ht="25.5">
      <c r="A17" s="23" t="s">
        <v>36</v>
      </c>
      <c r="B17" s="15">
        <v>134512.12</v>
      </c>
      <c r="C17" s="15">
        <v>140802.652</v>
      </c>
      <c r="D17" s="15">
        <v>166630</v>
      </c>
      <c r="E17" s="15">
        <v>169377.51800000001</v>
      </c>
      <c r="F17" s="15">
        <v>168949.65100000001</v>
      </c>
      <c r="G17" s="15">
        <v>175586.8</v>
      </c>
      <c r="H17" s="16">
        <v>184356.67499999999</v>
      </c>
      <c r="I17" s="16">
        <v>167776.47500000001</v>
      </c>
      <c r="J17" s="17">
        <v>179516.755</v>
      </c>
      <c r="K17" s="17">
        <v>180541.16200000001</v>
      </c>
      <c r="L17" s="18">
        <v>148321.09599999999</v>
      </c>
      <c r="M17" s="18">
        <v>205914.00899999999</v>
      </c>
      <c r="N17" s="18">
        <f t="shared" si="0"/>
        <v>2022284.9130000002</v>
      </c>
    </row>
    <row r="18" spans="1:14" ht="25.5">
      <c r="A18" s="23" t="s">
        <v>37</v>
      </c>
      <c r="B18" s="15">
        <v>315661.61900000001</v>
      </c>
      <c r="C18" s="15">
        <v>420000</v>
      </c>
      <c r="D18" s="15">
        <v>438520.5</v>
      </c>
      <c r="E18" s="15">
        <v>445000</v>
      </c>
      <c r="F18" s="15">
        <v>438109</v>
      </c>
      <c r="G18" s="15">
        <v>450000.1</v>
      </c>
      <c r="H18" s="15">
        <v>506704.69948000007</v>
      </c>
      <c r="I18" s="15">
        <v>462181.48811867554</v>
      </c>
      <c r="J18" s="17">
        <v>445000</v>
      </c>
      <c r="K18" s="17">
        <v>449450</v>
      </c>
      <c r="L18" s="18">
        <v>446913.55824742158</v>
      </c>
      <c r="M18" s="18">
        <v>776807.96400000004</v>
      </c>
      <c r="N18" s="18">
        <f t="shared" si="0"/>
        <v>5594348.9288460976</v>
      </c>
    </row>
    <row r="19" spans="1:14" ht="24.75" customHeight="1">
      <c r="A19" s="23" t="s">
        <v>38</v>
      </c>
      <c r="B19" s="15">
        <v>2454.42</v>
      </c>
      <c r="C19" s="15">
        <v>2484.3760000000002</v>
      </c>
      <c r="D19" s="15">
        <v>3725</v>
      </c>
      <c r="E19" s="15">
        <v>5230.7070000000003</v>
      </c>
      <c r="F19" s="15">
        <v>8437.4</v>
      </c>
      <c r="G19" s="15">
        <v>6321.9</v>
      </c>
      <c r="H19" s="16">
        <v>7493.8440000000001</v>
      </c>
      <c r="I19" s="16">
        <v>8398.0320000000011</v>
      </c>
      <c r="J19" s="17">
        <v>8305.2469999999994</v>
      </c>
      <c r="K19" s="17">
        <v>8430.5580000000009</v>
      </c>
      <c r="L19" s="18">
        <v>6138.8060000000005</v>
      </c>
      <c r="M19" s="18">
        <v>10000</v>
      </c>
      <c r="N19" s="18">
        <f t="shared" si="0"/>
        <v>77420.289999999994</v>
      </c>
    </row>
    <row r="20" spans="1:14" ht="19.5" customHeight="1">
      <c r="A20" s="24" t="s">
        <v>39</v>
      </c>
      <c r="B20" s="15">
        <v>7000</v>
      </c>
      <c r="C20" s="15">
        <v>8500</v>
      </c>
      <c r="D20" s="15">
        <v>8539</v>
      </c>
      <c r="E20" s="15">
        <v>8500</v>
      </c>
      <c r="F20" s="15">
        <v>8500</v>
      </c>
      <c r="G20" s="15">
        <v>8986.2000000000007</v>
      </c>
      <c r="H20" s="16">
        <v>12000</v>
      </c>
      <c r="I20" s="16">
        <v>10000</v>
      </c>
      <c r="J20" s="17">
        <v>11000</v>
      </c>
      <c r="K20" s="17">
        <v>11500</v>
      </c>
      <c r="L20" s="18">
        <v>12000</v>
      </c>
      <c r="M20" s="18">
        <v>12500</v>
      </c>
      <c r="N20" s="18">
        <f t="shared" si="0"/>
        <v>119025.2</v>
      </c>
    </row>
    <row r="21" spans="1:14" ht="24" customHeight="1">
      <c r="A21" s="25" t="s">
        <v>40</v>
      </c>
      <c r="B21" s="15">
        <v>-190000</v>
      </c>
      <c r="C21" s="15">
        <v>50000</v>
      </c>
      <c r="D21" s="15">
        <v>-25000</v>
      </c>
      <c r="E21" s="15">
        <v>141882.86989500001</v>
      </c>
      <c r="F21" s="15">
        <v>-20323.827299999997</v>
      </c>
      <c r="G21" s="15">
        <v>-11559</v>
      </c>
      <c r="H21" s="16">
        <v>50191.269799999995</v>
      </c>
      <c r="I21" s="16">
        <v>74000</v>
      </c>
      <c r="J21" s="17">
        <v>-10000</v>
      </c>
      <c r="K21" s="17">
        <v>-66575.035999999993</v>
      </c>
      <c r="L21" s="18">
        <v>-9376.3729999999996</v>
      </c>
      <c r="M21" s="18">
        <v>131488.85680000001</v>
      </c>
      <c r="N21" s="18">
        <f t="shared" si="0"/>
        <v>114728.76019500004</v>
      </c>
    </row>
    <row r="22" spans="1:14" ht="20.25" customHeight="1">
      <c r="A22" s="20" t="s">
        <v>41</v>
      </c>
      <c r="B22" s="15">
        <v>2362955.3798941104</v>
      </c>
      <c r="C22" s="15">
        <v>3164535.0697500003</v>
      </c>
      <c r="D22" s="15">
        <v>3083389.2517499998</v>
      </c>
      <c r="E22" s="15">
        <v>3597169.4596450008</v>
      </c>
      <c r="F22" s="15">
        <v>3327248.3338250192</v>
      </c>
      <c r="G22" s="15">
        <v>3509051.4837499992</v>
      </c>
      <c r="H22" s="16">
        <v>3560259.0375500009</v>
      </c>
      <c r="I22" s="16">
        <v>3692518.3657499989</v>
      </c>
      <c r="J22" s="17">
        <v>3443858.2837500037</v>
      </c>
      <c r="K22" s="17">
        <v>3705659.8677499979</v>
      </c>
      <c r="L22" s="18">
        <v>3678443.0877500009</v>
      </c>
      <c r="M22" s="18">
        <v>5180897.8419643464</v>
      </c>
      <c r="N22" s="18">
        <f t="shared" si="0"/>
        <v>42305985.463128485</v>
      </c>
    </row>
    <row r="23" spans="1:14" ht="16.5" customHeight="1">
      <c r="A23" s="20" t="s">
        <v>42</v>
      </c>
      <c r="B23" s="26">
        <v>106.07</v>
      </c>
      <c r="C23" s="26">
        <v>106.21</v>
      </c>
      <c r="D23" s="26">
        <v>106.92</v>
      </c>
      <c r="E23" s="26">
        <v>107.33</v>
      </c>
      <c r="F23" s="26">
        <v>107.59</v>
      </c>
      <c r="G23" s="26">
        <v>107.81</v>
      </c>
      <c r="H23" s="27">
        <v>107.45</v>
      </c>
      <c r="I23" s="27">
        <v>107.55</v>
      </c>
      <c r="J23" s="28">
        <v>108.03</v>
      </c>
      <c r="K23" s="29">
        <v>108.29</v>
      </c>
      <c r="L23" s="30">
        <v>109.06</v>
      </c>
      <c r="M23" s="18">
        <v>111.35</v>
      </c>
      <c r="N23" s="18">
        <v>107.82</v>
      </c>
    </row>
    <row r="24" spans="1:14" ht="18" customHeight="1">
      <c r="A24" s="20" t="s">
        <v>43</v>
      </c>
      <c r="B24" s="31">
        <v>99.04</v>
      </c>
      <c r="C24" s="31">
        <v>99.06</v>
      </c>
      <c r="D24" s="31">
        <v>92.92</v>
      </c>
      <c r="E24" s="31">
        <v>100.45</v>
      </c>
      <c r="F24" s="31">
        <v>106.15</v>
      </c>
      <c r="G24" s="31">
        <v>96.63</v>
      </c>
      <c r="H24" s="32">
        <v>102.6</v>
      </c>
      <c r="I24" s="32">
        <v>104.03</v>
      </c>
      <c r="J24" s="33">
        <v>100.17</v>
      </c>
      <c r="K24" s="33">
        <v>102.07</v>
      </c>
      <c r="L24" s="34">
        <v>96.18</v>
      </c>
      <c r="M24" s="18">
        <v>93.77</v>
      </c>
      <c r="N24" s="18">
        <v>99.02</v>
      </c>
    </row>
    <row r="25" spans="1:14" ht="21" customHeight="1">
      <c r="A25" s="35" t="s">
        <v>44</v>
      </c>
      <c r="B25" s="31">
        <v>18644.63</v>
      </c>
      <c r="C25" s="31">
        <v>24950.31</v>
      </c>
      <c r="D25" s="31">
        <v>24514.41</v>
      </c>
      <c r="E25" s="31">
        <v>28135.7</v>
      </c>
      <c r="F25" s="31">
        <v>26208.94</v>
      </c>
      <c r="G25" s="31">
        <v>27557.15</v>
      </c>
      <c r="H25" s="32">
        <v>28308.28</v>
      </c>
      <c r="I25" s="32">
        <v>28918.97</v>
      </c>
      <c r="J25" s="33">
        <v>27068.57</v>
      </c>
      <c r="K25" s="33">
        <v>28921.83</v>
      </c>
      <c r="L25" s="34">
        <v>28714.73</v>
      </c>
      <c r="M25" s="18">
        <v>41468.870000000003</v>
      </c>
      <c r="N25" s="18">
        <v>27714.33</v>
      </c>
    </row>
    <row r="27" spans="1:14">
      <c r="A27" s="36" t="s">
        <v>45</v>
      </c>
      <c r="B27" s="37"/>
      <c r="C27" s="37"/>
      <c r="D27" s="37"/>
      <c r="E27" s="37"/>
      <c r="F27" s="37"/>
    </row>
    <row r="28" spans="1:14" ht="15.75" customHeight="1">
      <c r="A28" s="814" t="s">
        <v>46</v>
      </c>
      <c r="B28" s="814"/>
      <c r="C28" s="814"/>
      <c r="D28" s="814"/>
      <c r="E28" s="814"/>
      <c r="F28" s="814"/>
    </row>
  </sheetData>
  <mergeCells count="2">
    <mergeCell ref="A1:E1"/>
    <mergeCell ref="A28:F28"/>
  </mergeCells>
  <phoneticPr fontId="0" type="noConversion"/>
  <hyperlinks>
    <hyperlink ref="A14" location="_ftn1" display="_ftn1"/>
    <hyperlink ref="A16" location="_ftn2" display="_ftn2"/>
    <hyperlink ref="A21" location="_ftn3" display="_ftn3"/>
  </hyperlinks>
  <pageMargins left="0.74803149606299213" right="0.74803149606299213" top="0.98425196850393704" bottom="0.98425196850393704" header="0.51181102362204722" footer="0.51181102362204722"/>
  <pageSetup paperSize="9" scale="95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4:Q105"/>
  <sheetViews>
    <sheetView workbookViewId="0">
      <selection activeCell="G24" sqref="G24"/>
    </sheetView>
  </sheetViews>
  <sheetFormatPr defaultRowHeight="12.75"/>
  <cols>
    <col min="1" max="1" width="39.5703125" style="685" customWidth="1"/>
    <col min="2" max="3" width="9.140625" style="685"/>
    <col min="4" max="4" width="10" style="685" customWidth="1"/>
    <col min="5" max="5" width="9.85546875" style="685" customWidth="1"/>
    <col min="6" max="6" width="10.7109375" style="685" customWidth="1"/>
    <col min="7" max="7" width="9.140625" style="685"/>
    <col min="8" max="8" width="10" style="685" customWidth="1"/>
    <col min="9" max="9" width="10.140625" style="685" customWidth="1"/>
    <col min="10" max="10" width="10" style="685" customWidth="1"/>
    <col min="11" max="11" width="10.7109375" style="685" customWidth="1"/>
    <col min="12" max="12" width="9.140625" style="685"/>
    <col min="13" max="13" width="10.140625" style="685" customWidth="1"/>
    <col min="14" max="14" width="9.85546875" style="685" customWidth="1"/>
    <col min="15" max="15" width="10.140625" style="685" customWidth="1"/>
    <col min="16" max="16" width="11" style="686" customWidth="1"/>
    <col min="17" max="17" width="10.140625" style="685" customWidth="1"/>
    <col min="18" max="16384" width="9.140625" style="685"/>
  </cols>
  <sheetData>
    <row r="4" spans="1:17" ht="13.5">
      <c r="A4" s="684" t="s">
        <v>431</v>
      </c>
    </row>
    <row r="5" spans="1:17" s="696" customFormat="1" ht="25.5">
      <c r="A5" s="687" t="s">
        <v>618</v>
      </c>
      <c r="B5" s="688" t="s">
        <v>619</v>
      </c>
      <c r="C5" s="689" t="s">
        <v>620</v>
      </c>
      <c r="D5" s="690" t="s">
        <v>621</v>
      </c>
      <c r="E5" s="691" t="s">
        <v>622</v>
      </c>
      <c r="F5" s="692" t="s">
        <v>623</v>
      </c>
      <c r="G5" s="693" t="s">
        <v>624</v>
      </c>
      <c r="H5" s="693" t="s">
        <v>625</v>
      </c>
      <c r="I5" s="693" t="s">
        <v>626</v>
      </c>
      <c r="J5" s="693" t="s">
        <v>627</v>
      </c>
      <c r="K5" s="694" t="s">
        <v>628</v>
      </c>
      <c r="L5" s="693" t="s">
        <v>629</v>
      </c>
      <c r="M5" s="693" t="s">
        <v>630</v>
      </c>
      <c r="N5" s="693" t="s">
        <v>631</v>
      </c>
      <c r="O5" s="693" t="s">
        <v>632</v>
      </c>
      <c r="P5" s="695" t="s">
        <v>633</v>
      </c>
      <c r="Q5" s="693" t="s">
        <v>681</v>
      </c>
    </row>
    <row r="6" spans="1:17" ht="25.5">
      <c r="A6" s="697" t="s">
        <v>634</v>
      </c>
      <c r="B6" s="698">
        <v>773396.01127649995</v>
      </c>
      <c r="C6" s="699">
        <v>858680.38445150002</v>
      </c>
      <c r="D6" s="699">
        <v>918642.47834230005</v>
      </c>
      <c r="E6" s="700">
        <v>1194384.3679297001</v>
      </c>
      <c r="F6" s="701">
        <v>3745103.2419999996</v>
      </c>
      <c r="G6" s="702">
        <v>796865.74100000004</v>
      </c>
      <c r="H6" s="702">
        <v>856365.21288960008</v>
      </c>
      <c r="I6" s="702">
        <v>956679.82190560002</v>
      </c>
      <c r="J6" s="702">
        <v>1238399.2422048002</v>
      </c>
      <c r="K6" s="703">
        <v>3848310.0180000002</v>
      </c>
      <c r="L6" s="702">
        <v>811564.59099709999</v>
      </c>
      <c r="M6" s="702">
        <v>858391.01853574486</v>
      </c>
      <c r="N6" s="702">
        <v>946347.8</v>
      </c>
      <c r="O6" s="702">
        <v>1114347</v>
      </c>
      <c r="P6" s="704">
        <v>3730650.409532845</v>
      </c>
      <c r="Q6" s="702">
        <v>880055</v>
      </c>
    </row>
    <row r="7" spans="1:17">
      <c r="A7" s="705" t="s">
        <v>635</v>
      </c>
      <c r="B7" s="698">
        <v>3708110.291163533</v>
      </c>
      <c r="C7" s="699">
        <v>4039589.602</v>
      </c>
      <c r="D7" s="699">
        <v>3979059.4973731795</v>
      </c>
      <c r="E7" s="700">
        <v>4231852.5470647234</v>
      </c>
      <c r="F7" s="701">
        <v>15958611.937601436</v>
      </c>
      <c r="G7" s="702">
        <v>4015389</v>
      </c>
      <c r="H7" s="702">
        <v>4442098.6409</v>
      </c>
      <c r="I7" s="702">
        <v>4389543.0030560009</v>
      </c>
      <c r="J7" s="702">
        <v>5111550.9430439994</v>
      </c>
      <c r="K7" s="703">
        <v>17958581.587000001</v>
      </c>
      <c r="L7" s="702">
        <v>4376776.3193999995</v>
      </c>
      <c r="M7" s="702">
        <v>4805555.5186516</v>
      </c>
      <c r="N7" s="702">
        <v>4690989.1883545406</v>
      </c>
      <c r="O7" s="702">
        <v>5296244.8196691098</v>
      </c>
      <c r="P7" s="704">
        <v>19169565.846075248</v>
      </c>
      <c r="Q7" s="702">
        <v>4700408</v>
      </c>
    </row>
    <row r="8" spans="1:17" ht="38.25">
      <c r="A8" s="705" t="s">
        <v>636</v>
      </c>
      <c r="B8" s="698">
        <v>103752.26395959004</v>
      </c>
      <c r="C8" s="699">
        <v>127799.70032055552</v>
      </c>
      <c r="D8" s="699">
        <v>124664.48783033864</v>
      </c>
      <c r="E8" s="700">
        <v>149348.5088895158</v>
      </c>
      <c r="F8" s="701">
        <v>505564.96100000001</v>
      </c>
      <c r="G8" s="702">
        <v>106168</v>
      </c>
      <c r="H8" s="702">
        <v>137573.3481765</v>
      </c>
      <c r="I8" s="702">
        <v>141440.49115791</v>
      </c>
      <c r="J8" s="702">
        <v>143764.54666559008</v>
      </c>
      <c r="K8" s="703">
        <v>528946.38600000006</v>
      </c>
      <c r="L8" s="702">
        <v>108825.99670250001</v>
      </c>
      <c r="M8" s="702">
        <v>135478.3154165</v>
      </c>
      <c r="N8" s="702">
        <v>154372.7159338989</v>
      </c>
      <c r="O8" s="702">
        <v>174290.68033089017</v>
      </c>
      <c r="P8" s="704">
        <v>572967.70838378905</v>
      </c>
      <c r="Q8" s="702">
        <v>107970</v>
      </c>
    </row>
    <row r="9" spans="1:17">
      <c r="A9" s="705" t="s">
        <v>637</v>
      </c>
      <c r="B9" s="698">
        <v>1520108.9324131261</v>
      </c>
      <c r="C9" s="698">
        <v>1864698.2637033181</v>
      </c>
      <c r="D9" s="698">
        <v>1830236.7320671882</v>
      </c>
      <c r="E9" s="706">
        <v>2105948.2379469378</v>
      </c>
      <c r="F9" s="701">
        <v>7320992.1661305698</v>
      </c>
      <c r="G9" s="702">
        <v>1743302.7509999999</v>
      </c>
      <c r="H9" s="702">
        <v>2052263.54543638</v>
      </c>
      <c r="I9" s="702">
        <v>2028614.8791888501</v>
      </c>
      <c r="J9" s="702">
        <v>2471546.5033747703</v>
      </c>
      <c r="K9" s="703">
        <v>8295727.6789999995</v>
      </c>
      <c r="L9" s="702">
        <v>1661346.1609473957</v>
      </c>
      <c r="M9" s="702">
        <v>2201864.8326125881</v>
      </c>
      <c r="N9" s="702">
        <v>2203910.5671669999</v>
      </c>
      <c r="O9" s="702">
        <v>2651579.2999999998</v>
      </c>
      <c r="P9" s="704">
        <v>8718700.8607269824</v>
      </c>
      <c r="Q9" s="702">
        <v>2021955</v>
      </c>
    </row>
    <row r="10" spans="1:17">
      <c r="A10" s="707" t="s">
        <v>638</v>
      </c>
      <c r="B10" s="708"/>
      <c r="C10" s="709"/>
      <c r="D10" s="709"/>
      <c r="E10" s="700"/>
      <c r="F10" s="710"/>
      <c r="G10" s="702"/>
      <c r="H10" s="702"/>
      <c r="I10" s="702"/>
      <c r="J10" s="711"/>
      <c r="K10" s="712"/>
      <c r="L10" s="708"/>
      <c r="M10" s="708"/>
      <c r="N10" s="708"/>
      <c r="O10" s="708"/>
      <c r="P10" s="704"/>
      <c r="Q10" s="708"/>
    </row>
    <row r="11" spans="1:17">
      <c r="A11" s="713" t="s">
        <v>639</v>
      </c>
      <c r="B11" s="714">
        <v>1041281.18</v>
      </c>
      <c r="C11" s="709">
        <v>1290491.5079999999</v>
      </c>
      <c r="D11" s="709">
        <v>1289026.554</v>
      </c>
      <c r="E11" s="715">
        <v>1457877.7710000006</v>
      </c>
      <c r="F11" s="710">
        <v>5078677.0130000003</v>
      </c>
      <c r="G11" s="708">
        <v>1185830</v>
      </c>
      <c r="H11" s="708">
        <v>1428798.7804</v>
      </c>
      <c r="I11" s="708">
        <v>1432567.5336240001</v>
      </c>
      <c r="J11" s="708">
        <v>1802485.1919760001</v>
      </c>
      <c r="K11" s="716">
        <v>5849681.5060000001</v>
      </c>
      <c r="L11" s="708">
        <v>1097012.77091542</v>
      </c>
      <c r="M11" s="708">
        <v>1548396.2314289997</v>
      </c>
      <c r="N11" s="708">
        <v>1583493.2991900002</v>
      </c>
      <c r="O11" s="708">
        <v>1955696.4</v>
      </c>
      <c r="P11" s="704">
        <v>6184598.7015344203</v>
      </c>
      <c r="Q11" s="708">
        <v>1420291</v>
      </c>
    </row>
    <row r="12" spans="1:17">
      <c r="A12" s="713" t="s">
        <v>640</v>
      </c>
      <c r="B12" s="714">
        <v>418582.65500000003</v>
      </c>
      <c r="C12" s="709">
        <v>503778.5</v>
      </c>
      <c r="D12" s="709">
        <v>468593.94300000003</v>
      </c>
      <c r="E12" s="715">
        <v>544986.13800000004</v>
      </c>
      <c r="F12" s="710">
        <v>1935941.236</v>
      </c>
      <c r="G12" s="708">
        <v>481187</v>
      </c>
      <c r="H12" s="708">
        <v>536270.93743637996</v>
      </c>
      <c r="I12" s="708">
        <v>507404.71707303007</v>
      </c>
      <c r="J12" s="708">
        <v>551321.93749058992</v>
      </c>
      <c r="K12" s="716">
        <v>2076184.5919999999</v>
      </c>
      <c r="L12" s="708">
        <v>480969.35463099997</v>
      </c>
      <c r="M12" s="708">
        <v>556236.66743718169</v>
      </c>
      <c r="N12" s="708">
        <v>525444.1937239999</v>
      </c>
      <c r="O12" s="708">
        <v>570922.6</v>
      </c>
      <c r="P12" s="704">
        <v>2133572.8157921815</v>
      </c>
      <c r="Q12" s="708">
        <v>508126</v>
      </c>
    </row>
    <row r="13" spans="1:17">
      <c r="A13" s="713" t="s">
        <v>641</v>
      </c>
      <c r="B13" s="714">
        <v>11553.212978487465</v>
      </c>
      <c r="C13" s="709">
        <v>13515.463005300708</v>
      </c>
      <c r="D13" s="709">
        <v>12694</v>
      </c>
      <c r="E13" s="715">
        <v>23036.844146781932</v>
      </c>
      <c r="F13" s="710">
        <v>60799.520130570105</v>
      </c>
      <c r="G13" s="708">
        <v>12306</v>
      </c>
      <c r="H13" s="708">
        <v>15069.718999999999</v>
      </c>
      <c r="I13" s="708">
        <v>12069.43480182</v>
      </c>
      <c r="J13" s="708">
        <v>35619.498198180008</v>
      </c>
      <c r="K13" s="716">
        <v>75064.652000000002</v>
      </c>
      <c r="L13" s="708">
        <v>10496.340000975675</v>
      </c>
      <c r="M13" s="708">
        <v>15731.253250407275</v>
      </c>
      <c r="N13" s="708">
        <v>12600.733653000001</v>
      </c>
      <c r="O13" s="708">
        <v>37000</v>
      </c>
      <c r="P13" s="704">
        <v>75828.32690438295</v>
      </c>
      <c r="Q13" s="708">
        <v>17349</v>
      </c>
    </row>
    <row r="14" spans="1:17">
      <c r="A14" s="713" t="s">
        <v>642</v>
      </c>
      <c r="B14" s="714">
        <v>47258.718999999997</v>
      </c>
      <c r="C14" s="709">
        <v>55499.065999999999</v>
      </c>
      <c r="D14" s="709">
        <v>58640.4</v>
      </c>
      <c r="E14" s="715">
        <v>78643.725000000006</v>
      </c>
      <c r="F14" s="710">
        <v>240041.91</v>
      </c>
      <c r="G14" s="708">
        <v>63119.750999999997</v>
      </c>
      <c r="H14" s="708">
        <v>71286.698799999998</v>
      </c>
      <c r="I14" s="708">
        <v>75826.958499999993</v>
      </c>
      <c r="J14" s="708">
        <v>81149.741700000013</v>
      </c>
      <c r="K14" s="716">
        <v>291383.15000000002</v>
      </c>
      <c r="L14" s="708">
        <v>72191.49040000001</v>
      </c>
      <c r="M14" s="708">
        <v>80906.585099999997</v>
      </c>
      <c r="N14" s="708">
        <v>81759.838300000003</v>
      </c>
      <c r="O14" s="708">
        <v>87000</v>
      </c>
      <c r="P14" s="704">
        <v>321857.91379999998</v>
      </c>
      <c r="Q14" s="708">
        <v>75929</v>
      </c>
    </row>
    <row r="15" spans="1:17">
      <c r="A15" s="713" t="s">
        <v>643</v>
      </c>
      <c r="B15" s="714">
        <v>1433.1654346387968</v>
      </c>
      <c r="C15" s="709">
        <v>1413.7266980173754</v>
      </c>
      <c r="D15" s="709">
        <v>1281.8350671884616</v>
      </c>
      <c r="E15" s="715">
        <v>1403.7598001553667</v>
      </c>
      <c r="F15" s="710">
        <v>5532.487000000001</v>
      </c>
      <c r="G15" s="708">
        <v>860</v>
      </c>
      <c r="H15" s="708">
        <v>837.4097999999999</v>
      </c>
      <c r="I15" s="708">
        <v>746.2351900000001</v>
      </c>
      <c r="J15" s="708">
        <v>970.13401000000022</v>
      </c>
      <c r="K15" s="716">
        <v>3413.779</v>
      </c>
      <c r="L15" s="708">
        <v>676.20500000000004</v>
      </c>
      <c r="M15" s="708">
        <v>594.09539599999994</v>
      </c>
      <c r="N15" s="708">
        <v>612.50229999999999</v>
      </c>
      <c r="O15" s="708">
        <v>960</v>
      </c>
      <c r="P15" s="704">
        <v>2842.8026960000002</v>
      </c>
      <c r="Q15" s="708">
        <v>260</v>
      </c>
    </row>
    <row r="16" spans="1:17">
      <c r="A16" s="705" t="s">
        <v>418</v>
      </c>
      <c r="B16" s="698">
        <v>341106.68058418069</v>
      </c>
      <c r="C16" s="698">
        <v>520319.81389824895</v>
      </c>
      <c r="D16" s="698">
        <v>562022.84755767428</v>
      </c>
      <c r="E16" s="698">
        <v>622707.02599999984</v>
      </c>
      <c r="F16" s="701">
        <v>2046156.3680401037</v>
      </c>
      <c r="G16" s="702">
        <v>431874</v>
      </c>
      <c r="H16" s="702">
        <v>610959.33846802753</v>
      </c>
      <c r="I16" s="702">
        <v>637465.62282829836</v>
      </c>
      <c r="J16" s="702">
        <v>793459.08970367396</v>
      </c>
      <c r="K16" s="703">
        <v>2473758.0510000004</v>
      </c>
      <c r="L16" s="702">
        <v>490405.57077054464</v>
      </c>
      <c r="M16" s="702">
        <v>567612.30760857905</v>
      </c>
      <c r="N16" s="702">
        <v>620971.85754227964</v>
      </c>
      <c r="O16" s="702">
        <v>841888.8</v>
      </c>
      <c r="P16" s="704">
        <v>2520878.5359214032</v>
      </c>
      <c r="Q16" s="702">
        <v>632235</v>
      </c>
    </row>
    <row r="17" spans="1:17">
      <c r="A17" s="707" t="s">
        <v>378</v>
      </c>
      <c r="B17" s="708"/>
      <c r="C17" s="709"/>
      <c r="D17" s="709"/>
      <c r="E17" s="700"/>
      <c r="F17" s="710"/>
      <c r="G17" s="702"/>
      <c r="H17" s="702"/>
      <c r="I17" s="702"/>
      <c r="J17" s="711"/>
      <c r="K17" s="712"/>
      <c r="L17" s="708"/>
      <c r="M17" s="708"/>
      <c r="N17" s="708"/>
      <c r="O17" s="708"/>
      <c r="P17" s="704"/>
      <c r="Q17" s="708"/>
    </row>
    <row r="18" spans="1:17" ht="15" customHeight="1">
      <c r="A18" s="713" t="s">
        <v>644</v>
      </c>
      <c r="B18" s="717">
        <v>164860.95358418065</v>
      </c>
      <c r="C18" s="709">
        <v>306218.98089824902</v>
      </c>
      <c r="D18" s="709">
        <v>324759.03155767417</v>
      </c>
      <c r="E18" s="715">
        <v>340846</v>
      </c>
      <c r="F18" s="710">
        <v>1136684.9660401037</v>
      </c>
      <c r="G18" s="708">
        <v>144883</v>
      </c>
      <c r="H18" s="708">
        <v>275179.49946802756</v>
      </c>
      <c r="I18" s="708">
        <v>283469.30582829838</v>
      </c>
      <c r="J18" s="708">
        <v>432231.59770367388</v>
      </c>
      <c r="K18" s="716">
        <v>1135763.4029999999</v>
      </c>
      <c r="L18" s="708">
        <v>156701.67177054458</v>
      </c>
      <c r="M18" s="708">
        <v>225448.85360857908</v>
      </c>
      <c r="N18" s="708">
        <v>265944.65854227974</v>
      </c>
      <c r="O18" s="708">
        <v>360557.12787487381</v>
      </c>
      <c r="P18" s="704">
        <v>1008652.3117962772</v>
      </c>
      <c r="Q18" s="708">
        <v>164466</v>
      </c>
    </row>
    <row r="19" spans="1:17" ht="15.75" customHeight="1">
      <c r="A19" s="713" t="s">
        <v>645</v>
      </c>
      <c r="B19" s="717">
        <v>150354.5</v>
      </c>
      <c r="C19" s="709">
        <v>160422.9</v>
      </c>
      <c r="D19" s="709">
        <v>168670.8</v>
      </c>
      <c r="E19" s="715">
        <v>181019</v>
      </c>
      <c r="F19" s="710">
        <v>660467.19999999995</v>
      </c>
      <c r="G19" s="708">
        <v>200475</v>
      </c>
      <c r="H19" s="708">
        <v>215123.7</v>
      </c>
      <c r="I19" s="708">
        <v>223390.3</v>
      </c>
      <c r="J19" s="708">
        <v>211224.99800000008</v>
      </c>
      <c r="K19" s="716">
        <v>850213.99800000002</v>
      </c>
      <c r="L19" s="708">
        <v>220292.5</v>
      </c>
      <c r="M19" s="708">
        <v>213679.9</v>
      </c>
      <c r="N19" s="708">
        <v>221328.8</v>
      </c>
      <c r="O19" s="708">
        <v>300068.73189861618</v>
      </c>
      <c r="P19" s="704">
        <v>955369.93189861614</v>
      </c>
      <c r="Q19" s="708">
        <v>333139</v>
      </c>
    </row>
    <row r="20" spans="1:17" ht="25.5">
      <c r="A20" s="713" t="s">
        <v>646</v>
      </c>
      <c r="B20" s="717">
        <v>23671.792000000001</v>
      </c>
      <c r="C20" s="709">
        <v>41015.741000000002</v>
      </c>
      <c r="D20" s="709">
        <v>64784.517</v>
      </c>
      <c r="E20" s="715">
        <v>97512.645999999993</v>
      </c>
      <c r="F20" s="710">
        <v>226984.696</v>
      </c>
      <c r="G20" s="708">
        <v>84697</v>
      </c>
      <c r="H20" s="708">
        <v>118138.77099999999</v>
      </c>
      <c r="I20" s="708">
        <v>128417.469</v>
      </c>
      <c r="J20" s="708">
        <v>147826.97399999999</v>
      </c>
      <c r="K20" s="716">
        <v>479080.21399999998</v>
      </c>
      <c r="L20" s="708">
        <v>111779.412</v>
      </c>
      <c r="M20" s="708">
        <v>126639.77899999999</v>
      </c>
      <c r="N20" s="708">
        <v>131871.446</v>
      </c>
      <c r="O20" s="708">
        <v>178786.03044365146</v>
      </c>
      <c r="P20" s="704">
        <v>549076.66744365147</v>
      </c>
      <c r="Q20" s="708">
        <v>133092</v>
      </c>
    </row>
    <row r="21" spans="1:17" ht="25.5">
      <c r="A21" s="713" t="s">
        <v>647</v>
      </c>
      <c r="B21" s="717">
        <v>1822.7190000000001</v>
      </c>
      <c r="C21" s="709">
        <v>3460.395</v>
      </c>
      <c r="D21" s="709">
        <v>2923.748</v>
      </c>
      <c r="E21" s="715">
        <v>2834.8159999999998</v>
      </c>
      <c r="F21" s="710">
        <v>11041.678</v>
      </c>
      <c r="G21" s="708">
        <v>1819</v>
      </c>
      <c r="H21" s="708">
        <v>2517.3679999999999</v>
      </c>
      <c r="I21" s="708">
        <v>2188.5479999999998</v>
      </c>
      <c r="J21" s="708">
        <v>2175.52</v>
      </c>
      <c r="K21" s="716">
        <v>8700.4359999999997</v>
      </c>
      <c r="L21" s="708">
        <v>1631.9870000000001</v>
      </c>
      <c r="M21" s="708">
        <v>1843.7750000000001</v>
      </c>
      <c r="N21" s="708">
        <v>1826.953</v>
      </c>
      <c r="O21" s="708">
        <v>2476.9097828586814</v>
      </c>
      <c r="P21" s="704">
        <v>7779.624782858682</v>
      </c>
      <c r="Q21" s="708">
        <v>1539</v>
      </c>
    </row>
    <row r="22" spans="1:17" ht="25.5">
      <c r="A22" s="718" t="s">
        <v>648</v>
      </c>
      <c r="B22" s="717">
        <v>396.70699999999999</v>
      </c>
      <c r="C22" s="709">
        <v>410.36</v>
      </c>
      <c r="D22" s="709">
        <v>730.73299999999995</v>
      </c>
      <c r="E22" s="715">
        <v>476.07</v>
      </c>
      <c r="F22" s="710">
        <v>2013.87</v>
      </c>
      <c r="G22" s="719" t="s">
        <v>649</v>
      </c>
      <c r="H22" s="719" t="s">
        <v>649</v>
      </c>
      <c r="I22" s="719" t="s">
        <v>649</v>
      </c>
      <c r="J22" s="719" t="s">
        <v>649</v>
      </c>
      <c r="K22" s="720" t="s">
        <v>649</v>
      </c>
      <c r="L22" s="720" t="s">
        <v>649</v>
      </c>
      <c r="M22" s="720" t="s">
        <v>649</v>
      </c>
      <c r="N22" s="720" t="s">
        <v>649</v>
      </c>
      <c r="O22" s="720" t="s">
        <v>649</v>
      </c>
      <c r="P22" s="721" t="s">
        <v>649</v>
      </c>
      <c r="Q22" s="721"/>
    </row>
    <row r="23" spans="1:17" ht="25.5">
      <c r="A23" s="718" t="s">
        <v>650</v>
      </c>
      <c r="B23" s="717">
        <v>8.9999999999999993E-3</v>
      </c>
      <c r="C23" s="709">
        <v>8791.4369999999999</v>
      </c>
      <c r="D23" s="709">
        <v>154.01800000000003</v>
      </c>
      <c r="E23" s="715">
        <v>18.494000000000597</v>
      </c>
      <c r="F23" s="710">
        <v>8963.9580000000005</v>
      </c>
      <c r="G23" s="719" t="s">
        <v>649</v>
      </c>
      <c r="H23" s="719" t="s">
        <v>649</v>
      </c>
      <c r="I23" s="719" t="s">
        <v>649</v>
      </c>
      <c r="J23" s="719" t="s">
        <v>649</v>
      </c>
      <c r="K23" s="720" t="s">
        <v>649</v>
      </c>
      <c r="L23" s="720" t="s">
        <v>649</v>
      </c>
      <c r="M23" s="720" t="s">
        <v>649</v>
      </c>
      <c r="N23" s="720" t="s">
        <v>649</v>
      </c>
      <c r="O23" s="720" t="s">
        <v>649</v>
      </c>
      <c r="P23" s="721" t="s">
        <v>649</v>
      </c>
      <c r="Q23" s="721"/>
    </row>
    <row r="24" spans="1:17" ht="15.75" customHeight="1">
      <c r="A24" s="722" t="s">
        <v>651</v>
      </c>
      <c r="B24" s="698">
        <v>203863.443</v>
      </c>
      <c r="C24" s="699">
        <v>270889.63500000001</v>
      </c>
      <c r="D24" s="699">
        <v>222935.79699999999</v>
      </c>
      <c r="E24" s="700">
        <v>286100.57</v>
      </c>
      <c r="F24" s="701">
        <v>983789.44500000007</v>
      </c>
      <c r="G24" s="702">
        <v>267604</v>
      </c>
      <c r="H24" s="702">
        <v>305634.51500000001</v>
      </c>
      <c r="I24" s="702">
        <v>256589.584</v>
      </c>
      <c r="J24" s="702">
        <v>262214.85399999993</v>
      </c>
      <c r="K24" s="703">
        <v>1092042.953</v>
      </c>
      <c r="L24" s="702">
        <v>228063.448</v>
      </c>
      <c r="M24" s="702">
        <v>250941.06599999999</v>
      </c>
      <c r="N24" s="702">
        <v>287327.56099999999</v>
      </c>
      <c r="O24" s="702">
        <v>424508.97600000002</v>
      </c>
      <c r="P24" s="704">
        <v>1190841.051</v>
      </c>
      <c r="Q24" s="702">
        <v>443131</v>
      </c>
    </row>
    <row r="25" spans="1:17" ht="25.5">
      <c r="A25" s="723" t="s">
        <v>652</v>
      </c>
      <c r="B25" s="698">
        <v>23125.849249999999</v>
      </c>
      <c r="C25" s="699">
        <v>23125.849249999999</v>
      </c>
      <c r="D25" s="699">
        <v>23125.849249999999</v>
      </c>
      <c r="E25" s="700">
        <v>23125.849249999999</v>
      </c>
      <c r="F25" s="701">
        <v>92503.396999999997</v>
      </c>
      <c r="G25" s="702">
        <v>19645</v>
      </c>
      <c r="H25" s="702">
        <v>22309.981</v>
      </c>
      <c r="I25" s="702">
        <v>22365.861187499999</v>
      </c>
      <c r="J25" s="702">
        <v>27689.919812500011</v>
      </c>
      <c r="K25" s="703">
        <v>92010.762000000002</v>
      </c>
      <c r="L25" s="702">
        <v>23125.8492625</v>
      </c>
      <c r="M25" s="702">
        <v>23125.8492625</v>
      </c>
      <c r="N25" s="702">
        <v>23002.690418373106</v>
      </c>
      <c r="O25" s="702">
        <v>27689.159</v>
      </c>
      <c r="P25" s="704">
        <v>96943.547943373109</v>
      </c>
      <c r="Q25" s="702">
        <v>23126</v>
      </c>
    </row>
    <row r="26" spans="1:17">
      <c r="A26" s="705" t="s">
        <v>653</v>
      </c>
      <c r="B26" s="698">
        <v>0</v>
      </c>
      <c r="C26" s="709"/>
      <c r="D26" s="699">
        <v>0</v>
      </c>
      <c r="E26" s="700"/>
      <c r="F26" s="710">
        <v>0</v>
      </c>
      <c r="G26" s="702">
        <v>0</v>
      </c>
      <c r="H26" s="702">
        <v>0</v>
      </c>
      <c r="I26" s="702">
        <v>0</v>
      </c>
      <c r="J26" s="702">
        <v>0</v>
      </c>
      <c r="K26" s="703">
        <v>0</v>
      </c>
      <c r="L26" s="702">
        <v>0</v>
      </c>
      <c r="M26" s="702">
        <v>0</v>
      </c>
      <c r="N26" s="702">
        <v>0</v>
      </c>
      <c r="O26" s="702">
        <v>0</v>
      </c>
      <c r="P26" s="704">
        <v>0</v>
      </c>
      <c r="Q26" s="702">
        <v>0</v>
      </c>
    </row>
    <row r="27" spans="1:17" ht="15.75" customHeight="1">
      <c r="A27" s="705" t="s">
        <v>654</v>
      </c>
      <c r="B27" s="698">
        <v>1532667.9273530678</v>
      </c>
      <c r="C27" s="698">
        <v>1990273.7463763785</v>
      </c>
      <c r="D27" s="698">
        <v>2330650.5735793179</v>
      </c>
      <c r="E27" s="706">
        <v>3397358.3249191223</v>
      </c>
      <c r="F27" s="724">
        <v>9250950.5722278841</v>
      </c>
      <c r="G27" s="702">
        <v>2021815.7579999981</v>
      </c>
      <c r="H27" s="702">
        <v>2450070.4056594912</v>
      </c>
      <c r="I27" s="702">
        <v>2545310.0980258388</v>
      </c>
      <c r="J27" s="702">
        <v>3343874.470851785</v>
      </c>
      <c r="K27" s="703">
        <v>10361071.118000006</v>
      </c>
      <c r="L27" s="702">
        <v>2084953.7522395405</v>
      </c>
      <c r="M27" s="702">
        <v>2923609.4198237606</v>
      </c>
      <c r="N27" s="702">
        <v>3183599.9471156332</v>
      </c>
      <c r="O27" s="702">
        <v>3707623.5650000004</v>
      </c>
      <c r="P27" s="704">
        <v>11899786.684178941</v>
      </c>
      <c r="Q27" s="702">
        <v>2269123</v>
      </c>
    </row>
    <row r="28" spans="1:17">
      <c r="A28" s="705" t="s">
        <v>655</v>
      </c>
      <c r="B28" s="725">
        <v>8206131.3989999983</v>
      </c>
      <c r="C28" s="725">
        <v>9695376.995000001</v>
      </c>
      <c r="D28" s="725">
        <v>9991338.2630000003</v>
      </c>
      <c r="E28" s="726">
        <v>12010825.431999998</v>
      </c>
      <c r="F28" s="727">
        <v>39903672.088999994</v>
      </c>
      <c r="G28" s="702">
        <v>9402664.2499999981</v>
      </c>
      <c r="H28" s="702">
        <v>10877274.987530001</v>
      </c>
      <c r="I28" s="702">
        <v>10978009.36135</v>
      </c>
      <c r="J28" s="702">
        <v>13392499.569657119</v>
      </c>
      <c r="K28" s="703">
        <v>44650448.554000005</v>
      </c>
      <c r="L28" s="702">
        <v>9785061.6883195806</v>
      </c>
      <c r="M28" s="702">
        <v>11766578.327911273</v>
      </c>
      <c r="N28" s="702">
        <v>12110522.327531725</v>
      </c>
      <c r="O28" s="702">
        <v>14238172.300000001</v>
      </c>
      <c r="P28" s="704">
        <v>47900334.643762581</v>
      </c>
      <c r="Q28" s="702">
        <v>11078003</v>
      </c>
    </row>
    <row r="29" spans="1:17">
      <c r="A29" s="713" t="s">
        <v>656</v>
      </c>
      <c r="B29" s="698">
        <v>247544.4</v>
      </c>
      <c r="C29" s="709">
        <v>0</v>
      </c>
      <c r="D29" s="699">
        <v>66097.3</v>
      </c>
      <c r="E29" s="728">
        <v>0</v>
      </c>
      <c r="F29" s="710">
        <v>0</v>
      </c>
      <c r="G29" s="702">
        <v>282836.90000000002</v>
      </c>
      <c r="H29" s="702">
        <v>0</v>
      </c>
      <c r="I29" s="702">
        <v>64497.2</v>
      </c>
      <c r="J29" s="702">
        <v>0</v>
      </c>
      <c r="K29" s="703">
        <v>0</v>
      </c>
      <c r="L29" s="702">
        <v>165000</v>
      </c>
      <c r="M29" s="702">
        <v>0</v>
      </c>
      <c r="N29" s="702">
        <v>0</v>
      </c>
      <c r="O29" s="702">
        <v>0</v>
      </c>
      <c r="P29" s="704">
        <v>0</v>
      </c>
      <c r="Q29" s="702">
        <v>703881</v>
      </c>
    </row>
    <row r="30" spans="1:17">
      <c r="A30" s="705" t="s">
        <v>657</v>
      </c>
      <c r="B30" s="702">
        <v>8453675.7989999987</v>
      </c>
      <c r="C30" s="702">
        <v>9695376.995000001</v>
      </c>
      <c r="D30" s="702">
        <v>10057435.563000001</v>
      </c>
      <c r="E30" s="729">
        <v>12010825.431999998</v>
      </c>
      <c r="F30" s="701">
        <v>39903672.088999994</v>
      </c>
      <c r="G30" s="702">
        <v>9685501.1499999985</v>
      </c>
      <c r="H30" s="702">
        <v>10877274.987530001</v>
      </c>
      <c r="I30" s="702">
        <v>11042506.561349999</v>
      </c>
      <c r="J30" s="702">
        <v>13392499.569657119</v>
      </c>
      <c r="K30" s="703">
        <v>44650448.554000005</v>
      </c>
      <c r="L30" s="725">
        <v>9950061.6883195806</v>
      </c>
      <c r="M30" s="725">
        <v>11766578.327911273</v>
      </c>
      <c r="N30" s="725">
        <v>12110522.327531725</v>
      </c>
      <c r="O30" s="725">
        <v>14238172.300000001</v>
      </c>
      <c r="P30" s="730">
        <v>47900334.643762581</v>
      </c>
      <c r="Q30" s="725">
        <v>11781884</v>
      </c>
    </row>
    <row r="31" spans="1:17" s="696" customFormat="1" ht="25.5" customHeight="1">
      <c r="A31" s="731" t="s">
        <v>658</v>
      </c>
      <c r="B31" s="688" t="s">
        <v>619</v>
      </c>
      <c r="C31" s="688" t="s">
        <v>620</v>
      </c>
      <c r="D31" s="688" t="s">
        <v>621</v>
      </c>
      <c r="E31" s="688" t="s">
        <v>622</v>
      </c>
      <c r="F31" s="688" t="s">
        <v>623</v>
      </c>
      <c r="G31" s="688" t="s">
        <v>624</v>
      </c>
      <c r="H31" s="688" t="s">
        <v>625</v>
      </c>
      <c r="I31" s="688" t="s">
        <v>626</v>
      </c>
      <c r="J31" s="688" t="s">
        <v>627</v>
      </c>
      <c r="K31" s="688" t="s">
        <v>628</v>
      </c>
      <c r="L31" s="688" t="s">
        <v>629</v>
      </c>
      <c r="M31" s="688" t="s">
        <v>630</v>
      </c>
      <c r="N31" s="688" t="s">
        <v>631</v>
      </c>
      <c r="O31" s="688" t="s">
        <v>632</v>
      </c>
      <c r="P31" s="688" t="s">
        <v>633</v>
      </c>
      <c r="Q31" s="688" t="str">
        <f>Q5</f>
        <v>1 квартал 2015 года</v>
      </c>
    </row>
    <row r="32" spans="1:17">
      <c r="A32" s="705" t="s">
        <v>659</v>
      </c>
      <c r="B32" s="698">
        <v>6563509.4000000004</v>
      </c>
      <c r="C32" s="698">
        <v>7114874.4280000003</v>
      </c>
      <c r="D32" s="698">
        <v>7601518.8020000001</v>
      </c>
      <c r="E32" s="698">
        <v>8331275.1999999993</v>
      </c>
      <c r="F32" s="701">
        <v>29611177.830000002</v>
      </c>
      <c r="G32" s="702">
        <v>7361484.4999999991</v>
      </c>
      <c r="H32" s="702">
        <v>7917721.6335300002</v>
      </c>
      <c r="I32" s="702">
        <v>8427179.9943499994</v>
      </c>
      <c r="J32" s="702">
        <v>9141519.7999999989</v>
      </c>
      <c r="K32" s="703">
        <v>32847905.899</v>
      </c>
      <c r="L32" s="702">
        <v>8050727.16775</v>
      </c>
      <c r="M32" s="702">
        <v>8592551.8669999987</v>
      </c>
      <c r="N32" s="702">
        <v>9137525.3877900001</v>
      </c>
      <c r="O32" s="702">
        <v>10164534.1</v>
      </c>
      <c r="P32" s="704">
        <v>35945338.522539996</v>
      </c>
      <c r="Q32" s="702">
        <v>8661021</v>
      </c>
    </row>
    <row r="33" spans="1:17">
      <c r="A33" s="707" t="s">
        <v>378</v>
      </c>
      <c r="B33" s="732"/>
      <c r="C33" s="714"/>
      <c r="D33" s="732"/>
      <c r="E33" s="708"/>
      <c r="F33" s="710">
        <v>0</v>
      </c>
      <c r="G33" s="702"/>
      <c r="H33" s="702"/>
      <c r="I33" s="702"/>
      <c r="J33" s="702"/>
      <c r="K33" s="703"/>
      <c r="L33" s="708"/>
      <c r="M33" s="708"/>
      <c r="N33" s="708"/>
      <c r="O33" s="708"/>
      <c r="P33" s="704"/>
      <c r="Q33" s="708"/>
    </row>
    <row r="34" spans="1:17">
      <c r="A34" s="713" t="s">
        <v>660</v>
      </c>
      <c r="B34" s="714">
        <v>4939845</v>
      </c>
      <c r="C34" s="708">
        <v>5384165.7000000002</v>
      </c>
      <c r="D34" s="708">
        <v>5786011.7000000002</v>
      </c>
      <c r="E34" s="708">
        <v>6431052.0999999996</v>
      </c>
      <c r="F34" s="710">
        <v>22541074.5</v>
      </c>
      <c r="G34" s="708">
        <v>5514696.5999999996</v>
      </c>
      <c r="H34" s="708">
        <v>5992898.2999999998</v>
      </c>
      <c r="I34" s="708">
        <v>6373416.7999999998</v>
      </c>
      <c r="J34" s="708">
        <v>7056978.5</v>
      </c>
      <c r="K34" s="703">
        <v>24937990.162</v>
      </c>
      <c r="L34" s="708">
        <v>6052658.0999999996</v>
      </c>
      <c r="M34" s="708">
        <v>6542137.2999999998</v>
      </c>
      <c r="N34" s="708">
        <v>6982309.2999999998</v>
      </c>
      <c r="O34" s="708">
        <v>7945433.0999999996</v>
      </c>
      <c r="P34" s="704">
        <v>27522537.799999997</v>
      </c>
      <c r="Q34" s="708">
        <v>6617852</v>
      </c>
    </row>
    <row r="35" spans="1:17">
      <c r="A35" s="713" t="s">
        <v>661</v>
      </c>
      <c r="B35" s="714">
        <v>1454314.2</v>
      </c>
      <c r="C35" s="708">
        <v>1557627.8</v>
      </c>
      <c r="D35" s="708">
        <v>1603021.5</v>
      </c>
      <c r="E35" s="708">
        <v>1701892.1</v>
      </c>
      <c r="F35" s="710">
        <v>6316855.5999999996</v>
      </c>
      <c r="G35" s="708">
        <v>1626684.3</v>
      </c>
      <c r="H35" s="708">
        <v>1696265.5</v>
      </c>
      <c r="I35" s="708">
        <v>1773140.8</v>
      </c>
      <c r="J35" s="708">
        <v>1831391.2</v>
      </c>
      <c r="K35" s="703">
        <v>6927481.8140000002</v>
      </c>
      <c r="L35" s="708">
        <v>1722975.8288999998</v>
      </c>
      <c r="M35" s="708">
        <v>1786521.1219999997</v>
      </c>
      <c r="N35" s="708">
        <v>1851971.1746</v>
      </c>
      <c r="O35" s="708">
        <v>1940867.2</v>
      </c>
      <c r="P35" s="704">
        <v>7302335.3254999993</v>
      </c>
      <c r="Q35" s="708">
        <v>1863168</v>
      </c>
    </row>
    <row r="36" spans="1:17">
      <c r="A36" s="733" t="s">
        <v>662</v>
      </c>
      <c r="B36" s="714">
        <v>169350.2</v>
      </c>
      <c r="C36" s="708">
        <v>173080.92800000001</v>
      </c>
      <c r="D36" s="708">
        <v>212485.60200000001</v>
      </c>
      <c r="E36" s="708">
        <v>198331</v>
      </c>
      <c r="F36" s="710">
        <v>753247.73</v>
      </c>
      <c r="G36" s="708">
        <v>220103.6</v>
      </c>
      <c r="H36" s="708">
        <v>228557.83353</v>
      </c>
      <c r="I36" s="708">
        <v>280622.39435000002</v>
      </c>
      <c r="J36" s="708">
        <v>253150.1</v>
      </c>
      <c r="K36" s="703">
        <v>982433.92299999995</v>
      </c>
      <c r="L36" s="708">
        <v>275093.23885000002</v>
      </c>
      <c r="M36" s="708">
        <v>263893.44500000001</v>
      </c>
      <c r="N36" s="708">
        <v>303244.91318999999</v>
      </c>
      <c r="O36" s="708">
        <v>278233.8</v>
      </c>
      <c r="P36" s="704">
        <v>1120465.39704</v>
      </c>
      <c r="Q36" s="708">
        <v>617748</v>
      </c>
    </row>
    <row r="37" spans="1:17" ht="25.5">
      <c r="A37" s="705" t="s">
        <v>663</v>
      </c>
      <c r="B37" s="725">
        <v>837580.4</v>
      </c>
      <c r="C37" s="725">
        <v>1046754.7</v>
      </c>
      <c r="D37" s="725">
        <v>1139905.2</v>
      </c>
      <c r="E37" s="725">
        <v>1290192.5</v>
      </c>
      <c r="F37" s="701">
        <v>4314432.8</v>
      </c>
      <c r="G37" s="702">
        <v>1042024.6</v>
      </c>
      <c r="H37" s="702">
        <v>1259171.8</v>
      </c>
      <c r="I37" s="702">
        <v>1265795</v>
      </c>
      <c r="J37" s="702">
        <v>1570686.4696571203</v>
      </c>
      <c r="K37" s="703">
        <v>5137677.966</v>
      </c>
      <c r="L37" s="702">
        <v>1174181.6022695815</v>
      </c>
      <c r="M37" s="702">
        <v>1333109.1299112735</v>
      </c>
      <c r="N37" s="702">
        <v>1413886.5397417245</v>
      </c>
      <c r="O37" s="702">
        <v>1673171.5</v>
      </c>
      <c r="P37" s="704">
        <v>5594348.77192258</v>
      </c>
      <c r="Q37" s="702">
        <v>1201576</v>
      </c>
    </row>
    <row r="38" spans="1:17">
      <c r="A38" s="707" t="s">
        <v>664</v>
      </c>
      <c r="B38" s="732"/>
      <c r="C38" s="732"/>
      <c r="D38" s="732"/>
      <c r="E38" s="732"/>
      <c r="F38" s="710"/>
      <c r="G38" s="702"/>
      <c r="H38" s="702"/>
      <c r="I38" s="702"/>
      <c r="J38" s="702"/>
      <c r="K38" s="703"/>
      <c r="L38" s="708"/>
      <c r="M38" s="708"/>
      <c r="N38" s="708"/>
      <c r="O38" s="708"/>
      <c r="P38" s="704"/>
      <c r="Q38" s="708"/>
    </row>
    <row r="39" spans="1:17">
      <c r="A39" s="713" t="s">
        <v>665</v>
      </c>
      <c r="B39" s="714">
        <v>470147.44501982635</v>
      </c>
      <c r="C39" s="708">
        <v>608318.37655438494</v>
      </c>
      <c r="D39" s="708">
        <v>674132.05055957031</v>
      </c>
      <c r="E39" s="708">
        <v>760742.78189051081</v>
      </c>
      <c r="F39" s="710">
        <v>2513340.6540242927</v>
      </c>
      <c r="G39" s="708">
        <v>539860.94221457327</v>
      </c>
      <c r="H39" s="708">
        <v>690247.05789898697</v>
      </c>
      <c r="I39" s="708">
        <v>646561.64624266408</v>
      </c>
      <c r="J39" s="708">
        <v>907692.54734089598</v>
      </c>
      <c r="K39" s="703">
        <v>2784362.3029999998</v>
      </c>
      <c r="L39" s="708">
        <v>590363.13874278346</v>
      </c>
      <c r="M39" s="708">
        <v>710035.71920759801</v>
      </c>
      <c r="N39" s="708">
        <v>730146.84063172457</v>
      </c>
      <c r="O39" s="708">
        <v>864044.49736342009</v>
      </c>
      <c r="P39" s="704">
        <v>2894590.195945526</v>
      </c>
      <c r="Q39" s="708">
        <v>590107</v>
      </c>
    </row>
    <row r="40" spans="1:17">
      <c r="A40" s="713" t="s">
        <v>666</v>
      </c>
      <c r="B40" s="714">
        <v>75045.903999999995</v>
      </c>
      <c r="C40" s="708">
        <v>111168.511</v>
      </c>
      <c r="D40" s="708">
        <v>104738.19899999999</v>
      </c>
      <c r="E40" s="708">
        <v>126354</v>
      </c>
      <c r="F40" s="710">
        <v>417306.61399999994</v>
      </c>
      <c r="G40" s="708">
        <v>87035</v>
      </c>
      <c r="H40" s="708">
        <v>116533.72356999999</v>
      </c>
      <c r="I40" s="708">
        <v>132306.79839000001</v>
      </c>
      <c r="J40" s="708">
        <v>155678.5</v>
      </c>
      <c r="K40" s="703">
        <v>491554.21299999999</v>
      </c>
      <c r="L40" s="708">
        <v>105367</v>
      </c>
      <c r="M40" s="708">
        <v>133900.598</v>
      </c>
      <c r="N40" s="708">
        <v>153168.10911000002</v>
      </c>
      <c r="O40" s="708">
        <v>181256.77532693435</v>
      </c>
      <c r="P40" s="704">
        <v>573692.48243693437</v>
      </c>
      <c r="Q40" s="708">
        <v>91908</v>
      </c>
    </row>
    <row r="41" spans="1:17" ht="25.5">
      <c r="A41" s="713" t="s">
        <v>667</v>
      </c>
      <c r="B41" s="714">
        <v>38606.411374933981</v>
      </c>
      <c r="C41" s="714">
        <v>42207.173904697571</v>
      </c>
      <c r="D41" s="714">
        <v>41562.373787329074</v>
      </c>
      <c r="E41" s="714">
        <v>44372.651908746811</v>
      </c>
      <c r="F41" s="710">
        <v>166748.61097570742</v>
      </c>
      <c r="G41" s="708">
        <v>41527.657785426687</v>
      </c>
      <c r="H41" s="708">
        <v>46143.49653101321</v>
      </c>
      <c r="I41" s="708">
        <v>45652.924848335737</v>
      </c>
      <c r="J41" s="708">
        <v>52951.091835224375</v>
      </c>
      <c r="K41" s="703">
        <v>186275.171</v>
      </c>
      <c r="L41" s="708">
        <v>14387.788526798086</v>
      </c>
      <c r="M41" s="708">
        <v>13019.068593675476</v>
      </c>
      <c r="N41" s="708">
        <v>34885</v>
      </c>
      <c r="O41" s="708">
        <v>41282.370357781489</v>
      </c>
      <c r="P41" s="704">
        <v>103574.22747825505</v>
      </c>
      <c r="Q41" s="708">
        <v>37867</v>
      </c>
    </row>
    <row r="42" spans="1:17" ht="25.5">
      <c r="A42" s="713" t="s">
        <v>668</v>
      </c>
      <c r="B42" s="714">
        <v>250148.1</v>
      </c>
      <c r="C42" s="708">
        <v>281238</v>
      </c>
      <c r="D42" s="708">
        <v>315178</v>
      </c>
      <c r="E42" s="708">
        <v>353880.2030000001</v>
      </c>
      <c r="F42" s="710">
        <v>1200444.3030000001</v>
      </c>
      <c r="G42" s="708">
        <v>369949</v>
      </c>
      <c r="H42" s="708">
        <v>402793.2</v>
      </c>
      <c r="I42" s="708">
        <v>437812.6</v>
      </c>
      <c r="J42" s="708">
        <v>450516</v>
      </c>
      <c r="K42" s="703">
        <v>1661070.5959999999</v>
      </c>
      <c r="L42" s="708">
        <v>460620.9</v>
      </c>
      <c r="M42" s="708">
        <v>472681.1</v>
      </c>
      <c r="N42" s="708">
        <v>492714.6</v>
      </c>
      <c r="O42" s="708">
        <v>583070.84987490787</v>
      </c>
      <c r="P42" s="704">
        <v>2009087.449874908</v>
      </c>
      <c r="Q42" s="708">
        <v>478027</v>
      </c>
    </row>
    <row r="43" spans="1:17">
      <c r="A43" s="713" t="s">
        <v>669</v>
      </c>
      <c r="B43" s="714">
        <v>3632.5396052396372</v>
      </c>
      <c r="C43" s="708">
        <v>3822.6385409175755</v>
      </c>
      <c r="D43" s="708">
        <v>4294.5766531004683</v>
      </c>
      <c r="E43" s="708">
        <v>4842.8632007423184</v>
      </c>
      <c r="F43" s="710">
        <v>16592.617999999999</v>
      </c>
      <c r="G43" s="708">
        <v>3652</v>
      </c>
      <c r="H43" s="708">
        <v>3454.3220000000001</v>
      </c>
      <c r="I43" s="708">
        <v>3461.0305190000004</v>
      </c>
      <c r="J43" s="708">
        <v>3848.3304810000009</v>
      </c>
      <c r="K43" s="703">
        <v>14415.683000000001</v>
      </c>
      <c r="L43" s="708">
        <v>3442.7750000000001</v>
      </c>
      <c r="M43" s="708">
        <v>3472.6441099999997</v>
      </c>
      <c r="N43" s="708">
        <v>2971.99</v>
      </c>
      <c r="O43" s="708">
        <v>3517.0070769563708</v>
      </c>
      <c r="P43" s="704">
        <v>13404.416186956372</v>
      </c>
      <c r="Q43" s="708">
        <v>3667</v>
      </c>
    </row>
    <row r="44" spans="1:17" ht="15.75" customHeight="1">
      <c r="A44" s="705" t="s">
        <v>670</v>
      </c>
      <c r="B44" s="725">
        <v>143750.11499999999</v>
      </c>
      <c r="C44" s="702">
        <v>724260.02</v>
      </c>
      <c r="D44" s="702">
        <v>311880.93799999997</v>
      </c>
      <c r="E44" s="702">
        <v>1287250.2080000001</v>
      </c>
      <c r="F44" s="701">
        <v>2467141.281</v>
      </c>
      <c r="G44" s="702">
        <v>492503</v>
      </c>
      <c r="H44" s="702">
        <v>857677.41500000004</v>
      </c>
      <c r="I44" s="702">
        <v>318641.44500000001</v>
      </c>
      <c r="J44" s="702">
        <v>1139054.7</v>
      </c>
      <c r="K44" s="703">
        <v>2807876.7209999999</v>
      </c>
      <c r="L44" s="702">
        <v>-678052</v>
      </c>
      <c r="M44" s="702">
        <v>593556.45499999996</v>
      </c>
      <c r="N44" s="702">
        <v>308967</v>
      </c>
      <c r="O44" s="702">
        <v>153914.9</v>
      </c>
      <c r="P44" s="704">
        <v>378386.35499999998</v>
      </c>
      <c r="Q44" s="702">
        <v>242476</v>
      </c>
    </row>
    <row r="45" spans="1:17" ht="15" customHeight="1">
      <c r="A45" s="705" t="s">
        <v>671</v>
      </c>
      <c r="B45" s="725">
        <v>366691.4</v>
      </c>
      <c r="C45" s="702">
        <v>393016.3</v>
      </c>
      <c r="D45" s="702">
        <v>463826.2</v>
      </c>
      <c r="E45" s="702">
        <v>468241.1</v>
      </c>
      <c r="F45" s="701">
        <v>1691775</v>
      </c>
      <c r="G45" s="702">
        <v>351255.45</v>
      </c>
      <c r="H45" s="702">
        <v>389407.2</v>
      </c>
      <c r="I45" s="702">
        <v>470337</v>
      </c>
      <c r="J45" s="702">
        <v>540000</v>
      </c>
      <c r="K45" s="703">
        <v>1750999.709</v>
      </c>
      <c r="L45" s="702">
        <v>520624.10430000001</v>
      </c>
      <c r="M45" s="702">
        <v>463000</v>
      </c>
      <c r="N45" s="702">
        <v>440000</v>
      </c>
      <c r="O45" s="702">
        <v>783484.7</v>
      </c>
      <c r="P45" s="704">
        <v>2207108.8043</v>
      </c>
      <c r="Q45" s="702">
        <v>319622</v>
      </c>
    </row>
    <row r="46" spans="1:17" ht="25.5">
      <c r="A46" s="705" t="s">
        <v>672</v>
      </c>
      <c r="B46" s="725">
        <v>423130.603</v>
      </c>
      <c r="C46" s="702">
        <v>422305.02899999998</v>
      </c>
      <c r="D46" s="702">
        <v>578193.52399999998</v>
      </c>
      <c r="E46" s="702">
        <v>479761.68699999998</v>
      </c>
      <c r="F46" s="701">
        <v>1903390.8429999999</v>
      </c>
      <c r="G46" s="702">
        <v>343798</v>
      </c>
      <c r="H46" s="702">
        <v>427404.64899999998</v>
      </c>
      <c r="I46" s="702">
        <v>569392.571</v>
      </c>
      <c r="J46" s="702">
        <v>533982.30000000005</v>
      </c>
      <c r="K46" s="703">
        <v>1874577.733</v>
      </c>
      <c r="L46" s="702">
        <v>686121.95299999998</v>
      </c>
      <c r="M46" s="702">
        <v>538944.90700000001</v>
      </c>
      <c r="N46" s="702">
        <v>549305</v>
      </c>
      <c r="O46" s="702">
        <v>1030767</v>
      </c>
      <c r="P46" s="704">
        <v>2805138.86</v>
      </c>
      <c r="Q46" s="702">
        <v>449794</v>
      </c>
    </row>
    <row r="47" spans="1:17" ht="25.5">
      <c r="A47" s="705" t="s">
        <v>673</v>
      </c>
      <c r="B47" s="725">
        <v>434352.49900000001</v>
      </c>
      <c r="C47" s="702">
        <v>521359.10200000001</v>
      </c>
      <c r="D47" s="702">
        <v>538893.27599999995</v>
      </c>
      <c r="E47" s="702">
        <v>502583.35399999999</v>
      </c>
      <c r="F47" s="701">
        <v>1997188.2309999999</v>
      </c>
      <c r="G47" s="702">
        <v>435205.6</v>
      </c>
      <c r="H47" s="702">
        <v>521484.92099999997</v>
      </c>
      <c r="I47" s="702">
        <v>562361.15099999995</v>
      </c>
      <c r="J47" s="702">
        <v>508448.3</v>
      </c>
      <c r="K47" s="703">
        <v>2027500.0049999999</v>
      </c>
      <c r="L47" s="702">
        <v>441944.80900000001</v>
      </c>
      <c r="M47" s="702">
        <v>513913.745</v>
      </c>
      <c r="N47" s="702">
        <v>531650</v>
      </c>
      <c r="O47" s="702">
        <v>534776.30000000005</v>
      </c>
      <c r="P47" s="704">
        <v>2022284.8540000001</v>
      </c>
      <c r="Q47" s="702">
        <v>424772</v>
      </c>
    </row>
    <row r="48" spans="1:17">
      <c r="A48" s="705" t="s">
        <v>674</v>
      </c>
      <c r="B48" s="725">
        <v>-366969</v>
      </c>
      <c r="C48" s="702">
        <v>-713725</v>
      </c>
      <c r="D48" s="702">
        <v>-638222</v>
      </c>
      <c r="E48" s="702">
        <v>-592832</v>
      </c>
      <c r="F48" s="701">
        <v>-2311748</v>
      </c>
      <c r="G48" s="702">
        <v>-377023</v>
      </c>
      <c r="H48" s="702">
        <v>-735142</v>
      </c>
      <c r="I48" s="702">
        <v>-626441</v>
      </c>
      <c r="J48" s="702">
        <v>-569075.1</v>
      </c>
      <c r="K48" s="703">
        <v>-2307681.0830000001</v>
      </c>
      <c r="L48" s="702">
        <v>-278189</v>
      </c>
      <c r="M48" s="702">
        <v>-424474</v>
      </c>
      <c r="N48" s="702">
        <v>-442200</v>
      </c>
      <c r="O48" s="702">
        <v>-218583</v>
      </c>
      <c r="P48" s="704">
        <v>-1363446</v>
      </c>
      <c r="Q48" s="702">
        <v>442218</v>
      </c>
    </row>
    <row r="49" spans="1:17">
      <c r="A49" s="705" t="s">
        <v>675</v>
      </c>
      <c r="B49" s="725">
        <v>27573.5</v>
      </c>
      <c r="C49" s="702">
        <v>33457.300000000003</v>
      </c>
      <c r="D49" s="702">
        <v>38837</v>
      </c>
      <c r="E49" s="702">
        <v>25561</v>
      </c>
      <c r="F49" s="701">
        <v>125428.8</v>
      </c>
      <c r="G49" s="702">
        <v>13671</v>
      </c>
      <c r="H49" s="702">
        <v>23637.368999999999</v>
      </c>
      <c r="I49" s="702">
        <v>24974.3</v>
      </c>
      <c r="J49" s="702">
        <v>12674.5</v>
      </c>
      <c r="K49" s="703">
        <v>74957.097999999998</v>
      </c>
      <c r="L49" s="702">
        <v>8663.8189999999995</v>
      </c>
      <c r="M49" s="702">
        <v>19990</v>
      </c>
      <c r="N49" s="702">
        <v>24197.1</v>
      </c>
      <c r="O49" s="702">
        <v>24569.4</v>
      </c>
      <c r="P49" s="704">
        <v>77420.318999999989</v>
      </c>
      <c r="Q49" s="702">
        <v>11413</v>
      </c>
    </row>
    <row r="50" spans="1:17">
      <c r="A50" s="705" t="s">
        <v>676</v>
      </c>
      <c r="B50" s="725">
        <v>24056.882000000001</v>
      </c>
      <c r="C50" s="702">
        <v>27600.216</v>
      </c>
      <c r="D50" s="702">
        <v>22602.623</v>
      </c>
      <c r="E50" s="702">
        <v>27550.183000000001</v>
      </c>
      <c r="F50" s="701">
        <v>101809.90399999999</v>
      </c>
      <c r="G50" s="702">
        <v>22582</v>
      </c>
      <c r="H50" s="702">
        <v>25000</v>
      </c>
      <c r="I50" s="702">
        <v>30266.1</v>
      </c>
      <c r="J50" s="702">
        <v>27000</v>
      </c>
      <c r="K50" s="703">
        <v>104848.08900000001</v>
      </c>
      <c r="L50" s="702">
        <v>24039.233</v>
      </c>
      <c r="M50" s="702">
        <v>25986.223999999998</v>
      </c>
      <c r="N50" s="702">
        <v>33000</v>
      </c>
      <c r="O50" s="702">
        <v>36000</v>
      </c>
      <c r="P50" s="704">
        <v>119025.45699999999</v>
      </c>
      <c r="Q50" s="702">
        <v>28993</v>
      </c>
    </row>
    <row r="51" spans="1:17" ht="25.5">
      <c r="A51" s="705" t="s">
        <v>677</v>
      </c>
      <c r="B51" s="725">
        <v>8453675.7989999987</v>
      </c>
      <c r="C51" s="725">
        <v>9569902.0950000007</v>
      </c>
      <c r="D51" s="725">
        <v>10057435.563000001</v>
      </c>
      <c r="E51" s="726">
        <v>11819583.231999999</v>
      </c>
      <c r="F51" s="727">
        <v>39900596.688999996</v>
      </c>
      <c r="G51" s="702">
        <v>9685501.1499999985</v>
      </c>
      <c r="H51" s="702">
        <v>10686362.987530001</v>
      </c>
      <c r="I51" s="702">
        <v>11042506.561349999</v>
      </c>
      <c r="J51" s="702">
        <v>12904290.969657119</v>
      </c>
      <c r="K51" s="703">
        <v>44318662.137000002</v>
      </c>
      <c r="L51" s="702">
        <v>9950061.6883195806</v>
      </c>
      <c r="M51" s="702">
        <v>11656578.327911273</v>
      </c>
      <c r="N51" s="702">
        <v>11996331.027531724</v>
      </c>
      <c r="O51" s="702">
        <v>14182634.9</v>
      </c>
      <c r="P51" s="704">
        <v>47785605.943762578</v>
      </c>
      <c r="Q51" s="702">
        <v>11781884</v>
      </c>
    </row>
    <row r="52" spans="1:17">
      <c r="A52" s="705" t="s">
        <v>678</v>
      </c>
      <c r="B52" s="708">
        <v>0</v>
      </c>
      <c r="C52" s="708">
        <v>125474.9</v>
      </c>
      <c r="D52" s="708">
        <v>0</v>
      </c>
      <c r="E52" s="734">
        <v>191242.2</v>
      </c>
      <c r="F52" s="701">
        <v>3075.3999999999796</v>
      </c>
      <c r="G52" s="702">
        <v>0</v>
      </c>
      <c r="H52" s="702">
        <v>190912</v>
      </c>
      <c r="I52" s="702">
        <v>0</v>
      </c>
      <c r="J52" s="702">
        <v>488208.6</v>
      </c>
      <c r="K52" s="703">
        <v>331786.41700000002</v>
      </c>
      <c r="L52" s="702">
        <v>0</v>
      </c>
      <c r="M52" s="702">
        <v>110000</v>
      </c>
      <c r="N52" s="702">
        <v>114191.3</v>
      </c>
      <c r="O52" s="702">
        <v>55537.4</v>
      </c>
      <c r="P52" s="704">
        <v>114728.70000000001</v>
      </c>
      <c r="Q52" s="702">
        <v>0</v>
      </c>
    </row>
    <row r="53" spans="1:17">
      <c r="A53" s="705" t="s">
        <v>679</v>
      </c>
      <c r="B53" s="725">
        <v>8453675.7989999987</v>
      </c>
      <c r="C53" s="725">
        <v>9695376.995000001</v>
      </c>
      <c r="D53" s="725">
        <v>10057435.563000001</v>
      </c>
      <c r="E53" s="726">
        <v>12010825.431999998</v>
      </c>
      <c r="F53" s="701">
        <v>39903672.088999994</v>
      </c>
      <c r="G53" s="702">
        <v>9685501.1499999985</v>
      </c>
      <c r="H53" s="702">
        <v>10877274.987530001</v>
      </c>
      <c r="I53" s="702">
        <v>11042506.561349999</v>
      </c>
      <c r="J53" s="702">
        <v>13392499.569657119</v>
      </c>
      <c r="K53" s="703">
        <v>44650448.554000005</v>
      </c>
      <c r="L53" s="702">
        <v>9950061.6883195806</v>
      </c>
      <c r="M53" s="702">
        <v>11766578.327911273</v>
      </c>
      <c r="N53" s="702">
        <v>12110522.327531725</v>
      </c>
      <c r="O53" s="702">
        <v>14238172.300000001</v>
      </c>
      <c r="P53" s="704">
        <v>47900334.643762581</v>
      </c>
      <c r="Q53" s="702">
        <v>11781884</v>
      </c>
    </row>
    <row r="54" spans="1:17">
      <c r="A54" s="735" t="s">
        <v>680</v>
      </c>
    </row>
    <row r="55" spans="1:17">
      <c r="A55" s="735"/>
    </row>
    <row r="56" spans="1:17">
      <c r="A56" s="735" t="s">
        <v>682</v>
      </c>
    </row>
    <row r="57" spans="1:17" ht="25.5">
      <c r="A57" s="687" t="s">
        <v>618</v>
      </c>
      <c r="B57" s="688"/>
      <c r="C57" s="689"/>
      <c r="D57" s="690"/>
      <c r="E57" s="691"/>
      <c r="F57" s="692"/>
      <c r="G57" s="693" t="s">
        <v>624</v>
      </c>
      <c r="H57" s="693" t="s">
        <v>625</v>
      </c>
      <c r="I57" s="693" t="s">
        <v>626</v>
      </c>
      <c r="J57" s="693" t="s">
        <v>627</v>
      </c>
      <c r="K57" s="694" t="s">
        <v>628</v>
      </c>
      <c r="L57" s="693" t="s">
        <v>629</v>
      </c>
      <c r="M57" s="693" t="s">
        <v>630</v>
      </c>
      <c r="N57" s="693" t="s">
        <v>631</v>
      </c>
      <c r="O57" s="693" t="s">
        <v>632</v>
      </c>
      <c r="P57" s="695" t="s">
        <v>633</v>
      </c>
      <c r="Q57" s="693" t="s">
        <v>681</v>
      </c>
    </row>
    <row r="58" spans="1:17" ht="25.5">
      <c r="A58" s="697" t="s">
        <v>634</v>
      </c>
      <c r="B58" s="698"/>
      <c r="C58" s="699"/>
      <c r="D58" s="699"/>
      <c r="E58" s="700"/>
      <c r="F58" s="701"/>
      <c r="G58" s="711">
        <f>G6/B6*100</f>
        <v>103.03463288939945</v>
      </c>
      <c r="H58" s="711">
        <f t="shared" ref="H58:P58" si="0">H6/C6*100</f>
        <v>99.730380290056488</v>
      </c>
      <c r="I58" s="711">
        <f t="shared" si="0"/>
        <v>104.14060360369344</v>
      </c>
      <c r="J58" s="711">
        <f t="shared" si="0"/>
        <v>103.68515156903753</v>
      </c>
      <c r="K58" s="712">
        <f t="shared" si="0"/>
        <v>102.75577919568607</v>
      </c>
      <c r="L58" s="711">
        <f t="shared" si="0"/>
        <v>101.84458300072659</v>
      </c>
      <c r="M58" s="711">
        <f t="shared" si="0"/>
        <v>100.23655861023467</v>
      </c>
      <c r="N58" s="711">
        <f t="shared" si="0"/>
        <v>98.920012561253799</v>
      </c>
      <c r="O58" s="711">
        <f t="shared" si="0"/>
        <v>89.982855449431469</v>
      </c>
      <c r="P58" s="736">
        <f t="shared" si="0"/>
        <v>96.942564192676343</v>
      </c>
      <c r="Q58" s="711">
        <f>Q6/L6*100</f>
        <v>108.43930474082806</v>
      </c>
    </row>
    <row r="59" spans="1:17">
      <c r="A59" s="705" t="s">
        <v>635</v>
      </c>
      <c r="B59" s="698"/>
      <c r="C59" s="699"/>
      <c r="D59" s="699"/>
      <c r="E59" s="700"/>
      <c r="F59" s="701"/>
      <c r="G59" s="711">
        <f t="shared" ref="G59:G82" si="1">G7/B7*100</f>
        <v>108.28666584078461</v>
      </c>
      <c r="H59" s="711">
        <f t="shared" ref="H59:H82" si="2">H7/C7*100</f>
        <v>109.96410721279008</v>
      </c>
      <c r="I59" s="711">
        <f t="shared" ref="I59:I82" si="3">I7/D7*100</f>
        <v>110.31609368881783</v>
      </c>
      <c r="J59" s="711">
        <f t="shared" ref="J59:J82" si="4">J7/E7*100</f>
        <v>120.78754838916701</v>
      </c>
      <c r="K59" s="712">
        <f t="shared" ref="K59:K82" si="5">K7/F7*100</f>
        <v>112.53222809864978</v>
      </c>
      <c r="L59" s="737">
        <f t="shared" ref="L59:L82" si="6">L7/G7*100</f>
        <v>109.0000575137303</v>
      </c>
      <c r="M59" s="737">
        <f t="shared" ref="M59:M82" si="7">M7/H7*100</f>
        <v>108.18209830833385</v>
      </c>
      <c r="N59" s="737">
        <f t="shared" ref="N59:N82" si="8">N7/I7*100</f>
        <v>106.86737059162361</v>
      </c>
      <c r="O59" s="737">
        <f t="shared" ref="O59:O82" si="9">O7/J7*100</f>
        <v>103.61326491084763</v>
      </c>
      <c r="P59" s="736">
        <f t="shared" ref="P59:P82" si="10">P7/K7*100</f>
        <v>106.74320660130454</v>
      </c>
      <c r="Q59" s="737">
        <f t="shared" ref="Q59:Q82" si="11">Q7/L7*100</f>
        <v>107.3942933561742</v>
      </c>
    </row>
    <row r="60" spans="1:17" ht="38.25">
      <c r="A60" s="705" t="s">
        <v>636</v>
      </c>
      <c r="B60" s="698"/>
      <c r="C60" s="699"/>
      <c r="D60" s="699"/>
      <c r="E60" s="700"/>
      <c r="F60" s="701"/>
      <c r="G60" s="737">
        <f t="shared" si="1"/>
        <v>102.32836947187084</v>
      </c>
      <c r="H60" s="737">
        <f t="shared" si="2"/>
        <v>107.64762971386442</v>
      </c>
      <c r="I60" s="737">
        <f t="shared" si="3"/>
        <v>113.45692235177877</v>
      </c>
      <c r="J60" s="737">
        <f t="shared" si="4"/>
        <v>96.261119534807946</v>
      </c>
      <c r="K60" s="712">
        <f t="shared" si="5"/>
        <v>104.62481121194631</v>
      </c>
      <c r="L60" s="737">
        <f t="shared" si="6"/>
        <v>102.50357612698741</v>
      </c>
      <c r="M60" s="737">
        <f t="shared" si="7"/>
        <v>98.477152160815209</v>
      </c>
      <c r="N60" s="737">
        <f t="shared" si="8"/>
        <v>109.14322671684647</v>
      </c>
      <c r="O60" s="737">
        <f t="shared" si="9"/>
        <v>121.23342254631579</v>
      </c>
      <c r="P60" s="736">
        <f t="shared" si="10"/>
        <v>108.32245451503833</v>
      </c>
      <c r="Q60" s="737">
        <f t="shared" si="11"/>
        <v>99.213426269055844</v>
      </c>
    </row>
    <row r="61" spans="1:17">
      <c r="A61" s="705" t="s">
        <v>637</v>
      </c>
      <c r="B61" s="698"/>
      <c r="C61" s="698"/>
      <c r="D61" s="698"/>
      <c r="E61" s="706"/>
      <c r="F61" s="701"/>
      <c r="G61" s="737">
        <f t="shared" si="1"/>
        <v>114.6827515994239</v>
      </c>
      <c r="H61" s="737">
        <f t="shared" si="2"/>
        <v>110.05874705758316</v>
      </c>
      <c r="I61" s="737">
        <f t="shared" si="3"/>
        <v>110.83893376446447</v>
      </c>
      <c r="J61" s="737">
        <f t="shared" si="4"/>
        <v>117.36026835038689</v>
      </c>
      <c r="K61" s="712">
        <f t="shared" si="5"/>
        <v>113.31425428070926</v>
      </c>
      <c r="L61" s="737">
        <f t="shared" si="6"/>
        <v>95.29877469615694</v>
      </c>
      <c r="M61" s="737">
        <f t="shared" si="7"/>
        <v>107.28957484572956</v>
      </c>
      <c r="N61" s="737">
        <f t="shared" si="8"/>
        <v>108.64115164373844</v>
      </c>
      <c r="O61" s="737">
        <f t="shared" si="9"/>
        <v>107.28421643612225</v>
      </c>
      <c r="P61" s="736">
        <f t="shared" si="10"/>
        <v>105.09868691564826</v>
      </c>
      <c r="Q61" s="737">
        <f t="shared" si="11"/>
        <v>121.7058219129338</v>
      </c>
    </row>
    <row r="62" spans="1:17">
      <c r="A62" s="707" t="s">
        <v>638</v>
      </c>
      <c r="B62" s="708"/>
      <c r="C62" s="709"/>
      <c r="D62" s="709"/>
      <c r="E62" s="700"/>
      <c r="F62" s="710"/>
      <c r="G62" s="737"/>
      <c r="H62" s="737"/>
      <c r="I62" s="737"/>
      <c r="J62" s="737"/>
      <c r="K62" s="712"/>
      <c r="L62" s="737"/>
      <c r="M62" s="737"/>
      <c r="N62" s="737"/>
      <c r="O62" s="737"/>
      <c r="P62" s="736"/>
      <c r="Q62" s="737"/>
    </row>
    <row r="63" spans="1:17">
      <c r="A63" s="713" t="s">
        <v>639</v>
      </c>
      <c r="B63" s="714"/>
      <c r="C63" s="709"/>
      <c r="D63" s="709"/>
      <c r="E63" s="715"/>
      <c r="F63" s="710"/>
      <c r="G63" s="711">
        <f t="shared" si="1"/>
        <v>113.88182392771182</v>
      </c>
      <c r="H63" s="711">
        <f t="shared" si="2"/>
        <v>110.71741050154978</v>
      </c>
      <c r="I63" s="711">
        <f t="shared" si="3"/>
        <v>111.13561075825598</v>
      </c>
      <c r="J63" s="711">
        <f t="shared" si="4"/>
        <v>123.63760720074792</v>
      </c>
      <c r="K63" s="712">
        <f t="shared" si="5"/>
        <v>115.18120744883839</v>
      </c>
      <c r="L63" s="711">
        <f t="shared" si="6"/>
        <v>92.510121258141552</v>
      </c>
      <c r="M63" s="711">
        <f t="shared" si="7"/>
        <v>108.37048943977385</v>
      </c>
      <c r="N63" s="711">
        <f t="shared" si="8"/>
        <v>110.53533338035378</v>
      </c>
      <c r="O63" s="711">
        <f t="shared" si="9"/>
        <v>108.49999815288578</v>
      </c>
      <c r="P63" s="736">
        <f t="shared" si="10"/>
        <v>105.72539197545878</v>
      </c>
      <c r="Q63" s="738">
        <f t="shared" si="11"/>
        <v>129.46895766899917</v>
      </c>
    </row>
    <row r="64" spans="1:17">
      <c r="A64" s="713" t="s">
        <v>640</v>
      </c>
      <c r="B64" s="714"/>
      <c r="C64" s="709"/>
      <c r="D64" s="709"/>
      <c r="E64" s="715"/>
      <c r="F64" s="710"/>
      <c r="G64" s="711">
        <f t="shared" si="1"/>
        <v>114.95626831455785</v>
      </c>
      <c r="H64" s="711">
        <f t="shared" si="2"/>
        <v>106.4497467510781</v>
      </c>
      <c r="I64" s="711">
        <f t="shared" si="3"/>
        <v>108.28238918850688</v>
      </c>
      <c r="J64" s="711">
        <f t="shared" si="4"/>
        <v>101.16256158621594</v>
      </c>
      <c r="K64" s="712">
        <f t="shared" si="5"/>
        <v>107.24419488526252</v>
      </c>
      <c r="L64" s="737">
        <f t="shared" si="6"/>
        <v>99.954769067119429</v>
      </c>
      <c r="M64" s="737">
        <f t="shared" si="7"/>
        <v>103.72306768967326</v>
      </c>
      <c r="N64" s="737">
        <f t="shared" si="8"/>
        <v>103.55524417570076</v>
      </c>
      <c r="O64" s="737">
        <f t="shared" si="9"/>
        <v>103.55521178762174</v>
      </c>
      <c r="P64" s="736">
        <f t="shared" si="10"/>
        <v>102.76411953028219</v>
      </c>
      <c r="Q64" s="737">
        <f t="shared" si="11"/>
        <v>105.64623194960822</v>
      </c>
    </row>
    <row r="65" spans="1:17">
      <c r="A65" s="713" t="s">
        <v>641</v>
      </c>
      <c r="B65" s="714"/>
      <c r="C65" s="709"/>
      <c r="D65" s="709"/>
      <c r="E65" s="715"/>
      <c r="F65" s="710"/>
      <c r="G65" s="737">
        <f t="shared" si="1"/>
        <v>106.51582397826695</v>
      </c>
      <c r="H65" s="737">
        <f t="shared" si="2"/>
        <v>111.4998353670142</v>
      </c>
      <c r="I65" s="737">
        <f t="shared" si="3"/>
        <v>95.079839308492197</v>
      </c>
      <c r="J65" s="737">
        <f t="shared" si="4"/>
        <v>154.61969517710946</v>
      </c>
      <c r="K65" s="712">
        <f t="shared" si="5"/>
        <v>123.46257312359504</v>
      </c>
      <c r="L65" s="737">
        <f t="shared" si="6"/>
        <v>85.294490500371154</v>
      </c>
      <c r="M65" s="737">
        <f t="shared" si="7"/>
        <v>104.38982472338918</v>
      </c>
      <c r="N65" s="737">
        <f t="shared" si="8"/>
        <v>104.40201931493829</v>
      </c>
      <c r="O65" s="737">
        <f t="shared" si="9"/>
        <v>103.87569132540595</v>
      </c>
      <c r="P65" s="736">
        <f t="shared" si="10"/>
        <v>101.01735621765482</v>
      </c>
      <c r="Q65" s="737">
        <f t="shared" si="11"/>
        <v>165.28618545499998</v>
      </c>
    </row>
    <row r="66" spans="1:17">
      <c r="A66" s="713" t="s">
        <v>642</v>
      </c>
      <c r="B66" s="714"/>
      <c r="C66" s="709"/>
      <c r="D66" s="709"/>
      <c r="E66" s="715"/>
      <c r="F66" s="710"/>
      <c r="G66" s="737">
        <f t="shared" si="1"/>
        <v>133.56212850373706</v>
      </c>
      <c r="H66" s="737">
        <f t="shared" si="2"/>
        <v>128.44666394926358</v>
      </c>
      <c r="I66" s="737">
        <f t="shared" si="3"/>
        <v>129.30839233702361</v>
      </c>
      <c r="J66" s="737">
        <f t="shared" si="4"/>
        <v>103.18654374522571</v>
      </c>
      <c r="K66" s="712">
        <f t="shared" si="5"/>
        <v>121.38844837553577</v>
      </c>
      <c r="L66" s="737">
        <f t="shared" si="6"/>
        <v>114.37226740644147</v>
      </c>
      <c r="M66" s="737">
        <f t="shared" si="7"/>
        <v>113.494644108839</v>
      </c>
      <c r="N66" s="737">
        <f t="shared" si="8"/>
        <v>107.8242354927107</v>
      </c>
      <c r="O66" s="737">
        <f t="shared" si="9"/>
        <v>107.20921370474305</v>
      </c>
      <c r="P66" s="736">
        <f t="shared" si="10"/>
        <v>110.4586568578176</v>
      </c>
      <c r="Q66" s="737">
        <f t="shared" si="11"/>
        <v>105.1772162886389</v>
      </c>
    </row>
    <row r="67" spans="1:17">
      <c r="A67" s="713" t="s">
        <v>643</v>
      </c>
      <c r="B67" s="714"/>
      <c r="C67" s="709"/>
      <c r="D67" s="709"/>
      <c r="E67" s="715"/>
      <c r="F67" s="710"/>
      <c r="G67" s="737">
        <f t="shared" si="1"/>
        <v>60.007029140829601</v>
      </c>
      <c r="H67" s="737">
        <f t="shared" si="2"/>
        <v>59.234207090691001</v>
      </c>
      <c r="I67" s="737">
        <f t="shared" si="3"/>
        <v>58.21616283573595</v>
      </c>
      <c r="J67" s="737">
        <f t="shared" si="4"/>
        <v>69.109687418932126</v>
      </c>
      <c r="K67" s="712">
        <f t="shared" si="5"/>
        <v>61.704238979684888</v>
      </c>
      <c r="L67" s="737">
        <f t="shared" si="6"/>
        <v>78.628488372093031</v>
      </c>
      <c r="M67" s="737">
        <f t="shared" si="7"/>
        <v>70.944404519746485</v>
      </c>
      <c r="N67" s="737">
        <f t="shared" si="8"/>
        <v>82.078989065096209</v>
      </c>
      <c r="O67" s="737">
        <f t="shared" si="9"/>
        <v>98.95540101722645</v>
      </c>
      <c r="P67" s="736">
        <f t="shared" si="10"/>
        <v>83.274362400143659</v>
      </c>
      <c r="Q67" s="737">
        <f t="shared" si="11"/>
        <v>38.449878365288633</v>
      </c>
    </row>
    <row r="68" spans="1:17">
      <c r="A68" s="705" t="s">
        <v>418</v>
      </c>
      <c r="B68" s="698"/>
      <c r="C68" s="698"/>
      <c r="D68" s="698"/>
      <c r="E68" s="698"/>
      <c r="F68" s="701"/>
      <c r="G68" s="737">
        <f t="shared" si="1"/>
        <v>126.60965750080615</v>
      </c>
      <c r="H68" s="737">
        <f t="shared" si="2"/>
        <v>117.41996405839421</v>
      </c>
      <c r="I68" s="737">
        <f t="shared" si="3"/>
        <v>113.42343564829582</v>
      </c>
      <c r="J68" s="737">
        <f t="shared" si="4"/>
        <v>127.42093096339563</v>
      </c>
      <c r="K68" s="712">
        <f t="shared" si="5"/>
        <v>120.8978008542657</v>
      </c>
      <c r="L68" s="737">
        <f t="shared" si="6"/>
        <v>113.55292765263587</v>
      </c>
      <c r="M68" s="737">
        <f t="shared" si="7"/>
        <v>92.905087437055869</v>
      </c>
      <c r="N68" s="737">
        <f t="shared" si="8"/>
        <v>97.41260317492268</v>
      </c>
      <c r="O68" s="737">
        <f t="shared" si="9"/>
        <v>106.10361780774515</v>
      </c>
      <c r="P68" s="736">
        <f t="shared" si="10"/>
        <v>101.90481380757323</v>
      </c>
      <c r="Q68" s="739">
        <f t="shared" si="11"/>
        <v>128.92084382455266</v>
      </c>
    </row>
    <row r="69" spans="1:17">
      <c r="A69" s="707" t="s">
        <v>378</v>
      </c>
      <c r="B69" s="708"/>
      <c r="C69" s="709"/>
      <c r="D69" s="709"/>
      <c r="E69" s="700"/>
      <c r="F69" s="710"/>
      <c r="G69" s="737"/>
      <c r="H69" s="737"/>
      <c r="I69" s="737"/>
      <c r="J69" s="737"/>
      <c r="K69" s="712"/>
      <c r="L69" s="737"/>
      <c r="M69" s="737"/>
      <c r="N69" s="737"/>
      <c r="O69" s="737"/>
      <c r="P69" s="736"/>
      <c r="Q69" s="737"/>
    </row>
    <row r="70" spans="1:17">
      <c r="A70" s="713" t="s">
        <v>644</v>
      </c>
      <c r="B70" s="717"/>
      <c r="C70" s="709"/>
      <c r="D70" s="709"/>
      <c r="E70" s="715"/>
      <c r="F70" s="710"/>
      <c r="G70" s="711">
        <f t="shared" si="1"/>
        <v>87.881937384294218</v>
      </c>
      <c r="H70" s="711">
        <f t="shared" si="2"/>
        <v>89.863632443955083</v>
      </c>
      <c r="I70" s="711">
        <f t="shared" si="3"/>
        <v>87.286042352283872</v>
      </c>
      <c r="J70" s="711">
        <f t="shared" si="4"/>
        <v>126.8114038902243</v>
      </c>
      <c r="K70" s="712">
        <f t="shared" si="5"/>
        <v>99.918925377951098</v>
      </c>
      <c r="L70" s="711">
        <f t="shared" si="6"/>
        <v>108.15739028771117</v>
      </c>
      <c r="M70" s="711">
        <f t="shared" si="7"/>
        <v>81.927924879728707</v>
      </c>
      <c r="N70" s="711">
        <f t="shared" si="8"/>
        <v>93.81779722682441</v>
      </c>
      <c r="O70" s="711">
        <f t="shared" si="9"/>
        <v>83.417577472450759</v>
      </c>
      <c r="P70" s="736">
        <f t="shared" si="10"/>
        <v>88.808312464728829</v>
      </c>
      <c r="Q70" s="711">
        <f t="shared" si="11"/>
        <v>104.95484709367018</v>
      </c>
    </row>
    <row r="71" spans="1:17">
      <c r="A71" s="713" t="s">
        <v>645</v>
      </c>
      <c r="B71" s="717"/>
      <c r="C71" s="709"/>
      <c r="D71" s="709"/>
      <c r="E71" s="715"/>
      <c r="F71" s="710"/>
      <c r="G71" s="711">
        <f t="shared" si="1"/>
        <v>133.33488522126044</v>
      </c>
      <c r="H71" s="711">
        <f t="shared" si="2"/>
        <v>134.09787505399791</v>
      </c>
      <c r="I71" s="711">
        <f t="shared" si="3"/>
        <v>132.44159629289717</v>
      </c>
      <c r="J71" s="711">
        <f t="shared" si="4"/>
        <v>116.6866450483099</v>
      </c>
      <c r="K71" s="712">
        <f t="shared" si="5"/>
        <v>128.72917807273399</v>
      </c>
      <c r="L71" s="711">
        <f t="shared" si="6"/>
        <v>109.88527247786509</v>
      </c>
      <c r="M71" s="711">
        <f t="shared" si="7"/>
        <v>99.328851260925688</v>
      </c>
      <c r="N71" s="711">
        <f t="shared" si="8"/>
        <v>99.077175687574609</v>
      </c>
      <c r="O71" s="711">
        <f t="shared" si="9"/>
        <v>142.061183448853</v>
      </c>
      <c r="P71" s="736">
        <f t="shared" si="10"/>
        <v>112.36817250080327</v>
      </c>
      <c r="Q71" s="738">
        <f t="shared" si="11"/>
        <v>151.22575666443478</v>
      </c>
    </row>
    <row r="72" spans="1:17" ht="25.5">
      <c r="A72" s="713" t="s">
        <v>646</v>
      </c>
      <c r="B72" s="717"/>
      <c r="C72" s="709"/>
      <c r="D72" s="709"/>
      <c r="E72" s="715"/>
      <c r="F72" s="710"/>
      <c r="G72" s="711">
        <f t="shared" si="1"/>
        <v>357.79716212443901</v>
      </c>
      <c r="H72" s="711">
        <f t="shared" si="2"/>
        <v>288.03276039801398</v>
      </c>
      <c r="I72" s="711">
        <f t="shared" si="3"/>
        <v>198.22246880377295</v>
      </c>
      <c r="J72" s="711">
        <f t="shared" si="4"/>
        <v>151.59774661432118</v>
      </c>
      <c r="K72" s="712">
        <f t="shared" si="5"/>
        <v>211.06278195953792</v>
      </c>
      <c r="L72" s="711">
        <f t="shared" si="6"/>
        <v>131.97564494610199</v>
      </c>
      <c r="M72" s="711">
        <f t="shared" si="7"/>
        <v>107.19578164563774</v>
      </c>
      <c r="N72" s="711">
        <f t="shared" si="8"/>
        <v>102.68964730958838</v>
      </c>
      <c r="O72" s="711">
        <f t="shared" si="9"/>
        <v>120.9427654547346</v>
      </c>
      <c r="P72" s="736">
        <f t="shared" si="10"/>
        <v>114.61059158741453</v>
      </c>
      <c r="Q72" s="738">
        <f t="shared" si="11"/>
        <v>119.06664887448146</v>
      </c>
    </row>
    <row r="73" spans="1:17" ht="25.5">
      <c r="A73" s="713" t="s">
        <v>647</v>
      </c>
      <c r="B73" s="717"/>
      <c r="C73" s="709"/>
      <c r="D73" s="709"/>
      <c r="E73" s="715"/>
      <c r="F73" s="710"/>
      <c r="G73" s="711">
        <f t="shared" si="1"/>
        <v>99.79596416123384</v>
      </c>
      <c r="H73" s="711">
        <f t="shared" si="2"/>
        <v>72.747995532301942</v>
      </c>
      <c r="I73" s="711">
        <f t="shared" si="3"/>
        <v>74.854194000303707</v>
      </c>
      <c r="J73" s="711">
        <f t="shared" si="4"/>
        <v>76.742899715537092</v>
      </c>
      <c r="K73" s="712">
        <f t="shared" si="5"/>
        <v>78.796320631701093</v>
      </c>
      <c r="L73" s="711">
        <f t="shared" si="6"/>
        <v>89.71891148982958</v>
      </c>
      <c r="M73" s="711">
        <f t="shared" si="7"/>
        <v>73.242171982801082</v>
      </c>
      <c r="N73" s="711">
        <f t="shared" si="8"/>
        <v>83.477858379162811</v>
      </c>
      <c r="O73" s="711">
        <f t="shared" si="9"/>
        <v>113.85368936432123</v>
      </c>
      <c r="P73" s="736">
        <f t="shared" si="10"/>
        <v>89.416493413188519</v>
      </c>
      <c r="Q73" s="711">
        <f t="shared" si="11"/>
        <v>94.302221770148904</v>
      </c>
    </row>
    <row r="74" spans="1:17" ht="25.5">
      <c r="A74" s="718" t="s">
        <v>648</v>
      </c>
      <c r="B74" s="717"/>
      <c r="C74" s="709"/>
      <c r="D74" s="709"/>
      <c r="E74" s="715"/>
      <c r="F74" s="710"/>
      <c r="G74" s="711"/>
      <c r="H74" s="711"/>
      <c r="I74" s="711"/>
      <c r="J74" s="711"/>
      <c r="K74" s="712"/>
      <c r="L74" s="711"/>
      <c r="M74" s="711"/>
      <c r="N74" s="711"/>
      <c r="O74" s="711"/>
      <c r="P74" s="736"/>
      <c r="Q74" s="711"/>
    </row>
    <row r="75" spans="1:17" ht="25.5">
      <c r="A75" s="718" t="s">
        <v>650</v>
      </c>
      <c r="B75" s="717"/>
      <c r="C75" s="709"/>
      <c r="D75" s="709"/>
      <c r="E75" s="715"/>
      <c r="F75" s="710"/>
      <c r="G75" s="711"/>
      <c r="H75" s="711"/>
      <c r="I75" s="711"/>
      <c r="J75" s="711"/>
      <c r="K75" s="712"/>
      <c r="L75" s="711"/>
      <c r="M75" s="711"/>
      <c r="N75" s="711"/>
      <c r="O75" s="711"/>
      <c r="P75" s="736"/>
      <c r="Q75" s="711"/>
    </row>
    <row r="76" spans="1:17">
      <c r="A76" s="722" t="s">
        <v>651</v>
      </c>
      <c r="B76" s="698"/>
      <c r="C76" s="699"/>
      <c r="D76" s="699"/>
      <c r="E76" s="700"/>
      <c r="F76" s="701"/>
      <c r="G76" s="711">
        <f t="shared" si="1"/>
        <v>131.26630064812554</v>
      </c>
      <c r="H76" s="711">
        <f t="shared" si="2"/>
        <v>112.82621241672832</v>
      </c>
      <c r="I76" s="711">
        <f t="shared" si="3"/>
        <v>115.09573045373239</v>
      </c>
      <c r="J76" s="711">
        <f t="shared" si="4"/>
        <v>91.651286818477828</v>
      </c>
      <c r="K76" s="712">
        <f t="shared" si="5"/>
        <v>111.00372732703998</v>
      </c>
      <c r="L76" s="711">
        <f t="shared" si="6"/>
        <v>85.224229832140026</v>
      </c>
      <c r="M76" s="711">
        <f t="shared" si="7"/>
        <v>82.10495009046997</v>
      </c>
      <c r="N76" s="711">
        <f t="shared" si="8"/>
        <v>111.97943288298093</v>
      </c>
      <c r="O76" s="711">
        <f t="shared" si="9"/>
        <v>161.89356534317469</v>
      </c>
      <c r="P76" s="736">
        <f t="shared" si="10"/>
        <v>109.04708901134221</v>
      </c>
      <c r="Q76" s="711">
        <f t="shared" si="11"/>
        <v>194.30163136005908</v>
      </c>
    </row>
    <row r="77" spans="1:17" ht="25.5">
      <c r="A77" s="723" t="s">
        <v>652</v>
      </c>
      <c r="B77" s="698"/>
      <c r="C77" s="699"/>
      <c r="D77" s="699"/>
      <c r="E77" s="700"/>
      <c r="F77" s="701"/>
      <c r="G77" s="711">
        <f t="shared" si="1"/>
        <v>84.948231684940183</v>
      </c>
      <c r="H77" s="711">
        <f t="shared" si="2"/>
        <v>96.472050642637484</v>
      </c>
      <c r="I77" s="711">
        <f t="shared" si="3"/>
        <v>96.713685822802802</v>
      </c>
      <c r="J77" s="711">
        <f t="shared" si="4"/>
        <v>119.73579656755746</v>
      </c>
      <c r="K77" s="712">
        <f t="shared" si="5"/>
        <v>99.467441179484467</v>
      </c>
      <c r="L77" s="711">
        <f t="shared" si="6"/>
        <v>117.71875419954188</v>
      </c>
      <c r="M77" s="711">
        <f t="shared" si="7"/>
        <v>103.65696529503991</v>
      </c>
      <c r="N77" s="711">
        <f t="shared" si="8"/>
        <v>102.84732711847921</v>
      </c>
      <c r="O77" s="711">
        <f t="shared" si="9"/>
        <v>99.997252384603627</v>
      </c>
      <c r="P77" s="736">
        <f t="shared" si="10"/>
        <v>105.36109671972187</v>
      </c>
      <c r="Q77" s="711">
        <f t="shared" si="11"/>
        <v>100.00065181390005</v>
      </c>
    </row>
    <row r="78" spans="1:17">
      <c r="A78" s="705" t="s">
        <v>653</v>
      </c>
      <c r="B78" s="698"/>
      <c r="C78" s="709"/>
      <c r="D78" s="699"/>
      <c r="E78" s="700"/>
      <c r="F78" s="710"/>
      <c r="G78" s="711"/>
      <c r="H78" s="711"/>
      <c r="I78" s="711"/>
      <c r="J78" s="711"/>
      <c r="K78" s="712"/>
      <c r="L78" s="711"/>
      <c r="M78" s="711"/>
      <c r="N78" s="711"/>
      <c r="O78" s="711"/>
      <c r="P78" s="736"/>
      <c r="Q78" s="711"/>
    </row>
    <row r="79" spans="1:17" ht="25.5">
      <c r="A79" s="705" t="s">
        <v>654</v>
      </c>
      <c r="B79" s="698"/>
      <c r="C79" s="698"/>
      <c r="D79" s="698"/>
      <c r="E79" s="706"/>
      <c r="F79" s="724"/>
      <c r="G79" s="711">
        <f t="shared" si="1"/>
        <v>131.91479523497912</v>
      </c>
      <c r="H79" s="711">
        <f t="shared" si="2"/>
        <v>123.10218180389749</v>
      </c>
      <c r="I79" s="711">
        <f t="shared" si="3"/>
        <v>109.21028346676849</v>
      </c>
      <c r="J79" s="711">
        <f t="shared" si="4"/>
        <v>98.425722312685096</v>
      </c>
      <c r="K79" s="712">
        <f t="shared" si="5"/>
        <v>112.00007001555923</v>
      </c>
      <c r="L79" s="711">
        <f t="shared" si="6"/>
        <v>103.12283619265085</v>
      </c>
      <c r="M79" s="711">
        <f t="shared" si="7"/>
        <v>119.32756761072774</v>
      </c>
      <c r="N79" s="711">
        <f t="shared" si="8"/>
        <v>125.07709569788202</v>
      </c>
      <c r="O79" s="711">
        <f t="shared" si="9"/>
        <v>110.87807264653561</v>
      </c>
      <c r="P79" s="736">
        <f t="shared" si="10"/>
        <v>114.8509314206498</v>
      </c>
      <c r="Q79" s="711">
        <f t="shared" si="11"/>
        <v>108.83325337852867</v>
      </c>
    </row>
    <row r="80" spans="1:17">
      <c r="A80" s="705" t="s">
        <v>655</v>
      </c>
      <c r="B80" s="725"/>
      <c r="C80" s="725"/>
      <c r="D80" s="725"/>
      <c r="E80" s="726"/>
      <c r="F80" s="727"/>
      <c r="G80" s="711">
        <f t="shared" si="1"/>
        <v>114.58096139120816</v>
      </c>
      <c r="H80" s="711">
        <f t="shared" si="2"/>
        <v>112.19032527708326</v>
      </c>
      <c r="I80" s="711">
        <f t="shared" si="3"/>
        <v>109.87526467804464</v>
      </c>
      <c r="J80" s="711">
        <f t="shared" si="4"/>
        <v>111.50357355103986</v>
      </c>
      <c r="K80" s="712">
        <f t="shared" si="5"/>
        <v>111.89558809127375</v>
      </c>
      <c r="L80" s="711">
        <f t="shared" si="6"/>
        <v>104.06690516807066</v>
      </c>
      <c r="M80" s="711">
        <f t="shared" si="7"/>
        <v>108.17579165186864</v>
      </c>
      <c r="N80" s="711">
        <f t="shared" si="8"/>
        <v>110.31619603248777</v>
      </c>
      <c r="O80" s="711">
        <f t="shared" si="9"/>
        <v>106.3145249767929</v>
      </c>
      <c r="P80" s="736">
        <f t="shared" si="10"/>
        <v>107.27850714832614</v>
      </c>
      <c r="Q80" s="711">
        <f>Q28/L28*100</f>
        <v>113.21342013841162</v>
      </c>
    </row>
    <row r="81" spans="1:17">
      <c r="A81" s="713" t="s">
        <v>656</v>
      </c>
      <c r="B81" s="698"/>
      <c r="C81" s="709"/>
      <c r="D81" s="699"/>
      <c r="E81" s="728"/>
      <c r="F81" s="710"/>
      <c r="G81" s="711">
        <f t="shared" si="1"/>
        <v>114.25703833332526</v>
      </c>
      <c r="H81" s="711"/>
      <c r="I81" s="711">
        <f t="shared" si="3"/>
        <v>97.579174943605864</v>
      </c>
      <c r="J81" s="711"/>
      <c r="K81" s="712"/>
      <c r="L81" s="737">
        <f t="shared" si="6"/>
        <v>58.337508295416896</v>
      </c>
      <c r="M81" s="737"/>
      <c r="N81" s="737">
        <f t="shared" si="8"/>
        <v>0</v>
      </c>
      <c r="O81" s="737"/>
      <c r="P81" s="736"/>
      <c r="Q81" s="737">
        <f t="shared" si="11"/>
        <v>426.59454545454548</v>
      </c>
    </row>
    <row r="82" spans="1:17">
      <c r="A82" s="705" t="s">
        <v>657</v>
      </c>
      <c r="B82" s="702"/>
      <c r="C82" s="702"/>
      <c r="D82" s="702"/>
      <c r="E82" s="729"/>
      <c r="F82" s="701"/>
      <c r="G82" s="737">
        <f t="shared" si="1"/>
        <v>114.57147612812068</v>
      </c>
      <c r="H82" s="737">
        <f t="shared" si="2"/>
        <v>112.19032527708326</v>
      </c>
      <c r="I82" s="737">
        <f t="shared" si="3"/>
        <v>109.79445497989514</v>
      </c>
      <c r="J82" s="737">
        <f t="shared" si="4"/>
        <v>111.50357355103986</v>
      </c>
      <c r="K82" s="712">
        <f t="shared" si="5"/>
        <v>111.89558809127375</v>
      </c>
      <c r="L82" s="737">
        <f t="shared" si="6"/>
        <v>102.73151109294518</v>
      </c>
      <c r="M82" s="737">
        <f t="shared" si="7"/>
        <v>108.17579165186864</v>
      </c>
      <c r="N82" s="737">
        <f t="shared" si="8"/>
        <v>109.67185991919534</v>
      </c>
      <c r="O82" s="737">
        <f t="shared" si="9"/>
        <v>106.3145249767929</v>
      </c>
      <c r="P82" s="736">
        <f t="shared" si="10"/>
        <v>107.27850714832614</v>
      </c>
      <c r="Q82" s="737">
        <f t="shared" si="11"/>
        <v>118.41016034936551</v>
      </c>
    </row>
    <row r="83" spans="1:17" ht="25.5">
      <c r="A83" s="731" t="s">
        <v>658</v>
      </c>
      <c r="B83" s="688"/>
      <c r="C83" s="688"/>
      <c r="D83" s="688"/>
      <c r="E83" s="688"/>
      <c r="F83" s="688"/>
      <c r="G83" s="688" t="s">
        <v>624</v>
      </c>
      <c r="H83" s="688" t="s">
        <v>625</v>
      </c>
      <c r="I83" s="688" t="s">
        <v>626</v>
      </c>
      <c r="J83" s="688" t="s">
        <v>627</v>
      </c>
      <c r="K83" s="688" t="s">
        <v>628</v>
      </c>
      <c r="L83" s="688" t="s">
        <v>629</v>
      </c>
      <c r="M83" s="688" t="s">
        <v>630</v>
      </c>
      <c r="N83" s="688" t="s">
        <v>631</v>
      </c>
      <c r="O83" s="688" t="s">
        <v>632</v>
      </c>
      <c r="P83" s="688" t="s">
        <v>633</v>
      </c>
      <c r="Q83" s="688" t="str">
        <f>Q57</f>
        <v>1 квартал 2015 года</v>
      </c>
    </row>
    <row r="84" spans="1:17">
      <c r="A84" s="705" t="s">
        <v>659</v>
      </c>
      <c r="B84" s="698"/>
      <c r="C84" s="698"/>
      <c r="D84" s="698"/>
      <c r="E84" s="698"/>
      <c r="F84" s="701"/>
      <c r="G84" s="737">
        <f>G32/B32*100</f>
        <v>112.15775054729104</v>
      </c>
      <c r="H84" s="737">
        <f t="shared" ref="H84:Q99" si="12">H32/C32*100</f>
        <v>111.28406711396705</v>
      </c>
      <c r="I84" s="737">
        <f t="shared" si="12"/>
        <v>110.86179241091614</v>
      </c>
      <c r="J84" s="737">
        <f t="shared" si="12"/>
        <v>109.72533712486174</v>
      </c>
      <c r="K84" s="712">
        <f t="shared" si="12"/>
        <v>110.93076434710669</v>
      </c>
      <c r="L84" s="737">
        <f t="shared" si="12"/>
        <v>109.36282169377658</v>
      </c>
      <c r="M84" s="737">
        <f t="shared" si="12"/>
        <v>108.52303559918329</v>
      </c>
      <c r="N84" s="737">
        <f t="shared" si="12"/>
        <v>108.42921824283154</v>
      </c>
      <c r="O84" s="737">
        <f t="shared" si="12"/>
        <v>111.19085581371273</v>
      </c>
      <c r="P84" s="736">
        <f t="shared" si="12"/>
        <v>109.42961975434267</v>
      </c>
      <c r="Q84" s="737">
        <f t="shared" si="12"/>
        <v>107.58060507496448</v>
      </c>
    </row>
    <row r="85" spans="1:17">
      <c r="A85" s="707" t="s">
        <v>378</v>
      </c>
      <c r="B85" s="732"/>
      <c r="C85" s="714"/>
      <c r="D85" s="732"/>
      <c r="E85" s="708"/>
      <c r="F85" s="710"/>
      <c r="G85" s="711"/>
      <c r="H85" s="711"/>
      <c r="I85" s="711"/>
      <c r="J85" s="711"/>
      <c r="K85" s="712"/>
      <c r="L85" s="711"/>
      <c r="M85" s="711"/>
      <c r="N85" s="711"/>
      <c r="O85" s="711"/>
      <c r="P85" s="736"/>
      <c r="Q85" s="711"/>
    </row>
    <row r="86" spans="1:17">
      <c r="A86" s="713" t="s">
        <v>660</v>
      </c>
      <c r="B86" s="714"/>
      <c r="C86" s="708"/>
      <c r="D86" s="708"/>
      <c r="E86" s="708"/>
      <c r="F86" s="710"/>
      <c r="G86" s="711">
        <f t="shared" ref="G86:G105" si="13">G34/B34*100</f>
        <v>111.63703719448685</v>
      </c>
      <c r="H86" s="711">
        <f t="shared" si="12"/>
        <v>111.30597819454182</v>
      </c>
      <c r="I86" s="711">
        <f t="shared" si="12"/>
        <v>110.15215886964072</v>
      </c>
      <c r="J86" s="711">
        <f t="shared" si="12"/>
        <v>109.73287714462772</v>
      </c>
      <c r="K86" s="712">
        <f t="shared" si="12"/>
        <v>110.63354660400063</v>
      </c>
      <c r="L86" s="737">
        <f t="shared" si="12"/>
        <v>109.7550516197029</v>
      </c>
      <c r="M86" s="737">
        <f t="shared" si="12"/>
        <v>109.16483098002847</v>
      </c>
      <c r="N86" s="737">
        <f t="shared" si="12"/>
        <v>109.55362749851854</v>
      </c>
      <c r="O86" s="737">
        <f t="shared" si="12"/>
        <v>112.58973086002742</v>
      </c>
      <c r="P86" s="736">
        <f t="shared" si="12"/>
        <v>110.36389709519685</v>
      </c>
      <c r="Q86" s="737">
        <f t="shared" si="12"/>
        <v>109.33794525747291</v>
      </c>
    </row>
    <row r="87" spans="1:17">
      <c r="A87" s="713" t="s">
        <v>661</v>
      </c>
      <c r="B87" s="714"/>
      <c r="C87" s="708"/>
      <c r="D87" s="708"/>
      <c r="E87" s="708"/>
      <c r="F87" s="710"/>
      <c r="G87" s="737">
        <f t="shared" si="13"/>
        <v>111.85232874711669</v>
      </c>
      <c r="H87" s="737">
        <f t="shared" si="12"/>
        <v>108.90056661803288</v>
      </c>
      <c r="I87" s="737">
        <f t="shared" si="12"/>
        <v>110.61241536685567</v>
      </c>
      <c r="J87" s="737">
        <f t="shared" si="12"/>
        <v>107.60912516134246</v>
      </c>
      <c r="K87" s="712">
        <f t="shared" si="12"/>
        <v>109.66661663122395</v>
      </c>
      <c r="L87" s="737">
        <f t="shared" si="12"/>
        <v>105.91949703455057</v>
      </c>
      <c r="M87" s="737">
        <f t="shared" si="12"/>
        <v>105.32084287512772</v>
      </c>
      <c r="N87" s="737">
        <f t="shared" si="12"/>
        <v>104.44580456329244</v>
      </c>
      <c r="O87" s="737">
        <f t="shared" si="12"/>
        <v>105.97775068483458</v>
      </c>
      <c r="P87" s="736">
        <f t="shared" si="12"/>
        <v>105.41110783925038</v>
      </c>
      <c r="Q87" s="737">
        <f t="shared" si="12"/>
        <v>108.13663016906645</v>
      </c>
    </row>
    <row r="88" spans="1:17">
      <c r="A88" s="733" t="s">
        <v>662</v>
      </c>
      <c r="B88" s="714"/>
      <c r="C88" s="708"/>
      <c r="D88" s="708"/>
      <c r="E88" s="708"/>
      <c r="F88" s="710"/>
      <c r="G88" s="737">
        <f t="shared" si="13"/>
        <v>129.96949516445801</v>
      </c>
      <c r="H88" s="737">
        <f t="shared" si="12"/>
        <v>132.05258151262049</v>
      </c>
      <c r="I88" s="737">
        <f t="shared" si="12"/>
        <v>132.06654554881322</v>
      </c>
      <c r="J88" s="737">
        <f t="shared" si="12"/>
        <v>127.64020753185332</v>
      </c>
      <c r="K88" s="712">
        <f t="shared" si="12"/>
        <v>130.42640340914139</v>
      </c>
      <c r="L88" s="737">
        <f t="shared" si="12"/>
        <v>124.98352541712177</v>
      </c>
      <c r="M88" s="737">
        <f t="shared" si="12"/>
        <v>115.46024956758347</v>
      </c>
      <c r="N88" s="737">
        <f t="shared" si="12"/>
        <v>108.06155149962284</v>
      </c>
      <c r="O88" s="737">
        <f t="shared" si="12"/>
        <v>109.9086273321638</v>
      </c>
      <c r="P88" s="736">
        <f t="shared" si="12"/>
        <v>114.04994990589306</v>
      </c>
      <c r="Q88" s="737">
        <f t="shared" si="12"/>
        <v>224.55949938371228</v>
      </c>
    </row>
    <row r="89" spans="1:17" ht="25.5">
      <c r="A89" s="705" t="s">
        <v>663</v>
      </c>
      <c r="B89" s="725"/>
      <c r="C89" s="725"/>
      <c r="D89" s="725"/>
      <c r="E89" s="725"/>
      <c r="F89" s="701"/>
      <c r="G89" s="737">
        <f t="shared" si="13"/>
        <v>124.40890450636142</v>
      </c>
      <c r="H89" s="737">
        <f t="shared" si="12"/>
        <v>120.29292058588321</v>
      </c>
      <c r="I89" s="737">
        <f t="shared" si="12"/>
        <v>111.04388329836551</v>
      </c>
      <c r="J89" s="737">
        <f t="shared" si="12"/>
        <v>121.74047435999825</v>
      </c>
      <c r="K89" s="712">
        <f t="shared" si="12"/>
        <v>119.0811910664132</v>
      </c>
      <c r="L89" s="737">
        <f t="shared" si="12"/>
        <v>112.68271423434548</v>
      </c>
      <c r="M89" s="737">
        <f t="shared" si="12"/>
        <v>105.87190166673631</v>
      </c>
      <c r="N89" s="737">
        <f t="shared" si="12"/>
        <v>111.69948844336757</v>
      </c>
      <c r="O89" s="737">
        <f t="shared" si="12"/>
        <v>106.5248559991258</v>
      </c>
      <c r="P89" s="736">
        <f t="shared" si="12"/>
        <v>108.8886615499205</v>
      </c>
      <c r="Q89" s="737">
        <f t="shared" si="12"/>
        <v>102.33306310348141</v>
      </c>
    </row>
    <row r="90" spans="1:17">
      <c r="A90" s="707" t="s">
        <v>664</v>
      </c>
      <c r="B90" s="732"/>
      <c r="C90" s="732"/>
      <c r="D90" s="732"/>
      <c r="E90" s="732"/>
      <c r="F90" s="710"/>
      <c r="G90" s="737"/>
      <c r="H90" s="737"/>
      <c r="I90" s="737"/>
      <c r="J90" s="737"/>
      <c r="K90" s="712"/>
      <c r="L90" s="737"/>
      <c r="M90" s="737"/>
      <c r="N90" s="737"/>
      <c r="O90" s="737"/>
      <c r="P90" s="736"/>
      <c r="Q90" s="737"/>
    </row>
    <row r="91" spans="1:17">
      <c r="A91" s="713" t="s">
        <v>665</v>
      </c>
      <c r="B91" s="714"/>
      <c r="C91" s="708"/>
      <c r="D91" s="708"/>
      <c r="E91" s="708"/>
      <c r="F91" s="710"/>
      <c r="G91" s="737">
        <f t="shared" si="13"/>
        <v>114.82800724181476</v>
      </c>
      <c r="H91" s="737">
        <f t="shared" si="12"/>
        <v>113.4680595724659</v>
      </c>
      <c r="I91" s="737">
        <f t="shared" si="12"/>
        <v>95.910236830599999</v>
      </c>
      <c r="J91" s="737">
        <f t="shared" si="12"/>
        <v>119.31661646334683</v>
      </c>
      <c r="K91" s="712">
        <f t="shared" si="12"/>
        <v>110.78332332474528</v>
      </c>
      <c r="L91" s="737">
        <f t="shared" si="12"/>
        <v>109.3546675781071</v>
      </c>
      <c r="M91" s="737">
        <f t="shared" si="12"/>
        <v>102.86689542275558</v>
      </c>
      <c r="N91" s="737">
        <f t="shared" si="12"/>
        <v>112.9276450087622</v>
      </c>
      <c r="O91" s="737">
        <f t="shared" si="12"/>
        <v>95.191317797491706</v>
      </c>
      <c r="P91" s="736">
        <f t="shared" si="12"/>
        <v>103.95882004388443</v>
      </c>
      <c r="Q91" s="737">
        <f t="shared" si="12"/>
        <v>99.956613357783667</v>
      </c>
    </row>
    <row r="92" spans="1:17">
      <c r="A92" s="713" t="s">
        <v>666</v>
      </c>
      <c r="B92" s="714"/>
      <c r="C92" s="708"/>
      <c r="D92" s="708"/>
      <c r="E92" s="708"/>
      <c r="F92" s="710"/>
      <c r="G92" s="711">
        <f t="shared" si="13"/>
        <v>115.97568336307869</v>
      </c>
      <c r="H92" s="711">
        <f t="shared" si="12"/>
        <v>104.82619810388572</v>
      </c>
      <c r="I92" s="711">
        <f t="shared" si="12"/>
        <v>126.3214373105652</v>
      </c>
      <c r="J92" s="711">
        <f t="shared" si="12"/>
        <v>123.20820868353989</v>
      </c>
      <c r="K92" s="712">
        <f t="shared" si="12"/>
        <v>117.79209734739551</v>
      </c>
      <c r="L92" s="711">
        <f t="shared" si="12"/>
        <v>121.06279083127478</v>
      </c>
      <c r="M92" s="711">
        <f t="shared" si="12"/>
        <v>114.90287437659022</v>
      </c>
      <c r="N92" s="711">
        <f t="shared" si="12"/>
        <v>115.7673762602185</v>
      </c>
      <c r="O92" s="711">
        <f t="shared" si="12"/>
        <v>116.43019127685218</v>
      </c>
      <c r="P92" s="736">
        <f t="shared" si="12"/>
        <v>116.70991057845626</v>
      </c>
      <c r="Q92" s="711">
        <f t="shared" si="12"/>
        <v>87.226551007431169</v>
      </c>
    </row>
    <row r="93" spans="1:17" ht="25.5">
      <c r="A93" s="713" t="s">
        <v>667</v>
      </c>
      <c r="B93" s="714"/>
      <c r="C93" s="714"/>
      <c r="D93" s="714"/>
      <c r="E93" s="714"/>
      <c r="F93" s="710"/>
      <c r="G93" s="711">
        <f t="shared" si="13"/>
        <v>107.56673906342246</v>
      </c>
      <c r="H93" s="711">
        <f t="shared" si="12"/>
        <v>109.32619330354534</v>
      </c>
      <c r="I93" s="711">
        <f t="shared" si="12"/>
        <v>109.84195725185873</v>
      </c>
      <c r="J93" s="711">
        <f t="shared" si="12"/>
        <v>119.3327185945958</v>
      </c>
      <c r="K93" s="712">
        <f t="shared" si="12"/>
        <v>111.71017851965033</v>
      </c>
      <c r="L93" s="711">
        <f t="shared" si="12"/>
        <v>34.646279838703535</v>
      </c>
      <c r="M93" s="711">
        <f t="shared" si="12"/>
        <v>28.2143087811417</v>
      </c>
      <c r="N93" s="711">
        <f t="shared" si="12"/>
        <v>76.413504974526774</v>
      </c>
      <c r="O93" s="711">
        <f t="shared" si="12"/>
        <v>77.963208929186678</v>
      </c>
      <c r="P93" s="736">
        <f t="shared" si="12"/>
        <v>55.602808963871539</v>
      </c>
      <c r="Q93" s="711">
        <f t="shared" si="12"/>
        <v>263.18846659075177</v>
      </c>
    </row>
    <row r="94" spans="1:17" ht="25.5">
      <c r="A94" s="713" t="s">
        <v>668</v>
      </c>
      <c r="B94" s="714"/>
      <c r="C94" s="708"/>
      <c r="D94" s="708"/>
      <c r="E94" s="708"/>
      <c r="F94" s="710"/>
      <c r="G94" s="711">
        <f t="shared" si="13"/>
        <v>147.89198878584327</v>
      </c>
      <c r="H94" s="711">
        <f t="shared" si="12"/>
        <v>143.22147078275341</v>
      </c>
      <c r="I94" s="711">
        <f t="shared" si="12"/>
        <v>138.90963201746314</v>
      </c>
      <c r="J94" s="711">
        <f t="shared" si="12"/>
        <v>127.30748885661735</v>
      </c>
      <c r="K94" s="712">
        <f t="shared" si="12"/>
        <v>138.37131734049305</v>
      </c>
      <c r="L94" s="711">
        <f t="shared" si="12"/>
        <v>124.50929722745568</v>
      </c>
      <c r="M94" s="711">
        <f t="shared" si="12"/>
        <v>117.35081426399452</v>
      </c>
      <c r="N94" s="711">
        <f t="shared" si="12"/>
        <v>112.54006851333196</v>
      </c>
      <c r="O94" s="711">
        <f t="shared" si="12"/>
        <v>129.42289505254149</v>
      </c>
      <c r="P94" s="736">
        <f t="shared" si="12"/>
        <v>120.95135840180198</v>
      </c>
      <c r="Q94" s="711">
        <f t="shared" si="12"/>
        <v>103.77883417795415</v>
      </c>
    </row>
    <row r="95" spans="1:17">
      <c r="A95" s="713" t="s">
        <v>669</v>
      </c>
      <c r="B95" s="714"/>
      <c r="C95" s="708"/>
      <c r="D95" s="708"/>
      <c r="E95" s="708"/>
      <c r="F95" s="710"/>
      <c r="G95" s="711">
        <f t="shared" si="13"/>
        <v>100.53572422809356</v>
      </c>
      <c r="H95" s="711">
        <f t="shared" si="12"/>
        <v>90.364860894507544</v>
      </c>
      <c r="I95" s="711">
        <f t="shared" si="12"/>
        <v>80.590726364176319</v>
      </c>
      <c r="J95" s="711">
        <f t="shared" si="12"/>
        <v>79.463951829366678</v>
      </c>
      <c r="K95" s="712">
        <f t="shared" si="12"/>
        <v>86.880099330919336</v>
      </c>
      <c r="L95" s="711">
        <f t="shared" si="12"/>
        <v>94.270947426067906</v>
      </c>
      <c r="M95" s="711">
        <f t="shared" si="12"/>
        <v>100.53041117764931</v>
      </c>
      <c r="N95" s="711">
        <f t="shared" si="12"/>
        <v>85.870089376117392</v>
      </c>
      <c r="O95" s="711">
        <f t="shared" si="12"/>
        <v>91.39046384712951</v>
      </c>
      <c r="P95" s="736">
        <f t="shared" si="12"/>
        <v>92.984953865566908</v>
      </c>
      <c r="Q95" s="711">
        <f t="shared" si="12"/>
        <v>106.5129147272186</v>
      </c>
    </row>
    <row r="96" spans="1:17" ht="25.5">
      <c r="A96" s="705" t="s">
        <v>670</v>
      </c>
      <c r="B96" s="725"/>
      <c r="C96" s="702"/>
      <c r="D96" s="702"/>
      <c r="E96" s="702"/>
      <c r="F96" s="701"/>
      <c r="G96" s="711">
        <f t="shared" si="13"/>
        <v>342.61050852028887</v>
      </c>
      <c r="H96" s="711">
        <f t="shared" si="12"/>
        <v>118.42120113160463</v>
      </c>
      <c r="I96" s="711">
        <f t="shared" si="12"/>
        <v>102.16765636378841</v>
      </c>
      <c r="J96" s="711">
        <f t="shared" si="12"/>
        <v>88.487435692067095</v>
      </c>
      <c r="K96" s="712">
        <f t="shared" si="12"/>
        <v>113.81094153886033</v>
      </c>
      <c r="L96" s="711">
        <f t="shared" si="12"/>
        <v>-137.67469436734396</v>
      </c>
      <c r="M96" s="711">
        <f t="shared" si="12"/>
        <v>69.205093269245054</v>
      </c>
      <c r="N96" s="711">
        <f t="shared" si="12"/>
        <v>96.963845993103632</v>
      </c>
      <c r="O96" s="711">
        <f t="shared" si="12"/>
        <v>13.512511734511081</v>
      </c>
      <c r="P96" s="736">
        <f t="shared" si="12"/>
        <v>13.475889171702708</v>
      </c>
      <c r="Q96" s="711">
        <f>Q44/L44*100</f>
        <v>-35.760679121955249</v>
      </c>
    </row>
    <row r="97" spans="1:17">
      <c r="A97" s="705" t="s">
        <v>671</v>
      </c>
      <c r="B97" s="725"/>
      <c r="C97" s="702"/>
      <c r="D97" s="702"/>
      <c r="E97" s="702"/>
      <c r="F97" s="701"/>
      <c r="G97" s="711">
        <f t="shared" si="13"/>
        <v>95.790479405843712</v>
      </c>
      <c r="H97" s="711">
        <f t="shared" si="12"/>
        <v>99.08169203160277</v>
      </c>
      <c r="I97" s="711">
        <f t="shared" si="12"/>
        <v>101.40371544341393</v>
      </c>
      <c r="J97" s="711">
        <f t="shared" si="12"/>
        <v>115.32520319126193</v>
      </c>
      <c r="K97" s="712">
        <f t="shared" si="12"/>
        <v>103.5007438341387</v>
      </c>
      <c r="L97" s="711">
        <f t="shared" si="12"/>
        <v>148.21808581190697</v>
      </c>
      <c r="M97" s="711">
        <f t="shared" si="12"/>
        <v>118.89867470349805</v>
      </c>
      <c r="N97" s="711">
        <f t="shared" si="12"/>
        <v>93.549943976340373</v>
      </c>
      <c r="O97" s="711">
        <f t="shared" si="12"/>
        <v>145.08975925925924</v>
      </c>
      <c r="P97" s="736">
        <f t="shared" si="12"/>
        <v>126.04849635072097</v>
      </c>
      <c r="Q97" s="711">
        <f t="shared" si="12"/>
        <v>61.392086413237543</v>
      </c>
    </row>
    <row r="98" spans="1:17" ht="25.5">
      <c r="A98" s="705" t="s">
        <v>672</v>
      </c>
      <c r="B98" s="725"/>
      <c r="C98" s="702"/>
      <c r="D98" s="702"/>
      <c r="E98" s="702"/>
      <c r="F98" s="701"/>
      <c r="G98" s="711">
        <f t="shared" si="13"/>
        <v>81.251036337827827</v>
      </c>
      <c r="H98" s="711">
        <f t="shared" si="12"/>
        <v>101.20756790703527</v>
      </c>
      <c r="I98" s="711">
        <f t="shared" si="12"/>
        <v>98.477853411585428</v>
      </c>
      <c r="J98" s="711">
        <f t="shared" si="12"/>
        <v>111.30157210740342</v>
      </c>
      <c r="K98" s="712">
        <f t="shared" si="12"/>
        <v>98.486222096425209</v>
      </c>
      <c r="L98" s="711">
        <f t="shared" si="12"/>
        <v>199.57124619689469</v>
      </c>
      <c r="M98" s="711">
        <f t="shared" si="12"/>
        <v>126.09710920575409</v>
      </c>
      <c r="N98" s="711">
        <f t="shared" si="12"/>
        <v>96.472105183121542</v>
      </c>
      <c r="O98" s="711">
        <f t="shared" si="12"/>
        <v>193.03392640542577</v>
      </c>
      <c r="P98" s="736">
        <f t="shared" si="12"/>
        <v>149.6411064005741</v>
      </c>
      <c r="Q98" s="711">
        <f t="shared" si="12"/>
        <v>65.555984330966311</v>
      </c>
    </row>
    <row r="99" spans="1:17" ht="25.5">
      <c r="A99" s="705" t="s">
        <v>673</v>
      </c>
      <c r="B99" s="725"/>
      <c r="C99" s="702"/>
      <c r="D99" s="702"/>
      <c r="E99" s="702"/>
      <c r="F99" s="701"/>
      <c r="G99" s="711">
        <f t="shared" si="13"/>
        <v>100.19640752659743</v>
      </c>
      <c r="H99" s="711">
        <f t="shared" si="12"/>
        <v>100.02413288643419</v>
      </c>
      <c r="I99" s="711">
        <f t="shared" si="12"/>
        <v>104.35482794927285</v>
      </c>
      <c r="J99" s="711">
        <f t="shared" si="12"/>
        <v>101.16695985916</v>
      </c>
      <c r="K99" s="712">
        <f t="shared" si="12"/>
        <v>101.51772244245716</v>
      </c>
      <c r="L99" s="711">
        <f t="shared" si="12"/>
        <v>101.54851155407927</v>
      </c>
      <c r="M99" s="711">
        <f t="shared" si="12"/>
        <v>98.548150541825535</v>
      </c>
      <c r="N99" s="711">
        <f t="shared" si="12"/>
        <v>94.538891787708152</v>
      </c>
      <c r="O99" s="711">
        <f t="shared" si="12"/>
        <v>105.17810758733977</v>
      </c>
      <c r="P99" s="736">
        <f t="shared" si="12"/>
        <v>99.742779236146049</v>
      </c>
      <c r="Q99" s="711">
        <f t="shared" si="12"/>
        <v>96.114263896693942</v>
      </c>
    </row>
    <row r="100" spans="1:17">
      <c r="A100" s="705" t="s">
        <v>674</v>
      </c>
      <c r="B100" s="725"/>
      <c r="C100" s="702"/>
      <c r="D100" s="702"/>
      <c r="E100" s="702"/>
      <c r="F100" s="701"/>
      <c r="G100" s="711">
        <f t="shared" si="13"/>
        <v>102.73974095904559</v>
      </c>
      <c r="H100" s="711">
        <f t="shared" ref="H100:H105" si="14">H48/C48*100</f>
        <v>103.00073557742829</v>
      </c>
      <c r="I100" s="711">
        <f t="shared" ref="I100:I105" si="15">I48/D48*100</f>
        <v>98.154090582900622</v>
      </c>
      <c r="J100" s="711">
        <f t="shared" ref="J100:J105" si="16">J48/E48*100</f>
        <v>95.992642097592579</v>
      </c>
      <c r="K100" s="712">
        <f t="shared" ref="K100:K105" si="17">K48/F48*100</f>
        <v>99.824076110371891</v>
      </c>
      <c r="L100" s="711">
        <f t="shared" ref="L100:L105" si="18">L48/G48*100</f>
        <v>73.785684162504666</v>
      </c>
      <c r="M100" s="711">
        <f t="shared" ref="M100:M105" si="19">M48/H48*100</f>
        <v>57.740409335883399</v>
      </c>
      <c r="N100" s="711">
        <f t="shared" ref="N100:N105" si="20">N48/I48*100</f>
        <v>70.589249426522215</v>
      </c>
      <c r="O100" s="711">
        <f t="shared" ref="O100:O105" si="21">O48/J48*100</f>
        <v>38.410220373374273</v>
      </c>
      <c r="P100" s="736">
        <f t="shared" ref="P100:P105" si="22">P48/K48*100</f>
        <v>59.082947381425491</v>
      </c>
      <c r="Q100" s="711">
        <f t="shared" ref="Q100:Q105" si="23">Q48/L48*100</f>
        <v>-158.96315095133164</v>
      </c>
    </row>
    <row r="101" spans="1:17">
      <c r="A101" s="705" t="s">
        <v>675</v>
      </c>
      <c r="B101" s="725"/>
      <c r="C101" s="702"/>
      <c r="D101" s="702"/>
      <c r="E101" s="702"/>
      <c r="F101" s="701"/>
      <c r="G101" s="711">
        <f t="shared" si="13"/>
        <v>49.580212885560407</v>
      </c>
      <c r="H101" s="711">
        <f t="shared" si="14"/>
        <v>70.649362022637803</v>
      </c>
      <c r="I101" s="711">
        <f t="shared" si="15"/>
        <v>64.305430388547009</v>
      </c>
      <c r="J101" s="711">
        <f t="shared" si="16"/>
        <v>49.585305739212082</v>
      </c>
      <c r="K101" s="712">
        <f t="shared" si="17"/>
        <v>59.760675379179261</v>
      </c>
      <c r="L101" s="711">
        <f t="shared" si="18"/>
        <v>63.37370345987857</v>
      </c>
      <c r="M101" s="711">
        <f t="shared" si="19"/>
        <v>84.569479792780669</v>
      </c>
      <c r="N101" s="711">
        <f t="shared" si="20"/>
        <v>96.888000864889108</v>
      </c>
      <c r="O101" s="711">
        <f t="shared" si="21"/>
        <v>193.84906702434023</v>
      </c>
      <c r="P101" s="736">
        <f t="shared" si="22"/>
        <v>103.28617444608112</v>
      </c>
      <c r="Q101" s="711">
        <f t="shared" si="23"/>
        <v>131.73174555008595</v>
      </c>
    </row>
    <row r="102" spans="1:17">
      <c r="A102" s="705" t="s">
        <v>676</v>
      </c>
      <c r="B102" s="725"/>
      <c r="C102" s="702"/>
      <c r="D102" s="702"/>
      <c r="E102" s="702"/>
      <c r="F102" s="701"/>
      <c r="G102" s="711">
        <f t="shared" si="13"/>
        <v>93.869188866620362</v>
      </c>
      <c r="H102" s="711">
        <f t="shared" si="14"/>
        <v>90.579001265787198</v>
      </c>
      <c r="I102" s="711">
        <f t="shared" si="15"/>
        <v>133.90525515556314</v>
      </c>
      <c r="J102" s="711">
        <f t="shared" si="16"/>
        <v>98.002978782391395</v>
      </c>
      <c r="K102" s="712">
        <f t="shared" si="17"/>
        <v>102.98417430979998</v>
      </c>
      <c r="L102" s="711">
        <f t="shared" si="18"/>
        <v>106.45307324417679</v>
      </c>
      <c r="M102" s="711">
        <f t="shared" si="19"/>
        <v>103.94489599999999</v>
      </c>
      <c r="N102" s="711">
        <f t="shared" si="20"/>
        <v>109.03287836886815</v>
      </c>
      <c r="O102" s="711">
        <f t="shared" si="21"/>
        <v>133.33333333333331</v>
      </c>
      <c r="P102" s="736">
        <f t="shared" si="22"/>
        <v>113.52181821835588</v>
      </c>
      <c r="Q102" s="711">
        <f t="shared" si="23"/>
        <v>120.60700938336926</v>
      </c>
    </row>
    <row r="103" spans="1:17" ht="25.5">
      <c r="A103" s="705" t="s">
        <v>677</v>
      </c>
      <c r="B103" s="725"/>
      <c r="C103" s="725"/>
      <c r="D103" s="725"/>
      <c r="E103" s="726"/>
      <c r="F103" s="727"/>
      <c r="G103" s="711">
        <f t="shared" si="13"/>
        <v>114.57147612812068</v>
      </c>
      <c r="H103" s="711">
        <f t="shared" si="14"/>
        <v>111.66637737196203</v>
      </c>
      <c r="I103" s="711">
        <f t="shared" si="15"/>
        <v>109.79445497989514</v>
      </c>
      <c r="J103" s="711">
        <f t="shared" si="16"/>
        <v>109.17720799765947</v>
      </c>
      <c r="K103" s="712">
        <f t="shared" si="17"/>
        <v>111.07268014670568</v>
      </c>
      <c r="L103" s="737">
        <f t="shared" si="18"/>
        <v>102.73151109294518</v>
      </c>
      <c r="M103" s="737">
        <f t="shared" si="19"/>
        <v>109.07900416178474</v>
      </c>
      <c r="N103" s="737">
        <f t="shared" si="20"/>
        <v>108.63775322099617</v>
      </c>
      <c r="O103" s="737">
        <f t="shared" si="21"/>
        <v>109.90634768968516</v>
      </c>
      <c r="P103" s="736">
        <f t="shared" si="22"/>
        <v>107.82276278116292</v>
      </c>
      <c r="Q103" s="737">
        <f t="shared" si="23"/>
        <v>118.41016034936551</v>
      </c>
    </row>
    <row r="104" spans="1:17">
      <c r="A104" s="705" t="s">
        <v>678</v>
      </c>
      <c r="B104" s="708"/>
      <c r="C104" s="708"/>
      <c r="D104" s="708"/>
      <c r="E104" s="734"/>
      <c r="F104" s="701"/>
      <c r="G104" s="737"/>
      <c r="H104" s="737">
        <f t="shared" si="14"/>
        <v>152.15154584701801</v>
      </c>
      <c r="I104" s="737"/>
      <c r="J104" s="737">
        <f t="shared" si="16"/>
        <v>255.2828821253886</v>
      </c>
      <c r="K104" s="712">
        <f>K52/F52*100</f>
        <v>10788.398809910979</v>
      </c>
      <c r="L104" s="737"/>
      <c r="M104" s="737">
        <f t="shared" si="19"/>
        <v>57.618169627891383</v>
      </c>
      <c r="N104" s="737"/>
      <c r="O104" s="737">
        <f t="shared" si="21"/>
        <v>11.375752086300816</v>
      </c>
      <c r="P104" s="736">
        <f t="shared" si="22"/>
        <v>34.579082844129815</v>
      </c>
      <c r="Q104" s="737"/>
    </row>
    <row r="105" spans="1:17">
      <c r="A105" s="705" t="s">
        <v>679</v>
      </c>
      <c r="B105" s="725"/>
      <c r="C105" s="725"/>
      <c r="D105" s="725"/>
      <c r="E105" s="726"/>
      <c r="F105" s="701"/>
      <c r="G105" s="737">
        <f t="shared" si="13"/>
        <v>114.57147612812068</v>
      </c>
      <c r="H105" s="737">
        <f t="shared" si="14"/>
        <v>112.19032527708326</v>
      </c>
      <c r="I105" s="737">
        <f t="shared" si="15"/>
        <v>109.79445497989514</v>
      </c>
      <c r="J105" s="737">
        <f t="shared" si="16"/>
        <v>111.50357355103986</v>
      </c>
      <c r="K105" s="712">
        <f t="shared" si="17"/>
        <v>111.89558809127375</v>
      </c>
      <c r="L105" s="737">
        <f t="shared" si="18"/>
        <v>102.73151109294518</v>
      </c>
      <c r="M105" s="737">
        <f t="shared" si="19"/>
        <v>108.17579165186864</v>
      </c>
      <c r="N105" s="737">
        <f t="shared" si="20"/>
        <v>109.67185991919534</v>
      </c>
      <c r="O105" s="737">
        <f t="shared" si="21"/>
        <v>106.3145249767929</v>
      </c>
      <c r="P105" s="736">
        <f t="shared" si="22"/>
        <v>107.27850714832614</v>
      </c>
      <c r="Q105" s="737">
        <f t="shared" si="23"/>
        <v>118.41016034936551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БДДРН</vt:lpstr>
      <vt:lpstr>Пенсионные выплаты</vt:lpstr>
      <vt:lpstr>расчет пенс выплат</vt:lpstr>
      <vt:lpstr>Sheet1</vt:lpstr>
      <vt:lpstr>Sheet2</vt:lpstr>
      <vt:lpstr>инфляция </vt:lpstr>
      <vt:lpstr>сбережения</vt:lpstr>
      <vt:lpstr>saving rate</vt:lpstr>
      <vt:lpstr>quarterly</vt:lpstr>
      <vt:lpstr>номинал</vt:lpstr>
      <vt:lpstr>расчет по доходн части</vt:lpstr>
      <vt:lpstr>из справ матер от АН</vt:lpstr>
      <vt:lpstr>БДДРН!Print_Area</vt:lpstr>
      <vt:lpstr>'расчет пенс выплат'!Print_Area</vt:lpstr>
      <vt:lpstr>сбережения!Print_Area</vt:lpstr>
      <vt:lpstr>БДДРН!Print_Titles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2015-07-30T15:29:40Z</dcterms:modified>
</cp:coreProperties>
</file>