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7A8BDC4A-42FA-4B20-8BDC-3664D10B4045}" xr6:coauthVersionLast="47" xr6:coauthVersionMax="47" xr10:uidLastSave="{00000000-0000-0000-0000-000000000000}"/>
  <bookViews>
    <workbookView xWindow="-120" yWindow="-120" windowWidth="29040" windowHeight="15720" activeTab="1" xr2:uid="{D8DF2202-62BF-453D-A849-EFD132DF8234}"/>
  </bookViews>
  <sheets>
    <sheet name="Firm Background" sheetId="10" r:id="rId1"/>
    <sheet name="Base Financials " sheetId="4" r:id="rId2"/>
    <sheet name=" Segment Data" sheetId="6" r:id="rId3"/>
    <sheet name="Adjusted EBITDA Analysis" sheetId="5" r:id="rId4"/>
    <sheet name="FCF Analysis" sheetId="8" r:id="rId5"/>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10" l="1"/>
  <c r="D17" i="10"/>
  <c r="D16" i="10"/>
  <c r="D15" i="10"/>
  <c r="D14" i="10"/>
  <c r="D13" i="10"/>
  <c r="B23" i="10"/>
  <c r="C23" i="10"/>
  <c r="C20" i="10"/>
  <c r="C22" i="10"/>
  <c r="C21" i="10"/>
  <c r="B22" i="10"/>
  <c r="B21" i="10"/>
  <c r="F18" i="10"/>
  <c r="F17" i="10"/>
  <c r="F16" i="10"/>
  <c r="F15" i="10"/>
  <c r="F14" i="10"/>
  <c r="F13" i="10"/>
  <c r="C12" i="10"/>
  <c r="E18" i="10"/>
  <c r="E17" i="10"/>
  <c r="E16" i="10"/>
  <c r="E15" i="10"/>
  <c r="E14" i="10"/>
  <c r="E13" i="10"/>
  <c r="C18" i="10"/>
  <c r="C17" i="10"/>
  <c r="C16" i="10"/>
  <c r="C15" i="10"/>
  <c r="C14" i="10"/>
  <c r="C13" i="10"/>
  <c r="B18" i="10"/>
  <c r="B17" i="10"/>
  <c r="B16" i="10"/>
  <c r="B15" i="10"/>
  <c r="B14" i="10"/>
  <c r="B13" i="10"/>
  <c r="C30" i="10"/>
  <c r="V44" i="8"/>
  <c r="X44" i="8" s="1"/>
  <c r="U44" i="8"/>
  <c r="X43" i="8"/>
  <c r="V43" i="8"/>
  <c r="U43" i="8"/>
  <c r="S45" i="8"/>
  <c r="R45" i="8"/>
  <c r="Q45" i="8"/>
  <c r="P45" i="8"/>
  <c r="O45" i="8"/>
  <c r="N45" i="8"/>
  <c r="M45" i="8"/>
  <c r="L45" i="8"/>
  <c r="K45" i="8"/>
  <c r="J45" i="8"/>
  <c r="I45" i="8"/>
  <c r="G45" i="8"/>
  <c r="F45" i="8"/>
  <c r="E45" i="8"/>
  <c r="D45" i="8"/>
  <c r="C45" i="8"/>
  <c r="S44" i="8"/>
  <c r="R44" i="8"/>
  <c r="Q44" i="8"/>
  <c r="P44" i="8"/>
  <c r="O44" i="8"/>
  <c r="N44" i="8"/>
  <c r="M44" i="8"/>
  <c r="L44" i="8"/>
  <c r="K44" i="8"/>
  <c r="J44" i="8"/>
  <c r="I44" i="8"/>
  <c r="H44" i="8"/>
  <c r="G44" i="8"/>
  <c r="F44" i="8"/>
  <c r="E44" i="8"/>
  <c r="D44" i="8"/>
  <c r="C44" i="8"/>
  <c r="S43" i="8"/>
  <c r="R43" i="8"/>
  <c r="Q43" i="8"/>
  <c r="P43" i="8"/>
  <c r="O43" i="8"/>
  <c r="N43" i="8"/>
  <c r="M43" i="8"/>
  <c r="L43" i="8"/>
  <c r="K43" i="8"/>
  <c r="J43" i="8"/>
  <c r="I43" i="8"/>
  <c r="H43" i="8"/>
  <c r="G43" i="8"/>
  <c r="F43" i="8"/>
  <c r="E43" i="8"/>
  <c r="D43" i="8"/>
  <c r="C43" i="8"/>
  <c r="V45" i="8"/>
  <c r="X45" i="8" s="1"/>
  <c r="U45" i="8"/>
  <c r="V39" i="8"/>
  <c r="X39" i="8" s="1"/>
  <c r="U39" i="8"/>
  <c r="S40" i="8"/>
  <c r="R40" i="8"/>
  <c r="Q40" i="8"/>
  <c r="P40" i="8"/>
  <c r="O40" i="8"/>
  <c r="N40" i="8"/>
  <c r="M40" i="8"/>
  <c r="L40" i="8"/>
  <c r="K40" i="8"/>
  <c r="J40" i="8"/>
  <c r="I40" i="8"/>
  <c r="G40" i="8"/>
  <c r="F40" i="8"/>
  <c r="E40" i="8"/>
  <c r="D40" i="8"/>
  <c r="C40" i="8"/>
  <c r="U40" i="8"/>
  <c r="S39" i="8"/>
  <c r="R39" i="8"/>
  <c r="Q39" i="8"/>
  <c r="P39" i="8"/>
  <c r="O39" i="8"/>
  <c r="N39" i="8"/>
  <c r="M39" i="8"/>
  <c r="L39" i="8"/>
  <c r="K39" i="8"/>
  <c r="J39" i="8"/>
  <c r="I39" i="8"/>
  <c r="H39" i="8"/>
  <c r="G39" i="8"/>
  <c r="F39" i="8"/>
  <c r="E39" i="8"/>
  <c r="D39" i="8"/>
  <c r="C39" i="8"/>
  <c r="B39" i="8"/>
  <c r="C10" i="8"/>
  <c r="D10" i="8"/>
  <c r="E10" i="8"/>
  <c r="F10" i="8"/>
  <c r="G10" i="8"/>
  <c r="H10" i="8"/>
  <c r="I10" i="8"/>
  <c r="J10" i="8"/>
  <c r="K10" i="8"/>
  <c r="L10" i="8"/>
  <c r="M10" i="8"/>
  <c r="N10" i="8"/>
  <c r="U10" i="8" s="1"/>
  <c r="O10" i="8"/>
  <c r="P10" i="8"/>
  <c r="V10" i="8" s="1"/>
  <c r="X10" i="8" s="1"/>
  <c r="Q10" i="8"/>
  <c r="R10" i="8"/>
  <c r="S10" i="8"/>
  <c r="S35" i="8"/>
  <c r="R35" i="8"/>
  <c r="Q35" i="8"/>
  <c r="P35" i="8"/>
  <c r="O35" i="8"/>
  <c r="N35" i="8"/>
  <c r="M35" i="8"/>
  <c r="L35" i="8"/>
  <c r="U35" i="8" s="1"/>
  <c r="K35" i="8"/>
  <c r="J35" i="8"/>
  <c r="I35" i="8"/>
  <c r="H35" i="8"/>
  <c r="G35" i="8"/>
  <c r="F35" i="8"/>
  <c r="E35" i="8"/>
  <c r="D35" i="8"/>
  <c r="C35" i="8"/>
  <c r="B35" i="8"/>
  <c r="S34" i="8"/>
  <c r="R34" i="8"/>
  <c r="Q34" i="8"/>
  <c r="P34" i="8"/>
  <c r="O34" i="8"/>
  <c r="N34" i="8"/>
  <c r="M34" i="8"/>
  <c r="L34" i="8"/>
  <c r="U34" i="8" s="1"/>
  <c r="K34" i="8"/>
  <c r="J34" i="8"/>
  <c r="I34" i="8"/>
  <c r="H34" i="8"/>
  <c r="G34" i="8"/>
  <c r="F34" i="8"/>
  <c r="E34" i="8"/>
  <c r="D34" i="8"/>
  <c r="C34" i="8"/>
  <c r="B34" i="8"/>
  <c r="S33" i="8"/>
  <c r="R33" i="8"/>
  <c r="Q33" i="8"/>
  <c r="P33" i="8"/>
  <c r="O33" i="8"/>
  <c r="N33" i="8"/>
  <c r="M33" i="8"/>
  <c r="L33" i="8"/>
  <c r="K33" i="8"/>
  <c r="J33" i="8"/>
  <c r="I33" i="8"/>
  <c r="H33" i="8"/>
  <c r="G33" i="8"/>
  <c r="F33" i="8"/>
  <c r="E33" i="8"/>
  <c r="D33" i="8"/>
  <c r="C33" i="8"/>
  <c r="B33" i="8"/>
  <c r="S32" i="8"/>
  <c r="R32" i="8"/>
  <c r="Q32" i="8"/>
  <c r="P32" i="8"/>
  <c r="V32" i="8" s="1"/>
  <c r="O32" i="8"/>
  <c r="N32" i="8"/>
  <c r="M32" i="8"/>
  <c r="L32" i="8"/>
  <c r="K32" i="8"/>
  <c r="J32" i="8"/>
  <c r="I32" i="8"/>
  <c r="H32" i="8"/>
  <c r="G32" i="8"/>
  <c r="F32" i="8"/>
  <c r="E32" i="8"/>
  <c r="D32" i="8"/>
  <c r="C32" i="8"/>
  <c r="B32" i="8"/>
  <c r="S28" i="8"/>
  <c r="R28" i="8"/>
  <c r="Q28" i="8"/>
  <c r="P28" i="8"/>
  <c r="O28" i="8"/>
  <c r="N28" i="8"/>
  <c r="M28" i="8"/>
  <c r="L28" i="8"/>
  <c r="K28" i="8"/>
  <c r="J28" i="8"/>
  <c r="I28" i="8"/>
  <c r="H28" i="8"/>
  <c r="G28" i="8"/>
  <c r="F28" i="8"/>
  <c r="E28" i="8"/>
  <c r="D28" i="8"/>
  <c r="S27" i="8"/>
  <c r="R27" i="8"/>
  <c r="Q27" i="8"/>
  <c r="P27" i="8"/>
  <c r="O27" i="8"/>
  <c r="N27" i="8"/>
  <c r="M27" i="8"/>
  <c r="L27" i="8"/>
  <c r="K27" i="8"/>
  <c r="J27" i="8"/>
  <c r="I27" i="8"/>
  <c r="H27" i="8"/>
  <c r="G27" i="8"/>
  <c r="F27" i="8"/>
  <c r="E27" i="8"/>
  <c r="D27" i="8"/>
  <c r="S26" i="8"/>
  <c r="R26" i="8"/>
  <c r="Q26" i="8"/>
  <c r="P26" i="8"/>
  <c r="O26" i="8"/>
  <c r="N26" i="8"/>
  <c r="M26" i="8"/>
  <c r="L26" i="8"/>
  <c r="K26" i="8"/>
  <c r="J26" i="8"/>
  <c r="I26" i="8"/>
  <c r="H26" i="8"/>
  <c r="G26" i="8"/>
  <c r="F26" i="8"/>
  <c r="E26" i="8"/>
  <c r="D26" i="8"/>
  <c r="S25" i="8"/>
  <c r="R25" i="8"/>
  <c r="Q25" i="8"/>
  <c r="P25" i="8"/>
  <c r="O25" i="8"/>
  <c r="N25" i="8"/>
  <c r="M25" i="8"/>
  <c r="L25" i="8"/>
  <c r="K25" i="8"/>
  <c r="J25" i="8"/>
  <c r="I25" i="8"/>
  <c r="H25" i="8"/>
  <c r="G25" i="8"/>
  <c r="F25" i="8"/>
  <c r="E25" i="8"/>
  <c r="D25" i="8"/>
  <c r="S24" i="8"/>
  <c r="R24" i="8"/>
  <c r="Q24" i="8"/>
  <c r="P24" i="8"/>
  <c r="O24" i="8"/>
  <c r="N24" i="8"/>
  <c r="M24" i="8"/>
  <c r="L24" i="8"/>
  <c r="K24" i="8"/>
  <c r="J24" i="8"/>
  <c r="I24" i="8"/>
  <c r="H24" i="8"/>
  <c r="G24" i="8"/>
  <c r="F24" i="8"/>
  <c r="E24" i="8"/>
  <c r="D24" i="8"/>
  <c r="S23" i="8"/>
  <c r="R23" i="8"/>
  <c r="Q23" i="8"/>
  <c r="P23" i="8"/>
  <c r="O23" i="8"/>
  <c r="N23" i="8"/>
  <c r="M23" i="8"/>
  <c r="L23" i="8"/>
  <c r="K23" i="8"/>
  <c r="J23" i="8"/>
  <c r="I23" i="8"/>
  <c r="H23" i="8"/>
  <c r="G23" i="8"/>
  <c r="F23" i="8"/>
  <c r="E23" i="8"/>
  <c r="D23" i="8"/>
  <c r="S22" i="8"/>
  <c r="R22" i="8"/>
  <c r="Q22" i="8"/>
  <c r="P22" i="8"/>
  <c r="O22" i="8"/>
  <c r="N22" i="8"/>
  <c r="M22" i="8"/>
  <c r="L22" i="8"/>
  <c r="K22" i="8"/>
  <c r="J22" i="8"/>
  <c r="I22" i="8"/>
  <c r="H22" i="8"/>
  <c r="G22" i="8"/>
  <c r="F22" i="8"/>
  <c r="E22" i="8"/>
  <c r="D22" i="8"/>
  <c r="S21" i="8"/>
  <c r="R21" i="8"/>
  <c r="Q21" i="8"/>
  <c r="P21" i="8"/>
  <c r="O21" i="8"/>
  <c r="N21" i="8"/>
  <c r="M21" i="8"/>
  <c r="L21" i="8"/>
  <c r="K21" i="8"/>
  <c r="J21" i="8"/>
  <c r="I21" i="8"/>
  <c r="H21" i="8"/>
  <c r="G21" i="8"/>
  <c r="F21" i="8"/>
  <c r="E21" i="8"/>
  <c r="D21" i="8"/>
  <c r="C28" i="8"/>
  <c r="C27" i="8"/>
  <c r="C26" i="8"/>
  <c r="C25" i="8"/>
  <c r="C24" i="8"/>
  <c r="C23" i="8"/>
  <c r="C22" i="8"/>
  <c r="C21" i="8"/>
  <c r="B28" i="8"/>
  <c r="B27" i="8"/>
  <c r="B26" i="8"/>
  <c r="B25" i="8"/>
  <c r="B24" i="8"/>
  <c r="B23" i="8"/>
  <c r="B22" i="8"/>
  <c r="B21" i="8"/>
  <c r="C31" i="10"/>
  <c r="C29" i="10"/>
  <c r="S17" i="8"/>
  <c r="R17" i="8"/>
  <c r="Q17" i="8"/>
  <c r="P17" i="8"/>
  <c r="O17" i="8"/>
  <c r="N17" i="8"/>
  <c r="M17" i="8"/>
  <c r="L17" i="8"/>
  <c r="K17" i="8"/>
  <c r="J17" i="8"/>
  <c r="I17" i="8"/>
  <c r="H17" i="8"/>
  <c r="G17" i="8"/>
  <c r="F17" i="8"/>
  <c r="E17" i="8"/>
  <c r="D17" i="8"/>
  <c r="C17" i="8"/>
  <c r="B17" i="8"/>
  <c r="S13" i="8"/>
  <c r="R13" i="8"/>
  <c r="Q13" i="8"/>
  <c r="P13" i="8"/>
  <c r="O13" i="8"/>
  <c r="N13" i="8"/>
  <c r="M13" i="8"/>
  <c r="L13" i="8"/>
  <c r="K13" i="8"/>
  <c r="J13" i="8"/>
  <c r="I13" i="8"/>
  <c r="H13" i="8"/>
  <c r="G13" i="8"/>
  <c r="F13" i="8"/>
  <c r="E13" i="8"/>
  <c r="D13" i="8"/>
  <c r="C13" i="8"/>
  <c r="B13" i="8"/>
  <c r="S8" i="8"/>
  <c r="V8" i="8" s="1"/>
  <c r="R8" i="8"/>
  <c r="Q8" i="8"/>
  <c r="P8" i="8"/>
  <c r="O8" i="8"/>
  <c r="U8" i="8" s="1"/>
  <c r="N8" i="8"/>
  <c r="M8" i="8"/>
  <c r="L8" i="8"/>
  <c r="K8" i="8"/>
  <c r="J8" i="8"/>
  <c r="I8" i="8"/>
  <c r="G8" i="8"/>
  <c r="F8" i="8"/>
  <c r="E8" i="8"/>
  <c r="D8" i="8"/>
  <c r="C8" i="8"/>
  <c r="V7" i="8"/>
  <c r="U7" i="8"/>
  <c r="V40" i="8" l="1"/>
  <c r="X40" i="8" s="1"/>
  <c r="U32" i="8"/>
  <c r="X32" i="8" s="1"/>
  <c r="V33" i="8"/>
  <c r="U33" i="8"/>
  <c r="V34" i="8"/>
  <c r="X34" i="8" s="1"/>
  <c r="V35" i="8"/>
  <c r="X35" i="8" s="1"/>
  <c r="X33" i="8"/>
  <c r="M14" i="8"/>
  <c r="D14" i="8"/>
  <c r="L14" i="8"/>
  <c r="F14" i="8"/>
  <c r="N14" i="8"/>
  <c r="G14" i="8"/>
  <c r="O14" i="8"/>
  <c r="E14" i="8"/>
  <c r="I14" i="8"/>
  <c r="Q14" i="8"/>
  <c r="J14" i="8"/>
  <c r="R14" i="8"/>
  <c r="K14" i="8"/>
  <c r="S14" i="8"/>
  <c r="P14" i="8"/>
  <c r="V21" i="8"/>
  <c r="V25" i="8"/>
  <c r="V17" i="8"/>
  <c r="U17" i="8"/>
  <c r="V22" i="8"/>
  <c r="V23" i="8"/>
  <c r="V24" i="8"/>
  <c r="V26" i="8"/>
  <c r="V27" i="8"/>
  <c r="V28" i="8"/>
  <c r="U24" i="8"/>
  <c r="U28" i="8"/>
  <c r="U21" i="8"/>
  <c r="U22" i="8"/>
  <c r="U23" i="8"/>
  <c r="U25" i="8"/>
  <c r="U26" i="8"/>
  <c r="U27" i="8"/>
  <c r="V13" i="8"/>
  <c r="C14" i="8"/>
  <c r="U13" i="8"/>
  <c r="V14" i="8" l="1"/>
  <c r="U14" i="8"/>
  <c r="D18" i="8"/>
  <c r="D29" i="8" s="1"/>
  <c r="D36" i="8" s="1"/>
  <c r="X23" i="8"/>
  <c r="X25" i="8"/>
  <c r="X21" i="8"/>
  <c r="X22" i="8"/>
  <c r="X26" i="8"/>
  <c r="X27" i="8"/>
  <c r="X28" i="8"/>
  <c r="X24" i="8"/>
  <c r="I18" i="8"/>
  <c r="X13" i="8"/>
  <c r="X17" i="8"/>
  <c r="C18" i="8"/>
  <c r="G11" i="8"/>
  <c r="E18" i="8"/>
  <c r="E29" i="8" s="1"/>
  <c r="R11" i="8"/>
  <c r="O11" i="8"/>
  <c r="S11" i="8"/>
  <c r="N11" i="8"/>
  <c r="L11" i="8"/>
  <c r="M11" i="8"/>
  <c r="F11" i="8"/>
  <c r="E30" i="8" l="1"/>
  <c r="E36" i="8"/>
  <c r="K11" i="8"/>
  <c r="C29" i="8"/>
  <c r="I29" i="8"/>
  <c r="I36" i="8" s="1"/>
  <c r="J11" i="8"/>
  <c r="D19" i="8"/>
  <c r="E19" i="8"/>
  <c r="F18" i="8"/>
  <c r="F29" i="8" s="1"/>
  <c r="F15" i="8"/>
  <c r="S18" i="8"/>
  <c r="S29" i="8" s="1"/>
  <c r="S36" i="8" s="1"/>
  <c r="S15" i="8"/>
  <c r="G18" i="8"/>
  <c r="G29" i="8" s="1"/>
  <c r="G36" i="8" s="1"/>
  <c r="G15" i="8"/>
  <c r="J18" i="8"/>
  <c r="J29" i="8" s="1"/>
  <c r="J36" i="8" s="1"/>
  <c r="J15" i="8"/>
  <c r="O18" i="8"/>
  <c r="O29" i="8" s="1"/>
  <c r="O36" i="8" s="1"/>
  <c r="O15" i="8"/>
  <c r="U18" i="8"/>
  <c r="K18" i="8"/>
  <c r="K29" i="8" s="1"/>
  <c r="K36" i="8" s="1"/>
  <c r="K15" i="8"/>
  <c r="M18" i="8"/>
  <c r="M29" i="8" s="1"/>
  <c r="M36" i="8" s="1"/>
  <c r="M15" i="8"/>
  <c r="L18" i="8"/>
  <c r="L29" i="8" s="1"/>
  <c r="L36" i="8" s="1"/>
  <c r="L15" i="8"/>
  <c r="Q18" i="8"/>
  <c r="Q29" i="8" s="1"/>
  <c r="Q36" i="8" s="1"/>
  <c r="P11" i="8"/>
  <c r="R18" i="8"/>
  <c r="R29" i="8" s="1"/>
  <c r="R36" i="8" s="1"/>
  <c r="R15" i="8"/>
  <c r="N18" i="8"/>
  <c r="N29" i="8" s="1"/>
  <c r="N36" i="8" s="1"/>
  <c r="N15" i="8"/>
  <c r="Q11" i="8"/>
  <c r="D30" i="8" l="1"/>
  <c r="C36" i="8"/>
  <c r="F30" i="8"/>
  <c r="F36" i="8"/>
  <c r="M30" i="8"/>
  <c r="K30" i="8"/>
  <c r="G30" i="8"/>
  <c r="J30" i="8"/>
  <c r="L30" i="8"/>
  <c r="O30" i="8"/>
  <c r="N30" i="8"/>
  <c r="S30" i="8"/>
  <c r="R30" i="8"/>
  <c r="U29" i="8"/>
  <c r="U36" i="8" s="1"/>
  <c r="P15" i="8"/>
  <c r="P18" i="8"/>
  <c r="P29" i="8" s="1"/>
  <c r="K19" i="8"/>
  <c r="O19" i="8"/>
  <c r="M19" i="8"/>
  <c r="N19" i="8"/>
  <c r="J19" i="8"/>
  <c r="L19" i="8"/>
  <c r="Q15" i="8"/>
  <c r="S19" i="8"/>
  <c r="R19" i="8"/>
  <c r="G19" i="8"/>
  <c r="F19" i="8"/>
  <c r="P30" i="8" l="1"/>
  <c r="P36" i="8"/>
  <c r="Q30" i="8"/>
  <c r="P19" i="8"/>
  <c r="Q19" i="8"/>
  <c r="V11" i="8"/>
  <c r="S88" i="4"/>
  <c r="V88" i="4" s="1"/>
  <c r="R88" i="4"/>
  <c r="K88" i="4"/>
  <c r="J88" i="4"/>
  <c r="X68" i="4"/>
  <c r="X66" i="4"/>
  <c r="V81" i="4"/>
  <c r="U81" i="4"/>
  <c r="V80" i="4"/>
  <c r="U80" i="4"/>
  <c r="V79" i="4"/>
  <c r="U79" i="4"/>
  <c r="V78" i="4"/>
  <c r="U78" i="4"/>
  <c r="V74" i="4"/>
  <c r="U74" i="4"/>
  <c r="V73" i="4"/>
  <c r="U73" i="4"/>
  <c r="V72" i="4"/>
  <c r="U72" i="4"/>
  <c r="V68" i="4"/>
  <c r="U68" i="4"/>
  <c r="V67" i="4"/>
  <c r="U67" i="4"/>
  <c r="V66" i="4"/>
  <c r="U66" i="4"/>
  <c r="V65" i="4"/>
  <c r="X65" i="4" s="1"/>
  <c r="U65" i="4"/>
  <c r="V64" i="4"/>
  <c r="X64" i="4" s="1"/>
  <c r="U64" i="4"/>
  <c r="V63" i="4"/>
  <c r="X63" i="4" s="1"/>
  <c r="U63" i="4"/>
  <c r="V59" i="4"/>
  <c r="U59" i="4"/>
  <c r="V58" i="4"/>
  <c r="U58" i="4"/>
  <c r="V57" i="4"/>
  <c r="U57" i="4"/>
  <c r="V56" i="4"/>
  <c r="U56" i="4"/>
  <c r="V55" i="4"/>
  <c r="U55" i="4"/>
  <c r="V54" i="4"/>
  <c r="U54" i="4"/>
  <c r="V50" i="4"/>
  <c r="U50" i="4"/>
  <c r="V49" i="4"/>
  <c r="U49" i="4"/>
  <c r="V48" i="4"/>
  <c r="U48" i="4"/>
  <c r="V47" i="4"/>
  <c r="U47" i="4"/>
  <c r="U46" i="4"/>
  <c r="V46" i="4"/>
  <c r="Q130" i="4"/>
  <c r="J130" i="4"/>
  <c r="I130" i="4"/>
  <c r="J125" i="4"/>
  <c r="J124" i="4"/>
  <c r="K124" i="4" s="1"/>
  <c r="L124" i="4" s="1"/>
  <c r="J123" i="4"/>
  <c r="K125" i="4"/>
  <c r="L125" i="4" s="1"/>
  <c r="K123" i="4"/>
  <c r="L123" i="4" s="1"/>
  <c r="J117" i="4"/>
  <c r="K117" i="4" s="1"/>
  <c r="J118" i="4"/>
  <c r="K118" i="4" s="1"/>
  <c r="J105" i="4"/>
  <c r="K105" i="4" s="1"/>
  <c r="L105" i="4" s="1"/>
  <c r="J106" i="4"/>
  <c r="K106" i="4" s="1"/>
  <c r="L106" i="4" s="1"/>
  <c r="J107" i="4"/>
  <c r="J108" i="4"/>
  <c r="K108" i="4" s="1"/>
  <c r="J109" i="4"/>
  <c r="J110" i="4"/>
  <c r="K110" i="4" s="1"/>
  <c r="L110" i="4" s="1"/>
  <c r="J111" i="4"/>
  <c r="J112" i="4"/>
  <c r="K112" i="4" s="1"/>
  <c r="L112" i="4" s="1"/>
  <c r="J113" i="4"/>
  <c r="K111" i="4"/>
  <c r="L111" i="4" s="1"/>
  <c r="K109" i="4"/>
  <c r="K107" i="4"/>
  <c r="L107" i="4" s="1"/>
  <c r="J101" i="4"/>
  <c r="K101" i="4" s="1"/>
  <c r="J100" i="4"/>
  <c r="J99" i="4"/>
  <c r="J98" i="4"/>
  <c r="K98" i="4" s="1"/>
  <c r="L98" i="4" s="1"/>
  <c r="J97" i="4"/>
  <c r="K97" i="4" s="1"/>
  <c r="L97" i="4" s="1"/>
  <c r="L24" i="5" s="1"/>
  <c r="K94" i="4"/>
  <c r="S29" i="5"/>
  <c r="Q29" i="5"/>
  <c r="M29" i="5"/>
  <c r="I29" i="5"/>
  <c r="H29" i="5"/>
  <c r="G29" i="5"/>
  <c r="F29" i="5"/>
  <c r="E29" i="5"/>
  <c r="D29" i="5"/>
  <c r="C29" i="5"/>
  <c r="B29" i="5"/>
  <c r="S24" i="5"/>
  <c r="R24" i="5"/>
  <c r="Q24" i="5"/>
  <c r="M24" i="5"/>
  <c r="J24" i="5"/>
  <c r="I24" i="5"/>
  <c r="H24" i="5"/>
  <c r="G24" i="5"/>
  <c r="F24" i="5"/>
  <c r="E24" i="5"/>
  <c r="D24" i="5"/>
  <c r="C24" i="5"/>
  <c r="B24" i="5"/>
  <c r="S8" i="5"/>
  <c r="R8" i="5"/>
  <c r="Q8" i="5"/>
  <c r="O8" i="5"/>
  <c r="U8" i="5" s="1"/>
  <c r="N8" i="5"/>
  <c r="M8" i="5"/>
  <c r="K8" i="5"/>
  <c r="J8" i="5"/>
  <c r="I8" i="5"/>
  <c r="H8" i="5"/>
  <c r="G8" i="5"/>
  <c r="F8" i="5"/>
  <c r="E8" i="5"/>
  <c r="D8" i="5"/>
  <c r="C8" i="5"/>
  <c r="V8" i="5"/>
  <c r="U7" i="5"/>
  <c r="V7" i="5"/>
  <c r="S20" i="5"/>
  <c r="R20" i="5"/>
  <c r="Q20" i="5"/>
  <c r="O20" i="5"/>
  <c r="N20" i="5"/>
  <c r="M20" i="5"/>
  <c r="K20" i="5"/>
  <c r="J20" i="5"/>
  <c r="I20" i="5"/>
  <c r="H20" i="5"/>
  <c r="G20" i="5"/>
  <c r="F20" i="5"/>
  <c r="E20" i="5"/>
  <c r="D20" i="5"/>
  <c r="C20" i="5"/>
  <c r="B20" i="5"/>
  <c r="S16" i="5"/>
  <c r="R16" i="5"/>
  <c r="Q16" i="5"/>
  <c r="O16" i="5"/>
  <c r="N16" i="5"/>
  <c r="M16" i="5"/>
  <c r="K16" i="5"/>
  <c r="J16" i="5"/>
  <c r="I16" i="5"/>
  <c r="H16" i="5"/>
  <c r="G16" i="5"/>
  <c r="F16" i="5"/>
  <c r="E16" i="5"/>
  <c r="D16" i="5"/>
  <c r="C16" i="5"/>
  <c r="S15" i="5"/>
  <c r="R15" i="5"/>
  <c r="Q15" i="5"/>
  <c r="P15" i="5"/>
  <c r="V15" i="5" s="1"/>
  <c r="O15" i="5"/>
  <c r="N15" i="5"/>
  <c r="M15" i="5"/>
  <c r="K15" i="5"/>
  <c r="J15" i="5"/>
  <c r="I15" i="5"/>
  <c r="H15" i="5"/>
  <c r="G15" i="5"/>
  <c r="F15" i="5"/>
  <c r="E15" i="5"/>
  <c r="D15" i="5"/>
  <c r="C15" i="5"/>
  <c r="S14" i="5"/>
  <c r="R14" i="5"/>
  <c r="Q14" i="5"/>
  <c r="P14" i="5"/>
  <c r="V14" i="5" s="1"/>
  <c r="O14" i="5"/>
  <c r="N14" i="5"/>
  <c r="M14" i="5"/>
  <c r="K14" i="5"/>
  <c r="J14" i="5"/>
  <c r="I14" i="5"/>
  <c r="H14" i="5"/>
  <c r="G14" i="5"/>
  <c r="F14" i="5"/>
  <c r="E14" i="5"/>
  <c r="D14" i="5"/>
  <c r="C14" i="5"/>
  <c r="B16" i="5"/>
  <c r="B15" i="5"/>
  <c r="X25" i="6"/>
  <c r="X24" i="6"/>
  <c r="X23" i="6"/>
  <c r="X22" i="6"/>
  <c r="X21" i="6"/>
  <c r="X20" i="6"/>
  <c r="V25" i="6"/>
  <c r="U25" i="6"/>
  <c r="V24" i="6"/>
  <c r="U24" i="6"/>
  <c r="V23" i="6"/>
  <c r="U23" i="6"/>
  <c r="V22" i="6"/>
  <c r="U22" i="6"/>
  <c r="V21" i="6"/>
  <c r="U21" i="6"/>
  <c r="U20" i="6"/>
  <c r="V20" i="6"/>
  <c r="Z17" i="6"/>
  <c r="Z16" i="6"/>
  <c r="Z15" i="6"/>
  <c r="Z14" i="6"/>
  <c r="Z13" i="6"/>
  <c r="Z12" i="6"/>
  <c r="Z11" i="6"/>
  <c r="V17" i="6"/>
  <c r="X17" i="6" s="1"/>
  <c r="U17" i="6"/>
  <c r="V16" i="6"/>
  <c r="U16" i="6"/>
  <c r="V15" i="6"/>
  <c r="U15" i="6"/>
  <c r="V14" i="6"/>
  <c r="X14" i="6" s="1"/>
  <c r="U14" i="6"/>
  <c r="X13" i="6"/>
  <c r="V13" i="6"/>
  <c r="U13" i="6"/>
  <c r="X12" i="6"/>
  <c r="V12" i="6"/>
  <c r="U12" i="6"/>
  <c r="X11" i="6"/>
  <c r="U11" i="6"/>
  <c r="V11" i="6"/>
  <c r="I69" i="4"/>
  <c r="I88" i="4" s="1"/>
  <c r="L68" i="4"/>
  <c r="J69" i="4"/>
  <c r="J86" i="4" s="1"/>
  <c r="L141" i="4"/>
  <c r="L140" i="4"/>
  <c r="L139" i="4"/>
  <c r="L138" i="4"/>
  <c r="L135" i="4"/>
  <c r="L134" i="4"/>
  <c r="L133" i="4"/>
  <c r="L132" i="4"/>
  <c r="L102" i="4"/>
  <c r="L129" i="4"/>
  <c r="L128" i="4"/>
  <c r="L126" i="4"/>
  <c r="L122" i="4"/>
  <c r="L130" i="4" s="1"/>
  <c r="L127" i="4"/>
  <c r="Q119" i="4"/>
  <c r="I119" i="4"/>
  <c r="L8" i="4"/>
  <c r="L8" i="5" s="1"/>
  <c r="L17" i="4"/>
  <c r="L23" i="4"/>
  <c r="L14" i="5" s="1"/>
  <c r="U14" i="5" s="1"/>
  <c r="L24" i="4"/>
  <c r="L15" i="5" s="1"/>
  <c r="U15" i="5" s="1"/>
  <c r="L25" i="4"/>
  <c r="L16" i="5" s="1"/>
  <c r="U16" i="5" s="1"/>
  <c r="L31" i="4"/>
  <c r="L20" i="5" s="1"/>
  <c r="U20" i="5" s="1"/>
  <c r="L33" i="4"/>
  <c r="L39" i="4"/>
  <c r="L40" i="4"/>
  <c r="L46" i="4"/>
  <c r="L47" i="4"/>
  <c r="L48" i="4"/>
  <c r="L49" i="4"/>
  <c r="L50" i="4"/>
  <c r="L54" i="4"/>
  <c r="L55" i="4"/>
  <c r="L56" i="4"/>
  <c r="L57" i="4"/>
  <c r="L58" i="4"/>
  <c r="L59" i="4"/>
  <c r="L63" i="4"/>
  <c r="L69" i="4" s="1"/>
  <c r="L64" i="4"/>
  <c r="L65" i="4"/>
  <c r="L66" i="4"/>
  <c r="L67" i="4"/>
  <c r="L72" i="4"/>
  <c r="L73" i="4"/>
  <c r="L78" i="4"/>
  <c r="L82" i="4" s="1"/>
  <c r="L79" i="4"/>
  <c r="L80" i="4"/>
  <c r="L81" i="4"/>
  <c r="K69" i="4"/>
  <c r="K86" i="4" s="1"/>
  <c r="C7" i="10" a="1"/>
  <c r="C7" i="10" s="1"/>
  <c r="C6" i="10" a="1"/>
  <c r="C6" i="10" s="1"/>
  <c r="V25" i="4"/>
  <c r="V24" i="4"/>
  <c r="L11" i="6"/>
  <c r="L13" i="6" s="1"/>
  <c r="P11" i="6"/>
  <c r="K13" i="6"/>
  <c r="K12" i="4" s="1"/>
  <c r="M16" i="4"/>
  <c r="M15" i="4"/>
  <c r="M14" i="4"/>
  <c r="M13" i="4"/>
  <c r="M12" i="4"/>
  <c r="M11" i="4"/>
  <c r="M69" i="4"/>
  <c r="M86" i="4" s="1"/>
  <c r="P33" i="4"/>
  <c r="P40" i="4"/>
  <c r="P39" i="4"/>
  <c r="P50" i="4"/>
  <c r="P49" i="4"/>
  <c r="P48" i="4"/>
  <c r="P47" i="4"/>
  <c r="P46" i="4"/>
  <c r="P59" i="4"/>
  <c r="P58" i="4"/>
  <c r="P57" i="4"/>
  <c r="P56" i="4"/>
  <c r="P55" i="4"/>
  <c r="P54" i="4"/>
  <c r="P68" i="4"/>
  <c r="P67" i="4"/>
  <c r="P66" i="4"/>
  <c r="P65" i="4"/>
  <c r="P64" i="4"/>
  <c r="P63" i="4"/>
  <c r="P73" i="4"/>
  <c r="P72" i="4"/>
  <c r="P80" i="4"/>
  <c r="P79" i="4"/>
  <c r="P78" i="4"/>
  <c r="P81" i="4"/>
  <c r="P102" i="4"/>
  <c r="P141" i="4"/>
  <c r="P140" i="4"/>
  <c r="P139" i="4"/>
  <c r="P138" i="4"/>
  <c r="P135" i="4"/>
  <c r="P134" i="4"/>
  <c r="P133" i="4"/>
  <c r="P129" i="4"/>
  <c r="P128" i="4"/>
  <c r="P127" i="4"/>
  <c r="P126" i="4"/>
  <c r="N123" i="4"/>
  <c r="O123" i="4" s="1"/>
  <c r="P123" i="4" s="1"/>
  <c r="N124" i="4"/>
  <c r="O124" i="4" s="1"/>
  <c r="N125" i="4"/>
  <c r="O125" i="4" s="1"/>
  <c r="P125" i="4" s="1"/>
  <c r="N101" i="4"/>
  <c r="O101" i="4" s="1"/>
  <c r="N100" i="4"/>
  <c r="O100" i="4" s="1"/>
  <c r="P100" i="4" s="1"/>
  <c r="P29" i="5" s="1"/>
  <c r="N99" i="4"/>
  <c r="O99" i="4" s="1"/>
  <c r="P99" i="4" s="1"/>
  <c r="N98" i="4"/>
  <c r="O98" i="4" s="1"/>
  <c r="N97" i="4"/>
  <c r="O97" i="4" s="1"/>
  <c r="O24" i="5" s="1"/>
  <c r="N94" i="4"/>
  <c r="O94" i="4" s="1"/>
  <c r="N113" i="4"/>
  <c r="O113" i="4" s="1"/>
  <c r="N112" i="4"/>
  <c r="O112" i="4" s="1"/>
  <c r="N111" i="4"/>
  <c r="O111" i="4" s="1"/>
  <c r="N110" i="4"/>
  <c r="N109" i="4"/>
  <c r="O109" i="4" s="1"/>
  <c r="N108" i="4"/>
  <c r="N107" i="4"/>
  <c r="N106" i="4"/>
  <c r="O106" i="4" s="1"/>
  <c r="N105" i="4"/>
  <c r="O105" i="4" s="1"/>
  <c r="P105" i="4" s="1"/>
  <c r="N118" i="4"/>
  <c r="O118" i="4" s="1"/>
  <c r="N117" i="4"/>
  <c r="N119" i="4" s="1"/>
  <c r="N69" i="4"/>
  <c r="N86" i="4" s="1"/>
  <c r="M119" i="4"/>
  <c r="M130" i="4"/>
  <c r="O122" i="4"/>
  <c r="O130" i="4" s="1"/>
  <c r="P31" i="4"/>
  <c r="P20" i="5" s="1"/>
  <c r="V20" i="5" s="1"/>
  <c r="P25" i="4"/>
  <c r="U25" i="4" s="1"/>
  <c r="P24" i="4"/>
  <c r="U24" i="4" s="1"/>
  <c r="P23" i="4"/>
  <c r="P17" i="4"/>
  <c r="L8" i="6"/>
  <c r="P8" i="6"/>
  <c r="P8" i="4"/>
  <c r="P8" i="5" s="1"/>
  <c r="F130" i="4"/>
  <c r="E130" i="4"/>
  <c r="D130" i="4"/>
  <c r="C130" i="4"/>
  <c r="G130" i="4"/>
  <c r="R94" i="4"/>
  <c r="S94" i="4" s="1"/>
  <c r="C74" i="4"/>
  <c r="R123" i="4"/>
  <c r="S123" i="4" s="1"/>
  <c r="S130" i="4" s="1"/>
  <c r="R124" i="4"/>
  <c r="S124" i="4" s="1"/>
  <c r="R125" i="4"/>
  <c r="S125" i="4" s="1"/>
  <c r="R126" i="4"/>
  <c r="S126" i="4" s="1"/>
  <c r="S122" i="4"/>
  <c r="D118" i="4"/>
  <c r="D119" i="4" s="1"/>
  <c r="C118" i="4"/>
  <c r="C119" i="4" s="1"/>
  <c r="R117" i="4"/>
  <c r="S117" i="4" s="1"/>
  <c r="S119" i="4" s="1"/>
  <c r="R118" i="4"/>
  <c r="S118" i="4" s="1"/>
  <c r="R113" i="4"/>
  <c r="S113" i="4" s="1"/>
  <c r="R112" i="4"/>
  <c r="S112" i="4" s="1"/>
  <c r="R111" i="4"/>
  <c r="S111" i="4" s="1"/>
  <c r="R110" i="4"/>
  <c r="S110" i="4" s="1"/>
  <c r="R109" i="4"/>
  <c r="S109" i="4" s="1"/>
  <c r="R108" i="4"/>
  <c r="S108" i="4" s="1"/>
  <c r="R107" i="4"/>
  <c r="S107" i="4" s="1"/>
  <c r="R106" i="4"/>
  <c r="S106" i="4" s="1"/>
  <c r="R105" i="4"/>
  <c r="S105" i="4" s="1"/>
  <c r="R97" i="4"/>
  <c r="S97" i="4" s="1"/>
  <c r="R98" i="4"/>
  <c r="S98" i="4" s="1"/>
  <c r="R99" i="4"/>
  <c r="S99" i="4" s="1"/>
  <c r="R100" i="4"/>
  <c r="S100" i="4" s="1"/>
  <c r="R101" i="4"/>
  <c r="S101" i="4" s="1"/>
  <c r="S16" i="4"/>
  <c r="R16" i="4"/>
  <c r="Q16" i="4"/>
  <c r="G16" i="4"/>
  <c r="F16" i="4"/>
  <c r="E16" i="4"/>
  <c r="D16" i="4"/>
  <c r="C16" i="4"/>
  <c r="B16" i="4"/>
  <c r="R11" i="4"/>
  <c r="G51" i="6"/>
  <c r="G42" i="6"/>
  <c r="P40" i="6"/>
  <c r="L40" i="6"/>
  <c r="S12" i="6"/>
  <c r="S17" i="6"/>
  <c r="R17" i="6"/>
  <c r="Q17" i="6"/>
  <c r="P17" i="6"/>
  <c r="P16" i="4" s="1"/>
  <c r="O17" i="6"/>
  <c r="N17" i="6"/>
  <c r="N16" i="4" s="1"/>
  <c r="M17" i="6"/>
  <c r="J17" i="6"/>
  <c r="J16" i="4" s="1"/>
  <c r="S16" i="6"/>
  <c r="R16" i="6"/>
  <c r="R15" i="4" s="1"/>
  <c r="Q16" i="6"/>
  <c r="Q15" i="4" s="1"/>
  <c r="P16" i="6"/>
  <c r="P15" i="4" s="1"/>
  <c r="O16" i="6"/>
  <c r="N16" i="6"/>
  <c r="N32" i="6" s="1"/>
  <c r="M16" i="6"/>
  <c r="J16" i="6"/>
  <c r="J15" i="4" s="1"/>
  <c r="S15" i="6"/>
  <c r="R15" i="6"/>
  <c r="Q15" i="6"/>
  <c r="P15" i="6"/>
  <c r="O15" i="6"/>
  <c r="O14" i="4" s="1"/>
  <c r="N15" i="6"/>
  <c r="N14" i="4" s="1"/>
  <c r="M15" i="6"/>
  <c r="J15" i="6"/>
  <c r="J14" i="4" s="1"/>
  <c r="S14" i="6"/>
  <c r="S13" i="4" s="1"/>
  <c r="R14" i="6"/>
  <c r="Q14" i="6"/>
  <c r="P14" i="6"/>
  <c r="P13" i="4" s="1"/>
  <c r="O14" i="6"/>
  <c r="N14" i="6"/>
  <c r="N13" i="4" s="1"/>
  <c r="M14" i="6"/>
  <c r="K14" i="6"/>
  <c r="K13" i="4" s="1"/>
  <c r="J14" i="6"/>
  <c r="J13" i="4" s="1"/>
  <c r="S13" i="6"/>
  <c r="R13" i="6"/>
  <c r="R12" i="4" s="1"/>
  <c r="Q13" i="6"/>
  <c r="Q12" i="4" s="1"/>
  <c r="P13" i="6"/>
  <c r="P12" i="4" s="1"/>
  <c r="O13" i="6"/>
  <c r="P29" i="6" s="1"/>
  <c r="N13" i="6"/>
  <c r="N12" i="4" s="1"/>
  <c r="M13" i="6"/>
  <c r="J13" i="6"/>
  <c r="J12" i="4" s="1"/>
  <c r="R12" i="6"/>
  <c r="Q12" i="6"/>
  <c r="P12" i="6"/>
  <c r="P11" i="4" s="1"/>
  <c r="O12" i="6"/>
  <c r="O11" i="4" s="1"/>
  <c r="N12" i="6"/>
  <c r="M12" i="6"/>
  <c r="N28" i="6" s="1"/>
  <c r="J12" i="6"/>
  <c r="J28" i="6" s="1"/>
  <c r="I17" i="6"/>
  <c r="I16" i="4" s="1"/>
  <c r="I16" i="6"/>
  <c r="I15" i="4" s="1"/>
  <c r="I15" i="6"/>
  <c r="I31" i="6" s="1"/>
  <c r="I14" i="6"/>
  <c r="I13" i="4" s="1"/>
  <c r="I13" i="6"/>
  <c r="I12" i="6"/>
  <c r="I28" i="6" s="1"/>
  <c r="L25" i="6"/>
  <c r="L24" i="6"/>
  <c r="L23" i="6"/>
  <c r="L22" i="6"/>
  <c r="L21" i="6"/>
  <c r="L20" i="6"/>
  <c r="P25" i="6"/>
  <c r="P24" i="6"/>
  <c r="P23" i="6"/>
  <c r="P22" i="6"/>
  <c r="P21" i="6"/>
  <c r="P20" i="6"/>
  <c r="S38" i="6"/>
  <c r="G119" i="4"/>
  <c r="F119" i="4"/>
  <c r="E119" i="4"/>
  <c r="Q13" i="4"/>
  <c r="R14" i="4"/>
  <c r="R13" i="4"/>
  <c r="S15" i="4"/>
  <c r="S14" i="4"/>
  <c r="S12" i="4"/>
  <c r="S11" i="4"/>
  <c r="G74" i="4"/>
  <c r="P74" i="4" s="1"/>
  <c r="F74" i="4"/>
  <c r="E74" i="4"/>
  <c r="L74" i="4" s="1"/>
  <c r="D74" i="4"/>
  <c r="G69" i="4"/>
  <c r="G86" i="4" s="1"/>
  <c r="F69" i="4"/>
  <c r="F88" i="4" s="1"/>
  <c r="E69" i="4"/>
  <c r="E86" i="4" s="1"/>
  <c r="D69" i="4"/>
  <c r="D86" i="4" s="1"/>
  <c r="C69" i="4"/>
  <c r="C86" i="4" s="1"/>
  <c r="R69" i="4"/>
  <c r="R86" i="4" s="1"/>
  <c r="Q69" i="4"/>
  <c r="Q88" i="4" s="1"/>
  <c r="S69" i="4"/>
  <c r="S86" i="4" s="1"/>
  <c r="V86" i="4" s="1"/>
  <c r="C51" i="6"/>
  <c r="F42" i="6"/>
  <c r="C49" i="6"/>
  <c r="D41" i="6"/>
  <c r="J37" i="6"/>
  <c r="C40" i="6"/>
  <c r="D37" i="6" s="1"/>
  <c r="D40" i="6" s="1"/>
  <c r="E37" i="6" s="1"/>
  <c r="E40" i="6" s="1"/>
  <c r="F37" i="6" s="1"/>
  <c r="F40" i="6" s="1"/>
  <c r="G37" i="6" s="1"/>
  <c r="G40" i="6" s="1"/>
  <c r="O13" i="4"/>
  <c r="I12" i="4"/>
  <c r="N11" i="4"/>
  <c r="D23" i="6"/>
  <c r="D15" i="6" s="1"/>
  <c r="D14" i="4" s="1"/>
  <c r="D22" i="6"/>
  <c r="D14" i="6" s="1"/>
  <c r="D13" i="4" s="1"/>
  <c r="C23" i="6"/>
  <c r="C15" i="6" s="1"/>
  <c r="C14" i="4" s="1"/>
  <c r="C22" i="6"/>
  <c r="C14" i="6" s="1"/>
  <c r="C13" i="4" s="1"/>
  <c r="D16" i="6"/>
  <c r="D13" i="6"/>
  <c r="D12" i="4" s="1"/>
  <c r="D12" i="6"/>
  <c r="D11" i="4" s="1"/>
  <c r="C16" i="6"/>
  <c r="C15" i="4" s="1"/>
  <c r="C13" i="6"/>
  <c r="C12" i="4" s="1"/>
  <c r="C12" i="6"/>
  <c r="C11" i="4" s="1"/>
  <c r="C17" i="6"/>
  <c r="D17" i="6"/>
  <c r="E17" i="6"/>
  <c r="F17" i="6"/>
  <c r="G17" i="6"/>
  <c r="I29" i="6"/>
  <c r="B15" i="4"/>
  <c r="B14" i="4"/>
  <c r="B13" i="4"/>
  <c r="B12" i="4"/>
  <c r="B11" i="4"/>
  <c r="E16" i="6"/>
  <c r="E15" i="4" s="1"/>
  <c r="E15" i="6"/>
  <c r="E14" i="4" s="1"/>
  <c r="E14" i="6"/>
  <c r="E13" i="4" s="1"/>
  <c r="E13" i="6"/>
  <c r="E12" i="4" s="1"/>
  <c r="E12" i="6"/>
  <c r="E11" i="4" s="1"/>
  <c r="F16" i="6"/>
  <c r="F15" i="4" s="1"/>
  <c r="F15" i="6"/>
  <c r="F14" i="4" s="1"/>
  <c r="F14" i="6"/>
  <c r="F13" i="4" s="1"/>
  <c r="F13" i="6"/>
  <c r="F12" i="4" s="1"/>
  <c r="F12" i="6"/>
  <c r="F11" i="4" s="1"/>
  <c r="G16" i="6"/>
  <c r="G15" i="4" s="1"/>
  <c r="G15" i="6"/>
  <c r="G14" i="4" s="1"/>
  <c r="G14" i="6"/>
  <c r="G13" i="4" s="1"/>
  <c r="G13" i="6"/>
  <c r="G12" i="4" s="1"/>
  <c r="G12" i="6"/>
  <c r="G11" i="4" s="1"/>
  <c r="V8" i="6"/>
  <c r="U8" i="6"/>
  <c r="V7" i="6"/>
  <c r="U7" i="6"/>
  <c r="V18" i="8" l="1"/>
  <c r="V29" i="8" s="1"/>
  <c r="V36" i="8" s="1"/>
  <c r="X36" i="8" s="1"/>
  <c r="V15" i="8"/>
  <c r="X14" i="8"/>
  <c r="L75" i="4"/>
  <c r="L83" i="4" s="1"/>
  <c r="L88" i="4"/>
  <c r="L113" i="4"/>
  <c r="L101" i="4"/>
  <c r="P16" i="5"/>
  <c r="V16" i="5" s="1"/>
  <c r="K130" i="4"/>
  <c r="X48" i="4"/>
  <c r="I86" i="4"/>
  <c r="Q86" i="4"/>
  <c r="G88" i="4"/>
  <c r="R119" i="4"/>
  <c r="N29" i="5"/>
  <c r="C88" i="4"/>
  <c r="M88" i="4"/>
  <c r="L51" i="4"/>
  <c r="L60" i="4" s="1"/>
  <c r="N24" i="5"/>
  <c r="U24" i="5" s="1"/>
  <c r="O29" i="5"/>
  <c r="L109" i="4"/>
  <c r="N130" i="4"/>
  <c r="D88" i="4"/>
  <c r="N88" i="4"/>
  <c r="F86" i="4"/>
  <c r="L86" i="4"/>
  <c r="E88" i="4"/>
  <c r="R29" i="5"/>
  <c r="V29" i="5" s="1"/>
  <c r="K113" i="4"/>
  <c r="R130" i="4"/>
  <c r="X47" i="4"/>
  <c r="L117" i="4"/>
  <c r="K119" i="4"/>
  <c r="L118" i="4"/>
  <c r="J119" i="4"/>
  <c r="L108" i="4"/>
  <c r="K99" i="4"/>
  <c r="L99" i="4" s="1"/>
  <c r="K24" i="5"/>
  <c r="X15" i="6"/>
  <c r="X16" i="6"/>
  <c r="L12" i="4"/>
  <c r="M29" i="6"/>
  <c r="L14" i="6"/>
  <c r="L13" i="4" s="1"/>
  <c r="L17" i="6"/>
  <c r="L33" i="6" s="1"/>
  <c r="L16" i="6"/>
  <c r="L15" i="4" s="1"/>
  <c r="L12" i="6"/>
  <c r="L11" i="4" s="1"/>
  <c r="L87" i="4"/>
  <c r="M30" i="6"/>
  <c r="C8" i="10"/>
  <c r="C26" i="10" s="1"/>
  <c r="X24" i="4"/>
  <c r="X25" i="4"/>
  <c r="P112" i="4"/>
  <c r="V16" i="4"/>
  <c r="P98" i="4"/>
  <c r="O110" i="4"/>
  <c r="P110" i="4" s="1"/>
  <c r="M10" i="4"/>
  <c r="P118" i="4"/>
  <c r="P124" i="4"/>
  <c r="P130" i="4" s="1"/>
  <c r="P113" i="4"/>
  <c r="O107" i="4"/>
  <c r="P107" i="4" s="1"/>
  <c r="O108" i="4"/>
  <c r="P108" i="4" s="1"/>
  <c r="P106" i="4"/>
  <c r="P109" i="4"/>
  <c r="P111" i="4"/>
  <c r="P101" i="4"/>
  <c r="P97" i="4"/>
  <c r="P24" i="5" s="1"/>
  <c r="V24" i="5" s="1"/>
  <c r="K15" i="6"/>
  <c r="K14" i="4" s="1"/>
  <c r="K16" i="6"/>
  <c r="K15" i="4" s="1"/>
  <c r="K17" i="6"/>
  <c r="K16" i="4" s="1"/>
  <c r="K12" i="6"/>
  <c r="L30" i="6"/>
  <c r="J31" i="6"/>
  <c r="N30" i="6"/>
  <c r="O117" i="4"/>
  <c r="O119" i="4" s="1"/>
  <c r="O30" i="6"/>
  <c r="N15" i="4"/>
  <c r="N10" i="4" s="1"/>
  <c r="N33" i="6"/>
  <c r="O33" i="6"/>
  <c r="O12" i="4"/>
  <c r="U12" i="4" s="1"/>
  <c r="N31" i="6"/>
  <c r="I33" i="6"/>
  <c r="L28" i="6"/>
  <c r="I14" i="4"/>
  <c r="L29" i="6"/>
  <c r="O32" i="6"/>
  <c r="P31" i="6"/>
  <c r="O16" i="4"/>
  <c r="U16" i="4" s="1"/>
  <c r="O29" i="6"/>
  <c r="M32" i="6"/>
  <c r="L32" i="6"/>
  <c r="L15" i="6"/>
  <c r="P14" i="4"/>
  <c r="P10" i="4" s="1"/>
  <c r="P28" i="6"/>
  <c r="P33" i="6"/>
  <c r="P30" i="6"/>
  <c r="Q31" i="6"/>
  <c r="Q32" i="6"/>
  <c r="U13" i="4"/>
  <c r="V15" i="4"/>
  <c r="V13" i="4"/>
  <c r="E10" i="4"/>
  <c r="S10" i="4"/>
  <c r="U11" i="4"/>
  <c r="C10" i="4"/>
  <c r="V12" i="4"/>
  <c r="F10" i="4"/>
  <c r="R10" i="4"/>
  <c r="G10" i="4"/>
  <c r="O28" i="6"/>
  <c r="K30" i="6"/>
  <c r="P32" i="6"/>
  <c r="K29" i="6"/>
  <c r="O31" i="6"/>
  <c r="N29" i="6"/>
  <c r="O15" i="4"/>
  <c r="I32" i="6"/>
  <c r="I30" i="6"/>
  <c r="J30" i="6"/>
  <c r="J32" i="6"/>
  <c r="I11" i="4"/>
  <c r="J11" i="4"/>
  <c r="J10" i="4" s="1"/>
  <c r="Q28" i="6"/>
  <c r="R33" i="6"/>
  <c r="R32" i="6"/>
  <c r="Q14" i="4"/>
  <c r="V14" i="4" s="1"/>
  <c r="Q30" i="6"/>
  <c r="R30" i="6"/>
  <c r="I42" i="6"/>
  <c r="S29" i="6"/>
  <c r="S30" i="6"/>
  <c r="Q11" i="4"/>
  <c r="R29" i="6"/>
  <c r="S33" i="6"/>
  <c r="R28" i="6"/>
  <c r="S32" i="6"/>
  <c r="S28" i="6"/>
  <c r="R31" i="6"/>
  <c r="S31" i="6"/>
  <c r="Q29" i="6"/>
  <c r="Q33" i="6"/>
  <c r="C42" i="6"/>
  <c r="D42" i="6"/>
  <c r="E42" i="6"/>
  <c r="E41" i="6"/>
  <c r="F41" i="6"/>
  <c r="G41" i="6"/>
  <c r="D32" i="6"/>
  <c r="D29" i="6"/>
  <c r="D15" i="4"/>
  <c r="D10" i="4" s="1"/>
  <c r="D28" i="6"/>
  <c r="J29" i="6"/>
  <c r="D31" i="6"/>
  <c r="D30" i="6"/>
  <c r="K32" i="6"/>
  <c r="J33" i="6"/>
  <c r="D33" i="6"/>
  <c r="E33" i="6"/>
  <c r="G33" i="6"/>
  <c r="F33" i="6"/>
  <c r="G29" i="6"/>
  <c r="E30" i="6"/>
  <c r="F30" i="6"/>
  <c r="F32" i="6"/>
  <c r="E28" i="6"/>
  <c r="G30" i="6"/>
  <c r="F28" i="6"/>
  <c r="E31" i="6"/>
  <c r="G28" i="6"/>
  <c r="F31" i="6"/>
  <c r="E29" i="6"/>
  <c r="G31" i="6"/>
  <c r="G32" i="6"/>
  <c r="F29" i="6"/>
  <c r="E32" i="6"/>
  <c r="V30" i="8" l="1"/>
  <c r="X29" i="8"/>
  <c r="X18" i="8"/>
  <c r="V19" i="8"/>
  <c r="I10" i="4"/>
  <c r="L119" i="4"/>
  <c r="L31" i="6"/>
  <c r="L14" i="4"/>
  <c r="L16" i="4"/>
  <c r="M33" i="6"/>
  <c r="M28" i="6"/>
  <c r="K31" i="6"/>
  <c r="U14" i="4"/>
  <c r="X16" i="4"/>
  <c r="P117" i="4"/>
  <c r="P119" i="4" s="1"/>
  <c r="K11" i="4"/>
  <c r="K10" i="4" s="1"/>
  <c r="K28" i="6"/>
  <c r="K33" i="6"/>
  <c r="X13" i="4"/>
  <c r="O10" i="4"/>
  <c r="U10" i="4" s="1"/>
  <c r="M31" i="6"/>
  <c r="X14" i="4"/>
  <c r="X12" i="4"/>
  <c r="U15" i="4"/>
  <c r="X15" i="4" s="1"/>
  <c r="V11" i="4"/>
  <c r="X11" i="4" s="1"/>
  <c r="Q10" i="4"/>
  <c r="B14" i="5"/>
  <c r="S10" i="5"/>
  <c r="R10" i="5"/>
  <c r="Q10" i="5"/>
  <c r="O10" i="5"/>
  <c r="N10" i="5"/>
  <c r="M10" i="5"/>
  <c r="K10" i="5"/>
  <c r="J10" i="5"/>
  <c r="I10" i="5"/>
  <c r="H10" i="5"/>
  <c r="G10" i="5"/>
  <c r="F10" i="5"/>
  <c r="E10" i="5"/>
  <c r="D10" i="5"/>
  <c r="C10" i="5"/>
  <c r="H9" i="5"/>
  <c r="L10" i="4" l="1"/>
  <c r="L18" i="4" s="1"/>
  <c r="L20" i="4"/>
  <c r="L26" i="4"/>
  <c r="L10" i="5"/>
  <c r="U10" i="5" s="1"/>
  <c r="U126" i="4"/>
  <c r="U129" i="4"/>
  <c r="U122" i="4"/>
  <c r="U127" i="4"/>
  <c r="U118" i="4"/>
  <c r="U113" i="4"/>
  <c r="U112" i="4"/>
  <c r="U110" i="4"/>
  <c r="U105" i="4"/>
  <c r="U101" i="4"/>
  <c r="U100" i="4"/>
  <c r="U98" i="4"/>
  <c r="U132" i="4"/>
  <c r="U33" i="4"/>
  <c r="Q9" i="5"/>
  <c r="O9" i="5"/>
  <c r="N9" i="5"/>
  <c r="M9" i="5"/>
  <c r="K9" i="5"/>
  <c r="J9" i="5"/>
  <c r="I9" i="5"/>
  <c r="V126" i="4"/>
  <c r="V124" i="4"/>
  <c r="V123" i="4"/>
  <c r="V122" i="4"/>
  <c r="V128" i="4"/>
  <c r="V127" i="4"/>
  <c r="V117" i="4"/>
  <c r="V112" i="4"/>
  <c r="V111" i="4"/>
  <c r="V107" i="4"/>
  <c r="V106" i="4"/>
  <c r="V101" i="4"/>
  <c r="V100" i="4"/>
  <c r="V102" i="4"/>
  <c r="R9" i="5"/>
  <c r="V33" i="4"/>
  <c r="V132" i="4"/>
  <c r="V118" i="4"/>
  <c r="W34" i="4"/>
  <c r="S9" i="5"/>
  <c r="S11" i="5" s="1"/>
  <c r="S17" i="5" s="1"/>
  <c r="C82" i="4"/>
  <c r="C75" i="4"/>
  <c r="C51" i="4"/>
  <c r="C60" i="4" s="1"/>
  <c r="C9" i="5"/>
  <c r="C11" i="5" s="1"/>
  <c r="C17" i="5" s="1"/>
  <c r="D82" i="4"/>
  <c r="D51" i="4"/>
  <c r="E9" i="5"/>
  <c r="E51" i="4"/>
  <c r="E60" i="4" s="1"/>
  <c r="E75" i="4"/>
  <c r="E82" i="4"/>
  <c r="S82" i="4"/>
  <c r="S51" i="4"/>
  <c r="S60" i="4" s="1"/>
  <c r="V39" i="4"/>
  <c r="U39" i="4"/>
  <c r="U7" i="4"/>
  <c r="U8" i="4"/>
  <c r="V8" i="4"/>
  <c r="V7" i="4"/>
  <c r="G9" i="5"/>
  <c r="F9" i="5"/>
  <c r="R82" i="4"/>
  <c r="Q82" i="4"/>
  <c r="O82" i="4"/>
  <c r="N82" i="4"/>
  <c r="M82" i="4"/>
  <c r="K82" i="4"/>
  <c r="J82" i="4"/>
  <c r="I82" i="4"/>
  <c r="G82" i="4"/>
  <c r="F82" i="4"/>
  <c r="R75" i="4"/>
  <c r="Q75" i="4"/>
  <c r="O69" i="4"/>
  <c r="N75" i="4"/>
  <c r="M75" i="4"/>
  <c r="K75" i="4"/>
  <c r="J75" i="4"/>
  <c r="I75" i="4"/>
  <c r="G75" i="4"/>
  <c r="F75" i="4"/>
  <c r="R51" i="4"/>
  <c r="Q51" i="4"/>
  <c r="O51" i="4"/>
  <c r="O60" i="4" s="1"/>
  <c r="N51" i="4"/>
  <c r="N60" i="4" s="1"/>
  <c r="M51" i="4"/>
  <c r="M60" i="4" s="1"/>
  <c r="K51" i="4"/>
  <c r="K60" i="4" s="1"/>
  <c r="J51" i="4"/>
  <c r="I51" i="4"/>
  <c r="G51" i="4"/>
  <c r="G60" i="4" s="1"/>
  <c r="F51" i="4"/>
  <c r="O75" i="4" l="1"/>
  <c r="O86" i="4"/>
  <c r="U86" i="4" s="1"/>
  <c r="O88" i="4"/>
  <c r="U88" i="4" s="1"/>
  <c r="L32" i="4"/>
  <c r="L34" i="4" s="1"/>
  <c r="L28" i="4"/>
  <c r="U123" i="4"/>
  <c r="X123" i="4" s="1"/>
  <c r="U117" i="4"/>
  <c r="U119" i="4" s="1"/>
  <c r="V69" i="4"/>
  <c r="U69" i="4"/>
  <c r="U75" i="4" s="1"/>
  <c r="S21" i="5"/>
  <c r="C21" i="5"/>
  <c r="C25" i="5" s="1"/>
  <c r="C27" i="5" s="1"/>
  <c r="U17" i="4"/>
  <c r="P10" i="5"/>
  <c r="V10" i="5" s="1"/>
  <c r="V23" i="4"/>
  <c r="U23" i="4"/>
  <c r="V31" i="4"/>
  <c r="U31" i="4"/>
  <c r="V17" i="4"/>
  <c r="D18" i="4"/>
  <c r="D26" i="4" s="1"/>
  <c r="D9" i="5"/>
  <c r="D11" i="5" s="1"/>
  <c r="D17" i="5" s="1"/>
  <c r="D21" i="5" s="1"/>
  <c r="D25" i="5" s="1"/>
  <c r="L9" i="5"/>
  <c r="U9" i="5" s="1"/>
  <c r="U124" i="4"/>
  <c r="X124" i="4" s="1"/>
  <c r="U102" i="4"/>
  <c r="U125" i="4"/>
  <c r="U111" i="4"/>
  <c r="U106" i="4"/>
  <c r="U107" i="4"/>
  <c r="U128" i="4"/>
  <c r="X128" i="4" s="1"/>
  <c r="X79" i="4"/>
  <c r="X118" i="4"/>
  <c r="N11" i="5"/>
  <c r="N17" i="5" s="1"/>
  <c r="V125" i="4"/>
  <c r="V113" i="4"/>
  <c r="V105" i="4"/>
  <c r="V98" i="4"/>
  <c r="V129" i="4"/>
  <c r="X129" i="4" s="1"/>
  <c r="V110" i="4"/>
  <c r="F60" i="4"/>
  <c r="D60" i="4"/>
  <c r="D75" i="4"/>
  <c r="D83" i="4" s="1"/>
  <c r="E18" i="4"/>
  <c r="E87" i="4"/>
  <c r="C18" i="4"/>
  <c r="C26" i="4" s="1"/>
  <c r="C32" i="4" s="1"/>
  <c r="C34" i="4" s="1"/>
  <c r="C94" i="4" s="1"/>
  <c r="C114" i="4" s="1"/>
  <c r="C144" i="4" s="1"/>
  <c r="C83" i="4"/>
  <c r="C87" i="4"/>
  <c r="D87" i="4"/>
  <c r="F18" i="4"/>
  <c r="Q18" i="4"/>
  <c r="Q26" i="4" s="1"/>
  <c r="Q32" i="4" s="1"/>
  <c r="E83" i="4"/>
  <c r="E11" i="5"/>
  <c r="E17" i="5" s="1"/>
  <c r="E21" i="5" s="1"/>
  <c r="E25" i="5" s="1"/>
  <c r="E27" i="5" s="1"/>
  <c r="F11" i="5"/>
  <c r="F17" i="5" s="1"/>
  <c r="F21" i="5" s="1"/>
  <c r="F25" i="5" s="1"/>
  <c r="F30" i="5" s="1"/>
  <c r="J18" i="4"/>
  <c r="J26" i="4" s="1"/>
  <c r="J32" i="4" s="1"/>
  <c r="G18" i="4"/>
  <c r="S18" i="4"/>
  <c r="S20" i="4" s="1"/>
  <c r="Q11" i="5"/>
  <c r="Q17" i="5" s="1"/>
  <c r="I18" i="4"/>
  <c r="I26" i="4" s="1"/>
  <c r="I32" i="4" s="1"/>
  <c r="J11" i="5"/>
  <c r="J17" i="5" s="1"/>
  <c r="J21" i="5" s="1"/>
  <c r="X122" i="4"/>
  <c r="S75" i="4"/>
  <c r="S83" i="4" s="1"/>
  <c r="S87" i="4"/>
  <c r="V87" i="4" s="1"/>
  <c r="M18" i="4"/>
  <c r="M26" i="4" s="1"/>
  <c r="R18" i="4"/>
  <c r="R20" i="4" s="1"/>
  <c r="O18" i="4"/>
  <c r="O20" i="4" s="1"/>
  <c r="N18" i="4"/>
  <c r="K18" i="4"/>
  <c r="M11" i="5"/>
  <c r="M17" i="5" s="1"/>
  <c r="I11" i="5"/>
  <c r="I17" i="5" s="1"/>
  <c r="I21" i="5" s="1"/>
  <c r="G11" i="5"/>
  <c r="G17" i="5" s="1"/>
  <c r="O11" i="5"/>
  <c r="O17" i="5" s="1"/>
  <c r="O21" i="5" s="1"/>
  <c r="R11" i="5"/>
  <c r="R17" i="5" s="1"/>
  <c r="R21" i="5" s="1"/>
  <c r="K11" i="5"/>
  <c r="K17" i="5" s="1"/>
  <c r="I87" i="4"/>
  <c r="P82" i="4"/>
  <c r="X78" i="4"/>
  <c r="P69" i="4"/>
  <c r="Q87" i="4"/>
  <c r="P51" i="4"/>
  <c r="P60" i="4" s="1"/>
  <c r="X49" i="4"/>
  <c r="X59" i="4"/>
  <c r="X58" i="4"/>
  <c r="J87" i="4"/>
  <c r="R87" i="4"/>
  <c r="X80" i="4"/>
  <c r="X46" i="4"/>
  <c r="X73" i="4"/>
  <c r="X54" i="4"/>
  <c r="X74" i="4"/>
  <c r="K83" i="4"/>
  <c r="X72" i="4"/>
  <c r="M83" i="4"/>
  <c r="X56" i="4"/>
  <c r="X33" i="4"/>
  <c r="J83" i="4"/>
  <c r="R83" i="4"/>
  <c r="X81" i="4"/>
  <c r="X50" i="4"/>
  <c r="I60" i="4"/>
  <c r="U51" i="4"/>
  <c r="U60" i="4" s="1"/>
  <c r="K87" i="4"/>
  <c r="I83" i="4"/>
  <c r="Q83" i="4"/>
  <c r="J60" i="4"/>
  <c r="Q60" i="4"/>
  <c r="R60" i="4"/>
  <c r="F83" i="4"/>
  <c r="N83" i="4"/>
  <c r="G83" i="4"/>
  <c r="O83" i="4"/>
  <c r="M87" i="4"/>
  <c r="F87" i="4"/>
  <c r="N87" i="4"/>
  <c r="G87" i="4"/>
  <c r="O87" i="4"/>
  <c r="U87" i="4" s="1"/>
  <c r="P86" i="4" l="1"/>
  <c r="P88" i="4"/>
  <c r="L38" i="4"/>
  <c r="L36" i="4"/>
  <c r="K26" i="4"/>
  <c r="K27" i="4" s="1"/>
  <c r="L19" i="4"/>
  <c r="I34" i="4"/>
  <c r="I114" i="4" s="1"/>
  <c r="I144" i="4" s="1"/>
  <c r="J34" i="4"/>
  <c r="X117" i="4"/>
  <c r="V130" i="4"/>
  <c r="U130" i="4"/>
  <c r="V94" i="4"/>
  <c r="Q34" i="4"/>
  <c r="Q38" i="4" s="1"/>
  <c r="C147" i="4"/>
  <c r="C146" i="4"/>
  <c r="Q114" i="4"/>
  <c r="Q144" i="4" s="1"/>
  <c r="D28" i="4"/>
  <c r="D32" i="4"/>
  <c r="D34" i="4" s="1"/>
  <c r="D94" i="4" s="1"/>
  <c r="D114" i="4" s="1"/>
  <c r="D144" i="4" s="1"/>
  <c r="D146" i="4" s="1"/>
  <c r="X31" i="4"/>
  <c r="C30" i="5"/>
  <c r="C32" i="5" s="1"/>
  <c r="X23" i="4"/>
  <c r="E19" i="4"/>
  <c r="V10" i="4"/>
  <c r="S25" i="5"/>
  <c r="D30" i="5"/>
  <c r="D32" i="5" s="1"/>
  <c r="D27" i="5"/>
  <c r="P9" i="5"/>
  <c r="V9" i="5" s="1"/>
  <c r="D20" i="4"/>
  <c r="D27" i="4"/>
  <c r="Q21" i="5"/>
  <c r="S22" i="5" s="1"/>
  <c r="S18" i="5"/>
  <c r="K21" i="5"/>
  <c r="K25" i="5" s="1"/>
  <c r="X125" i="4"/>
  <c r="V82" i="4"/>
  <c r="D19" i="4"/>
  <c r="M28" i="4"/>
  <c r="M32" i="4"/>
  <c r="V119" i="4"/>
  <c r="G20" i="4"/>
  <c r="G26" i="4"/>
  <c r="G32" i="4" s="1"/>
  <c r="G34" i="4" s="1"/>
  <c r="G94" i="4" s="1"/>
  <c r="F20" i="4"/>
  <c r="F26" i="4"/>
  <c r="F32" i="4" s="1"/>
  <c r="F34" i="4" s="1"/>
  <c r="F94" i="4" s="1"/>
  <c r="L94" i="4" s="1"/>
  <c r="E20" i="4"/>
  <c r="E26" i="4"/>
  <c r="E32" i="4" s="1"/>
  <c r="E34" i="4" s="1"/>
  <c r="E94" i="4" s="1"/>
  <c r="E114" i="4" s="1"/>
  <c r="E144" i="4" s="1"/>
  <c r="E146" i="4" s="1"/>
  <c r="X20" i="5"/>
  <c r="X126" i="4"/>
  <c r="Q20" i="4"/>
  <c r="Q28" i="4"/>
  <c r="C20" i="4"/>
  <c r="C28" i="4"/>
  <c r="X111" i="4"/>
  <c r="S26" i="4"/>
  <c r="I20" i="4"/>
  <c r="X98" i="4"/>
  <c r="J19" i="4"/>
  <c r="J20" i="4"/>
  <c r="G19" i="4"/>
  <c r="X105" i="4"/>
  <c r="X107" i="4"/>
  <c r="X113" i="4"/>
  <c r="S19" i="4"/>
  <c r="X67" i="4"/>
  <c r="X86" i="4"/>
  <c r="X88" i="4"/>
  <c r="O26" i="4"/>
  <c r="O32" i="4" s="1"/>
  <c r="O34" i="4" s="1"/>
  <c r="X87" i="4"/>
  <c r="O19" i="4"/>
  <c r="K20" i="4"/>
  <c r="K19" i="4"/>
  <c r="R26" i="4"/>
  <c r="R32" i="4" s="1"/>
  <c r="M20" i="4"/>
  <c r="R19" i="4"/>
  <c r="N19" i="4"/>
  <c r="I28" i="4"/>
  <c r="N26" i="4"/>
  <c r="N32" i="4" s="1"/>
  <c r="N20" i="4"/>
  <c r="K28" i="4"/>
  <c r="M19" i="4"/>
  <c r="P18" i="4"/>
  <c r="P26" i="4" s="1"/>
  <c r="F19" i="4"/>
  <c r="X110" i="4"/>
  <c r="X16" i="5"/>
  <c r="X14" i="5"/>
  <c r="X15" i="5"/>
  <c r="N18" i="5"/>
  <c r="X106" i="4"/>
  <c r="G18" i="5"/>
  <c r="G21" i="5"/>
  <c r="G22" i="5" s="1"/>
  <c r="E30" i="5"/>
  <c r="E32" i="5" s="1"/>
  <c r="F18" i="5"/>
  <c r="K18" i="5"/>
  <c r="M21" i="5"/>
  <c r="O18" i="5"/>
  <c r="J18" i="5"/>
  <c r="N21" i="5"/>
  <c r="O22" i="5" s="1"/>
  <c r="R18" i="5"/>
  <c r="P75" i="4"/>
  <c r="P83" i="4" s="1"/>
  <c r="U82" i="4"/>
  <c r="U83" i="4" s="1"/>
  <c r="V75" i="4"/>
  <c r="X75" i="4" s="1"/>
  <c r="P87" i="4"/>
  <c r="V51" i="4"/>
  <c r="X51" i="4" s="1"/>
  <c r="X102" i="4"/>
  <c r="X112" i="4"/>
  <c r="J27" i="4"/>
  <c r="J28" i="4"/>
  <c r="J25" i="5"/>
  <c r="J22" i="5"/>
  <c r="F22" i="5"/>
  <c r="I25" i="5"/>
  <c r="R25" i="5"/>
  <c r="F114" i="4" l="1"/>
  <c r="F144" i="4" s="1"/>
  <c r="F146" i="4" s="1"/>
  <c r="K32" i="4"/>
  <c r="K34" i="4" s="1"/>
  <c r="L27" i="4"/>
  <c r="I147" i="4"/>
  <c r="I146" i="4"/>
  <c r="I38" i="4"/>
  <c r="G114" i="4"/>
  <c r="G144" i="4" s="1"/>
  <c r="G145" i="4" s="1"/>
  <c r="P94" i="4"/>
  <c r="U94" i="4" s="1"/>
  <c r="X94" i="4" s="1"/>
  <c r="N114" i="4"/>
  <c r="N144" i="4" s="1"/>
  <c r="N147" i="4" s="1"/>
  <c r="N34" i="4"/>
  <c r="M34" i="4"/>
  <c r="M38" i="4" s="1"/>
  <c r="R114" i="4"/>
  <c r="R144" i="4" s="1"/>
  <c r="R147" i="4" s="1"/>
  <c r="R34" i="4"/>
  <c r="R36" i="4" s="1"/>
  <c r="S32" i="4"/>
  <c r="S34" i="4" s="1"/>
  <c r="S114" i="4" s="1"/>
  <c r="S144" i="4" s="1"/>
  <c r="Q147" i="4"/>
  <c r="Q146" i="4"/>
  <c r="F147" i="4"/>
  <c r="E145" i="4"/>
  <c r="E147" i="4"/>
  <c r="D145" i="4"/>
  <c r="D147" i="4"/>
  <c r="F145" i="4"/>
  <c r="M114" i="4"/>
  <c r="K22" i="5"/>
  <c r="R22" i="5"/>
  <c r="U99" i="4"/>
  <c r="V99" i="4"/>
  <c r="S30" i="5"/>
  <c r="S32" i="5" s="1"/>
  <c r="S27" i="5"/>
  <c r="V97" i="4"/>
  <c r="V11" i="5"/>
  <c r="V17" i="5" s="1"/>
  <c r="U97" i="4"/>
  <c r="O25" i="5"/>
  <c r="O27" i="5" s="1"/>
  <c r="Q25" i="5"/>
  <c r="S26" i="5" s="1"/>
  <c r="D38" i="4"/>
  <c r="E28" i="4"/>
  <c r="E27" i="4"/>
  <c r="P28" i="4"/>
  <c r="P32" i="4"/>
  <c r="E35" i="4"/>
  <c r="Q36" i="4"/>
  <c r="K36" i="4"/>
  <c r="I36" i="4"/>
  <c r="O38" i="4"/>
  <c r="U38" i="4" s="1"/>
  <c r="J38" i="4"/>
  <c r="D36" i="4"/>
  <c r="G38" i="4"/>
  <c r="F38" i="4"/>
  <c r="C38" i="4"/>
  <c r="U18" i="4"/>
  <c r="U26" i="4" s="1"/>
  <c r="U32" i="4" s="1"/>
  <c r="U34" i="4" s="1"/>
  <c r="F28" i="4"/>
  <c r="G28" i="4"/>
  <c r="F27" i="4"/>
  <c r="X17" i="4"/>
  <c r="S28" i="4"/>
  <c r="G27" i="4"/>
  <c r="O28" i="4"/>
  <c r="V18" i="4"/>
  <c r="V26" i="4" s="1"/>
  <c r="V32" i="4" s="1"/>
  <c r="V34" i="4" s="1"/>
  <c r="X10" i="4"/>
  <c r="O27" i="4"/>
  <c r="R27" i="4"/>
  <c r="S27" i="4"/>
  <c r="R28" i="4"/>
  <c r="N27" i="4"/>
  <c r="N28" i="4"/>
  <c r="P11" i="5"/>
  <c r="P17" i="5" s="1"/>
  <c r="P18" i="5" s="1"/>
  <c r="P27" i="4"/>
  <c r="U11" i="5"/>
  <c r="U17" i="5" s="1"/>
  <c r="P19" i="4"/>
  <c r="P20" i="4"/>
  <c r="Q27" i="4"/>
  <c r="Q19" i="4"/>
  <c r="L11" i="5"/>
  <c r="L17" i="5" s="1"/>
  <c r="L21" i="5" s="1"/>
  <c r="L22" i="5" s="1"/>
  <c r="X100" i="4"/>
  <c r="G25" i="5"/>
  <c r="G27" i="5" s="1"/>
  <c r="N22" i="5"/>
  <c r="N25" i="5"/>
  <c r="N27" i="5" s="1"/>
  <c r="M25" i="5"/>
  <c r="M27" i="5" s="1"/>
  <c r="X82" i="4"/>
  <c r="X69" i="4"/>
  <c r="V60" i="4"/>
  <c r="X60" i="4" s="1"/>
  <c r="V83" i="4"/>
  <c r="X83" i="4" s="1"/>
  <c r="K26" i="5"/>
  <c r="K27" i="5"/>
  <c r="J26" i="5"/>
  <c r="J27" i="5"/>
  <c r="I30" i="5"/>
  <c r="I27" i="5"/>
  <c r="R30" i="5"/>
  <c r="R27" i="5"/>
  <c r="F27" i="5"/>
  <c r="F26" i="5"/>
  <c r="O114" i="4"/>
  <c r="O144" i="4" s="1"/>
  <c r="X119" i="4"/>
  <c r="G146" i="4" l="1"/>
  <c r="L35" i="4"/>
  <c r="K38" i="4"/>
  <c r="N146" i="4"/>
  <c r="G147" i="4"/>
  <c r="P114" i="4"/>
  <c r="P144" i="4" s="1"/>
  <c r="V144" i="4" s="1"/>
  <c r="P34" i="4"/>
  <c r="Q35" i="4" s="1"/>
  <c r="R146" i="4"/>
  <c r="R145" i="4"/>
  <c r="S38" i="4"/>
  <c r="V38" i="4" s="1"/>
  <c r="S146" i="4"/>
  <c r="S145" i="4"/>
  <c r="S147" i="4"/>
  <c r="O147" i="4"/>
  <c r="O146" i="4"/>
  <c r="M144" i="4"/>
  <c r="Q27" i="5"/>
  <c r="Q30" i="5"/>
  <c r="R31" i="5" s="1"/>
  <c r="R26" i="5"/>
  <c r="X99" i="4"/>
  <c r="X9" i="5"/>
  <c r="X24" i="5"/>
  <c r="O30" i="5"/>
  <c r="O32" i="5" s="1"/>
  <c r="D35" i="4"/>
  <c r="X34" i="4"/>
  <c r="M36" i="4"/>
  <c r="G36" i="4"/>
  <c r="R38" i="4"/>
  <c r="S35" i="4"/>
  <c r="R35" i="4"/>
  <c r="S36" i="4"/>
  <c r="E38" i="4"/>
  <c r="E36" i="4"/>
  <c r="F36" i="4"/>
  <c r="U20" i="4"/>
  <c r="U28" i="4"/>
  <c r="J35" i="4"/>
  <c r="U36" i="4"/>
  <c r="J36" i="4"/>
  <c r="N38" i="4"/>
  <c r="O36" i="4"/>
  <c r="K35" i="4"/>
  <c r="C36" i="4"/>
  <c r="G35" i="4"/>
  <c r="F35" i="4"/>
  <c r="X101" i="4"/>
  <c r="X18" i="4"/>
  <c r="V20" i="4"/>
  <c r="V28" i="4"/>
  <c r="V19" i="4"/>
  <c r="M27" i="4"/>
  <c r="Q18" i="5"/>
  <c r="M18" i="5"/>
  <c r="P21" i="5"/>
  <c r="Q22" i="5" s="1"/>
  <c r="X10" i="5"/>
  <c r="X26" i="4"/>
  <c r="V27" i="4"/>
  <c r="M22" i="5"/>
  <c r="L25" i="5"/>
  <c r="L27" i="5" s="1"/>
  <c r="L18" i="5"/>
  <c r="U21" i="5"/>
  <c r="U25" i="5" s="1"/>
  <c r="X11" i="5"/>
  <c r="G26" i="5"/>
  <c r="G30" i="5"/>
  <c r="G32" i="5" s="1"/>
  <c r="N30" i="5"/>
  <c r="N32" i="5" s="1"/>
  <c r="N26" i="5"/>
  <c r="M30" i="5"/>
  <c r="O26" i="5"/>
  <c r="R32" i="5"/>
  <c r="F32" i="5"/>
  <c r="F31" i="5"/>
  <c r="I32" i="5"/>
  <c r="V21" i="5"/>
  <c r="V25" i="5" s="1"/>
  <c r="V30" i="5" s="1"/>
  <c r="V18" i="5"/>
  <c r="X17" i="5"/>
  <c r="X127" i="4"/>
  <c r="O145" i="4"/>
  <c r="X97" i="4"/>
  <c r="V114" i="4"/>
  <c r="P146" i="4" l="1"/>
  <c r="V146" i="4" s="1"/>
  <c r="P147" i="4"/>
  <c r="M147" i="4"/>
  <c r="M146" i="4"/>
  <c r="N145" i="4"/>
  <c r="S31" i="5"/>
  <c r="Q32" i="5"/>
  <c r="O35" i="4"/>
  <c r="N35" i="4"/>
  <c r="P38" i="4"/>
  <c r="X28" i="4"/>
  <c r="P35" i="4"/>
  <c r="X20" i="4"/>
  <c r="P36" i="4"/>
  <c r="N36" i="4"/>
  <c r="Q145" i="4"/>
  <c r="P145" i="4"/>
  <c r="U27" i="5"/>
  <c r="P22" i="5"/>
  <c r="P25" i="5"/>
  <c r="P30" i="5" s="1"/>
  <c r="X32" i="4"/>
  <c r="L26" i="5"/>
  <c r="M26" i="5"/>
  <c r="G31" i="5"/>
  <c r="X130" i="4"/>
  <c r="O31" i="5"/>
  <c r="N31" i="5"/>
  <c r="M32" i="5"/>
  <c r="X25" i="5"/>
  <c r="V27" i="5"/>
  <c r="V26" i="5"/>
  <c r="X21" i="5"/>
  <c r="V22" i="5"/>
  <c r="V32" i="5"/>
  <c r="U114" i="4"/>
  <c r="X114" i="4" s="1"/>
  <c r="V36" i="4"/>
  <c r="X36" i="4" s="1"/>
  <c r="V35" i="4"/>
  <c r="R42" i="6" l="1"/>
  <c r="M35" i="4"/>
  <c r="P26" i="5"/>
  <c r="Q26" i="5"/>
  <c r="P27" i="5"/>
  <c r="Q31" i="5"/>
  <c r="P31" i="5"/>
  <c r="P32" i="5"/>
  <c r="S37" i="6" l="1"/>
  <c r="S42" i="6" s="1"/>
  <c r="S41" i="6" l="1"/>
  <c r="D46" i="6"/>
  <c r="D49" i="6" s="1"/>
  <c r="D51" i="6" s="1"/>
  <c r="E46" i="6" l="1"/>
  <c r="E49" i="6" s="1"/>
  <c r="E51" i="6" s="1"/>
  <c r="D50" i="6"/>
  <c r="F46" i="6" l="1"/>
  <c r="F49" i="6" s="1"/>
  <c r="F51" i="6" s="1"/>
  <c r="E50" i="6"/>
  <c r="G46" i="6" l="1"/>
  <c r="G49" i="6" s="1"/>
  <c r="F50" i="6"/>
  <c r="G50" i="6" l="1"/>
  <c r="R37" i="6"/>
  <c r="R38" i="6"/>
  <c r="R41" i="6"/>
  <c r="Q42" i="6"/>
  <c r="K37" i="6"/>
  <c r="J41" i="6"/>
  <c r="J42" i="6" l="1"/>
  <c r="L37" i="6"/>
  <c r="M37" i="6" l="1"/>
  <c r="L42" i="6"/>
  <c r="L41" i="6"/>
  <c r="K41" i="6"/>
  <c r="K42" i="6"/>
  <c r="M41" i="6"/>
  <c r="M42" i="6" l="1"/>
  <c r="N37" i="6"/>
  <c r="O37" i="6" s="1"/>
  <c r="N42" i="6" l="1"/>
  <c r="N41" i="6"/>
  <c r="O41" i="6"/>
  <c r="P37" i="6" l="1"/>
  <c r="O42" i="6"/>
  <c r="Q37" i="6" l="1"/>
  <c r="Q38" i="6" s="1"/>
  <c r="P42" i="6"/>
  <c r="Q41" i="6"/>
  <c r="P41" i="6"/>
  <c r="J29" i="5" l="1"/>
  <c r="J30" i="5" s="1"/>
  <c r="K100" i="4"/>
  <c r="K114" i="4" s="1"/>
  <c r="K144" i="4" s="1"/>
  <c r="J114" i="4"/>
  <c r="J144" i="4" s="1"/>
  <c r="K29" i="5" l="1"/>
  <c r="K30" i="5" s="1"/>
  <c r="L100" i="4"/>
  <c r="L29" i="5" s="1"/>
  <c r="L30" i="5" s="1"/>
  <c r="K31" i="5"/>
  <c r="K32" i="5"/>
  <c r="J31" i="5"/>
  <c r="J32" i="5"/>
  <c r="J146" i="4"/>
  <c r="J145" i="4"/>
  <c r="J147" i="4"/>
  <c r="K146" i="4"/>
  <c r="K145" i="4"/>
  <c r="K147" i="4"/>
  <c r="U29" i="5" l="1"/>
  <c r="X29" i="5" s="1"/>
  <c r="L114" i="4"/>
  <c r="L144" i="4" s="1"/>
  <c r="M145" i="4" s="1"/>
  <c r="L31" i="5"/>
  <c r="M31" i="5"/>
  <c r="L32" i="5"/>
  <c r="L146" i="4" l="1"/>
  <c r="U146" i="4" s="1"/>
  <c r="L147" i="4"/>
  <c r="L145" i="4"/>
  <c r="U144" i="4"/>
  <c r="X144" i="4" s="1"/>
  <c r="U30" i="5"/>
  <c r="X30" i="5" s="1"/>
  <c r="V145" i="4"/>
  <c r="U32" i="5"/>
  <c r="V31" i="5"/>
  <c r="V147" i="4" l="1"/>
  <c r="X146"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<sst xmlns="http://schemas.openxmlformats.org/spreadsheetml/2006/main" count="353" uniqueCount="207">
  <si>
    <t>Cash and cash equivalents</t>
  </si>
  <si>
    <t>Total current assets</t>
  </si>
  <si>
    <t>Total assets</t>
  </si>
  <si>
    <t>Total current liabilities</t>
  </si>
  <si>
    <t>FYE</t>
  </si>
  <si>
    <t>Quarterly</t>
  </si>
  <si>
    <t>LTM</t>
  </si>
  <si>
    <t>Revenue</t>
  </si>
  <si>
    <t>Cost of revenue</t>
  </si>
  <si>
    <t>Other income (expense), net</t>
  </si>
  <si>
    <t>Net cash used in operating activities</t>
  </si>
  <si>
    <t>Net cash used in investing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</si>
  <si>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</si>
  <si>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</si>
  <si>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</si>
  <si>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</si>
  <si>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</si>
  <si>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</si>
  <si>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</si>
  <si>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</si>
  <si>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</si>
  <si>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</si>
  <si>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</si>
  <si>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</si>
  <si>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Gross Margin</t>
  </si>
  <si>
    <t>Interest income</t>
  </si>
  <si>
    <t>Operating expenses:</t>
  </si>
  <si>
    <t>Profit From Operations</t>
  </si>
  <si>
    <t>Operating Margin</t>
  </si>
  <si>
    <t>Net Margin</t>
  </si>
  <si>
    <t xml:space="preserve">Balance Sheet Statement </t>
  </si>
  <si>
    <t>Current Assets</t>
  </si>
  <si>
    <t>Long-Term Assets</t>
  </si>
  <si>
    <t>Current Liabilities</t>
  </si>
  <si>
    <t>Long-Term Liabilities</t>
  </si>
  <si>
    <t>Total Liabilities</t>
  </si>
  <si>
    <t>Stockholders’ equity (deficit):</t>
  </si>
  <si>
    <t>Total stockholders' equity</t>
  </si>
  <si>
    <t>Total liabilities and stockholders' equity</t>
  </si>
  <si>
    <t>Ratio Analysis</t>
  </si>
  <si>
    <t>Quick Ratio</t>
  </si>
  <si>
    <t>Current Ratio</t>
  </si>
  <si>
    <t>Cash Ratio</t>
  </si>
  <si>
    <t>Cash-Flows Statement</t>
  </si>
  <si>
    <t>CASH FLOWS FROM OPERATING ACTIVITIES:</t>
  </si>
  <si>
    <t>Cash flows from investing activities:</t>
  </si>
  <si>
    <t>Cash flows from financing activities:</t>
  </si>
  <si>
    <t>Cash-Flows Analysis</t>
  </si>
  <si>
    <t>Free-Cash Flow</t>
  </si>
  <si>
    <t>Earnings Before Interest &amp; Taxes (EBIT)</t>
  </si>
  <si>
    <t>EBITDA Add-Backs:</t>
  </si>
  <si>
    <t>EBITDA</t>
  </si>
  <si>
    <t>EBITDA Margin</t>
  </si>
  <si>
    <t>Adjusted EBITDA Add-Backs:</t>
  </si>
  <si>
    <t>Adjusted EBITDA</t>
  </si>
  <si>
    <t>Adjusted EBITDA Margin</t>
  </si>
  <si>
    <t>1Q22</t>
  </si>
  <si>
    <t>2Q22</t>
  </si>
  <si>
    <t>3Q22</t>
  </si>
  <si>
    <t>4Q22</t>
  </si>
  <si>
    <t>1Q23</t>
  </si>
  <si>
    <t>2Q23</t>
  </si>
  <si>
    <t>3Q23</t>
  </si>
  <si>
    <t>4Q23</t>
  </si>
  <si>
    <t>1Q24</t>
  </si>
  <si>
    <t>2Q24</t>
  </si>
  <si>
    <t>3Q24</t>
  </si>
  <si>
    <t>Operating Expenses</t>
  </si>
  <si>
    <t>Weighted average shares outstanding used in computing diluted earnings (loss) per share</t>
  </si>
  <si>
    <t xml:space="preserve">Diluted earnings (loss) per share </t>
  </si>
  <si>
    <t xml:space="preserve"> USD ($) shares in Thousands</t>
  </si>
  <si>
    <t>FY2020</t>
  </si>
  <si>
    <t>Income tax expense</t>
  </si>
  <si>
    <t>Goodwill</t>
  </si>
  <si>
    <t>Other intangible assets, net</t>
  </si>
  <si>
    <t>Short-term debt</t>
  </si>
  <si>
    <t>Retained earnings</t>
  </si>
  <si>
    <t>Adjustments to reconcile net income to net cash provided by operating Activities:</t>
  </si>
  <si>
    <t>Capital expenditures</t>
  </si>
  <si>
    <t>Proceeds from long-term debt</t>
  </si>
  <si>
    <t>Effect of exchange rate changes on cash and cash equivalents</t>
  </si>
  <si>
    <t>Net (decrease) increase in total cash and cash equivalents</t>
  </si>
  <si>
    <t>Total cash and cash equivalents at beginning of period</t>
  </si>
  <si>
    <t>Total cash and cash equivalents at end of period</t>
  </si>
  <si>
    <t>Net income</t>
  </si>
  <si>
    <t>FY2019</t>
  </si>
  <si>
    <t>EBITDA Analysis</t>
  </si>
  <si>
    <t xml:space="preserve">
Ulta Beauty Inc. (NASDAQ: ULTA)</t>
  </si>
  <si>
    <t>Feb. 01, 2020</t>
  </si>
  <si>
    <t>Jan. 30, 2021</t>
  </si>
  <si>
    <t>Jan. 29, 2022</t>
  </si>
  <si>
    <t>Jan. 28, 2023</t>
  </si>
  <si>
    <t>Feb. 03, 2024</t>
  </si>
  <si>
    <t>Net sales</t>
  </si>
  <si>
    <t>Cost of sales</t>
  </si>
  <si>
    <t>Selling, general and administrative expenses</t>
  </si>
  <si>
    <t>Impairment, restructuring and other costs</t>
  </si>
  <si>
    <t>Pre-opening expenses</t>
  </si>
  <si>
    <t>Income before income taxes</t>
  </si>
  <si>
    <t>Cosmetics</t>
  </si>
  <si>
    <t>Haircare products and styling tools</t>
  </si>
  <si>
    <t>Skincare</t>
  </si>
  <si>
    <t>Fragrance and bath</t>
  </si>
  <si>
    <t>Services</t>
  </si>
  <si>
    <t>Revenue Segment as a % of Sales</t>
  </si>
  <si>
    <t>Growth Y/Y, Q/Q by Revenue Segment</t>
  </si>
  <si>
    <t>Accessories and other</t>
  </si>
  <si>
    <t>Receivables, net</t>
  </si>
  <si>
    <t>Merchandise inventories, net</t>
  </si>
  <si>
    <t>Prepaid expenses and other current assets</t>
  </si>
  <si>
    <t>Prepaid income taxes</t>
  </si>
  <si>
    <t>Property and equipment, net</t>
  </si>
  <si>
    <t>Operating lease assets</t>
  </si>
  <si>
    <t>Deferred compensation plan assets</t>
  </si>
  <si>
    <t>Other long-term assets</t>
  </si>
  <si>
    <t>Accounts payable</t>
  </si>
  <si>
    <t>Accrued liabilities</t>
  </si>
  <si>
    <t>Deferred revenue</t>
  </si>
  <si>
    <t>Current operating lease liabilities</t>
  </si>
  <si>
    <t>Accrued income taxes</t>
  </si>
  <si>
    <t> </t>
  </si>
  <si>
    <t>Non-current operating lease liabilities</t>
  </si>
  <si>
    <t>Deferred income taxes</t>
  </si>
  <si>
    <t>Other long-term liabilities</t>
  </si>
  <si>
    <t>Common stock, $0.01 par value, 400,000 shares authorized; 49,123 and 51,120 shares issued; 48,324 and 50,364 shares outstanding; at February 3, 2024 and January 28, 2023, respectively</t>
  </si>
  <si>
    <t>Treasury stock-common, at cost</t>
  </si>
  <si>
    <t>Additional paid-in capital</t>
  </si>
  <si>
    <t>Depreciation and amortization</t>
  </si>
  <si>
    <t>Non-cash lease expense</t>
  </si>
  <si>
    <t>Long-lived asset impairment charge</t>
  </si>
  <si>
    <t>Stock-based compensation expense</t>
  </si>
  <si>
    <t>Loss on disposal of property and equipment</t>
  </si>
  <si>
    <t>Change in operating assets and liabilities:</t>
  </si>
  <si>
    <t>Receivables</t>
  </si>
  <si>
    <t>Merchandise inventories</t>
  </si>
  <si>
    <t>Income taxes</t>
  </si>
  <si>
    <t>Operating lease liabilities</t>
  </si>
  <si>
    <t>Other assets and liabilities</t>
  </si>
  <si>
    <t>Other investments</t>
  </si>
  <si>
    <t>Payments on long-term debt</t>
  </si>
  <si>
    <t>Borrowings from credit facility</t>
  </si>
  <si>
    <t>Payments on credit facility</t>
  </si>
  <si>
    <t>Repurchase of common shares</t>
  </si>
  <si>
    <t>Stock options exercised</t>
  </si>
  <si>
    <t>Purchase of treasury shares</t>
  </si>
  <si>
    <t>Debt issuance costs</t>
  </si>
  <si>
    <t>Supplemental information</t>
  </si>
  <si>
    <t>Cash paid for interest</t>
  </si>
  <si>
    <t>Income taxes paid, net of refunds</t>
  </si>
  <si>
    <t>Non-cash capital expenditures</t>
  </si>
  <si>
    <t>Repurchase of common shares in accrued liabilities</t>
  </si>
  <si>
    <t>FCF as a % of Sales</t>
  </si>
  <si>
    <t>FCF Per Share</t>
  </si>
  <si>
    <t>Total Shares Outstanding</t>
  </si>
  <si>
    <t>Retail Store Operational Growth</t>
  </si>
  <si>
    <t>Stores opened</t>
  </si>
  <si>
    <t>Stores closed</t>
  </si>
  <si>
    <t>Segment Analysis</t>
  </si>
  <si>
    <t>Revenue Segment Anaysis</t>
  </si>
  <si>
    <t>Human Capital Growth</t>
  </si>
  <si>
    <t>EOP Human Capital</t>
  </si>
  <si>
    <t>Full-time Staff</t>
  </si>
  <si>
    <t>BOP, Total Stores</t>
  </si>
  <si>
    <t>EOP, Total Stores</t>
  </si>
  <si>
    <t>Part-time Staff</t>
  </si>
  <si>
    <t>BOP Human Capital</t>
  </si>
  <si>
    <t xml:space="preserve">Growth Y/Y, Q/Q </t>
  </si>
  <si>
    <t>Revenue per employee</t>
  </si>
  <si>
    <t>Revenue Per Store</t>
  </si>
  <si>
    <t>Aug. 03, 2024</t>
  </si>
  <si>
    <t>May 04, 2024</t>
  </si>
  <si>
    <t>Oct. 28, 2023</t>
  </si>
  <si>
    <t>Jul. 29, 2023</t>
  </si>
  <si>
    <t>ULTA</t>
  </si>
  <si>
    <t>Apr. 29, 2023</t>
  </si>
  <si>
    <t>CAGR</t>
  </si>
  <si>
    <t>Company Name</t>
  </si>
  <si>
    <t xml:space="preserve">Ticker </t>
  </si>
  <si>
    <t>Equity Data</t>
  </si>
  <si>
    <t>Share Price</t>
  </si>
  <si>
    <t>Shares Outstanding</t>
  </si>
  <si>
    <t>Market Cap</t>
  </si>
  <si>
    <t xml:space="preserve">Snapshot </t>
  </si>
  <si>
    <t>Equity Value</t>
  </si>
  <si>
    <t xml:space="preserve">Enterprise Value </t>
  </si>
  <si>
    <t>Enterprise Value Per Share</t>
  </si>
  <si>
    <t>LTM Revenue</t>
  </si>
  <si>
    <t>LTM FCF</t>
  </si>
  <si>
    <t>LTM Adjusted EBITDA</t>
  </si>
  <si>
    <t>Oct. 29, 2022</t>
  </si>
  <si>
    <t>Jul. 30, 2022</t>
  </si>
  <si>
    <t>Ulta Beauty Inc. (NASDAQ: ULTA)</t>
  </si>
  <si>
    <t>FCF Analysis</t>
  </si>
  <si>
    <t>FCF After NWC Changes</t>
  </si>
  <si>
    <t>FCF After Other Operating Cash-Flows</t>
  </si>
  <si>
    <t>FCF After Capital Expenditures</t>
  </si>
  <si>
    <t>FCF After Other Cash-Flow Changes</t>
  </si>
  <si>
    <t>Equity issuances (Repurchases), Net of Related Issuance Costs</t>
  </si>
  <si>
    <t>Debt Issuances (Repurchases), Net of Related Issuance Costs</t>
  </si>
  <si>
    <t>Q3'24 Revenue Segment Analysis</t>
  </si>
  <si>
    <t>Total Q3'24 Revenue</t>
  </si>
  <si>
    <t>% of Sales</t>
  </si>
  <si>
    <t>5 Year CAGR</t>
  </si>
  <si>
    <t xml:space="preserve">Total Q3'24 Human Capital </t>
  </si>
  <si>
    <t>Total Q3'24 Employees</t>
  </si>
  <si>
    <t xml:space="preserve">Segment Quant  &amp; Macro Growth Background </t>
  </si>
  <si>
    <t>Interest Income (Expense),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</si>
</sst>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_(&quot;$ &quot;#,##0_);_(&quot;$ &quot;\(#,##0\)"/>
    <numFmt numFmtId="165" formatCode="&quot;$&quot;#,##0"/>
    <numFmt numFmtId="166" formatCode="0.00&quot;x&quot;"/>
    <numFmt numFmtId="167" formatCode="_(* #,##0_);_(* \(#,##0\);_(* &quot;-&quot;??_);_(@_)"/>
    <numFmt numFmtId="168" formatCode="_(* #,##0.00000_);_(* \(#,##0.00000\);_(* &quot;-&quot;??_);_(@_)"/>
    <numFmt numFmtId="169" formatCode="0.0%"/>
    <numFmt numFmtId="170" formatCode="_([$$-409]* #,##0.00_);_([$$-409]* \(#,##0.00\);_([$$-409]* &quot;-&quot;??_);_(@_)"/>
    <numFmt numFmtId="171" formatCode="_([$$-409]* #,##0_);_([$$-409]* \(#,##0\);_([$$-409]* &quot;-&quot;_);_(@_)"/>
    <numFmt numFmtId="172" formatCode="_([$$-409]* #,##0_);_([$$-409]* \(#,##0\);_([$$-409]* &quot;-&quot;??_);_(@_)"/>
    <numFmt numFmtId="184" formatCode="0.0&quot;bps&quot;"/>
    <numFmt numFmtId="185" formatCode="&quot;$&quot;#,##0.00"/>
  </numFmts>
  <fonts count="41"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sz val="11"/>
      <color rgb="FF0000FF"/>
      <name val="Aptos Narrow"/>
      <family val="2"/>
      <scheme val="minor"/>
    </font>
    <font>
      <sz val="11"/>
      <name val="Aptos Narrow"/>
      <family val="2"/>
      <scheme val="minor"/>
    </font>
    <font>
      <sz val="10"/>
      <color rgb="FF0000FF"/>
      <name val="Arial"/>
      <family val="2"/>
    </font>
    <font>
      <i/>
      <sz val="11"/>
      <name val="Calibri"/>
      <family val="2"/>
    </font>
    <font>
      <b/>
      <sz val="11"/>
      <color rgb="FF0000FF"/>
      <name val="Aptos Narrow"/>
      <family val="2"/>
      <scheme val="minor"/>
    </font>
    <font>
      <sz val="9"/>
      <color theme="1"/>
      <name val="Aptos Narrow"/>
      <family val="2"/>
      <scheme val="minor"/>
    </font>
    <font>
      <sz val="10"/>
      <name val="Arial"/>
      <family val="2"/>
    </font>
    <font>
      <i/>
      <sz val="11"/>
      <color theme="1"/>
      <name val="Aptos Narrow"/>
      <family val="2"/>
      <scheme val="minor"/>
    </font>
    <font>
      <sz val="11"/>
      <color theme="9" tint="-0.249977111117893"/>
      <name val="Aptos Narrow"/>
      <family val="2"/>
      <scheme val="minor"/>
    </font>
    <font>
      <b/>
      <sz val="10"/>
      <color theme="1"/>
      <name val="Aptos Narrow"/>
      <family val="2"/>
      <scheme val="minor"/>
    </font>
    <font>
      <i/>
      <sz val="10"/>
      <color theme="1"/>
      <name val="Aptos Narrow"/>
      <family val="2"/>
      <scheme val="minor"/>
    </font>
    <font>
      <b/>
      <i/>
      <sz val="11"/>
      <color theme="1"/>
      <name val="Aptos Narrow"/>
      <family val="2"/>
      <scheme val="minor"/>
    </font>
    <font>
      <u/>
      <sz val="11"/>
      <color theme="1"/>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7">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98">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64"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165" fontId="5" fillId="0" borderId="1" xfId="0" applyNumberFormat="1" applyFont="1" applyBorder="1" applyAlignment="1">
      <alignment vertical="top" wrapTex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3" fillId="0" borderId="1" xfId="0" applyNumberFormat="1" applyFont="1" applyBorder="1" applyAlignment="1">
      <alignment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22" fillId="0" borderId="0" xfId="0" applyNumberFormat="1" applyFont="1" applyAlignment="1">
      <alignment wrapTex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11" fillId="0" borderId="0" xfId="0" applyNumberFormat="1" applyFont="1" applyAlignment="1">
      <alignment vertical="top"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0" fontId="23" fillId="0" borderId="1" xfId="0" applyFont="1" applyBorder="1" applyAlignment="1">
      <alignment wrapText="1"/>
    </xf>
    <xf numFmtId="0" fontId="23" fillId="0" borderId="0" xfId="0" applyFont="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0" fontId="16" fillId="4" borderId="6" xfId="0" applyFont="1" applyFill="1" applyBorder="1" applyAlignment="1">
      <alignment horizontal="right" vertical="center"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37" fontId="11" fillId="0" borderId="0" xfId="0" applyNumberFormat="1" applyFont="1" applyAlignment="1">
      <alignment horizontal="right" vertical="top"/>
    </xf>
    <xf numFmtId="37" fontId="28" fillId="0" borderId="0" xfId="0" applyNumberFormat="1" applyFont="1"/>
    <xf numFmtId="37" fontId="29" fillId="0" borderId="0" xfId="0" applyNumberFormat="1" applyFont="1"/>
    <xf numFmtId="37" fontId="17" fillId="0" borderId="0" xfId="2" applyNumberFormat="1" applyFont="1" applyBorder="1" applyAlignment="1">
      <alignment horizontal="right" vertical="center" wrapText="1"/>
    </xf>
    <xf numFmtId="0" fontId="28" fillId="0" borderId="0" xfId="0" applyFont="1"/>
    <xf numFmtId="37" fontId="11" fillId="0" borderId="0" xfId="1" applyNumberFormat="1" applyFont="1" applyFill="1" applyBorder="1" applyAlignment="1">
      <alignment wrapText="1"/>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 fillId="0" borderId="0" xfId="0" applyFont="1" applyAlignment="1">
      <alignment horizontal="center"/>
    </xf>
    <xf numFmtId="14" fontId="4" fillId="0" borderId="0" xfId="0" applyNumberFormat="1" applyFont="1" applyAlignment="1">
      <alignment horizontal="center"/>
    </xf>
    <xf numFmtId="39" fontId="0" fillId="0" borderId="3" xfId="0" applyNumberFormat="1" applyBorder="1" applyAlignment="1">
      <alignment wrapText="1"/>
    </xf>
    <xf numFmtId="39" fontId="0" fillId="0" borderId="5" xfId="0" applyNumberFormat="1" applyBorder="1" applyAlignment="1">
      <alignment wrapText="1"/>
    </xf>
    <xf numFmtId="43" fontId="30" fillId="0" borderId="0" xfId="0" applyNumberFormat="1" applyFont="1" applyAlignment="1">
      <alignment vertical="top"/>
    </xf>
    <xf numFmtId="0" fontId="7" fillId="2" borderId="0" xfId="0" applyFont="1" applyFill="1"/>
    <xf numFmtId="0" fontId="0" fillId="2" borderId="0" xfId="0" applyFill="1"/>
    <xf numFmtId="0" fontId="7" fillId="0" borderId="0" xfId="0" applyFont="1"/>
    <xf numFmtId="0" fontId="3" fillId="0" borderId="2" xfId="0" applyFont="1" applyBorder="1" applyAlignment="1">
      <alignment horizontal="centerContinuous"/>
    </xf>
    <xf numFmtId="0" fontId="3" fillId="0" borderId="0" xfId="0" applyFont="1" applyAlignment="1">
      <alignment horizontal="centerContinuous"/>
    </xf>
    <xf numFmtId="14" fontId="7" fillId="0" borderId="0" xfId="0" applyNumberFormat="1" applyFont="1" applyAlignment="1">
      <alignment horizontal="center"/>
    </xf>
    <xf numFmtId="3" fontId="28" fillId="0" borderId="0" xfId="0" applyNumberFormat="1" applyFont="1"/>
    <xf numFmtId="0" fontId="0" fillId="3" borderId="3" xfId="0" applyFill="1" applyBorder="1"/>
    <xf numFmtId="0" fontId="0" fillId="3" borderId="4" xfId="0" applyFill="1" applyBorder="1"/>
    <xf numFmtId="0" fontId="0" fillId="3" borderId="5" xfId="0" applyFill="1" applyBorder="1"/>
    <xf numFmtId="0" fontId="0" fillId="3" borderId="0" xfId="0" applyFill="1"/>
    <xf numFmtId="9" fontId="0" fillId="3" borderId="0" xfId="2" applyFont="1" applyFill="1" applyBorder="1"/>
    <xf numFmtId="9" fontId="0" fillId="3" borderId="9" xfId="2" applyFont="1" applyFill="1" applyBorder="1"/>
    <xf numFmtId="0" fontId="0" fillId="3" borderId="2" xfId="0" applyFill="1" applyBorder="1"/>
    <xf numFmtId="0" fontId="3" fillId="3" borderId="3" xfId="0" applyFont="1" applyFill="1" applyBorder="1"/>
    <xf numFmtId="0" fontId="31" fillId="0" borderId="0" xfId="0" applyFont="1" applyAlignment="1">
      <alignment horizontal="left" vertical="top" wrapText="1" indent="1"/>
    </xf>
    <xf numFmtId="0" fontId="0" fillId="3" borderId="8" xfId="0" applyFill="1" applyBorder="1" applyAlignment="1">
      <alignment horizontal="left" indent="1"/>
    </xf>
    <xf numFmtId="0" fontId="0" fillId="3" borderId="6" xfId="0" applyFill="1" applyBorder="1" applyAlignment="1">
      <alignment horizontal="left" indent="1"/>
    </xf>
    <xf numFmtId="9" fontId="0" fillId="3" borderId="8" xfId="2" applyFont="1" applyFill="1" applyBorder="1"/>
    <xf numFmtId="9" fontId="0" fillId="0" borderId="0" xfId="2" applyFont="1" applyFill="1" applyBorder="1"/>
    <xf numFmtId="0" fontId="3" fillId="3" borderId="8" xfId="0" applyFont="1" applyFill="1" applyBorder="1"/>
    <xf numFmtId="10" fontId="0" fillId="3" borderId="0" xfId="0" applyNumberFormat="1" applyFill="1"/>
    <xf numFmtId="10" fontId="0" fillId="3" borderId="9" xfId="0" applyNumberFormat="1" applyFill="1" applyBorder="1"/>
    <xf numFmtId="10" fontId="0" fillId="3" borderId="2" xfId="0" applyNumberFormat="1" applyFill="1" applyBorder="1"/>
    <xf numFmtId="10" fontId="0" fillId="3" borderId="7" xfId="0" applyNumberFormat="1" applyFill="1" applyBorder="1"/>
    <xf numFmtId="10" fontId="0" fillId="3" borderId="8" xfId="0" applyNumberFormat="1" applyFill="1" applyBorder="1"/>
    <xf numFmtId="10" fontId="0" fillId="3" borderId="6" xfId="0" applyNumberFormat="1" applyFill="1" applyBorder="1"/>
    <xf numFmtId="9" fontId="28" fillId="3" borderId="0" xfId="2" applyFont="1" applyFill="1" applyBorder="1"/>
    <xf numFmtId="9" fontId="28" fillId="3" borderId="9" xfId="2" applyFont="1" applyFill="1" applyBorder="1"/>
    <xf numFmtId="9" fontId="28" fillId="3" borderId="8" xfId="2" applyFont="1" applyFill="1" applyBorder="1"/>
    <xf numFmtId="9" fontId="29" fillId="3" borderId="0" xfId="2" applyFont="1" applyFill="1" applyBorder="1"/>
    <xf numFmtId="167" fontId="30" fillId="0" borderId="0" xfId="0" applyNumberFormat="1" applyFont="1" applyAlignment="1">
      <alignment vertical="top"/>
    </xf>
    <xf numFmtId="167" fontId="18" fillId="0" borderId="0" xfId="0" applyNumberFormat="1" applyFont="1" applyAlignment="1">
      <alignment horizontal="right" vertical="top" wrapText="1"/>
    </xf>
    <xf numFmtId="167" fontId="18" fillId="0" borderId="0" xfId="0" applyNumberFormat="1" applyFont="1" applyAlignment="1">
      <alignment wrapText="1"/>
    </xf>
    <xf numFmtId="167" fontId="18" fillId="0" borderId="0" xfId="0" applyNumberFormat="1" applyFont="1" applyAlignment="1">
      <alignment vertical="top" wrapText="1"/>
    </xf>
    <xf numFmtId="0" fontId="16" fillId="4" borderId="8" xfId="0" applyFont="1" applyFill="1" applyBorder="1" applyAlignment="1">
      <alignment horizontal="right" vertical="center" wrapText="1"/>
    </xf>
    <xf numFmtId="165" fontId="5" fillId="4" borderId="0" xfId="0" applyNumberFormat="1" applyFont="1" applyFill="1" applyAlignment="1">
      <alignment horizontal="right" vertical="top" wrapText="1"/>
    </xf>
    <xf numFmtId="9" fontId="17" fillId="4" borderId="0" xfId="2" applyFont="1" applyFill="1" applyBorder="1" applyAlignment="1">
      <alignment horizontal="right" vertical="center" wrapText="1"/>
    </xf>
    <xf numFmtId="9" fontId="17" fillId="4" borderId="9" xfId="2" applyFont="1" applyFill="1" applyBorder="1" applyAlignment="1">
      <alignment horizontal="right" vertical="center" wrapText="1"/>
    </xf>
    <xf numFmtId="9" fontId="17" fillId="4" borderId="8" xfId="2" applyFont="1" applyFill="1" applyBorder="1" applyAlignment="1">
      <alignment horizontal="right" vertical="center" wrapText="1"/>
    </xf>
    <xf numFmtId="168" fontId="0" fillId="0" borderId="0" xfId="1" applyNumberFormat="1" applyFont="1" applyBorder="1" applyAlignment="1">
      <alignment wrapText="1"/>
    </xf>
    <xf numFmtId="0" fontId="0" fillId="0" borderId="8" xfId="0" applyBorder="1"/>
    <xf numFmtId="37" fontId="18" fillId="0" borderId="0" xfId="0" applyNumberFormat="1" applyFont="1" applyAlignment="1">
      <alignment horizontal="right" vertical="center"/>
    </xf>
    <xf numFmtId="37" fontId="18" fillId="0" borderId="0" xfId="2" applyNumberFormat="1" applyFont="1" applyBorder="1" applyAlignment="1">
      <alignment horizontal="right" vertical="center"/>
    </xf>
    <xf numFmtId="37" fontId="18" fillId="0" borderId="9" xfId="2" applyNumberFormat="1" applyFont="1" applyBorder="1" applyAlignment="1">
      <alignment horizontal="right" vertical="center"/>
    </xf>
    <xf numFmtId="37" fontId="11" fillId="0" borderId="8" xfId="2" applyNumberFormat="1" applyFont="1" applyBorder="1" applyAlignment="1">
      <alignment horizontal="right" vertical="center"/>
    </xf>
    <xf numFmtId="37" fontId="11" fillId="0" borderId="0" xfId="2" applyNumberFormat="1" applyFont="1" applyBorder="1" applyAlignment="1">
      <alignment horizontal="right" vertical="center"/>
    </xf>
    <xf numFmtId="37" fontId="19" fillId="0" borderId="0" xfId="2" applyNumberFormat="1" applyFont="1" applyBorder="1" applyAlignment="1">
      <alignment horizontal="right" vertical="center"/>
    </xf>
    <xf numFmtId="10" fontId="13" fillId="0" borderId="0" xfId="2" applyNumberFormat="1" applyFont="1" applyFill="1" applyBorder="1" applyAlignment="1">
      <alignment horizontal="center" wrapText="1"/>
    </xf>
    <xf numFmtId="0" fontId="0" fillId="0" borderId="6" xfId="0" applyBorder="1" applyAlignment="1">
      <alignment wrapText="1"/>
    </xf>
    <xf numFmtId="37" fontId="18" fillId="0" borderId="6" xfId="2" applyNumberFormat="1" applyFont="1" applyBorder="1" applyAlignment="1">
      <alignment horizontal="right" vertical="center"/>
    </xf>
    <xf numFmtId="44" fontId="17" fillId="4" borderId="0" xfId="3" applyFont="1" applyFill="1" applyBorder="1" applyAlignment="1">
      <alignment horizontal="right" vertical="center" wrapText="1"/>
    </xf>
    <xf numFmtId="44" fontId="17" fillId="4" borderId="9" xfId="3" applyFont="1" applyFill="1" applyBorder="1" applyAlignment="1">
      <alignment horizontal="right" vertical="center" wrapText="1"/>
    </xf>
    <xf numFmtId="44" fontId="17" fillId="4" borderId="8" xfId="3" applyFont="1" applyFill="1" applyBorder="1" applyAlignment="1">
      <alignment horizontal="right" vertical="center" wrapText="1"/>
    </xf>
    <xf numFmtId="0" fontId="9" fillId="0" borderId="0" xfId="0" applyFont="1" applyAlignment="1">
      <alignment vertical="center"/>
    </xf>
    <xf numFmtId="0" fontId="8" fillId="0" borderId="0" xfId="0" applyFont="1" applyAlignment="1">
      <alignment horizontal="center" vertical="center"/>
    </xf>
    <xf numFmtId="3" fontId="3" fillId="0" borderId="1" xfId="0" applyNumberFormat="1" applyFont="1" applyBorder="1"/>
    <xf numFmtId="0" fontId="3" fillId="0" borderId="10" xfId="0" applyFont="1" applyBorder="1"/>
    <xf numFmtId="3" fontId="32" fillId="0" borderId="10" xfId="0" applyNumberFormat="1" applyFont="1" applyBorder="1"/>
    <xf numFmtId="0" fontId="22" fillId="0" borderId="10" xfId="0" applyFont="1" applyBorder="1"/>
    <xf numFmtId="3" fontId="22" fillId="0" borderId="10" xfId="0" applyNumberFormat="1" applyFont="1" applyBorder="1"/>
    <xf numFmtId="3" fontId="3" fillId="0" borderId="0" xfId="0" applyNumberFormat="1" applyFont="1"/>
    <xf numFmtId="0" fontId="33" fillId="0" borderId="0" xfId="0" applyFont="1" applyAlignment="1">
      <alignment horizontal="right"/>
    </xf>
    <xf numFmtId="169" fontId="33" fillId="0" borderId="0" xfId="2" applyNumberFormat="1" applyFont="1" applyBorder="1" applyAlignment="1">
      <alignment horizontal="right"/>
    </xf>
    <xf numFmtId="167" fontId="3" fillId="0" borderId="10" xfId="1" applyNumberFormat="1" applyFont="1" applyBorder="1"/>
    <xf numFmtId="167" fontId="32" fillId="0" borderId="10" xfId="1" applyNumberFormat="1" applyFont="1" applyBorder="1"/>
    <xf numFmtId="0" fontId="13" fillId="0" borderId="0" xfId="0" applyFont="1" applyAlignment="1">
      <alignment horizontal="right"/>
    </xf>
    <xf numFmtId="44" fontId="13" fillId="0" borderId="0" xfId="3" applyFont="1"/>
    <xf numFmtId="44" fontId="0" fillId="0" borderId="0" xfId="0" applyNumberFormat="1"/>
    <xf numFmtId="37" fontId="30" fillId="0" borderId="0" xfId="0" applyNumberFormat="1" applyFont="1" applyAlignment="1">
      <alignment vertical="top"/>
    </xf>
    <xf numFmtId="167" fontId="11" fillId="0" borderId="0" xfId="0" applyNumberFormat="1" applyFont="1" applyAlignment="1">
      <alignment vertical="top"/>
    </xf>
    <xf numFmtId="167" fontId="11" fillId="0" borderId="0" xfId="0" applyNumberFormat="1" applyFont="1" applyAlignment="1">
      <alignment horizontal="right" vertical="top"/>
    </xf>
    <xf numFmtId="43" fontId="34" fillId="0" borderId="0" xfId="0" applyNumberFormat="1" applyFont="1" applyAlignment="1">
      <alignment vertical="top"/>
    </xf>
    <xf numFmtId="3" fontId="32" fillId="0" borderId="0" xfId="0" applyNumberFormat="1" applyFont="1"/>
    <xf numFmtId="167" fontId="3" fillId="0" borderId="0" xfId="1" applyNumberFormat="1" applyFont="1" applyBorder="1"/>
    <xf numFmtId="44" fontId="13" fillId="0" borderId="0" xfId="3" applyFont="1" applyBorder="1"/>
    <xf numFmtId="167" fontId="11" fillId="0" borderId="0" xfId="0" applyNumberFormat="1" applyFont="1" applyAlignment="1">
      <alignment horizontal="right" vertical="top" wrapText="1"/>
    </xf>
    <xf numFmtId="167" fontId="11" fillId="0" borderId="0" xfId="0" applyNumberFormat="1" applyFont="1" applyAlignment="1">
      <alignment vertical="top" wrapText="1"/>
    </xf>
    <xf numFmtId="1" fontId="30" fillId="0" borderId="0" xfId="0" applyNumberFormat="1" applyFont="1" applyAlignment="1">
      <alignment vertical="top"/>
    </xf>
    <xf numFmtId="37" fontId="0" fillId="0" borderId="6" xfId="0" applyNumberFormat="1" applyBorder="1" applyAlignment="1">
      <alignment wrapText="1"/>
    </xf>
    <xf numFmtId="37" fontId="0" fillId="0" borderId="7" xfId="0" applyNumberFormat="1" applyBorder="1" applyAlignment="1">
      <alignment wrapText="1"/>
    </xf>
    <xf numFmtId="37" fontId="11" fillId="0" borderId="9" xfId="2" applyNumberFormat="1" applyFont="1" applyBorder="1" applyAlignment="1">
      <alignment horizontal="right" vertical="center"/>
    </xf>
    <xf numFmtId="37" fontId="19" fillId="0" borderId="2" xfId="0" applyNumberFormat="1" applyFont="1" applyBorder="1" applyAlignment="1">
      <alignment horizontal="right" vertical="top" wrapText="1"/>
    </xf>
    <xf numFmtId="0" fontId="0" fillId="0" borderId="6" xfId="0" applyBorder="1"/>
    <xf numFmtId="0" fontId="2" fillId="2" borderId="3" xfId="0" applyFont="1" applyFill="1" applyBorder="1"/>
    <xf numFmtId="0" fontId="2" fillId="2" borderId="5" xfId="0" applyFont="1" applyFill="1" applyBorder="1"/>
    <xf numFmtId="0" fontId="2" fillId="2" borderId="11" xfId="0" applyFont="1" applyFill="1" applyBorder="1"/>
    <xf numFmtId="0" fontId="4" fillId="2" borderId="12" xfId="0" applyFont="1" applyFill="1" applyBorder="1"/>
    <xf numFmtId="0" fontId="4" fillId="2" borderId="13" xfId="0" applyFont="1" applyFill="1" applyBorder="1"/>
    <xf numFmtId="0" fontId="35" fillId="0" borderId="4" xfId="0" applyFont="1" applyBorder="1" applyAlignment="1">
      <alignment vertical="center" wrapText="1"/>
    </xf>
    <xf numFmtId="0" fontId="35" fillId="0" borderId="5" xfId="0" applyFont="1" applyBorder="1" applyAlignment="1">
      <alignment vertical="center" wrapText="1"/>
    </xf>
    <xf numFmtId="37" fontId="36" fillId="0" borderId="9" xfId="0" applyNumberFormat="1" applyFont="1" applyBorder="1"/>
    <xf numFmtId="37" fontId="36" fillId="0" borderId="7" xfId="0" applyNumberFormat="1" applyFont="1" applyBorder="1"/>
    <xf numFmtId="171" fontId="0" fillId="0" borderId="9" xfId="0" applyNumberFormat="1" applyBorder="1"/>
    <xf numFmtId="170" fontId="0" fillId="0" borderId="9" xfId="0" applyNumberFormat="1" applyBorder="1"/>
    <xf numFmtId="0" fontId="35" fillId="0" borderId="0" xfId="0" applyFont="1" applyAlignment="1">
      <alignment vertical="center" wrapText="1"/>
    </xf>
    <xf numFmtId="0" fontId="35" fillId="0" borderId="9" xfId="0" applyFont="1" applyBorder="1" applyAlignment="1">
      <alignment vertical="center" wrapText="1"/>
    </xf>
    <xf numFmtId="0" fontId="0" fillId="0" borderId="7" xfId="0" applyBorder="1" applyAlignment="1">
      <alignment horizontal="center"/>
    </xf>
    <xf numFmtId="172" fontId="0" fillId="0" borderId="7" xfId="0" applyNumberFormat="1" applyBorder="1"/>
    <xf numFmtId="3" fontId="0" fillId="0" borderId="9" xfId="0" applyNumberFormat="1" applyBorder="1"/>
    <xf numFmtId="0" fontId="8" fillId="2" borderId="0" xfId="0" applyFont="1" applyFill="1" applyAlignment="1">
      <alignment horizontal="center" vertical="center" wrapText="1"/>
    </xf>
    <xf numFmtId="0" fontId="8" fillId="2" borderId="0" xfId="0" applyFont="1" applyFill="1" applyAlignment="1">
      <alignment horizontal="center" vertical="center"/>
    </xf>
    <xf numFmtId="37" fontId="19" fillId="0" borderId="2" xfId="2" applyNumberFormat="1" applyFont="1" applyBorder="1" applyAlignment="1">
      <alignment horizontal="right" vertical="center"/>
    </xf>
    <xf numFmtId="10" fontId="0" fillId="0" borderId="0" xfId="2" applyNumberFormat="1" applyFont="1"/>
    <xf numFmtId="169" fontId="13" fillId="4" borderId="15" xfId="2" applyNumberFormat="1" applyFont="1" applyFill="1" applyBorder="1"/>
    <xf numFmtId="169" fontId="13" fillId="4" borderId="16" xfId="2" applyNumberFormat="1" applyFont="1" applyFill="1" applyBorder="1"/>
    <xf numFmtId="169" fontId="37" fillId="4" borderId="14" xfId="2" applyNumberFormat="1" applyFont="1" applyFill="1" applyBorder="1"/>
    <xf numFmtId="10" fontId="0" fillId="0" borderId="0" xfId="0" applyNumberFormat="1" applyFill="1" applyBorder="1"/>
    <xf numFmtId="9" fontId="0" fillId="3" borderId="6" xfId="2" applyFont="1" applyFill="1" applyBorder="1"/>
    <xf numFmtId="9" fontId="0" fillId="3" borderId="7" xfId="2" applyFont="1" applyFill="1" applyBorder="1"/>
    <xf numFmtId="184" fontId="38" fillId="0" borderId="0" xfId="2" applyNumberFormat="1" applyFont="1"/>
    <xf numFmtId="37" fontId="19" fillId="0" borderId="0" xfId="0" applyNumberFormat="1" applyFont="1" applyBorder="1" applyAlignment="1">
      <alignment horizontal="right" vertical="top" wrapText="1"/>
    </xf>
    <xf numFmtId="10" fontId="13" fillId="3" borderId="0" xfId="2" applyNumberFormat="1" applyFont="1" applyFill="1" applyBorder="1" applyAlignment="1">
      <alignment horizontal="center" wrapText="1"/>
    </xf>
    <xf numFmtId="37" fontId="12" fillId="4" borderId="8" xfId="0" applyNumberFormat="1" applyFont="1" applyFill="1" applyBorder="1" applyAlignment="1">
      <alignment wrapText="1"/>
    </xf>
    <xf numFmtId="37" fontId="12" fillId="4" borderId="9" xfId="0" applyNumberFormat="1" applyFont="1" applyFill="1" applyBorder="1" applyAlignment="1">
      <alignment wrapText="1"/>
    </xf>
    <xf numFmtId="185" fontId="12" fillId="4" borderId="8" xfId="0" applyNumberFormat="1" applyFont="1" applyFill="1" applyBorder="1" applyAlignment="1">
      <alignment wrapText="1"/>
    </xf>
    <xf numFmtId="185" fontId="12" fillId="4" borderId="9" xfId="0" applyNumberFormat="1" applyFont="1" applyFill="1" applyBorder="1" applyAlignment="1">
      <alignment wrapText="1"/>
    </xf>
    <xf numFmtId="166" fontId="6" fillId="4" borderId="0" xfId="0" applyNumberFormat="1" applyFont="1" applyFill="1" applyBorder="1" applyAlignment="1">
      <alignment horizontal="center" vertical="center"/>
    </xf>
    <xf numFmtId="166" fontId="6" fillId="4" borderId="6" xfId="0" applyNumberFormat="1" applyFont="1" applyFill="1" applyBorder="1" applyAlignment="1">
      <alignment horizontal="center" vertical="center"/>
    </xf>
    <xf numFmtId="166" fontId="12" fillId="4" borderId="8" xfId="0" applyNumberFormat="1" applyFont="1" applyFill="1" applyBorder="1" applyAlignment="1">
      <alignment horizontal="center" vertical="center"/>
    </xf>
    <xf numFmtId="166" fontId="12" fillId="4" borderId="9" xfId="0" applyNumberFormat="1" applyFont="1" applyFill="1" applyBorder="1" applyAlignment="1">
      <alignment horizontal="center" vertical="center"/>
    </xf>
    <xf numFmtId="0" fontId="0" fillId="0" borderId="0" xfId="0" applyFont="1" applyAlignment="1">
      <alignment wrapText="1"/>
    </xf>
    <xf numFmtId="166" fontId="12" fillId="4" borderId="6" xfId="0" applyNumberFormat="1" applyFont="1" applyFill="1" applyBorder="1" applyAlignment="1">
      <alignment horizontal="center" vertical="center"/>
    </xf>
    <xf numFmtId="166" fontId="12" fillId="4" borderId="7" xfId="0" applyNumberFormat="1" applyFont="1" applyFill="1" applyBorder="1" applyAlignment="1">
      <alignment horizontal="center" vertical="center"/>
    </xf>
    <xf numFmtId="14" fontId="7" fillId="0" borderId="0" xfId="0" applyNumberFormat="1" applyFont="1" applyFill="1" applyAlignment="1">
      <alignment horizontal="center"/>
    </xf>
    <xf numFmtId="0" fontId="0" fillId="0" borderId="0" xfId="0" applyAlignment="1"/>
    <xf numFmtId="0" fontId="2" fillId="2" borderId="0" xfId="0" applyFont="1" applyFill="1" applyAlignment="1"/>
    <xf numFmtId="0" fontId="0" fillId="0" borderId="0" xfId="0" applyFont="1" applyBorder="1"/>
    <xf numFmtId="0" fontId="6" fillId="0" borderId="0" xfId="0" applyFont="1" applyBorder="1" applyAlignment="1">
      <alignment vertical="top" wrapText="1"/>
    </xf>
    <xf numFmtId="0" fontId="0" fillId="0" borderId="0" xfId="0" applyFont="1" applyBorder="1" applyAlignment="1">
      <alignment wrapText="1"/>
    </xf>
    <xf numFmtId="0" fontId="0" fillId="0" borderId="0" xfId="0" applyFont="1"/>
    <xf numFmtId="167" fontId="0" fillId="0" borderId="0" xfId="0" applyNumberFormat="1"/>
    <xf numFmtId="0" fontId="3" fillId="0" borderId="3" xfId="0" applyFont="1" applyBorder="1" applyAlignment="1">
      <alignment vertical="center" wrapText="1"/>
    </xf>
    <xf numFmtId="0" fontId="35" fillId="0" borderId="0" xfId="0" applyFont="1" applyBorder="1" applyAlignment="1">
      <alignment vertical="center" wrapText="1"/>
    </xf>
    <xf numFmtId="0" fontId="35" fillId="0" borderId="8" xfId="0" applyFont="1" applyBorder="1" applyAlignment="1">
      <alignment horizontal="left" vertical="center" wrapText="1" indent="1"/>
    </xf>
    <xf numFmtId="0" fontId="35" fillId="0" borderId="8" xfId="0" applyFont="1" applyBorder="1" applyAlignment="1">
      <alignment horizontal="left" vertical="center" indent="1"/>
    </xf>
    <xf numFmtId="37" fontId="39" fillId="0" borderId="0" xfId="0" applyNumberFormat="1" applyFont="1" applyBorder="1" applyAlignment="1">
      <alignment vertical="center" wrapText="1"/>
    </xf>
    <xf numFmtId="37" fontId="3" fillId="0" borderId="0" xfId="0" applyNumberFormat="1"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vertical="center"/>
    </xf>
    <xf numFmtId="0" fontId="0" fillId="0" borderId="8" xfId="0" applyFont="1" applyBorder="1" applyAlignment="1">
      <alignment horizontal="left" vertical="center" wrapText="1" indent="1"/>
    </xf>
    <xf numFmtId="44" fontId="35" fillId="0" borderId="0" xfId="0" applyNumberFormat="1" applyFont="1" applyAlignment="1">
      <alignment vertical="center" wrapText="1"/>
    </xf>
    <xf numFmtId="37" fontId="35" fillId="0" borderId="0" xfId="0" applyNumberFormat="1" applyFont="1" applyBorder="1" applyAlignment="1">
      <alignment vertical="center" wrapText="1"/>
    </xf>
    <xf numFmtId="9" fontId="35" fillId="0" borderId="0" xfId="0" applyNumberFormat="1" applyFont="1" applyBorder="1" applyAlignment="1">
      <alignment horizontal="center" vertical="center" wrapText="1"/>
    </xf>
    <xf numFmtId="0" fontId="3" fillId="0" borderId="8" xfId="0" applyFont="1" applyBorder="1" applyAlignment="1">
      <alignment vertical="center"/>
    </xf>
    <xf numFmtId="9" fontId="3" fillId="0" borderId="0" xfId="0" applyNumberFormat="1" applyFont="1" applyBorder="1" applyAlignment="1">
      <alignment horizontal="center" vertical="center"/>
    </xf>
    <xf numFmtId="0" fontId="35" fillId="0" borderId="6" xfId="0" applyFont="1" applyBorder="1" applyAlignment="1">
      <alignment vertical="center" wrapText="1"/>
    </xf>
    <xf numFmtId="44" fontId="35" fillId="0" borderId="2" xfId="0" applyNumberFormat="1" applyFont="1" applyBorder="1" applyAlignment="1">
      <alignment vertical="center" wrapText="1"/>
    </xf>
    <xf numFmtId="0" fontId="35" fillId="0" borderId="2" xfId="0" applyFont="1" applyBorder="1" applyAlignment="1">
      <alignment vertical="center" wrapText="1"/>
    </xf>
    <xf numFmtId="0" fontId="35" fillId="0" borderId="7" xfId="0" applyFont="1" applyBorder="1" applyAlignment="1">
      <alignment vertical="center" wrapText="1"/>
    </xf>
    <xf numFmtId="0" fontId="3" fillId="0" borderId="9" xfId="0" applyFont="1" applyBorder="1" applyAlignment="1">
      <alignment horizontal="center" vertical="center" wrapText="1"/>
    </xf>
    <xf numFmtId="10" fontId="0" fillId="0" borderId="0" xfId="0" applyNumberFormat="1" applyBorder="1" applyAlignment="1">
      <alignment horizontal="center" wrapText="1"/>
    </xf>
    <xf numFmtId="169" fontId="35" fillId="0" borderId="9" xfId="2" applyNumberFormat="1" applyFont="1" applyBorder="1" applyAlignment="1">
      <alignment horizontal="center" vertical="center" wrapText="1"/>
    </xf>
    <xf numFmtId="0" fontId="40" fillId="0" borderId="8" xfId="0" applyFont="1" applyBorder="1" applyAlignment="1">
      <alignment vertical="center" wrapText="1"/>
    </xf>
  </cellXfs>
  <cellStyles count="4">
    <cellStyle name="Comma" xfId="1" builtinId="3"/>
    <cellStyle name="Currency" xfId="3" builtinId="4"/>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https://www.bing.com/financeapi/forcetrigger?t=a24war&amp;q=XNAS%3aULTA&amp;form=skydnc</v>
    <v>Learn more on Bing</v>
  </rv>
  <rv s="1">
    <v>en-US</v>
    <v>a24war</v>
    <v>268435456</v>
    <v>1</v>
    <v>Powered by Refinitiv</v>
    <v>0</v>
    <v>ULTA BEAUTY, INC. (XNAS:ULTA)</v>
    <v>2</v>
    <v>3</v>
    <v>Finance</v>
    <v>4</v>
    <v>574.76</v>
    <v>318.17</v>
    <v>1.3310999999999999</v>
    <v>-12.68</v>
    <v>3.8840000000000001E-4</v>
    <v>-3.3984E-2</v>
    <v>0.14000000000000001</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376.03</v>
    <v>Specialty Retailers</v>
    <v>Stock</v>
    <v>45702.041170253906</v>
    <v>0</v>
    <v>359.32</v>
    <v>16714518317</v>
    <v>ULTA BEAUTY, INC.</v>
    <v>ULTA BEAUTY, INC.</v>
    <v>375</v>
    <v>14.430099999999999</v>
    <v>373.12</v>
    <v>360.44</v>
    <v>360.58</v>
    <v>46372540</v>
    <v>ULTA</v>
    <v>ULTA BEAUTY, INC. (XNAS:ULTA)</v>
    <v>1416555</v>
    <v>857057</v>
    <v>2016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96631-D5B2-4D8B-840B-CF25822CBE71}">
  <dimension ref="B1:F31"/>
  <sheetViews>
    <sheetView showGridLines="0" zoomScale="193" workbookViewId="0">
      <selection activeCell="B26" sqref="B26"/>
    </sheetView>
  </sheetViews>
  <sheetFormatPr defaultRowHeight="15" x14ac:dyDescent="0.25"/>
  <cols>
    <col min="1" max="1" width="4.85546875" customWidth="1"/>
    <col min="2" max="2" width="42.28515625" bestFit="1" customWidth="1"/>
    <col min="3" max="3" width="16.28515625" bestFit="1" customWidth="1"/>
    <col min="4" max="4" width="8.5703125" bestFit="1" customWidth="1"/>
    <col min="5" max="5" width="10.140625" bestFit="1" customWidth="1"/>
    <col min="6" max="6" width="12.140625" bestFit="1" customWidth="1"/>
  </cols>
  <sheetData>
    <row r="1" spans="2:6" ht="15.75" thickBot="1" x14ac:dyDescent="0.3"/>
    <row r="2" spans="2:6" x14ac:dyDescent="0.25">
      <c r="B2" s="228" t="s">
        <v>176</v>
      </c>
      <c r="C2" s="229" t="s">
        <v>177</v>
      </c>
    </row>
    <row r="3" spans="2:6" ht="15.75" thickBot="1" x14ac:dyDescent="0.3">
      <c r="B3" s="227" t="e" vm="1">
        <v>#VALUE!</v>
      </c>
      <c r="C3" s="241" t="s">
        <v>173</v>
      </c>
    </row>
    <row r="4" spans="2:6" ht="15.75" thickBot="1" x14ac:dyDescent="0.3"/>
    <row r="5" spans="2:6" x14ac:dyDescent="0.25">
      <c r="B5" s="228" t="s">
        <v>178</v>
      </c>
      <c r="C5" s="229"/>
    </row>
    <row r="6" spans="2:6" x14ac:dyDescent="0.25">
      <c r="B6" s="185" t="s">
        <v>179</v>
      </c>
      <c r="C6" s="238" cm="1">
        <f t="array" aca="1" ref="C6" ca="1">_FV(B3,"Price")</f>
        <v>360.44</v>
      </c>
    </row>
    <row r="7" spans="2:6" x14ac:dyDescent="0.25">
      <c r="B7" s="185" t="s">
        <v>180</v>
      </c>
      <c r="C7" s="243" cm="1">
        <f t="array" aca="1" ref="C7" ca="1">_FV(B3,"Shares outstanding",TRUE)/1000</f>
        <v>46372.54</v>
      </c>
    </row>
    <row r="8" spans="2:6" ht="15.75" thickBot="1" x14ac:dyDescent="0.3">
      <c r="B8" s="227" t="s">
        <v>181</v>
      </c>
      <c r="C8" s="242">
        <f ca="1">C6*C7</f>
        <v>16714518.317600001</v>
      </c>
    </row>
    <row r="9" spans="2:6" ht="15.75" thickBot="1" x14ac:dyDescent="0.3"/>
    <row r="10" spans="2:6" ht="15.75" thickBot="1" x14ac:dyDescent="0.3">
      <c r="B10" s="230" t="s">
        <v>205</v>
      </c>
      <c r="C10" s="231"/>
      <c r="D10" s="231"/>
      <c r="E10" s="231"/>
      <c r="F10" s="232"/>
    </row>
    <row r="11" spans="2:6" s="6" customFormat="1" x14ac:dyDescent="0.25">
      <c r="B11" s="276" t="s">
        <v>199</v>
      </c>
      <c r="C11" s="233"/>
      <c r="D11" s="233"/>
      <c r="E11" s="233"/>
      <c r="F11" s="234"/>
    </row>
    <row r="12" spans="2:6" s="6" customFormat="1" x14ac:dyDescent="0.25">
      <c r="B12" s="297" t="s">
        <v>200</v>
      </c>
      <c r="C12" s="281">
        <f>' Segment Data'!V11</f>
        <v>11362333</v>
      </c>
      <c r="D12" s="282" t="s">
        <v>15</v>
      </c>
      <c r="E12" s="282" t="s">
        <v>201</v>
      </c>
      <c r="F12" s="294" t="s">
        <v>202</v>
      </c>
    </row>
    <row r="13" spans="2:6" s="6" customFormat="1" x14ac:dyDescent="0.25">
      <c r="B13" s="278" t="str">
        <f>' Segment Data'!B12</f>
        <v>Cosmetics</v>
      </c>
      <c r="C13" s="286">
        <f>' Segment Data'!V12</f>
        <v>4634773.2699999996</v>
      </c>
      <c r="D13" s="295">
        <f>' Segment Data'!X11</f>
        <v>4.435338662241084E-2</v>
      </c>
      <c r="E13" s="287">
        <f>' Segment Data'!V20</f>
        <v>0.41</v>
      </c>
      <c r="F13" s="296">
        <f>' Segment Data'!Z12</f>
        <v>0.24357150023068552</v>
      </c>
    </row>
    <row r="14" spans="2:6" s="6" customFormat="1" x14ac:dyDescent="0.25">
      <c r="B14" s="279" t="str">
        <f>' Segment Data'!B13</f>
        <v>Haircare products and styling tools</v>
      </c>
      <c r="C14" s="286">
        <f>' Segment Data'!V13</f>
        <v>2209665.14</v>
      </c>
      <c r="D14" s="295">
        <f>' Segment Data'!X12</f>
        <v>1.3819557154903572E-2</v>
      </c>
      <c r="E14" s="287">
        <f>' Segment Data'!V21</f>
        <v>0.2</v>
      </c>
      <c r="F14" s="296">
        <f>' Segment Data'!Z13</f>
        <v>0.30297918321377959</v>
      </c>
    </row>
    <row r="15" spans="2:6" s="6" customFormat="1" x14ac:dyDescent="0.25">
      <c r="B15" s="278" t="str">
        <f>' Segment Data'!B14</f>
        <v>Skincare</v>
      </c>
      <c r="C15" s="286">
        <f>' Segment Data'!V14</f>
        <v>2496685.54</v>
      </c>
      <c r="D15" s="295">
        <f>' Segment Data'!X13</f>
        <v>2.4916342672513858E-2</v>
      </c>
      <c r="E15" s="287">
        <f>' Segment Data'!V22</f>
        <v>0.23</v>
      </c>
      <c r="F15" s="296">
        <f>' Segment Data'!Z14</f>
        <v>0.49840731437764607</v>
      </c>
    </row>
    <row r="16" spans="2:6" s="6" customFormat="1" x14ac:dyDescent="0.25">
      <c r="B16" s="278" t="str">
        <f>' Segment Data'!B15</f>
        <v>Fragrance and bath</v>
      </c>
      <c r="C16" s="286">
        <f>' Segment Data'!V15</f>
        <v>1339469.07</v>
      </c>
      <c r="D16" s="295">
        <f>' Segment Data'!X14</f>
        <v>0.23115556135350368</v>
      </c>
      <c r="E16" s="287">
        <f>' Segment Data'!V23</f>
        <v>0.1</v>
      </c>
      <c r="F16" s="296">
        <f>' Segment Data'!Z15</f>
        <v>0.4809193384345708</v>
      </c>
    </row>
    <row r="17" spans="2:6" s="6" customFormat="1" x14ac:dyDescent="0.25">
      <c r="B17" s="278" t="str">
        <f>' Segment Data'!B16</f>
        <v>Services</v>
      </c>
      <c r="C17" s="286">
        <f>' Segment Data'!V16</f>
        <v>418950.33999999997</v>
      </c>
      <c r="D17" s="295">
        <f>' Segment Data'!X15</f>
        <v>-3.9805844903808674E-2</v>
      </c>
      <c r="E17" s="287">
        <f>' Segment Data'!V24</f>
        <v>0.04</v>
      </c>
      <c r="F17" s="296">
        <f>' Segment Data'!Z16</f>
        <v>0.18178750992826773</v>
      </c>
    </row>
    <row r="18" spans="2:6" s="6" customFormat="1" x14ac:dyDescent="0.25">
      <c r="B18" s="278" t="str">
        <f>' Segment Data'!B17</f>
        <v>Accessories and other</v>
      </c>
      <c r="C18" s="286">
        <f>' Segment Data'!V17</f>
        <v>262789.64</v>
      </c>
      <c r="D18" s="295">
        <f>' Segment Data'!X16</f>
        <v>3.9776668214768884E-2</v>
      </c>
      <c r="E18" s="287">
        <f>' Segment Data'!V25</f>
        <v>0.02</v>
      </c>
      <c r="F18" s="296">
        <f>' Segment Data'!Z17</f>
        <v>0.22723438741033464</v>
      </c>
    </row>
    <row r="19" spans="2:6" s="6" customFormat="1" x14ac:dyDescent="0.25">
      <c r="B19" s="288" t="s">
        <v>203</v>
      </c>
      <c r="C19" s="286"/>
      <c r="D19" s="287"/>
      <c r="E19" s="277"/>
      <c r="F19" s="240"/>
    </row>
    <row r="20" spans="2:6" s="6" customFormat="1" x14ac:dyDescent="0.25">
      <c r="B20" s="297" t="s">
        <v>204</v>
      </c>
      <c r="C20" s="280">
        <f>' Segment Data'!G49</f>
        <v>56000</v>
      </c>
      <c r="D20" s="289"/>
      <c r="E20" s="277"/>
      <c r="F20" s="240"/>
    </row>
    <row r="21" spans="2:6" s="6" customFormat="1" x14ac:dyDescent="0.25">
      <c r="B21" s="284" t="str">
        <f>' Segment Data'!B47</f>
        <v>Full-time Staff</v>
      </c>
      <c r="C21" s="286">
        <f>' Segment Data'!G47</f>
        <v>20000</v>
      </c>
      <c r="D21" s="287"/>
      <c r="E21" s="277"/>
      <c r="F21" s="240"/>
    </row>
    <row r="22" spans="2:6" s="6" customFormat="1" x14ac:dyDescent="0.25">
      <c r="B22" s="284" t="str">
        <f>' Segment Data'!B48</f>
        <v>Part-time Staff</v>
      </c>
      <c r="C22" s="286">
        <f>' Segment Data'!G48</f>
        <v>36000</v>
      </c>
      <c r="D22" s="277"/>
      <c r="E22" s="277"/>
      <c r="F22" s="240"/>
    </row>
    <row r="23" spans="2:6" s="6" customFormat="1" ht="15.75" thickBot="1" x14ac:dyDescent="0.3">
      <c r="B23" s="290" t="str">
        <f>' Segment Data'!B51</f>
        <v>Revenue per employee</v>
      </c>
      <c r="C23" s="291">
        <f>' Segment Data'!G51</f>
        <v>200.13041071428572</v>
      </c>
      <c r="D23" s="292"/>
      <c r="E23" s="292"/>
      <c r="F23" s="293"/>
    </row>
    <row r="24" spans="2:6" s="6" customFormat="1" ht="15.75" thickBot="1" x14ac:dyDescent="0.3">
      <c r="B24" s="283"/>
      <c r="C24" s="285"/>
      <c r="D24" s="239"/>
      <c r="E24" s="239"/>
      <c r="F24" s="239"/>
    </row>
    <row r="25" spans="2:6" x14ac:dyDescent="0.25">
      <c r="B25" s="228" t="s">
        <v>182</v>
      </c>
      <c r="C25" s="229"/>
    </row>
    <row r="26" spans="2:6" x14ac:dyDescent="0.25">
      <c r="B26" s="185" t="s">
        <v>183</v>
      </c>
      <c r="C26" s="237">
        <f ca="1">C8</f>
        <v>16714518.317600001</v>
      </c>
    </row>
    <row r="27" spans="2:6" x14ac:dyDescent="0.25">
      <c r="B27" s="185" t="s">
        <v>184</v>
      </c>
      <c r="C27" s="237"/>
    </row>
    <row r="28" spans="2:6" x14ac:dyDescent="0.25">
      <c r="B28" s="185" t="s">
        <v>185</v>
      </c>
      <c r="C28" s="238">
        <v>396.55580649846445</v>
      </c>
    </row>
    <row r="29" spans="2:6" x14ac:dyDescent="0.25">
      <c r="B29" s="185" t="s">
        <v>186</v>
      </c>
      <c r="C29" s="235">
        <f>'Base Financials '!V10</f>
        <v>7808035</v>
      </c>
    </row>
    <row r="30" spans="2:6" x14ac:dyDescent="0.25">
      <c r="B30" s="185" t="s">
        <v>187</v>
      </c>
      <c r="C30" s="235">
        <f>'Base Financials '!V144</f>
        <v>1936092.9999999981</v>
      </c>
    </row>
    <row r="31" spans="2:6" ht="15.75" thickBot="1" x14ac:dyDescent="0.3">
      <c r="B31" s="227" t="s">
        <v>188</v>
      </c>
      <c r="C31" s="236">
        <f>'Adjusted EBITDA Analysis'!V30</f>
        <v>1845679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X148"/>
  <sheetViews>
    <sheetView showGridLines="0" tabSelected="1" topLeftCell="A27" zoomScale="183" zoomScaleNormal="145" workbookViewId="0">
      <selection activeCell="B32" sqref="B32"/>
    </sheetView>
  </sheetViews>
  <sheetFormatPr defaultRowHeight="15" x14ac:dyDescent="0.25"/>
  <cols>
    <col min="1" max="1" width="2.42578125" style="6" customWidth="1"/>
    <col min="2" max="2" width="60" style="6" customWidth="1"/>
    <col min="3" max="7" width="12" style="6" bestFit="1" customWidth="1"/>
    <col min="8" max="8" width="3.140625" style="6" customWidth="1"/>
    <col min="9" max="14" width="13.5703125" style="6" customWidth="1"/>
    <col min="15" max="15" width="13" style="6" customWidth="1"/>
    <col min="16" max="16" width="13.5703125" style="6" customWidth="1"/>
    <col min="17" max="17" width="13" style="6" bestFit="1" customWidth="1"/>
    <col min="18" max="18" width="13.5703125" style="6" bestFit="1" customWidth="1"/>
    <col min="19" max="19" width="12" style="6" bestFit="1" customWidth="1"/>
    <col min="20" max="20" width="3.140625" style="6" customWidth="1"/>
    <col min="21" max="21" width="11.85546875" style="6" bestFit="1" customWidth="1"/>
    <col min="22" max="22" width="11.7109375" style="6" bestFit="1" customWidth="1"/>
    <col min="23" max="23" width="1.42578125" style="6" customWidth="1"/>
    <col min="24" max="24" width="11.42578125" style="6" bestFit="1" customWidth="1"/>
    <col min="25" max="25" width="1.5703125" style="6" customWidth="1"/>
    <col min="26" max="16384" width="9.140625" style="6"/>
  </cols>
  <sheetData>
    <row r="1" spans="1:24" ht="6" customHeight="1" x14ac:dyDescent="0.25">
      <c r="A1" s="6" t="s">
        <v>13</v>
      </c>
    </row>
    <row r="2" spans="1:24" x14ac:dyDescent="0.25">
      <c r="B2" s="122" t="s">
        <v>191</v>
      </c>
      <c r="C2" s="8"/>
      <c r="D2" s="8"/>
      <c r="E2" s="8"/>
      <c r="F2" s="8"/>
      <c r="G2" s="8"/>
      <c r="H2" s="8"/>
      <c r="I2" s="8"/>
      <c r="J2" s="8"/>
      <c r="K2" s="8"/>
      <c r="L2" s="8"/>
      <c r="M2" s="8"/>
      <c r="N2" s="8"/>
      <c r="O2" s="8"/>
      <c r="P2" s="8"/>
      <c r="Q2" s="8"/>
      <c r="R2" s="8"/>
      <c r="S2" s="8"/>
      <c r="T2" s="8"/>
      <c r="U2" s="8"/>
      <c r="V2" s="8"/>
      <c r="W2" s="8"/>
      <c r="X2" s="8"/>
    </row>
    <row r="3" spans="1:24" x14ac:dyDescent="0.25">
      <c r="B3" s="144" t="s">
        <v>14</v>
      </c>
      <c r="C3" s="8"/>
      <c r="D3" s="8"/>
      <c r="E3" s="8"/>
      <c r="F3" s="8"/>
      <c r="G3" s="8"/>
      <c r="H3" s="8"/>
      <c r="I3" s="8"/>
      <c r="J3" s="8"/>
      <c r="K3" s="8"/>
      <c r="L3" s="8"/>
      <c r="M3" s="8"/>
      <c r="N3" s="8"/>
      <c r="O3" s="8"/>
      <c r="P3" s="8"/>
      <c r="Q3" s="8"/>
      <c r="R3" s="8"/>
      <c r="S3" s="8"/>
      <c r="T3" s="8"/>
      <c r="U3" s="8"/>
      <c r="V3" s="8"/>
      <c r="W3" s="8"/>
      <c r="X3" s="8"/>
    </row>
    <row r="4" spans="1:24" ht="5.25" customHeight="1" x14ac:dyDescent="0.25">
      <c r="B4" s="10"/>
    </row>
    <row r="5" spans="1:24" ht="15.75" thickBot="1" x14ac:dyDescent="0.3">
      <c r="B5" s="11"/>
      <c r="C5" s="11" t="s">
        <v>4</v>
      </c>
      <c r="D5" s="11"/>
      <c r="E5" s="11"/>
      <c r="F5" s="11"/>
      <c r="G5" s="11"/>
      <c r="I5" s="11" t="s">
        <v>5</v>
      </c>
      <c r="J5" s="11"/>
      <c r="K5" s="11"/>
      <c r="L5" s="11"/>
      <c r="M5" s="11"/>
      <c r="N5" s="11"/>
      <c r="O5" s="11"/>
      <c r="P5" s="11"/>
      <c r="Q5" s="11"/>
      <c r="R5" s="11"/>
      <c r="S5" s="11"/>
      <c r="U5" s="11" t="s">
        <v>6</v>
      </c>
      <c r="V5" s="11"/>
      <c r="W5" s="12"/>
      <c r="X5" s="11" t="s">
        <v>15</v>
      </c>
    </row>
    <row r="6" spans="1:24" ht="4.5" customHeight="1" x14ac:dyDescent="0.25"/>
    <row r="7" spans="1:24" x14ac:dyDescent="0.25">
      <c r="A7" s="6" t="s">
        <v>16</v>
      </c>
      <c r="B7" s="7" t="s">
        <v>17</v>
      </c>
      <c r="C7" s="123" t="s">
        <v>85</v>
      </c>
      <c r="D7" s="123" t="s">
        <v>71</v>
      </c>
      <c r="E7" s="123" t="s">
        <v>18</v>
      </c>
      <c r="F7" s="123" t="s">
        <v>19</v>
      </c>
      <c r="G7" s="123" t="s">
        <v>20</v>
      </c>
      <c r="I7" s="123" t="s">
        <v>56</v>
      </c>
      <c r="J7" s="123" t="s">
        <v>57</v>
      </c>
      <c r="K7" s="123" t="s">
        <v>58</v>
      </c>
      <c r="L7" s="123" t="s">
        <v>59</v>
      </c>
      <c r="M7" s="123" t="s">
        <v>60</v>
      </c>
      <c r="N7" s="123" t="s">
        <v>61</v>
      </c>
      <c r="O7" s="123" t="s">
        <v>62</v>
      </c>
      <c r="P7" s="123" t="s">
        <v>63</v>
      </c>
      <c r="Q7" s="123" t="s">
        <v>64</v>
      </c>
      <c r="R7" s="123" t="s">
        <v>65</v>
      </c>
      <c r="S7" s="123" t="s">
        <v>66</v>
      </c>
      <c r="T7" s="139"/>
      <c r="U7" s="13" t="str">
        <f>O7</f>
        <v>3Q23</v>
      </c>
      <c r="V7" s="13" t="str">
        <f>S7</f>
        <v>3Q24</v>
      </c>
      <c r="W7" s="14"/>
      <c r="X7" s="244" t="s">
        <v>21</v>
      </c>
    </row>
    <row r="8" spans="1:24" x14ac:dyDescent="0.25">
      <c r="B8" s="15" t="s">
        <v>70</v>
      </c>
      <c r="C8" s="124" t="s">
        <v>88</v>
      </c>
      <c r="D8" s="124" t="s">
        <v>89</v>
      </c>
      <c r="E8" s="124" t="s">
        <v>90</v>
      </c>
      <c r="F8" s="124" t="s">
        <v>91</v>
      </c>
      <c r="G8" s="124" t="s">
        <v>92</v>
      </c>
      <c r="H8"/>
      <c r="I8" s="125"/>
      <c r="J8" s="125" t="s">
        <v>190</v>
      </c>
      <c r="K8" s="125" t="s">
        <v>189</v>
      </c>
      <c r="L8" s="125" t="str">
        <f>F8</f>
        <v>Jan. 28, 2023</v>
      </c>
      <c r="M8" s="125" t="s">
        <v>174</v>
      </c>
      <c r="N8" s="125" t="s">
        <v>172</v>
      </c>
      <c r="O8" s="125" t="s">
        <v>171</v>
      </c>
      <c r="P8" s="125" t="str">
        <f>G8</f>
        <v>Feb. 03, 2024</v>
      </c>
      <c r="Q8" s="125" t="s">
        <v>170</v>
      </c>
      <c r="R8" s="125" t="s">
        <v>169</v>
      </c>
      <c r="S8" s="125">
        <v>45598</v>
      </c>
      <c r="T8" s="140"/>
      <c r="U8" s="125" t="str">
        <f>O8</f>
        <v>Oct. 28, 2023</v>
      </c>
      <c r="V8" s="125">
        <f>S8</f>
        <v>45598</v>
      </c>
      <c r="W8" s="17"/>
      <c r="X8" s="244"/>
    </row>
    <row r="9" spans="1:24" ht="3.75" customHeight="1" x14ac:dyDescent="0.25">
      <c r="B9" s="18"/>
      <c r="C9" s="17"/>
      <c r="D9" s="17"/>
      <c r="E9" s="17"/>
      <c r="F9" s="17"/>
      <c r="G9" s="17"/>
      <c r="I9" s="19"/>
      <c r="J9" s="19"/>
      <c r="K9" s="19"/>
      <c r="L9" s="19"/>
      <c r="M9" s="19"/>
      <c r="N9" s="19"/>
      <c r="O9" s="19"/>
      <c r="P9" s="19"/>
      <c r="Q9" s="19"/>
      <c r="R9" s="19"/>
      <c r="U9" s="19"/>
      <c r="V9" s="19"/>
      <c r="W9" s="19"/>
    </row>
    <row r="10" spans="1:24" x14ac:dyDescent="0.25">
      <c r="B10" s="2" t="s">
        <v>93</v>
      </c>
      <c r="C10" s="39">
        <f>SUM(C11:C16)</f>
        <v>7398068</v>
      </c>
      <c r="D10" s="39">
        <f>SUM(D11:D16)</f>
        <v>6090433.4700000007</v>
      </c>
      <c r="E10" s="39">
        <f>SUM(E11:E16)</f>
        <v>8630889</v>
      </c>
      <c r="F10" s="39">
        <f>SUM(F11:F16)</f>
        <v>10208580</v>
      </c>
      <c r="G10" s="39">
        <f>SUM(G11:G16)</f>
        <v>11207302.999999998</v>
      </c>
      <c r="H10" s="65"/>
      <c r="I10" s="39">
        <f t="shared" ref="I10:L10" si="0">SUM(I11:I16)</f>
        <v>2345900.9999999995</v>
      </c>
      <c r="J10" s="39">
        <f t="shared" si="0"/>
        <v>2297113</v>
      </c>
      <c r="K10" s="39">
        <f t="shared" si="0"/>
        <v>2338793.0000000005</v>
      </c>
      <c r="L10" s="39">
        <f t="shared" si="0"/>
        <v>3226773</v>
      </c>
      <c r="M10" s="39">
        <f>SUM(M11:M16)</f>
        <v>2634263.0000000005</v>
      </c>
      <c r="N10" s="39">
        <f t="shared" ref="N10:P10" si="1">SUM(N11:N16)</f>
        <v>2529809</v>
      </c>
      <c r="O10" s="39">
        <f t="shared" si="1"/>
        <v>2488933</v>
      </c>
      <c r="P10" s="39">
        <f t="shared" si="1"/>
        <v>3554298</v>
      </c>
      <c r="Q10" s="39">
        <f>SUM(Q11:Q16)</f>
        <v>2725847.9999999995</v>
      </c>
      <c r="R10" s="39">
        <f>SUM(R11:R16)</f>
        <v>2552087</v>
      </c>
      <c r="S10" s="39">
        <f>SUM(S11:S16)</f>
        <v>2530100</v>
      </c>
      <c r="U10" s="23">
        <f t="shared" ref="U10:U16" si="2">SUM(M10:P10)</f>
        <v>11207303</v>
      </c>
      <c r="V10" s="23">
        <f>SUM(Q10:S10)</f>
        <v>7808035</v>
      </c>
      <c r="W10" s="24"/>
      <c r="X10" s="25">
        <f>SUM(V10/U10)-1</f>
        <v>-0.30330829816950611</v>
      </c>
    </row>
    <row r="11" spans="1:24" x14ac:dyDescent="0.25">
      <c r="B11" s="159" t="str">
        <f>' Segment Data'!B12</f>
        <v>Cosmetics</v>
      </c>
      <c r="C11" s="126">
        <f>' Segment Data'!C12</f>
        <v>3773014.68</v>
      </c>
      <c r="D11" s="126">
        <f>' Segment Data'!D12</f>
        <v>3075976.5</v>
      </c>
      <c r="E11" s="126">
        <f>' Segment Data'!E12</f>
        <v>3711282.27</v>
      </c>
      <c r="F11" s="126">
        <f>' Segment Data'!F12</f>
        <v>4287603.5999999996</v>
      </c>
      <c r="G11" s="126">
        <f>' Segment Data'!G12</f>
        <v>4594994.2299999995</v>
      </c>
      <c r="H11" s="65"/>
      <c r="I11" s="126">
        <f>' Segment Data'!I12</f>
        <v>1032196.4400000001</v>
      </c>
      <c r="J11" s="126">
        <f>' Segment Data'!J12</f>
        <v>964787.46</v>
      </c>
      <c r="K11" s="126">
        <f>' Segment Data'!K12</f>
        <v>1029068.92</v>
      </c>
      <c r="L11" s="126">
        <f>' Segment Data'!L12</f>
        <v>1355244.66</v>
      </c>
      <c r="M11" s="126">
        <f>' Segment Data'!M12</f>
        <v>1159075.72</v>
      </c>
      <c r="N11" s="126">
        <f>' Segment Data'!N12</f>
        <v>1011923.6000000001</v>
      </c>
      <c r="O11" s="126">
        <f>' Segment Data'!O12</f>
        <v>1045351.86</v>
      </c>
      <c r="P11" s="126">
        <f>' Segment Data'!P12</f>
        <v>1457262.18</v>
      </c>
      <c r="Q11" s="126">
        <f>' Segment Data'!Q12</f>
        <v>1144856.1599999999</v>
      </c>
      <c r="R11" s="126">
        <f>' Segment Data'!R12</f>
        <v>995313.93</v>
      </c>
      <c r="S11" s="126">
        <f>' Segment Data'!S12</f>
        <v>1037340.9999999999</v>
      </c>
      <c r="U11" s="23">
        <f t="shared" si="2"/>
        <v>4673613.3600000003</v>
      </c>
      <c r="V11" s="23">
        <f t="shared" ref="V11:V16" si="3">SUM(Q11:S11)</f>
        <v>3177511.09</v>
      </c>
      <c r="W11" s="24"/>
      <c r="X11" s="25">
        <f t="shared" ref="X11:X16" si="4">SUM(V11/U11)-1</f>
        <v>-0.32011682498271543</v>
      </c>
    </row>
    <row r="12" spans="1:24" x14ac:dyDescent="0.25">
      <c r="B12" s="159" t="str">
        <f>' Segment Data'!B13</f>
        <v>Haircare products and styling tools</v>
      </c>
      <c r="C12" s="126">
        <f>' Segment Data'!C13</f>
        <v>1405632.92</v>
      </c>
      <c r="D12" s="126">
        <f>' Segment Data'!D13</f>
        <v>1168871.07</v>
      </c>
      <c r="E12" s="126">
        <f>' Segment Data'!E13</f>
        <v>1726177.8</v>
      </c>
      <c r="F12" s="126">
        <f>' Segment Data'!F13</f>
        <v>2143801.7999999998</v>
      </c>
      <c r="G12" s="126">
        <f>' Segment Data'!G13</f>
        <v>2129387.5699999998</v>
      </c>
      <c r="H12" s="65"/>
      <c r="I12" s="126">
        <f>' Segment Data'!I13</f>
        <v>469180.2</v>
      </c>
      <c r="J12" s="126">
        <f>' Segment Data'!J13</f>
        <v>505364.86</v>
      </c>
      <c r="K12" s="126">
        <f>' Segment Data'!K13</f>
        <v>491146.52999999997</v>
      </c>
      <c r="L12" s="126">
        <f>' Segment Data'!L13</f>
        <v>677622.33</v>
      </c>
      <c r="M12" s="126">
        <f>' Segment Data'!M13</f>
        <v>474167.33999999997</v>
      </c>
      <c r="N12" s="126">
        <f>' Segment Data'!N13</f>
        <v>531259.89</v>
      </c>
      <c r="O12" s="126">
        <f>' Segment Data'!O13</f>
        <v>472897.27</v>
      </c>
      <c r="P12" s="126">
        <f>' Segment Data'!P13</f>
        <v>675316.62</v>
      </c>
      <c r="Q12" s="126">
        <f>' Segment Data'!Q13</f>
        <v>517911.12</v>
      </c>
      <c r="R12" s="126">
        <f>' Segment Data'!R13</f>
        <v>510417.4</v>
      </c>
      <c r="S12" s="126">
        <f>' Segment Data'!S13</f>
        <v>506020</v>
      </c>
      <c r="U12" s="23">
        <f t="shared" si="2"/>
        <v>2153641.12</v>
      </c>
      <c r="V12" s="23">
        <f t="shared" si="3"/>
        <v>1534348.52</v>
      </c>
      <c r="W12" s="24"/>
      <c r="X12" s="25">
        <f t="shared" si="4"/>
        <v>-0.28755608083857542</v>
      </c>
    </row>
    <row r="13" spans="1:24" x14ac:dyDescent="0.25">
      <c r="B13" s="159" t="str">
        <f>' Segment Data'!B14</f>
        <v>Skincare</v>
      </c>
      <c r="C13" s="126">
        <f>' Segment Data'!C14</f>
        <v>854476.85400000005</v>
      </c>
      <c r="D13" s="126">
        <f>' Segment Data'!D14</f>
        <v>710550.57150000008</v>
      </c>
      <c r="E13" s="126">
        <f>' Segment Data'!E14</f>
        <v>1467251.1300000001</v>
      </c>
      <c r="F13" s="126">
        <f>' Segment Data'!F14</f>
        <v>1735458.6</v>
      </c>
      <c r="G13" s="126">
        <f>' Segment Data'!G14</f>
        <v>2129387.5699999998</v>
      </c>
      <c r="H13" s="65"/>
      <c r="I13" s="126">
        <f>' Segment Data'!I14</f>
        <v>422262.18</v>
      </c>
      <c r="J13" s="126">
        <f>' Segment Data'!J14</f>
        <v>390509.21</v>
      </c>
      <c r="K13" s="126">
        <f>' Segment Data'!K14</f>
        <v>374206.88</v>
      </c>
      <c r="L13" s="126">
        <f>' Segment Data'!L14</f>
        <v>548551.41</v>
      </c>
      <c r="M13" s="126">
        <f>' Segment Data'!M14</f>
        <v>500509.97000000003</v>
      </c>
      <c r="N13" s="126">
        <f>' Segment Data'!N14</f>
        <v>505961.80000000005</v>
      </c>
      <c r="O13" s="126">
        <f>' Segment Data'!O14</f>
        <v>472897.27</v>
      </c>
      <c r="P13" s="126">
        <f>' Segment Data'!P14</f>
        <v>675316.62</v>
      </c>
      <c r="Q13" s="126">
        <f>' Segment Data'!Q14</f>
        <v>626945.04</v>
      </c>
      <c r="R13" s="126">
        <f>' Segment Data'!R14</f>
        <v>612500.88</v>
      </c>
      <c r="S13" s="126">
        <f>' Segment Data'!S14</f>
        <v>581923</v>
      </c>
      <c r="U13" s="23">
        <f t="shared" si="2"/>
        <v>2154685.66</v>
      </c>
      <c r="V13" s="23">
        <f t="shared" si="3"/>
        <v>1821368.92</v>
      </c>
      <c r="W13" s="24"/>
      <c r="X13" s="25">
        <f t="shared" si="4"/>
        <v>-0.15469390556022</v>
      </c>
    </row>
    <row r="14" spans="1:24" x14ac:dyDescent="0.25">
      <c r="B14" s="159" t="str">
        <f>' Segment Data'!B15</f>
        <v>Fragrance and bath</v>
      </c>
      <c r="C14" s="126">
        <f>' Segment Data'!C15</f>
        <v>699117.42599999998</v>
      </c>
      <c r="D14" s="126">
        <f>' Segment Data'!D15</f>
        <v>581359.55850000004</v>
      </c>
      <c r="E14" s="126">
        <f>' Segment Data'!E15</f>
        <v>1208324.4600000002</v>
      </c>
      <c r="F14" s="126">
        <f>' Segment Data'!F15</f>
        <v>1429201.2000000002</v>
      </c>
      <c r="G14" s="126">
        <f>' Segment Data'!G15</f>
        <v>1681095.45</v>
      </c>
      <c r="H14" s="65"/>
      <c r="I14" s="126">
        <f>' Segment Data'!I15</f>
        <v>281508.12</v>
      </c>
      <c r="J14" s="126">
        <f>' Segment Data'!J15</f>
        <v>275653.56</v>
      </c>
      <c r="K14" s="126">
        <f>' Segment Data'!K15</f>
        <v>280655.15999999997</v>
      </c>
      <c r="L14" s="126">
        <f>' Segment Data'!L15</f>
        <v>451748.22000000003</v>
      </c>
      <c r="M14" s="126">
        <f>' Segment Data'!M15</f>
        <v>316111.56</v>
      </c>
      <c r="N14" s="126">
        <f>' Segment Data'!N15</f>
        <v>303577.08</v>
      </c>
      <c r="O14" s="126">
        <f>' Segment Data'!O15</f>
        <v>323561.29000000004</v>
      </c>
      <c r="P14" s="126">
        <f>' Segment Data'!P15</f>
        <v>533144.69999999995</v>
      </c>
      <c r="Q14" s="126">
        <f>' Segment Data'!Q15</f>
        <v>272584.8</v>
      </c>
      <c r="R14" s="126">
        <f>' Segment Data'!R15</f>
        <v>280729.57</v>
      </c>
      <c r="S14" s="126">
        <f>' Segment Data'!S15</f>
        <v>253010</v>
      </c>
      <c r="U14" s="23">
        <f t="shared" si="2"/>
        <v>1476394.63</v>
      </c>
      <c r="V14" s="23">
        <f t="shared" si="3"/>
        <v>806324.37</v>
      </c>
      <c r="W14" s="24"/>
      <c r="X14" s="25">
        <f t="shared" si="4"/>
        <v>-0.45385579599405612</v>
      </c>
    </row>
    <row r="15" spans="1:24" x14ac:dyDescent="0.25">
      <c r="B15" s="159" t="str">
        <f>' Segment Data'!B16</f>
        <v>Services</v>
      </c>
      <c r="C15" s="126">
        <f>' Segment Data'!C16</f>
        <v>369903.4</v>
      </c>
      <c r="D15" s="126">
        <f>' Segment Data'!D16</f>
        <v>307597.65000000002</v>
      </c>
      <c r="E15" s="126">
        <f>' Segment Data'!E16</f>
        <v>258926.66999999998</v>
      </c>
      <c r="F15" s="126">
        <f>' Segment Data'!F16</f>
        <v>306257.39999999997</v>
      </c>
      <c r="G15" s="126">
        <f>' Segment Data'!G16</f>
        <v>336219.08999999997</v>
      </c>
      <c r="H15" s="65"/>
      <c r="I15" s="126">
        <f>' Segment Data'!I16</f>
        <v>70377.03</v>
      </c>
      <c r="J15" s="126">
        <f>' Segment Data'!J16</f>
        <v>91884.52</v>
      </c>
      <c r="K15" s="126">
        <f>' Segment Data'!K16</f>
        <v>93551.72</v>
      </c>
      <c r="L15" s="126">
        <f>' Segment Data'!L16</f>
        <v>96803.19</v>
      </c>
      <c r="M15" s="126">
        <f>' Segment Data'!M16</f>
        <v>105370.52</v>
      </c>
      <c r="N15" s="126">
        <f>' Segment Data'!N16</f>
        <v>101192.36</v>
      </c>
      <c r="O15" s="126">
        <f>' Segment Data'!O16</f>
        <v>99557.32</v>
      </c>
      <c r="P15" s="126">
        <f>' Segment Data'!P16</f>
        <v>106628.94</v>
      </c>
      <c r="Q15" s="126">
        <f>' Segment Data'!Q16</f>
        <v>109033.92</v>
      </c>
      <c r="R15" s="126">
        <f>' Segment Data'!R16</f>
        <v>102083.48</v>
      </c>
      <c r="S15" s="126">
        <f>' Segment Data'!S16</f>
        <v>101204</v>
      </c>
      <c r="U15" s="23">
        <f t="shared" si="2"/>
        <v>412749.14</v>
      </c>
      <c r="V15" s="23">
        <f t="shared" si="3"/>
        <v>312321.40000000002</v>
      </c>
      <c r="W15" s="24"/>
      <c r="X15" s="25">
        <f t="shared" si="4"/>
        <v>-0.24331423198119806</v>
      </c>
    </row>
    <row r="16" spans="1:24" x14ac:dyDescent="0.25">
      <c r="B16" s="159" t="str">
        <f>' Segment Data'!B17</f>
        <v>Accessories and other</v>
      </c>
      <c r="C16" s="126">
        <f>' Segment Data'!C17</f>
        <v>295922.72000000003</v>
      </c>
      <c r="D16" s="126">
        <f>' Segment Data'!D17</f>
        <v>246078.12</v>
      </c>
      <c r="E16" s="126">
        <f>' Segment Data'!E17</f>
        <v>258926.66999999998</v>
      </c>
      <c r="F16" s="126">
        <f>' Segment Data'!F17</f>
        <v>306257.39999999997</v>
      </c>
      <c r="G16" s="126">
        <f>' Segment Data'!G17</f>
        <v>336219.08999999997</v>
      </c>
      <c r="H16" s="65"/>
      <c r="I16" s="126">
        <f>' Segment Data'!I17</f>
        <v>70377.03</v>
      </c>
      <c r="J16" s="126">
        <f>' Segment Data'!J17</f>
        <v>68913.39</v>
      </c>
      <c r="K16" s="126">
        <f>' Segment Data'!K17</f>
        <v>70163.789999999994</v>
      </c>
      <c r="L16" s="126">
        <f>' Segment Data'!L17</f>
        <v>96803.19</v>
      </c>
      <c r="M16" s="126">
        <f>' Segment Data'!M17</f>
        <v>79027.89</v>
      </c>
      <c r="N16" s="126">
        <f>' Segment Data'!N17</f>
        <v>75894.27</v>
      </c>
      <c r="O16" s="126">
        <f>' Segment Data'!O17</f>
        <v>74667.989999999991</v>
      </c>
      <c r="P16" s="126">
        <f>' Segment Data'!P17</f>
        <v>106628.94</v>
      </c>
      <c r="Q16" s="126">
        <f>' Segment Data'!Q17</f>
        <v>54516.959999999999</v>
      </c>
      <c r="R16" s="126">
        <f>' Segment Data'!R17</f>
        <v>51041.74</v>
      </c>
      <c r="S16" s="126">
        <f>' Segment Data'!S17</f>
        <v>50602</v>
      </c>
      <c r="U16" s="23">
        <f t="shared" si="2"/>
        <v>336219.08999999997</v>
      </c>
      <c r="V16" s="23">
        <f t="shared" si="3"/>
        <v>156160.70000000001</v>
      </c>
      <c r="W16" s="24"/>
      <c r="X16" s="25">
        <f t="shared" si="4"/>
        <v>-0.53553886544633733</v>
      </c>
    </row>
    <row r="17" spans="2:24" x14ac:dyDescent="0.25">
      <c r="B17" s="44" t="s">
        <v>94</v>
      </c>
      <c r="C17" s="22">
        <v>-4717004</v>
      </c>
      <c r="D17" s="22">
        <v>-4202794</v>
      </c>
      <c r="E17" s="22">
        <v>-5262335</v>
      </c>
      <c r="F17" s="22">
        <v>-6164070</v>
      </c>
      <c r="G17" s="22">
        <v>-6826203</v>
      </c>
      <c r="H17" s="65"/>
      <c r="I17" s="22">
        <v>-1404875</v>
      </c>
      <c r="J17" s="22">
        <v>-1368949</v>
      </c>
      <c r="K17" s="22">
        <v>-1375976</v>
      </c>
      <c r="L17" s="1">
        <f>SUM(F17-SUM(I17:K17))</f>
        <v>-2014270</v>
      </c>
      <c r="M17" s="22">
        <v>-1579406</v>
      </c>
      <c r="N17" s="22">
        <v>-1536197</v>
      </c>
      <c r="O17" s="130">
        <v>-1496866</v>
      </c>
      <c r="P17" s="1">
        <f>SUM(G17-SUM(M17:O17))</f>
        <v>-2213734</v>
      </c>
      <c r="Q17" s="22">
        <v>-1656068</v>
      </c>
      <c r="R17" s="22">
        <v>-1573910</v>
      </c>
      <c r="S17" s="22">
        <v>-1524456</v>
      </c>
      <c r="U17" s="23">
        <f>SUM(M17:P17)</f>
        <v>-6826203</v>
      </c>
      <c r="V17" s="23">
        <f>SUM(Q17:S17)</f>
        <v>-4754434</v>
      </c>
      <c r="W17" s="23"/>
      <c r="X17" s="25">
        <f t="shared" ref="X17" si="5">SUM(V17/U17)-1</f>
        <v>-0.30350240096873771</v>
      </c>
    </row>
    <row r="18" spans="2:24" x14ac:dyDescent="0.25">
      <c r="B18" s="27" t="s">
        <v>22</v>
      </c>
      <c r="C18" s="28">
        <f>SUM(C10+C17)</f>
        <v>2681064</v>
      </c>
      <c r="D18" s="28">
        <f>SUM(D10+D17)</f>
        <v>1887639.4700000007</v>
      </c>
      <c r="E18" s="28">
        <f>SUM(E10+E17)</f>
        <v>3368554</v>
      </c>
      <c r="F18" s="28">
        <f>SUM(F10+F17)</f>
        <v>4044510</v>
      </c>
      <c r="G18" s="28">
        <f>SUM(G10+G17)</f>
        <v>4381099.9999999981</v>
      </c>
      <c r="H18" s="21"/>
      <c r="I18" s="28">
        <f t="shared" ref="I18:S18" si="6">SUM(I10+I17)</f>
        <v>941025.99999999953</v>
      </c>
      <c r="J18" s="28">
        <f t="shared" si="6"/>
        <v>928164</v>
      </c>
      <c r="K18" s="28">
        <f t="shared" si="6"/>
        <v>962817.00000000047</v>
      </c>
      <c r="L18" s="28">
        <f t="shared" si="6"/>
        <v>1212503</v>
      </c>
      <c r="M18" s="28">
        <f t="shared" si="6"/>
        <v>1054857.0000000005</v>
      </c>
      <c r="N18" s="28">
        <f t="shared" si="6"/>
        <v>993612</v>
      </c>
      <c r="O18" s="28">
        <f>SUM(O10+O17)</f>
        <v>992067</v>
      </c>
      <c r="P18" s="28">
        <f>SUM(P10+P17)</f>
        <v>1340564</v>
      </c>
      <c r="Q18" s="28">
        <f t="shared" si="6"/>
        <v>1069779.9999999995</v>
      </c>
      <c r="R18" s="28">
        <f t="shared" si="6"/>
        <v>978177</v>
      </c>
      <c r="S18" s="28">
        <f t="shared" si="6"/>
        <v>1005644</v>
      </c>
      <c r="U18" s="28">
        <f>SUM(U10+U17)</f>
        <v>4381100</v>
      </c>
      <c r="V18" s="28">
        <f>SUM(V10+V17)</f>
        <v>3053601</v>
      </c>
      <c r="W18" s="29"/>
      <c r="X18" s="30">
        <f>SUM(V18/U18)-1</f>
        <v>-0.30300586610668556</v>
      </c>
    </row>
    <row r="19" spans="2:24" x14ac:dyDescent="0.25">
      <c r="B19" s="31" t="s">
        <v>23</v>
      </c>
      <c r="C19" s="32"/>
      <c r="D19" s="33">
        <f t="shared" ref="D19:E19" si="7">D18/C18-1</f>
        <v>-0.29593643792166069</v>
      </c>
      <c r="E19" s="33">
        <f t="shared" si="7"/>
        <v>0.78453250927201612</v>
      </c>
      <c r="F19" s="33">
        <f>F18/E18-1</f>
        <v>0.2006665174433897</v>
      </c>
      <c r="G19" s="33">
        <f>G18/F18-1</f>
        <v>8.32214532786415E-2</v>
      </c>
      <c r="H19" s="33"/>
      <c r="I19" s="33"/>
      <c r="J19" s="33">
        <f t="shared" ref="J19:S19" si="8">J18/I18-1</f>
        <v>-1.3668060181120989E-2</v>
      </c>
      <c r="K19" s="33">
        <f t="shared" si="8"/>
        <v>3.7334996832456779E-2</v>
      </c>
      <c r="L19" s="33">
        <f t="shared" si="8"/>
        <v>0.25932861592597489</v>
      </c>
      <c r="M19" s="33">
        <f>M18/L18-1</f>
        <v>-0.13001699789608734</v>
      </c>
      <c r="N19" s="33">
        <f t="shared" si="8"/>
        <v>-5.8060002445829539E-2</v>
      </c>
      <c r="O19" s="33">
        <f t="shared" si="8"/>
        <v>-1.5549329114382671E-3</v>
      </c>
      <c r="P19" s="33">
        <f>P18/O18-1</f>
        <v>0.3512837338607171</v>
      </c>
      <c r="Q19" s="33">
        <f t="shared" si="8"/>
        <v>-0.20199259416186055</v>
      </c>
      <c r="R19" s="33">
        <f t="shared" si="8"/>
        <v>-8.5627886107423556E-2</v>
      </c>
      <c r="S19" s="33">
        <f t="shared" si="8"/>
        <v>2.8079785151358116E-2</v>
      </c>
      <c r="V19" s="33">
        <f>V18/U18-1</f>
        <v>-0.30300586610668556</v>
      </c>
      <c r="W19" s="29"/>
      <c r="X19" s="34"/>
    </row>
    <row r="20" spans="2:24" x14ac:dyDescent="0.25">
      <c r="B20" s="31" t="s">
        <v>24</v>
      </c>
      <c r="C20" s="33">
        <f>SUM(C18/C10)</f>
        <v>0.36240056187642505</v>
      </c>
      <c r="D20" s="33">
        <f>SUM(D18/D10)</f>
        <v>0.30993515967263335</v>
      </c>
      <c r="E20" s="33">
        <f>SUM(E18/E10)</f>
        <v>0.3902905019401825</v>
      </c>
      <c r="F20" s="33">
        <f>SUM(F18/F10)</f>
        <v>0.39618732477974411</v>
      </c>
      <c r="G20" s="33">
        <f>SUM(G18/G10)</f>
        <v>0.39091474550121458</v>
      </c>
      <c r="H20" s="33"/>
      <c r="I20" s="33">
        <f t="shared" ref="I20:S20" si="9">SUM(I18/I10)</f>
        <v>0.40113627983448563</v>
      </c>
      <c r="J20" s="33">
        <f t="shared" si="9"/>
        <v>0.40405674426987265</v>
      </c>
      <c r="K20" s="33">
        <f t="shared" si="9"/>
        <v>0.41167260206439832</v>
      </c>
      <c r="L20" s="33">
        <f t="shared" si="9"/>
        <v>0.37576334003042666</v>
      </c>
      <c r="M20" s="33">
        <f t="shared" si="9"/>
        <v>0.40043723804343007</v>
      </c>
      <c r="N20" s="33">
        <f t="shared" si="9"/>
        <v>0.39276166698750775</v>
      </c>
      <c r="O20" s="33">
        <f t="shared" si="9"/>
        <v>0.39859128389554882</v>
      </c>
      <c r="P20" s="33">
        <f t="shared" si="9"/>
        <v>0.37716702426189364</v>
      </c>
      <c r="Q20" s="33">
        <f t="shared" si="9"/>
        <v>0.3924576865621266</v>
      </c>
      <c r="R20" s="33">
        <f t="shared" si="9"/>
        <v>0.38328513095360778</v>
      </c>
      <c r="S20" s="33">
        <f t="shared" si="9"/>
        <v>0.39747203667839215</v>
      </c>
      <c r="U20" s="33">
        <f>SUM(U18/U10)</f>
        <v>0.39091474550121469</v>
      </c>
      <c r="V20" s="33">
        <f>SUM(V18/V10)</f>
        <v>0.39108444057948</v>
      </c>
      <c r="W20" s="29"/>
      <c r="X20" s="25">
        <f>SUM(V20/U20)-1</f>
        <v>4.3409740926425577E-4</v>
      </c>
    </row>
    <row r="21" spans="2:24" ht="2.25" customHeight="1" x14ac:dyDescent="0.25">
      <c r="B21" s="35" t="s">
        <v>25</v>
      </c>
      <c r="C21" s="32">
        <v>49</v>
      </c>
      <c r="D21" s="32">
        <v>49</v>
      </c>
      <c r="E21" s="32">
        <v>49</v>
      </c>
      <c r="F21" s="32">
        <v>2777</v>
      </c>
      <c r="G21" s="32">
        <v>7833</v>
      </c>
      <c r="I21" s="32"/>
      <c r="J21" s="32"/>
      <c r="K21" s="32"/>
      <c r="L21" s="32"/>
      <c r="M21" s="32">
        <v>-28777</v>
      </c>
      <c r="N21" s="32">
        <v>-27879</v>
      </c>
      <c r="O21" s="32"/>
      <c r="P21" s="32">
        <v>-19934</v>
      </c>
      <c r="Q21" s="32">
        <v>-61402</v>
      </c>
      <c r="R21" s="32"/>
      <c r="U21" s="36"/>
      <c r="V21" s="36"/>
      <c r="W21" s="36"/>
      <c r="X21" s="37"/>
    </row>
    <row r="22" spans="2:24" x14ac:dyDescent="0.25">
      <c r="B22" s="38" t="s">
        <v>67</v>
      </c>
      <c r="C22" s="20"/>
      <c r="D22" s="20"/>
      <c r="E22" s="20"/>
      <c r="F22" s="20"/>
      <c r="G22" s="20"/>
      <c r="I22" s="20"/>
      <c r="J22" s="20"/>
      <c r="K22" s="39"/>
      <c r="L22" s="20"/>
      <c r="M22" s="20"/>
      <c r="N22" s="20"/>
      <c r="O22" s="39"/>
      <c r="P22" s="20"/>
      <c r="Q22" s="20"/>
      <c r="R22" s="20"/>
      <c r="U22" s="23"/>
      <c r="V22" s="23"/>
      <c r="W22" s="23"/>
      <c r="X22" s="40"/>
    </row>
    <row r="23" spans="2:24" x14ac:dyDescent="0.25">
      <c r="B23" s="26" t="s">
        <v>95</v>
      </c>
      <c r="C23" s="22">
        <v>-1760716</v>
      </c>
      <c r="D23" s="22">
        <v>-1583017</v>
      </c>
      <c r="E23" s="22">
        <v>-2061545</v>
      </c>
      <c r="F23" s="22">
        <v>-2395299</v>
      </c>
      <c r="G23" s="22">
        <v>-2694561</v>
      </c>
      <c r="H23" s="131"/>
      <c r="I23" s="130">
        <v>-500970</v>
      </c>
      <c r="J23" s="130">
        <v>-534459</v>
      </c>
      <c r="K23" s="130">
        <v>-597164</v>
      </c>
      <c r="L23" s="1">
        <f t="shared" ref="L23:L25" si="10">SUM(E23-SUM(I23:K23))</f>
        <v>-428952</v>
      </c>
      <c r="M23" s="130">
        <v>-612129</v>
      </c>
      <c r="N23" s="130">
        <v>-600692</v>
      </c>
      <c r="O23" s="130">
        <v>-661380</v>
      </c>
      <c r="P23" s="1">
        <f>SUM(G23-SUM(M23:O23))</f>
        <v>-820360</v>
      </c>
      <c r="Q23" s="130">
        <v>-665913</v>
      </c>
      <c r="R23" s="130">
        <v>-644821</v>
      </c>
      <c r="S23" s="130">
        <v>-682259</v>
      </c>
      <c r="U23" s="23">
        <f>SUM(M23:P23)</f>
        <v>-2694561</v>
      </c>
      <c r="V23" s="23">
        <f>SUM(Q23:S23)</f>
        <v>-1992993</v>
      </c>
      <c r="W23" s="23"/>
      <c r="X23" s="25">
        <f t="shared" ref="X23:X25" si="11">SUM(V23/U23)-1</f>
        <v>-0.26036448980000826</v>
      </c>
    </row>
    <row r="24" spans="2:24" x14ac:dyDescent="0.25">
      <c r="B24" s="26" t="s">
        <v>97</v>
      </c>
      <c r="C24" s="22">
        <v>-19254</v>
      </c>
      <c r="D24" s="22">
        <v>-15000</v>
      </c>
      <c r="E24" s="22">
        <v>-9517</v>
      </c>
      <c r="F24" s="22">
        <v>-10601</v>
      </c>
      <c r="G24" s="22">
        <v>-8510</v>
      </c>
      <c r="H24" s="131"/>
      <c r="I24" s="130">
        <v>-2348</v>
      </c>
      <c r="J24" s="130">
        <v>-2277</v>
      </c>
      <c r="K24" s="130">
        <v>-3797</v>
      </c>
      <c r="L24" s="1">
        <f>SUM(E24-SUM(I24:K24))</f>
        <v>-1095</v>
      </c>
      <c r="M24" s="130">
        <v>-658</v>
      </c>
      <c r="N24" s="130">
        <v>-1278</v>
      </c>
      <c r="O24" s="130">
        <v>-3460</v>
      </c>
      <c r="P24" s="1">
        <f>SUM(G24-SUM(M24:O24))</f>
        <v>-3114</v>
      </c>
      <c r="Q24" s="130">
        <v>-2919</v>
      </c>
      <c r="R24" s="130">
        <v>-4155</v>
      </c>
      <c r="S24" s="130">
        <v>-4883</v>
      </c>
      <c r="U24" s="23">
        <f t="shared" ref="U24:U25" si="12">SUM(M24:P24)</f>
        <v>-8510</v>
      </c>
      <c r="V24" s="23">
        <f t="shared" ref="V24:V25" si="13">SUM(Q24:S24)</f>
        <v>-11957</v>
      </c>
      <c r="W24" s="23"/>
      <c r="X24" s="25">
        <f t="shared" si="11"/>
        <v>0.40505287896592246</v>
      </c>
    </row>
    <row r="25" spans="2:24" x14ac:dyDescent="0.25">
      <c r="B25" s="26" t="s">
        <v>96</v>
      </c>
      <c r="C25" s="143">
        <v>0</v>
      </c>
      <c r="D25" s="22">
        <v>-114322</v>
      </c>
      <c r="E25" s="143">
        <v>0</v>
      </c>
      <c r="F25" s="143">
        <v>0</v>
      </c>
      <c r="G25" s="143">
        <v>0</v>
      </c>
      <c r="H25" s="131"/>
      <c r="I25" s="143">
        <v>0</v>
      </c>
      <c r="J25" s="143">
        <v>0</v>
      </c>
      <c r="K25" s="143">
        <v>0</v>
      </c>
      <c r="L25" s="1">
        <f t="shared" si="10"/>
        <v>0</v>
      </c>
      <c r="M25" s="143">
        <v>0</v>
      </c>
      <c r="N25" s="143">
        <v>0</v>
      </c>
      <c r="O25" s="143">
        <v>0</v>
      </c>
      <c r="P25" s="1">
        <f>SUM(G25-SUM(M25:O25))</f>
        <v>0</v>
      </c>
      <c r="Q25" s="143">
        <v>0</v>
      </c>
      <c r="R25" s="143">
        <v>0</v>
      </c>
      <c r="S25" s="143">
        <v>0</v>
      </c>
      <c r="U25" s="23">
        <f t="shared" si="12"/>
        <v>0</v>
      </c>
      <c r="V25" s="23">
        <f t="shared" si="13"/>
        <v>0</v>
      </c>
      <c r="W25" s="23"/>
      <c r="X25" s="25" t="e">
        <f t="shared" si="11"/>
        <v>#DIV/0!</v>
      </c>
    </row>
    <row r="26" spans="2:24" x14ac:dyDescent="0.25">
      <c r="B26" s="41" t="s">
        <v>27</v>
      </c>
      <c r="C26" s="28">
        <f>SUM(C23:C25)+C18</f>
        <v>901094</v>
      </c>
      <c r="D26" s="28">
        <f>SUM(D23:D25)+D18</f>
        <v>175300.47000000067</v>
      </c>
      <c r="E26" s="28">
        <f>SUM(E23:E25)+E18</f>
        <v>1297492</v>
      </c>
      <c r="F26" s="28">
        <f>SUM(F23:F25)+F18</f>
        <v>1638610</v>
      </c>
      <c r="G26" s="28">
        <f>SUM(G23:G25)+G18</f>
        <v>1678028.9999999981</v>
      </c>
      <c r="I26" s="28">
        <f t="shared" ref="I26:S26" si="14">SUM(I18+SUM(I23:I25))</f>
        <v>437707.99999999953</v>
      </c>
      <c r="J26" s="28">
        <f t="shared" si="14"/>
        <v>391428</v>
      </c>
      <c r="K26" s="28">
        <f t="shared" si="14"/>
        <v>361856.00000000047</v>
      </c>
      <c r="L26" s="28">
        <f t="shared" si="14"/>
        <v>782456</v>
      </c>
      <c r="M26" s="28">
        <f t="shared" si="14"/>
        <v>442070.00000000047</v>
      </c>
      <c r="N26" s="28">
        <f t="shared" si="14"/>
        <v>391642</v>
      </c>
      <c r="O26" s="28">
        <f t="shared" si="14"/>
        <v>327227</v>
      </c>
      <c r="P26" s="28">
        <f t="shared" si="14"/>
        <v>517090</v>
      </c>
      <c r="Q26" s="28">
        <f t="shared" si="14"/>
        <v>400947.99999999953</v>
      </c>
      <c r="R26" s="28">
        <f t="shared" si="14"/>
        <v>329201</v>
      </c>
      <c r="S26" s="28">
        <f t="shared" si="14"/>
        <v>318502</v>
      </c>
      <c r="U26" s="28">
        <f>SUM(U18+SUM(U23:U25))</f>
        <v>1678029</v>
      </c>
      <c r="V26" s="28">
        <f>SUM(V18+SUM(V23:V25))</f>
        <v>1048651</v>
      </c>
      <c r="W26" s="29"/>
      <c r="X26" s="30">
        <f>SUM(V26/U26)-1</f>
        <v>-0.37506979915126615</v>
      </c>
    </row>
    <row r="27" spans="2:24" x14ac:dyDescent="0.25">
      <c r="B27" s="31" t="s">
        <v>23</v>
      </c>
      <c r="C27" s="42"/>
      <c r="D27" s="33">
        <f t="shared" ref="D27:E27" si="15">D26/C26-1</f>
        <v>-0.80545817639447082</v>
      </c>
      <c r="E27" s="33">
        <f t="shared" si="15"/>
        <v>6.4015317814036381</v>
      </c>
      <c r="F27" s="33">
        <f>F26/E26-1</f>
        <v>0.26290566724110831</v>
      </c>
      <c r="G27" s="33">
        <f>G26/F26-1</f>
        <v>2.4056364845813194E-2</v>
      </c>
      <c r="H27" s="33"/>
      <c r="I27" s="33"/>
      <c r="J27" s="33">
        <f t="shared" ref="J27:S27" si="16">J26/I26-1</f>
        <v>-0.10573258884918613</v>
      </c>
      <c r="K27" s="33">
        <f t="shared" si="16"/>
        <v>-7.5549015400021347E-2</v>
      </c>
      <c r="L27" s="33">
        <f t="shared" si="16"/>
        <v>1.1623408206579384</v>
      </c>
      <c r="M27" s="33">
        <f>M26/L26-1</f>
        <v>-0.43502254439866206</v>
      </c>
      <c r="N27" s="33">
        <f t="shared" si="16"/>
        <v>-0.11407243196778882</v>
      </c>
      <c r="O27" s="33">
        <f t="shared" si="16"/>
        <v>-0.16447418816163739</v>
      </c>
      <c r="P27" s="33">
        <f t="shared" si="16"/>
        <v>0.58021801379470528</v>
      </c>
      <c r="Q27" s="33">
        <f t="shared" si="16"/>
        <v>-0.22460693496296669</v>
      </c>
      <c r="R27" s="33">
        <f t="shared" si="16"/>
        <v>-0.17894340413220566</v>
      </c>
      <c r="S27" s="33">
        <f t="shared" si="16"/>
        <v>-3.2499901276120013E-2</v>
      </c>
      <c r="V27" s="33">
        <f>V26/U26-1</f>
        <v>-0.37506979915126615</v>
      </c>
      <c r="W27" s="43"/>
      <c r="X27" s="40"/>
    </row>
    <row r="28" spans="2:24" x14ac:dyDescent="0.25">
      <c r="B28" s="31" t="s">
        <v>28</v>
      </c>
      <c r="C28" s="33">
        <f>SUM(C26/C10)</f>
        <v>0.12180125946395734</v>
      </c>
      <c r="D28" s="33">
        <f>SUM(D26/D10)</f>
        <v>2.8782921751544992E-2</v>
      </c>
      <c r="E28" s="33">
        <f>SUM(E26/E10)</f>
        <v>0.15033121153568305</v>
      </c>
      <c r="F28" s="33">
        <f>SUM(F26/F10)</f>
        <v>0.16051301944050986</v>
      </c>
      <c r="G28" s="33">
        <f>SUM(G26/G10)</f>
        <v>0.14972638823095963</v>
      </c>
      <c r="H28" s="33"/>
      <c r="I28" s="33">
        <f t="shared" ref="I28:S28" si="17">SUM(I26/I10)</f>
        <v>0.18658417384194798</v>
      </c>
      <c r="J28" s="33">
        <f t="shared" si="17"/>
        <v>0.17039997596983691</v>
      </c>
      <c r="K28" s="33">
        <f t="shared" si="17"/>
        <v>0.15471912221389425</v>
      </c>
      <c r="L28" s="33">
        <f t="shared" si="17"/>
        <v>0.24248870310988718</v>
      </c>
      <c r="M28" s="33">
        <f t="shared" si="17"/>
        <v>0.16781543832183818</v>
      </c>
      <c r="N28" s="33">
        <f t="shared" si="17"/>
        <v>0.15481089679102256</v>
      </c>
      <c r="O28" s="33">
        <f t="shared" si="17"/>
        <v>0.1314728038078968</v>
      </c>
      <c r="P28" s="33">
        <f t="shared" si="17"/>
        <v>0.14548301802493768</v>
      </c>
      <c r="Q28" s="33">
        <f t="shared" si="17"/>
        <v>0.14709110706099518</v>
      </c>
      <c r="R28" s="33">
        <f t="shared" si="17"/>
        <v>0.12899285956944256</v>
      </c>
      <c r="S28" s="33">
        <f t="shared" si="17"/>
        <v>0.12588514287972807</v>
      </c>
      <c r="U28" s="33">
        <f>SUM(U26/U10)</f>
        <v>0.14972638823095977</v>
      </c>
      <c r="V28" s="33">
        <f>SUM(V26/V10)</f>
        <v>0.13430408547092834</v>
      </c>
      <c r="W28" s="43"/>
      <c r="X28" s="25">
        <f>SUM(V28/U28)-1</f>
        <v>-0.10300323772080722</v>
      </c>
    </row>
    <row r="29" spans="2:24" ht="2.25" customHeight="1" x14ac:dyDescent="0.25">
      <c r="B29" s="35" t="s">
        <v>25</v>
      </c>
      <c r="C29" s="32">
        <v>49</v>
      </c>
      <c r="D29" s="32">
        <v>49</v>
      </c>
      <c r="E29" s="32">
        <v>49</v>
      </c>
      <c r="F29" s="32">
        <v>2777</v>
      </c>
      <c r="G29" s="32">
        <v>7833</v>
      </c>
      <c r="I29" s="32"/>
      <c r="J29" s="32"/>
      <c r="K29" s="32"/>
      <c r="L29" s="32"/>
      <c r="M29" s="32">
        <v>-28777</v>
      </c>
      <c r="N29" s="32">
        <v>-27879</v>
      </c>
      <c r="O29" s="32"/>
      <c r="P29" s="32">
        <v>-19934</v>
      </c>
      <c r="Q29" s="32">
        <v>-61402</v>
      </c>
      <c r="R29" s="32"/>
      <c r="S29" s="32"/>
      <c r="U29" s="36"/>
      <c r="V29" s="36"/>
      <c r="W29" s="36"/>
      <c r="X29" s="37"/>
    </row>
    <row r="30" spans="2:24" x14ac:dyDescent="0.25">
      <c r="B30" s="38" t="s">
        <v>9</v>
      </c>
      <c r="C30" s="42"/>
      <c r="D30" s="42"/>
      <c r="E30" s="42"/>
      <c r="F30" s="33"/>
      <c r="G30" s="33"/>
      <c r="H30" s="33"/>
      <c r="I30" s="33"/>
      <c r="J30" s="33"/>
      <c r="K30" s="33"/>
      <c r="L30" s="33"/>
      <c r="M30" s="33"/>
      <c r="N30" s="33"/>
      <c r="O30" s="33"/>
      <c r="P30" s="33"/>
      <c r="Q30" s="33"/>
      <c r="R30" s="33"/>
      <c r="S30" s="33"/>
      <c r="V30" s="33"/>
      <c r="W30" s="43"/>
      <c r="X30" s="40"/>
    </row>
    <row r="31" spans="2:24" x14ac:dyDescent="0.25">
      <c r="B31" s="26" t="s">
        <v>206</v>
      </c>
      <c r="C31" s="130">
        <v>5056</v>
      </c>
      <c r="D31" s="130">
        <v>-5735</v>
      </c>
      <c r="E31" s="130">
        <v>1663</v>
      </c>
      <c r="F31" s="130">
        <v>-4934</v>
      </c>
      <c r="G31" s="130">
        <v>-17622</v>
      </c>
      <c r="H31" s="4"/>
      <c r="I31" s="130">
        <v>-401</v>
      </c>
      <c r="J31" s="130">
        <v>108</v>
      </c>
      <c r="K31" s="130">
        <v>849</v>
      </c>
      <c r="L31" s="1">
        <f t="shared" ref="L31" si="18">SUM(E31-SUM(I31:K31))</f>
        <v>1107</v>
      </c>
      <c r="M31" s="130">
        <v>7348</v>
      </c>
      <c r="N31" s="130">
        <v>4449</v>
      </c>
      <c r="O31" s="130">
        <v>2497</v>
      </c>
      <c r="P31" s="1">
        <f>SUM(G31-SUM(M31:O31))</f>
        <v>-31916</v>
      </c>
      <c r="Q31" s="130">
        <v>6900</v>
      </c>
      <c r="R31" s="130">
        <v>4526</v>
      </c>
      <c r="S31" s="130">
        <v>-1674</v>
      </c>
      <c r="U31" s="23">
        <f>SUM(M31:P31)</f>
        <v>-17622</v>
      </c>
      <c r="V31" s="23">
        <f>SUM(Q31:S31)</f>
        <v>9752</v>
      </c>
      <c r="W31" s="43"/>
      <c r="X31" s="25">
        <f t="shared" ref="X31:X33" si="19">SUM(V31/U31)-1</f>
        <v>-1.5533991601407333</v>
      </c>
    </row>
    <row r="32" spans="2:24" x14ac:dyDescent="0.25">
      <c r="B32" s="41" t="s">
        <v>98</v>
      </c>
      <c r="C32" s="129">
        <f>SUM(C26-C31)</f>
        <v>896038</v>
      </c>
      <c r="D32" s="129">
        <f>SUM(D26-D31)</f>
        <v>181035.47000000067</v>
      </c>
      <c r="E32" s="129">
        <f>SUM(E26-E31)</f>
        <v>1295829</v>
      </c>
      <c r="F32" s="129">
        <f>SUM(F26-F31)</f>
        <v>1643544</v>
      </c>
      <c r="G32" s="129">
        <f>SUM(G26-G31)</f>
        <v>1695650.9999999981</v>
      </c>
      <c r="H32" s="133"/>
      <c r="I32" s="129">
        <f t="shared" ref="I32:S32" si="20">SUM(I31:I31)+I26</f>
        <v>437306.99999999953</v>
      </c>
      <c r="J32" s="129">
        <f t="shared" si="20"/>
        <v>391536</v>
      </c>
      <c r="K32" s="129">
        <f t="shared" si="20"/>
        <v>362705.00000000047</v>
      </c>
      <c r="L32" s="129">
        <f t="shared" si="20"/>
        <v>783563</v>
      </c>
      <c r="M32" s="129">
        <f t="shared" si="20"/>
        <v>449418.00000000047</v>
      </c>
      <c r="N32" s="129">
        <f t="shared" si="20"/>
        <v>396091</v>
      </c>
      <c r="O32" s="129">
        <f t="shared" si="20"/>
        <v>329724</v>
      </c>
      <c r="P32" s="129">
        <f t="shared" si="20"/>
        <v>485174</v>
      </c>
      <c r="Q32" s="129">
        <f t="shared" si="20"/>
        <v>407847.99999999953</v>
      </c>
      <c r="R32" s="129">
        <f t="shared" si="20"/>
        <v>333727</v>
      </c>
      <c r="S32" s="129">
        <f t="shared" si="20"/>
        <v>316828</v>
      </c>
      <c r="U32" s="129">
        <f>SUM(U31:U31)+U26</f>
        <v>1660407</v>
      </c>
      <c r="V32" s="129">
        <f>SUM(V31:V31)+V26</f>
        <v>1058403</v>
      </c>
      <c r="W32" s="43"/>
      <c r="X32" s="30">
        <f>SUM(V32/U32)-1</f>
        <v>-0.36256411831556956</v>
      </c>
    </row>
    <row r="33" spans="1:24" x14ac:dyDescent="0.25">
      <c r="B33" s="44" t="s">
        <v>72</v>
      </c>
      <c r="C33" s="22">
        <v>-200205</v>
      </c>
      <c r="D33" s="22">
        <v>-55250</v>
      </c>
      <c r="E33" s="22">
        <v>-309992</v>
      </c>
      <c r="F33" s="22">
        <v>-401136</v>
      </c>
      <c r="G33" s="22">
        <v>-404646</v>
      </c>
      <c r="H33" s="134"/>
      <c r="I33" s="130">
        <v>-105912</v>
      </c>
      <c r="J33" s="130">
        <v>-95859</v>
      </c>
      <c r="K33" s="130">
        <v>-88120</v>
      </c>
      <c r="L33" s="1">
        <f t="shared" ref="L33" si="21">SUM(E33-SUM(I33:K33))</f>
        <v>-20101</v>
      </c>
      <c r="M33" s="130">
        <v>-102367</v>
      </c>
      <c r="N33" s="130">
        <v>-95989</v>
      </c>
      <c r="O33" s="130">
        <v>-80241</v>
      </c>
      <c r="P33" s="1">
        <f>SUM(G33-SUM(M33:O33))</f>
        <v>-126049</v>
      </c>
      <c r="Q33" s="130">
        <v>-94735</v>
      </c>
      <c r="R33" s="130">
        <v>-81171</v>
      </c>
      <c r="S33" s="130">
        <v>-77997</v>
      </c>
      <c r="U33" s="23">
        <f>SUM(M33:P33)</f>
        <v>-404646</v>
      </c>
      <c r="V33" s="23">
        <f>SUM(Q33:S33)</f>
        <v>-253903</v>
      </c>
      <c r="W33" s="43"/>
      <c r="X33" s="25">
        <f t="shared" si="19"/>
        <v>-0.37253055757378051</v>
      </c>
    </row>
    <row r="34" spans="1:24" x14ac:dyDescent="0.25">
      <c r="B34" s="41" t="s">
        <v>84</v>
      </c>
      <c r="C34" s="129">
        <f>SUM(C32+C33)</f>
        <v>695833</v>
      </c>
      <c r="D34" s="129">
        <f t="shared" ref="D34:G34" si="22">SUM(D32+D33)</f>
        <v>125785.47000000067</v>
      </c>
      <c r="E34" s="129">
        <f t="shared" si="22"/>
        <v>985837</v>
      </c>
      <c r="F34" s="129">
        <f t="shared" si="22"/>
        <v>1242408</v>
      </c>
      <c r="G34" s="129">
        <f t="shared" si="22"/>
        <v>1291004.9999999981</v>
      </c>
      <c r="H34" s="5"/>
      <c r="I34" s="129">
        <f t="shared" ref="I34:L34" si="23">SUM(I32:I33)</f>
        <v>331394.99999999953</v>
      </c>
      <c r="J34" s="129">
        <f t="shared" si="23"/>
        <v>295677</v>
      </c>
      <c r="K34" s="129">
        <f t="shared" si="23"/>
        <v>274585.00000000047</v>
      </c>
      <c r="L34" s="129">
        <f t="shared" si="23"/>
        <v>763462</v>
      </c>
      <c r="M34" s="129">
        <f t="shared" ref="M34:N34" si="24">SUM(M32:M33)</f>
        <v>347051.00000000047</v>
      </c>
      <c r="N34" s="129">
        <f t="shared" si="24"/>
        <v>300102</v>
      </c>
      <c r="O34" s="129">
        <f>SUM(O32:O33)</f>
        <v>249483</v>
      </c>
      <c r="P34" s="129">
        <f>SUM(P32:P33)</f>
        <v>359125</v>
      </c>
      <c r="Q34" s="129">
        <f>SUM(Q32:Q33)</f>
        <v>313112.99999999953</v>
      </c>
      <c r="R34" s="129">
        <f>SUM(R32:R33)</f>
        <v>252556</v>
      </c>
      <c r="S34" s="129">
        <f>SUM(S32:S33)</f>
        <v>238831</v>
      </c>
      <c r="T34" s="21"/>
      <c r="U34" s="129">
        <f t="shared" ref="U34:V34" si="25">SUM(U32:U33)</f>
        <v>1255761</v>
      </c>
      <c r="V34" s="129">
        <f t="shared" si="25"/>
        <v>804500</v>
      </c>
      <c r="W34" s="45">
        <f>SUM(W33-W32)</f>
        <v>0</v>
      </c>
      <c r="X34" s="30">
        <f>SUM(V34/U34)-1</f>
        <v>-0.35935261566492349</v>
      </c>
    </row>
    <row r="35" spans="1:24" x14ac:dyDescent="0.25">
      <c r="B35" s="31" t="s">
        <v>23</v>
      </c>
      <c r="C35" s="42"/>
      <c r="D35" s="33">
        <f t="shared" ref="D35:E35" si="26">D34/C34-1</f>
        <v>-0.81923037567922097</v>
      </c>
      <c r="E35" s="33">
        <f t="shared" si="26"/>
        <v>6.837447361765987</v>
      </c>
      <c r="F35" s="33">
        <f>F34/E34-1</f>
        <v>0.26025702017676355</v>
      </c>
      <c r="G35" s="33">
        <f>G34/F34-1</f>
        <v>3.9115169895878044E-2</v>
      </c>
      <c r="H35" s="33"/>
      <c r="I35" s="33"/>
      <c r="J35" s="33">
        <f t="shared" ref="J35:S35" si="27">J34/I34-1</f>
        <v>-0.1077807450323619</v>
      </c>
      <c r="K35" s="33">
        <f t="shared" si="27"/>
        <v>-7.1334598227117851E-2</v>
      </c>
      <c r="L35" s="33">
        <f t="shared" si="27"/>
        <v>1.7804213631480188</v>
      </c>
      <c r="M35" s="33">
        <f>M34/L34-1</f>
        <v>-0.54542465767778814</v>
      </c>
      <c r="N35" s="33">
        <f t="shared" si="27"/>
        <v>-0.13527982918937098</v>
      </c>
      <c r="O35" s="33">
        <f t="shared" si="27"/>
        <v>-0.16867265129855846</v>
      </c>
      <c r="P35" s="33">
        <f t="shared" si="27"/>
        <v>0.43947683810119331</v>
      </c>
      <c r="Q35" s="33">
        <f t="shared" si="27"/>
        <v>-0.12812252001392399</v>
      </c>
      <c r="R35" s="33">
        <f t="shared" si="27"/>
        <v>-0.1934030206347217</v>
      </c>
      <c r="S35" s="33">
        <f t="shared" si="27"/>
        <v>-5.4344383027922549E-2</v>
      </c>
      <c r="V35" s="33">
        <f>V34/U34-1</f>
        <v>-0.35935261566492349</v>
      </c>
      <c r="W35" s="3"/>
      <c r="X35" s="34"/>
    </row>
    <row r="36" spans="1:24" x14ac:dyDescent="0.25">
      <c r="B36" s="31" t="s">
        <v>29</v>
      </c>
      <c r="C36" s="33">
        <f>SUM(C34/C10)</f>
        <v>9.4056042739807208E-2</v>
      </c>
      <c r="D36" s="33">
        <f>SUM(D34/D10)</f>
        <v>2.0652958548778081E-2</v>
      </c>
      <c r="E36" s="33">
        <f>SUM(E34/E10)</f>
        <v>0.1142219532657644</v>
      </c>
      <c r="F36" s="33">
        <f>SUM(F34/F10)</f>
        <v>0.12170233274363329</v>
      </c>
      <c r="G36" s="33">
        <f>SUM(G34/G10)</f>
        <v>0.11519319143954601</v>
      </c>
      <c r="H36" s="33"/>
      <c r="I36" s="33">
        <f t="shared" ref="I36:S36" si="28">SUM(I34/I10)</f>
        <v>0.14126555212687986</v>
      </c>
      <c r="J36" s="33">
        <f t="shared" si="28"/>
        <v>0.12871678493831171</v>
      </c>
      <c r="K36" s="33">
        <f t="shared" si="28"/>
        <v>0.11740457577904517</v>
      </c>
      <c r="L36" s="33">
        <f t="shared" si="28"/>
        <v>0.2366023268448075</v>
      </c>
      <c r="M36" s="33">
        <f t="shared" si="28"/>
        <v>0.13174500799654415</v>
      </c>
      <c r="N36" s="33">
        <f t="shared" si="28"/>
        <v>0.11862634689021978</v>
      </c>
      <c r="O36" s="33">
        <f t="shared" si="28"/>
        <v>0.10023692883657374</v>
      </c>
      <c r="P36" s="33">
        <f t="shared" si="28"/>
        <v>0.10103964270863051</v>
      </c>
      <c r="Q36" s="33">
        <f t="shared" si="28"/>
        <v>0.11486810709914845</v>
      </c>
      <c r="R36" s="33">
        <f t="shared" si="28"/>
        <v>9.8960576187253804E-2</v>
      </c>
      <c r="S36" s="33">
        <f t="shared" si="28"/>
        <v>9.4395873680882175E-2</v>
      </c>
      <c r="U36" s="33">
        <f>SUM(U34/U10)</f>
        <v>0.11204845626106477</v>
      </c>
      <c r="V36" s="33">
        <f>SUM(V34/V10)</f>
        <v>0.10303488649833152</v>
      </c>
      <c r="W36" s="43"/>
      <c r="X36" s="25">
        <f t="shared" ref="X36" si="29">SUM(V36/U36)-1</f>
        <v>-8.0443497960670629E-2</v>
      </c>
    </row>
    <row r="37" spans="1:24" ht="15.75" thickBot="1" x14ac:dyDescent="0.3">
      <c r="B37" s="31"/>
      <c r="C37" s="42"/>
      <c r="D37" s="42"/>
      <c r="E37" s="42"/>
      <c r="F37" s="33"/>
      <c r="G37" s="33"/>
      <c r="H37" s="33"/>
      <c r="I37" s="33"/>
      <c r="J37" s="33"/>
      <c r="K37" s="33"/>
      <c r="L37" s="33"/>
      <c r="M37" s="33"/>
      <c r="N37" s="33"/>
      <c r="O37" s="33"/>
      <c r="P37" s="33"/>
      <c r="Q37" s="33"/>
      <c r="R37" s="33"/>
      <c r="S37" s="33"/>
      <c r="V37" s="33"/>
      <c r="W37" s="43"/>
      <c r="X37" s="40"/>
    </row>
    <row r="38" spans="1:24" x14ac:dyDescent="0.25">
      <c r="B38" s="46" t="s">
        <v>69</v>
      </c>
      <c r="C38" s="137">
        <f>SUM(C34/C39)</f>
        <v>11.975441011961104</v>
      </c>
      <c r="D38" s="137">
        <f>SUM(D34/D39)</f>
        <v>2.2240084515011258</v>
      </c>
      <c r="E38" s="137">
        <f>SUM(E34/E39)</f>
        <v>17.976276873142357</v>
      </c>
      <c r="F38" s="137">
        <f>SUM(F34/F39)</f>
        <v>24.013452394758204</v>
      </c>
      <c r="G38" s="138">
        <f>SUM(G34/G39)</f>
        <v>26.030425840793576</v>
      </c>
      <c r="H38" s="47"/>
      <c r="I38" s="136">
        <f t="shared" ref="I38:S38" si="30">SUM(I34/I39)</f>
        <v>6.3024419002700451</v>
      </c>
      <c r="J38" s="137">
        <f t="shared" si="30"/>
        <v>5.6970520231213877</v>
      </c>
      <c r="K38" s="137">
        <f t="shared" si="30"/>
        <v>5.340250495935285</v>
      </c>
      <c r="L38" s="137">
        <f t="shared" si="30"/>
        <v>14.756310642081255</v>
      </c>
      <c r="M38" s="137">
        <f t="shared" si="30"/>
        <v>6.8765182587330926</v>
      </c>
      <c r="N38" s="137">
        <f t="shared" si="30"/>
        <v>6.0202210676242256</v>
      </c>
      <c r="O38" s="137">
        <f t="shared" si="30"/>
        <v>5.0681144110835739</v>
      </c>
      <c r="P38" s="137">
        <f>SUM(P34/P39)</f>
        <v>7.2410073393015564</v>
      </c>
      <c r="Q38" s="137">
        <f t="shared" si="30"/>
        <v>6.4718174489985643</v>
      </c>
      <c r="R38" s="137">
        <f t="shared" si="30"/>
        <v>5.2983405710449576</v>
      </c>
      <c r="S38" s="138">
        <f t="shared" si="30"/>
        <v>5.071583283784932</v>
      </c>
      <c r="U38" s="141">
        <f>O38</f>
        <v>5.0681144110835739</v>
      </c>
      <c r="V38" s="142">
        <f>S38</f>
        <v>5.071583283784932</v>
      </c>
      <c r="W38" s="43"/>
      <c r="X38" s="34"/>
    </row>
    <row r="39" spans="1:24" ht="15.75" thickBot="1" x14ac:dyDescent="0.3">
      <c r="B39" s="185" t="s">
        <v>68</v>
      </c>
      <c r="C39" s="186">
        <v>58105</v>
      </c>
      <c r="D39" s="186">
        <v>56558</v>
      </c>
      <c r="E39" s="186">
        <v>54841</v>
      </c>
      <c r="F39" s="187">
        <v>51738</v>
      </c>
      <c r="G39" s="188">
        <v>49596</v>
      </c>
      <c r="H39" s="47"/>
      <c r="I39" s="189">
        <v>52582</v>
      </c>
      <c r="J39" s="190">
        <v>51900</v>
      </c>
      <c r="K39" s="190">
        <v>51418</v>
      </c>
      <c r="L39" s="191">
        <f>F39</f>
        <v>51738</v>
      </c>
      <c r="M39" s="190">
        <v>50469</v>
      </c>
      <c r="N39" s="190">
        <v>49849</v>
      </c>
      <c r="O39" s="190">
        <v>49226</v>
      </c>
      <c r="P39" s="126">
        <f>G39</f>
        <v>49596</v>
      </c>
      <c r="Q39" s="190">
        <v>48381</v>
      </c>
      <c r="R39" s="190">
        <v>47667</v>
      </c>
      <c r="S39" s="225">
        <v>47092</v>
      </c>
      <c r="U39" s="223">
        <f>O39</f>
        <v>49226</v>
      </c>
      <c r="V39" s="224">
        <f>S39</f>
        <v>47092</v>
      </c>
      <c r="W39" s="43"/>
      <c r="X39" s="34"/>
    </row>
    <row r="40" spans="1:24" ht="15.75" thickBot="1" x14ac:dyDescent="0.3">
      <c r="B40" s="193" t="s">
        <v>153</v>
      </c>
      <c r="C40" s="48">
        <v>56309.476000000002</v>
      </c>
      <c r="D40" s="48">
        <v>56205.591999999997</v>
      </c>
      <c r="E40" s="48">
        <v>52327.262999999999</v>
      </c>
      <c r="F40" s="48">
        <v>50195.08</v>
      </c>
      <c r="G40" s="49">
        <v>48268.743999999999</v>
      </c>
      <c r="I40" s="194">
        <v>51818.071000000004</v>
      </c>
      <c r="J40" s="48">
        <v>51221.498</v>
      </c>
      <c r="K40" s="48">
        <v>50880.771000000001</v>
      </c>
      <c r="L40" s="246">
        <f>E40</f>
        <v>52327.262999999999</v>
      </c>
      <c r="M40" s="48">
        <v>49801.591999999997</v>
      </c>
      <c r="N40" s="48">
        <v>49228.648999999998</v>
      </c>
      <c r="O40" s="48">
        <v>48561.517</v>
      </c>
      <c r="P40" s="226">
        <f>G40</f>
        <v>48268.743999999999</v>
      </c>
      <c r="Q40" s="48">
        <v>47716.364999999998</v>
      </c>
      <c r="R40" s="48">
        <v>47114.726999999999</v>
      </c>
      <c r="S40" s="49">
        <v>46372.538</v>
      </c>
      <c r="W40" s="43"/>
      <c r="X40" s="192"/>
    </row>
    <row r="41" spans="1:24" x14ac:dyDescent="0.25">
      <c r="B41" s="31"/>
      <c r="C41" s="42"/>
      <c r="D41" s="42"/>
      <c r="E41" s="42"/>
      <c r="F41" s="33"/>
      <c r="G41" s="33"/>
      <c r="H41" s="33"/>
      <c r="I41" s="33"/>
      <c r="J41" s="33"/>
      <c r="K41" s="33"/>
      <c r="L41" s="33"/>
      <c r="M41" s="33"/>
      <c r="N41" s="33"/>
      <c r="O41" s="33"/>
      <c r="P41" s="33"/>
      <c r="Q41" s="33"/>
      <c r="R41" s="33"/>
      <c r="V41" s="33"/>
      <c r="W41" s="43"/>
      <c r="X41" s="40"/>
    </row>
    <row r="42" spans="1:24" x14ac:dyDescent="0.25">
      <c r="A42" s="6" t="s">
        <v>16</v>
      </c>
      <c r="B42" s="7" t="s">
        <v>30</v>
      </c>
      <c r="C42" s="50"/>
      <c r="D42" s="50"/>
      <c r="E42" s="50"/>
      <c r="F42" s="50"/>
      <c r="G42" s="50"/>
      <c r="H42" s="8"/>
      <c r="I42" s="8"/>
      <c r="J42" s="8"/>
      <c r="K42" s="8"/>
      <c r="L42" s="8"/>
      <c r="M42" s="8"/>
      <c r="N42" s="8"/>
      <c r="O42" s="8"/>
      <c r="P42" s="8"/>
      <c r="Q42" s="8"/>
      <c r="R42" s="8"/>
      <c r="S42" s="8"/>
      <c r="T42" s="8"/>
      <c r="U42" s="8"/>
      <c r="V42" s="8"/>
      <c r="W42" s="8"/>
      <c r="X42" s="8"/>
    </row>
    <row r="43" spans="1:24" x14ac:dyDescent="0.25">
      <c r="B43" s="15" t="s">
        <v>70</v>
      </c>
      <c r="C43" s="51"/>
      <c r="D43" s="51"/>
      <c r="E43" s="51"/>
      <c r="F43" s="51"/>
      <c r="G43" s="51"/>
      <c r="H43" s="8"/>
      <c r="I43" s="8"/>
      <c r="J43" s="8"/>
      <c r="K43" s="8"/>
      <c r="L43" s="8"/>
      <c r="M43" s="8"/>
      <c r="N43" s="8"/>
      <c r="O43" s="8"/>
      <c r="P43" s="8"/>
      <c r="Q43" s="8"/>
      <c r="R43" s="8"/>
      <c r="S43" s="8"/>
      <c r="T43" s="8"/>
      <c r="U43" s="8"/>
      <c r="V43" s="8"/>
      <c r="W43" s="8"/>
      <c r="X43" s="8"/>
    </row>
    <row r="44" spans="1:24" ht="3.75" customHeight="1" x14ac:dyDescent="0.25">
      <c r="B44" s="52"/>
      <c r="C44" s="53"/>
      <c r="D44" s="53"/>
      <c r="E44" s="53"/>
      <c r="F44" s="53"/>
      <c r="G44" s="53"/>
    </row>
    <row r="45" spans="1:24" x14ac:dyDescent="0.25">
      <c r="B45" s="38" t="s">
        <v>31</v>
      </c>
      <c r="F45" s="20"/>
      <c r="G45" s="20"/>
    </row>
    <row r="46" spans="1:24" x14ac:dyDescent="0.25">
      <c r="B46" s="26" t="s">
        <v>0</v>
      </c>
      <c r="C46" s="69">
        <v>409251</v>
      </c>
      <c r="D46" s="69">
        <v>1046051</v>
      </c>
      <c r="E46" s="69">
        <v>431560</v>
      </c>
      <c r="F46" s="69">
        <v>737877</v>
      </c>
      <c r="G46" s="20">
        <v>766594</v>
      </c>
      <c r="I46" s="22">
        <v>654486</v>
      </c>
      <c r="J46" s="22">
        <v>434226</v>
      </c>
      <c r="K46" s="22">
        <v>250628</v>
      </c>
      <c r="L46" s="126">
        <f>E46</f>
        <v>431560</v>
      </c>
      <c r="M46" s="22">
        <v>636449</v>
      </c>
      <c r="N46" s="22">
        <v>388627</v>
      </c>
      <c r="O46" s="22">
        <v>121811</v>
      </c>
      <c r="P46" s="126">
        <f>G46</f>
        <v>766594</v>
      </c>
      <c r="Q46" s="22">
        <v>524596</v>
      </c>
      <c r="R46" s="22">
        <v>413962</v>
      </c>
      <c r="S46" s="22">
        <v>177782</v>
      </c>
      <c r="U46" s="23">
        <f>O46</f>
        <v>121811</v>
      </c>
      <c r="V46" s="23">
        <f>S46</f>
        <v>177782</v>
      </c>
      <c r="W46" s="23"/>
      <c r="X46" s="25">
        <f t="shared" ref="X46:X60" si="31">SUM(V46/U46)-1</f>
        <v>0.45949052220242836</v>
      </c>
    </row>
    <row r="47" spans="1:24" x14ac:dyDescent="0.25">
      <c r="B47" s="26" t="s">
        <v>107</v>
      </c>
      <c r="C47" s="69">
        <v>136168</v>
      </c>
      <c r="D47" s="69">
        <v>193109</v>
      </c>
      <c r="E47" s="69">
        <v>233682</v>
      </c>
      <c r="F47" s="69">
        <v>199422</v>
      </c>
      <c r="G47" s="20">
        <v>207939</v>
      </c>
      <c r="I47" s="22">
        <v>192754</v>
      </c>
      <c r="J47" s="22">
        <v>180514</v>
      </c>
      <c r="K47" s="22">
        <v>200304</v>
      </c>
      <c r="L47" s="126">
        <f t="shared" ref="L47:L50" si="32">E47</f>
        <v>233682</v>
      </c>
      <c r="M47" s="22">
        <v>190282</v>
      </c>
      <c r="N47" s="22">
        <v>174444</v>
      </c>
      <c r="O47" s="22">
        <v>202868</v>
      </c>
      <c r="P47" s="126">
        <f>G47</f>
        <v>207939</v>
      </c>
      <c r="Q47" s="22">
        <v>203463</v>
      </c>
      <c r="R47" s="22">
        <v>200863</v>
      </c>
      <c r="S47" s="22">
        <v>213621</v>
      </c>
      <c r="U47" s="23">
        <f t="shared" ref="U47:U50" si="33">O47</f>
        <v>202868</v>
      </c>
      <c r="V47" s="23">
        <f t="shared" ref="V47:V50" si="34">S47</f>
        <v>213621</v>
      </c>
      <c r="W47" s="23"/>
      <c r="X47" s="25">
        <f t="shared" si="31"/>
        <v>5.3004909596387817E-2</v>
      </c>
    </row>
    <row r="48" spans="1:24" x14ac:dyDescent="0.25">
      <c r="B48" s="26" t="s">
        <v>108</v>
      </c>
      <c r="C48" s="69">
        <v>1214329</v>
      </c>
      <c r="D48" s="69">
        <v>1168215</v>
      </c>
      <c r="E48" s="69">
        <v>1499218</v>
      </c>
      <c r="F48" s="69">
        <v>1603451</v>
      </c>
      <c r="G48" s="20">
        <v>1742136</v>
      </c>
      <c r="I48" s="22">
        <v>1570552</v>
      </c>
      <c r="J48" s="22">
        <v>1666130</v>
      </c>
      <c r="K48" s="22">
        <v>2114669</v>
      </c>
      <c r="L48" s="126">
        <f t="shared" si="32"/>
        <v>1499218</v>
      </c>
      <c r="M48" s="22">
        <v>1751235</v>
      </c>
      <c r="N48" s="22">
        <v>1815539</v>
      </c>
      <c r="O48" s="22">
        <v>2321306</v>
      </c>
      <c r="P48" s="126">
        <f>G48</f>
        <v>1742136</v>
      </c>
      <c r="Q48" s="22">
        <v>1906040</v>
      </c>
      <c r="R48" s="22">
        <v>1998286</v>
      </c>
      <c r="S48" s="22">
        <v>2365186</v>
      </c>
      <c r="U48" s="23">
        <f t="shared" si="33"/>
        <v>2321306</v>
      </c>
      <c r="V48" s="23">
        <f t="shared" si="34"/>
        <v>2365186</v>
      </c>
      <c r="W48" s="23"/>
      <c r="X48" s="25">
        <f t="shared" si="31"/>
        <v>1.8903151932575968E-2</v>
      </c>
    </row>
    <row r="49" spans="2:24" x14ac:dyDescent="0.25">
      <c r="B49" s="26" t="s">
        <v>109</v>
      </c>
      <c r="C49" s="69">
        <v>138116</v>
      </c>
      <c r="D49" s="69">
        <v>107402</v>
      </c>
      <c r="E49" s="69">
        <v>110814</v>
      </c>
      <c r="F49" s="69">
        <v>130246</v>
      </c>
      <c r="G49" s="20">
        <v>115598</v>
      </c>
      <c r="I49" s="22">
        <v>114075</v>
      </c>
      <c r="J49" s="22">
        <v>123014</v>
      </c>
      <c r="K49" s="22">
        <v>137642</v>
      </c>
      <c r="L49" s="126">
        <f t="shared" si="32"/>
        <v>110814</v>
      </c>
      <c r="M49" s="22">
        <v>108014</v>
      </c>
      <c r="N49" s="22">
        <v>110524</v>
      </c>
      <c r="O49" s="22">
        <v>117282</v>
      </c>
      <c r="P49" s="126">
        <f>G49</f>
        <v>115598</v>
      </c>
      <c r="Q49" s="22">
        <v>126529</v>
      </c>
      <c r="R49" s="22">
        <v>132023</v>
      </c>
      <c r="S49" s="22">
        <v>135514</v>
      </c>
      <c r="U49" s="23">
        <f t="shared" si="33"/>
        <v>117282</v>
      </c>
      <c r="V49" s="23">
        <f t="shared" si="34"/>
        <v>135514</v>
      </c>
      <c r="W49" s="23"/>
      <c r="X49" s="25">
        <f t="shared" si="31"/>
        <v>0.1554543749253936</v>
      </c>
    </row>
    <row r="50" spans="2:24" x14ac:dyDescent="0.25">
      <c r="B50" s="26" t="s">
        <v>110</v>
      </c>
      <c r="C50" s="69">
        <v>16997</v>
      </c>
      <c r="D50" s="69"/>
      <c r="E50" s="69">
        <v>5909</v>
      </c>
      <c r="F50" s="69">
        <v>38308</v>
      </c>
      <c r="G50" s="20">
        <v>4251</v>
      </c>
      <c r="I50" s="22">
        <v>0</v>
      </c>
      <c r="J50" s="22">
        <v>39029</v>
      </c>
      <c r="K50" s="22">
        <v>42572</v>
      </c>
      <c r="L50" s="126">
        <f t="shared" si="32"/>
        <v>5909</v>
      </c>
      <c r="M50" s="22">
        <v>0</v>
      </c>
      <c r="N50" s="22">
        <v>30114</v>
      </c>
      <c r="O50" s="22">
        <v>28773</v>
      </c>
      <c r="P50" s="126">
        <f>G50</f>
        <v>4251</v>
      </c>
      <c r="Q50" s="22">
        <v>0</v>
      </c>
      <c r="R50" s="22">
        <v>53607</v>
      </c>
      <c r="S50" s="22">
        <v>62759</v>
      </c>
      <c r="U50" s="23">
        <f t="shared" si="33"/>
        <v>28773</v>
      </c>
      <c r="V50" s="23">
        <f t="shared" si="34"/>
        <v>62759</v>
      </c>
      <c r="W50" s="23"/>
      <c r="X50" s="25">
        <f t="shared" si="31"/>
        <v>1.1811767976922809</v>
      </c>
    </row>
    <row r="51" spans="2:24" x14ac:dyDescent="0.25">
      <c r="B51" s="41" t="s">
        <v>1</v>
      </c>
      <c r="C51" s="54">
        <f>SUM(C46:C50)</f>
        <v>1914861</v>
      </c>
      <c r="D51" s="54">
        <f>SUM(D46:D50)</f>
        <v>2514777</v>
      </c>
      <c r="E51" s="54">
        <f>SUM(E46:E50)</f>
        <v>2281183</v>
      </c>
      <c r="F51" s="54">
        <f>SUM(F46:F50)</f>
        <v>2709304</v>
      </c>
      <c r="G51" s="54">
        <f>SUM(G46:G50)</f>
        <v>2836518</v>
      </c>
      <c r="I51" s="54">
        <f t="shared" ref="I51:S51" si="35">SUM(I46:I50)</f>
        <v>2531867</v>
      </c>
      <c r="J51" s="54">
        <f t="shared" si="35"/>
        <v>2442913</v>
      </c>
      <c r="K51" s="54">
        <f t="shared" si="35"/>
        <v>2745815</v>
      </c>
      <c r="L51" s="54">
        <f t="shared" si="35"/>
        <v>2281183</v>
      </c>
      <c r="M51" s="54">
        <f t="shared" si="35"/>
        <v>2685980</v>
      </c>
      <c r="N51" s="54">
        <f t="shared" si="35"/>
        <v>2519248</v>
      </c>
      <c r="O51" s="54">
        <f t="shared" si="35"/>
        <v>2792040</v>
      </c>
      <c r="P51" s="54">
        <f t="shared" si="35"/>
        <v>2836518</v>
      </c>
      <c r="Q51" s="54">
        <f t="shared" si="35"/>
        <v>2760628</v>
      </c>
      <c r="R51" s="54">
        <f t="shared" si="35"/>
        <v>2798741</v>
      </c>
      <c r="S51" s="54">
        <f t="shared" si="35"/>
        <v>2954862</v>
      </c>
      <c r="U51" s="54">
        <f>SUM(U46:U50)</f>
        <v>2792040</v>
      </c>
      <c r="V51" s="54">
        <f>SUM(V46:V50)</f>
        <v>2954862</v>
      </c>
      <c r="W51" s="29"/>
      <c r="X51" s="30">
        <f t="shared" si="31"/>
        <v>5.8316499763613638E-2</v>
      </c>
    </row>
    <row r="52" spans="2:24" ht="15.75" x14ac:dyDescent="0.25">
      <c r="B52" s="38"/>
      <c r="C52" s="55"/>
      <c r="D52" s="55"/>
      <c r="E52" s="55"/>
      <c r="F52" s="56"/>
      <c r="G52" s="57"/>
      <c r="I52" s="57"/>
      <c r="J52" s="57"/>
      <c r="K52" s="57"/>
      <c r="L52" s="57"/>
      <c r="M52" s="57"/>
      <c r="N52" s="57"/>
      <c r="O52" s="57"/>
      <c r="P52" s="57"/>
      <c r="Q52" s="57"/>
      <c r="R52" s="57"/>
      <c r="U52" s="29"/>
      <c r="V52" s="29"/>
      <c r="W52" s="29"/>
      <c r="X52" s="34"/>
    </row>
    <row r="53" spans="2:24" ht="15.75" x14ac:dyDescent="0.25">
      <c r="B53" s="38" t="s">
        <v>32</v>
      </c>
      <c r="C53" s="55"/>
      <c r="D53" s="55"/>
      <c r="E53" s="55"/>
      <c r="F53" s="56"/>
      <c r="G53" s="57"/>
      <c r="I53" s="57"/>
      <c r="J53" s="57"/>
      <c r="K53" s="57"/>
      <c r="L53" s="57"/>
      <c r="M53" s="57"/>
      <c r="N53" s="57"/>
      <c r="O53" s="57"/>
      <c r="P53" s="57"/>
      <c r="Q53" s="57"/>
      <c r="R53" s="57"/>
      <c r="U53" s="29"/>
      <c r="V53" s="29"/>
      <c r="W53" s="29"/>
      <c r="X53" s="34"/>
    </row>
    <row r="54" spans="2:24" x14ac:dyDescent="0.25">
      <c r="B54" s="26" t="s">
        <v>111</v>
      </c>
      <c r="C54" s="69">
        <v>1226029</v>
      </c>
      <c r="D54" s="69">
        <v>995795</v>
      </c>
      <c r="E54" s="69">
        <v>914476</v>
      </c>
      <c r="F54" s="69">
        <v>1009273</v>
      </c>
      <c r="G54" s="58">
        <v>1182335</v>
      </c>
      <c r="I54" s="22">
        <v>909543</v>
      </c>
      <c r="J54" s="22">
        <v>912017</v>
      </c>
      <c r="K54" s="22">
        <v>967039</v>
      </c>
      <c r="L54" s="126">
        <f>E54</f>
        <v>914476</v>
      </c>
      <c r="M54" s="22">
        <v>1019978</v>
      </c>
      <c r="N54" s="22">
        <v>1073144</v>
      </c>
      <c r="O54" s="22">
        <v>1117874</v>
      </c>
      <c r="P54" s="126">
        <f>G54</f>
        <v>1182335</v>
      </c>
      <c r="Q54" s="22">
        <v>1195658</v>
      </c>
      <c r="R54" s="22">
        <v>1225850</v>
      </c>
      <c r="S54" s="22">
        <v>1264419</v>
      </c>
      <c r="U54" s="23">
        <f t="shared" ref="U54:U59" si="36">O54</f>
        <v>1117874</v>
      </c>
      <c r="V54" s="23">
        <f t="shared" ref="V54:V59" si="37">S54</f>
        <v>1264419</v>
      </c>
      <c r="W54" s="23"/>
      <c r="X54" s="25">
        <f t="shared" si="31"/>
        <v>0.1310925918305641</v>
      </c>
    </row>
    <row r="55" spans="2:24" x14ac:dyDescent="0.25">
      <c r="B55" s="26" t="s">
        <v>112</v>
      </c>
      <c r="C55" s="143">
        <v>0</v>
      </c>
      <c r="D55" s="69">
        <v>1504614</v>
      </c>
      <c r="E55" s="69">
        <v>1482256</v>
      </c>
      <c r="F55" s="69">
        <v>1561263</v>
      </c>
      <c r="G55" s="58">
        <v>1574530</v>
      </c>
      <c r="I55" s="22">
        <v>1488040</v>
      </c>
      <c r="J55" s="22">
        <v>1509246</v>
      </c>
      <c r="K55" s="22">
        <v>1556940</v>
      </c>
      <c r="L55" s="126">
        <f>E55</f>
        <v>1482256</v>
      </c>
      <c r="M55" s="22">
        <v>1559560</v>
      </c>
      <c r="N55" s="22">
        <v>1549146</v>
      </c>
      <c r="O55" s="22">
        <v>1578316</v>
      </c>
      <c r="P55" s="126">
        <f>G55</f>
        <v>1574530</v>
      </c>
      <c r="Q55" s="22">
        <v>1561767</v>
      </c>
      <c r="R55" s="22">
        <v>1599735</v>
      </c>
      <c r="S55" s="22">
        <v>1619055</v>
      </c>
      <c r="U55" s="23">
        <f t="shared" si="36"/>
        <v>1578316</v>
      </c>
      <c r="V55" s="23">
        <f t="shared" si="37"/>
        <v>1619055</v>
      </c>
      <c r="W55" s="23"/>
      <c r="X55" s="25"/>
    </row>
    <row r="56" spans="2:24" x14ac:dyDescent="0.25">
      <c r="B56" s="26" t="s">
        <v>73</v>
      </c>
      <c r="C56" s="69">
        <v>10870</v>
      </c>
      <c r="D56" s="69">
        <v>10870</v>
      </c>
      <c r="E56" s="69">
        <v>10870</v>
      </c>
      <c r="F56" s="69">
        <v>10870</v>
      </c>
      <c r="G56" s="58">
        <v>10870</v>
      </c>
      <c r="I56" s="22">
        <v>10870</v>
      </c>
      <c r="J56" s="22">
        <v>10870</v>
      </c>
      <c r="K56" s="22">
        <v>10870</v>
      </c>
      <c r="L56" s="126">
        <f t="shared" ref="L56:L59" si="38">E56</f>
        <v>10870</v>
      </c>
      <c r="M56" s="22">
        <v>10870</v>
      </c>
      <c r="N56" s="22">
        <v>10870</v>
      </c>
      <c r="O56" s="22">
        <v>10870</v>
      </c>
      <c r="P56" s="126">
        <f>G56</f>
        <v>10870</v>
      </c>
      <c r="Q56" s="22">
        <v>10870</v>
      </c>
      <c r="R56" s="22">
        <v>10870</v>
      </c>
      <c r="S56" s="22">
        <v>10870</v>
      </c>
      <c r="U56" s="23">
        <f t="shared" si="36"/>
        <v>10870</v>
      </c>
      <c r="V56" s="23">
        <f t="shared" si="37"/>
        <v>10870</v>
      </c>
      <c r="W56" s="23"/>
      <c r="X56" s="25">
        <f t="shared" si="31"/>
        <v>0</v>
      </c>
    </row>
    <row r="57" spans="2:24" x14ac:dyDescent="0.25">
      <c r="B57" s="26" t="s">
        <v>74</v>
      </c>
      <c r="C57" s="69">
        <v>4317</v>
      </c>
      <c r="D57" s="69">
        <v>2465</v>
      </c>
      <c r="E57" s="69">
        <v>1538</v>
      </c>
      <c r="F57" s="69">
        <v>1312</v>
      </c>
      <c r="G57" s="58">
        <v>510</v>
      </c>
      <c r="I57" s="22">
        <v>1307</v>
      </c>
      <c r="J57" s="22">
        <v>1075</v>
      </c>
      <c r="K57" s="22">
        <v>844</v>
      </c>
      <c r="L57" s="126">
        <f t="shared" si="38"/>
        <v>1538</v>
      </c>
      <c r="M57" s="22">
        <v>1015</v>
      </c>
      <c r="N57" s="22">
        <v>718</v>
      </c>
      <c r="O57" s="22">
        <v>591</v>
      </c>
      <c r="P57" s="126">
        <f>G57</f>
        <v>510</v>
      </c>
      <c r="Q57" s="22">
        <v>434</v>
      </c>
      <c r="R57" s="22">
        <v>357</v>
      </c>
      <c r="S57" s="22">
        <v>281</v>
      </c>
      <c r="U57" s="23">
        <f t="shared" si="36"/>
        <v>591</v>
      </c>
      <c r="V57" s="23">
        <f t="shared" si="37"/>
        <v>281</v>
      </c>
      <c r="W57" s="23"/>
      <c r="X57" s="25"/>
    </row>
    <row r="58" spans="2:24" x14ac:dyDescent="0.25">
      <c r="B58" s="26" t="s">
        <v>113</v>
      </c>
      <c r="C58" s="69">
        <v>20511</v>
      </c>
      <c r="D58" s="69">
        <v>33223</v>
      </c>
      <c r="E58" s="69">
        <v>38409</v>
      </c>
      <c r="F58" s="69">
        <v>35382</v>
      </c>
      <c r="G58" s="58">
        <v>43516</v>
      </c>
      <c r="I58" s="22">
        <v>35978</v>
      </c>
      <c r="J58" s="22">
        <v>33393</v>
      </c>
      <c r="K58" s="22">
        <v>31529</v>
      </c>
      <c r="L58" s="126">
        <f t="shared" si="38"/>
        <v>38409</v>
      </c>
      <c r="M58" s="22">
        <v>37002</v>
      </c>
      <c r="N58" s="22">
        <v>40087</v>
      </c>
      <c r="O58" s="22">
        <v>38371</v>
      </c>
      <c r="P58" s="126">
        <f>G58</f>
        <v>43516</v>
      </c>
      <c r="Q58" s="22">
        <v>45718</v>
      </c>
      <c r="R58" s="22">
        <v>46280</v>
      </c>
      <c r="S58" s="22">
        <v>48872</v>
      </c>
      <c r="U58" s="23">
        <f t="shared" si="36"/>
        <v>38371</v>
      </c>
      <c r="V58" s="23">
        <f t="shared" si="37"/>
        <v>48872</v>
      </c>
      <c r="W58" s="23"/>
      <c r="X58" s="25">
        <f t="shared" si="31"/>
        <v>0.27367021969716721</v>
      </c>
    </row>
    <row r="59" spans="2:24" x14ac:dyDescent="0.25">
      <c r="B59" s="26" t="s">
        <v>114</v>
      </c>
      <c r="C59" s="69">
        <v>14584</v>
      </c>
      <c r="D59" s="69">
        <v>28225</v>
      </c>
      <c r="E59" s="69">
        <v>35647</v>
      </c>
      <c r="F59" s="69">
        <v>43007</v>
      </c>
      <c r="G59" s="58">
        <v>58732</v>
      </c>
      <c r="I59" s="22">
        <v>34431</v>
      </c>
      <c r="J59" s="22">
        <v>36480</v>
      </c>
      <c r="K59" s="22">
        <v>18512</v>
      </c>
      <c r="L59" s="126">
        <f t="shared" si="38"/>
        <v>35647</v>
      </c>
      <c r="M59" s="22">
        <v>61314</v>
      </c>
      <c r="N59" s="22">
        <v>55547</v>
      </c>
      <c r="O59" s="22">
        <v>56946</v>
      </c>
      <c r="P59" s="126">
        <f>G59</f>
        <v>58732</v>
      </c>
      <c r="Q59" s="22">
        <v>56864</v>
      </c>
      <c r="R59" s="22">
        <v>55575</v>
      </c>
      <c r="S59" s="22">
        <v>60127</v>
      </c>
      <c r="U59" s="23">
        <f t="shared" si="36"/>
        <v>56946</v>
      </c>
      <c r="V59" s="23">
        <f t="shared" si="37"/>
        <v>60127</v>
      </c>
      <c r="W59" s="23"/>
      <c r="X59" s="25">
        <f t="shared" si="31"/>
        <v>5.585993748463447E-2</v>
      </c>
    </row>
    <row r="60" spans="2:24" x14ac:dyDescent="0.25">
      <c r="B60" s="41" t="s">
        <v>2</v>
      </c>
      <c r="C60" s="59">
        <f>SUM(C54:C59)+C51</f>
        <v>3191172</v>
      </c>
      <c r="D60" s="59">
        <f>SUM(D54:D59)+D51</f>
        <v>5089969</v>
      </c>
      <c r="E60" s="59">
        <f>SUM(E54:E59)+E51</f>
        <v>4764379</v>
      </c>
      <c r="F60" s="59">
        <f>SUM(F54:F59)+F51</f>
        <v>5370411</v>
      </c>
      <c r="G60" s="59">
        <f>SUM(G54:G59)+G51</f>
        <v>5707011</v>
      </c>
      <c r="I60" s="59">
        <f t="shared" ref="I60:S60" si="39">SUM(I54:I59)+I51</f>
        <v>5012036</v>
      </c>
      <c r="J60" s="59">
        <f t="shared" si="39"/>
        <v>4945994</v>
      </c>
      <c r="K60" s="59">
        <f t="shared" si="39"/>
        <v>5331549</v>
      </c>
      <c r="L60" s="59">
        <f t="shared" si="39"/>
        <v>4764379</v>
      </c>
      <c r="M60" s="59">
        <f t="shared" si="39"/>
        <v>5375719</v>
      </c>
      <c r="N60" s="59">
        <f t="shared" si="39"/>
        <v>5248760</v>
      </c>
      <c r="O60" s="59">
        <f t="shared" si="39"/>
        <v>5595008</v>
      </c>
      <c r="P60" s="59">
        <f t="shared" si="39"/>
        <v>5707011</v>
      </c>
      <c r="Q60" s="59">
        <f t="shared" si="39"/>
        <v>5631939</v>
      </c>
      <c r="R60" s="59">
        <f t="shared" si="39"/>
        <v>5737408</v>
      </c>
      <c r="S60" s="59">
        <f t="shared" si="39"/>
        <v>5958486</v>
      </c>
      <c r="U60" s="59">
        <f>SUM(U54:U59)+U51</f>
        <v>5595008</v>
      </c>
      <c r="V60" s="59">
        <f>SUM(V54:V59)+V51</f>
        <v>5958486</v>
      </c>
      <c r="W60" s="29"/>
      <c r="X60" s="30">
        <f t="shared" si="31"/>
        <v>6.4964697101416169E-2</v>
      </c>
    </row>
    <row r="61" spans="2:24" ht="15.75" x14ac:dyDescent="0.25">
      <c r="B61" s="38"/>
      <c r="C61" s="60"/>
      <c r="D61" s="60"/>
      <c r="E61" s="60"/>
      <c r="F61" s="60"/>
      <c r="G61" s="57"/>
      <c r="I61" s="57"/>
      <c r="J61" s="57"/>
      <c r="K61" s="57"/>
      <c r="L61" s="57"/>
      <c r="M61" s="57"/>
      <c r="N61" s="57"/>
      <c r="O61" s="57"/>
      <c r="P61" s="57"/>
      <c r="Q61" s="57"/>
      <c r="R61" s="57"/>
      <c r="U61" s="29"/>
      <c r="V61" s="29"/>
      <c r="W61" s="29"/>
      <c r="X61" s="34"/>
    </row>
    <row r="62" spans="2:24" s="62" customFormat="1" ht="15.75" x14ac:dyDescent="0.25">
      <c r="B62" s="38" t="s">
        <v>33</v>
      </c>
      <c r="C62" s="55"/>
      <c r="D62" s="55"/>
      <c r="E62" s="55"/>
      <c r="F62" s="55"/>
      <c r="G62" s="61"/>
      <c r="I62" s="61"/>
      <c r="J62" s="61"/>
      <c r="K62" s="61"/>
      <c r="L62" s="61"/>
      <c r="M62" s="61"/>
      <c r="N62" s="61"/>
      <c r="O62" s="61"/>
      <c r="P62" s="61"/>
      <c r="Q62" s="61"/>
      <c r="R62" s="61"/>
      <c r="U62" s="61"/>
      <c r="V62" s="61"/>
      <c r="W62" s="61"/>
    </row>
    <row r="63" spans="2:24" x14ac:dyDescent="0.25">
      <c r="B63" s="63" t="s">
        <v>115</v>
      </c>
      <c r="C63" s="69">
        <v>404016</v>
      </c>
      <c r="D63" s="69">
        <v>477052</v>
      </c>
      <c r="E63" s="69">
        <v>552730</v>
      </c>
      <c r="F63" s="69">
        <v>559527</v>
      </c>
      <c r="G63" s="58">
        <v>544001</v>
      </c>
      <c r="I63" s="22">
        <v>585500</v>
      </c>
      <c r="J63" s="22">
        <v>586851</v>
      </c>
      <c r="K63" s="22">
        <v>647117</v>
      </c>
      <c r="L63" s="126">
        <f>E63</f>
        <v>552730</v>
      </c>
      <c r="M63" s="22">
        <v>621272</v>
      </c>
      <c r="N63" s="22">
        <v>521315</v>
      </c>
      <c r="O63" s="22">
        <v>597373</v>
      </c>
      <c r="P63" s="126">
        <f>G63</f>
        <v>544001</v>
      </c>
      <c r="Q63" s="58">
        <v>463777</v>
      </c>
      <c r="R63" s="58">
        <v>566904</v>
      </c>
      <c r="S63" s="58">
        <v>593219</v>
      </c>
      <c r="U63" s="23">
        <f t="shared" ref="U63:U68" si="40">O63</f>
        <v>597373</v>
      </c>
      <c r="V63" s="23">
        <f t="shared" ref="V63:V68" si="41">S63</f>
        <v>593219</v>
      </c>
      <c r="W63" s="23"/>
      <c r="X63" s="25">
        <f t="shared" ref="X63:X68" si="42">SUM(V63/U63)-1</f>
        <v>-6.9537792970221224E-3</v>
      </c>
    </row>
    <row r="64" spans="2:24" x14ac:dyDescent="0.25">
      <c r="B64" s="63" t="s">
        <v>116</v>
      </c>
      <c r="C64" s="69">
        <v>220666</v>
      </c>
      <c r="D64" s="69">
        <v>296334</v>
      </c>
      <c r="E64" s="69">
        <v>364797</v>
      </c>
      <c r="F64" s="69">
        <v>444278</v>
      </c>
      <c r="G64" s="58">
        <v>382468</v>
      </c>
      <c r="I64" s="22">
        <v>305000</v>
      </c>
      <c r="J64" s="22">
        <v>323939</v>
      </c>
      <c r="K64" s="22">
        <v>462773</v>
      </c>
      <c r="L64" s="126">
        <f t="shared" ref="L64:L68" si="43">E64</f>
        <v>364797</v>
      </c>
      <c r="M64" s="22">
        <v>308583</v>
      </c>
      <c r="N64" s="22">
        <v>328247</v>
      </c>
      <c r="O64" s="22">
        <v>405443</v>
      </c>
      <c r="P64" s="126">
        <f>G64</f>
        <v>382468</v>
      </c>
      <c r="Q64" s="58">
        <v>332692</v>
      </c>
      <c r="R64" s="58">
        <v>348042</v>
      </c>
      <c r="S64" s="58">
        <v>333463</v>
      </c>
      <c r="U64" s="23">
        <f t="shared" si="40"/>
        <v>405443</v>
      </c>
      <c r="V64" s="23">
        <f t="shared" si="41"/>
        <v>333463</v>
      </c>
      <c r="W64" s="23"/>
      <c r="X64" s="25">
        <f t="shared" si="42"/>
        <v>-0.17753420332821135</v>
      </c>
    </row>
    <row r="65" spans="2:24" x14ac:dyDescent="0.25">
      <c r="B65" s="63" t="s">
        <v>117</v>
      </c>
      <c r="C65" s="69">
        <v>199054</v>
      </c>
      <c r="D65" s="69">
        <v>274383</v>
      </c>
      <c r="E65" s="69">
        <v>353579</v>
      </c>
      <c r="F65" s="69">
        <v>394677</v>
      </c>
      <c r="G65" s="58">
        <v>436591</v>
      </c>
      <c r="I65" s="22">
        <v>324694</v>
      </c>
      <c r="J65" s="22">
        <v>316571</v>
      </c>
      <c r="K65" s="22">
        <v>312132</v>
      </c>
      <c r="L65" s="126">
        <f t="shared" si="43"/>
        <v>353579</v>
      </c>
      <c r="M65" s="22">
        <v>357217</v>
      </c>
      <c r="N65" s="22">
        <v>354253</v>
      </c>
      <c r="O65" s="22">
        <v>350937</v>
      </c>
      <c r="P65" s="126">
        <f>G65</f>
        <v>436591</v>
      </c>
      <c r="Q65" s="58">
        <v>398729</v>
      </c>
      <c r="R65" s="58">
        <v>394987</v>
      </c>
      <c r="S65" s="58">
        <v>405040</v>
      </c>
      <c r="U65" s="23">
        <f t="shared" si="40"/>
        <v>350937</v>
      </c>
      <c r="V65" s="23">
        <f t="shared" si="41"/>
        <v>405040</v>
      </c>
      <c r="W65" s="23"/>
      <c r="X65" s="25">
        <f t="shared" si="42"/>
        <v>0.1541672721884555</v>
      </c>
    </row>
    <row r="66" spans="2:24" x14ac:dyDescent="0.25">
      <c r="B66" s="63" t="s">
        <v>118</v>
      </c>
      <c r="C66" s="143">
        <v>0</v>
      </c>
      <c r="D66" s="69">
        <v>253415</v>
      </c>
      <c r="E66" s="69">
        <v>274118</v>
      </c>
      <c r="F66" s="69">
        <v>283293</v>
      </c>
      <c r="G66" s="58">
        <v>283821</v>
      </c>
      <c r="I66" s="22">
        <v>276440</v>
      </c>
      <c r="J66" s="22">
        <v>274693</v>
      </c>
      <c r="K66" s="22">
        <v>275749</v>
      </c>
      <c r="L66" s="126">
        <f t="shared" si="43"/>
        <v>274118</v>
      </c>
      <c r="M66" s="22">
        <v>288133</v>
      </c>
      <c r="N66" s="22">
        <v>287359</v>
      </c>
      <c r="O66" s="22">
        <v>287786</v>
      </c>
      <c r="P66" s="126">
        <f>G66</f>
        <v>283821</v>
      </c>
      <c r="Q66" s="58">
        <v>284815</v>
      </c>
      <c r="R66" s="58">
        <v>281301</v>
      </c>
      <c r="S66" s="58">
        <v>284985</v>
      </c>
      <c r="U66" s="23">
        <f t="shared" si="40"/>
        <v>287786</v>
      </c>
      <c r="V66" s="23">
        <f t="shared" si="41"/>
        <v>284985</v>
      </c>
      <c r="W66" s="23"/>
      <c r="X66" s="25">
        <f t="shared" si="42"/>
        <v>-9.732926549588905E-3</v>
      </c>
    </row>
    <row r="67" spans="2:24" x14ac:dyDescent="0.25">
      <c r="B67" s="63" t="s">
        <v>119</v>
      </c>
      <c r="C67" s="143">
        <v>0</v>
      </c>
      <c r="D67" s="69">
        <v>42529</v>
      </c>
      <c r="E67" s="69">
        <v>12786</v>
      </c>
      <c r="F67" s="143">
        <v>0</v>
      </c>
      <c r="G67" s="175">
        <v>11310</v>
      </c>
      <c r="I67" s="22">
        <v>108113</v>
      </c>
      <c r="J67" s="22">
        <v>0</v>
      </c>
      <c r="K67" s="22">
        <v>0</v>
      </c>
      <c r="L67" s="126">
        <f t="shared" si="43"/>
        <v>12786</v>
      </c>
      <c r="M67" s="22">
        <v>58695</v>
      </c>
      <c r="N67" s="22">
        <v>0</v>
      </c>
      <c r="O67" s="22">
        <v>0</v>
      </c>
      <c r="P67" s="126">
        <f>G67</f>
        <v>11310</v>
      </c>
      <c r="Q67" s="58">
        <v>92711</v>
      </c>
      <c r="R67" s="143">
        <v>0</v>
      </c>
      <c r="S67" s="143">
        <v>0</v>
      </c>
      <c r="U67" s="23">
        <f t="shared" si="40"/>
        <v>0</v>
      </c>
      <c r="V67" s="23">
        <f t="shared" si="41"/>
        <v>0</v>
      </c>
      <c r="W67" s="23"/>
      <c r="X67" s="25" t="e">
        <f t="shared" si="42"/>
        <v>#DIV/0!</v>
      </c>
    </row>
    <row r="68" spans="2:24" x14ac:dyDescent="0.25">
      <c r="B68" s="63" t="s">
        <v>75</v>
      </c>
      <c r="C68" s="143"/>
      <c r="D68" s="69"/>
      <c r="E68" s="69"/>
      <c r="F68" s="143"/>
      <c r="G68" s="143"/>
      <c r="I68" s="22">
        <v>0</v>
      </c>
      <c r="J68" s="22">
        <v>0</v>
      </c>
      <c r="K68" s="22">
        <v>0</v>
      </c>
      <c r="L68" s="126">
        <f t="shared" si="43"/>
        <v>0</v>
      </c>
      <c r="M68" s="22">
        <v>0</v>
      </c>
      <c r="N68" s="22">
        <v>0</v>
      </c>
      <c r="O68" s="22">
        <v>195400</v>
      </c>
      <c r="P68" s="126">
        <f>G68</f>
        <v>0</v>
      </c>
      <c r="Q68" s="143">
        <v>0</v>
      </c>
      <c r="R68" s="143">
        <v>0</v>
      </c>
      <c r="S68" s="58">
        <v>199700</v>
      </c>
      <c r="U68" s="23">
        <f t="shared" si="40"/>
        <v>195400</v>
      </c>
      <c r="V68" s="23">
        <f t="shared" si="41"/>
        <v>199700</v>
      </c>
      <c r="W68" s="23"/>
      <c r="X68" s="25">
        <f t="shared" si="42"/>
        <v>2.2006141248720468E-2</v>
      </c>
    </row>
    <row r="69" spans="2:24" x14ac:dyDescent="0.25">
      <c r="B69" s="41" t="s">
        <v>3</v>
      </c>
      <c r="C69" s="59">
        <f t="shared" ref="C69" si="44">SUM(C63:C68)</f>
        <v>823736</v>
      </c>
      <c r="D69" s="59">
        <f t="shared" ref="D69" si="45">SUM(D63:D68)</f>
        <v>1343713</v>
      </c>
      <c r="E69" s="59">
        <f t="shared" ref="E69" si="46">SUM(E63:E68)</f>
        <v>1558010</v>
      </c>
      <c r="F69" s="59">
        <f t="shared" ref="F69" si="47">SUM(F63:F68)</f>
        <v>1681775</v>
      </c>
      <c r="G69" s="59">
        <f t="shared" ref="G69" si="48">SUM(G63:G68)</f>
        <v>1658191</v>
      </c>
      <c r="I69" s="59">
        <f>SUM(I63:I68)</f>
        <v>1599747</v>
      </c>
      <c r="J69" s="59">
        <f>SUM(J63:J68)</f>
        <v>1502054</v>
      </c>
      <c r="K69" s="59">
        <f>SUM(K63:K68)</f>
        <v>1697771</v>
      </c>
      <c r="L69" s="59">
        <f t="shared" ref="L69:P69" si="49">SUM(L63:L67)</f>
        <v>1558010</v>
      </c>
      <c r="M69" s="59">
        <f>SUM(M63:M68)</f>
        <v>1633900</v>
      </c>
      <c r="N69" s="59">
        <f>SUM(N63:N68)</f>
        <v>1491174</v>
      </c>
      <c r="O69" s="59">
        <f t="shared" si="49"/>
        <v>1641539</v>
      </c>
      <c r="P69" s="59">
        <f t="shared" si="49"/>
        <v>1658191</v>
      </c>
      <c r="Q69" s="59">
        <f t="shared" ref="Q69:R69" si="50">SUM(Q63:Q68)</f>
        <v>1572724</v>
      </c>
      <c r="R69" s="59">
        <f t="shared" si="50"/>
        <v>1591234</v>
      </c>
      <c r="S69" s="59">
        <f>SUM(S63:S68)</f>
        <v>1816407</v>
      </c>
      <c r="U69" s="59">
        <f t="shared" ref="U69:V69" si="51">SUM(U63:U68)</f>
        <v>1836939</v>
      </c>
      <c r="V69" s="59">
        <f t="shared" si="51"/>
        <v>1816407</v>
      </c>
      <c r="W69" s="29"/>
      <c r="X69" s="30">
        <f>SUM(V69/U69)-1</f>
        <v>-1.1177290046103905E-2</v>
      </c>
    </row>
    <row r="70" spans="2:24" ht="15.75" x14ac:dyDescent="0.25">
      <c r="B70" s="38"/>
      <c r="C70" s="60"/>
      <c r="D70" s="60"/>
      <c r="E70" s="60"/>
      <c r="F70" s="64"/>
      <c r="G70" s="57"/>
      <c r="I70" s="57"/>
      <c r="J70" s="57"/>
      <c r="K70" s="57"/>
      <c r="L70" s="57"/>
      <c r="M70" s="57"/>
      <c r="N70" s="57"/>
      <c r="O70" s="57"/>
      <c r="P70" s="57"/>
      <c r="Q70" s="57"/>
      <c r="R70" s="57"/>
      <c r="U70" s="29"/>
      <c r="V70" s="29"/>
      <c r="W70" s="29"/>
      <c r="X70" s="34"/>
    </row>
    <row r="71" spans="2:24" ht="15.75" x14ac:dyDescent="0.25">
      <c r="B71" s="38" t="s">
        <v>34</v>
      </c>
      <c r="C71" s="60"/>
      <c r="D71" s="60"/>
      <c r="E71" s="60"/>
      <c r="F71" s="64"/>
      <c r="G71" s="57"/>
      <c r="I71" s="57"/>
      <c r="J71" s="57"/>
      <c r="K71" s="57"/>
      <c r="L71" s="57"/>
      <c r="M71" s="57"/>
      <c r="N71" s="57"/>
      <c r="O71" s="57"/>
      <c r="P71" s="57"/>
      <c r="Q71" s="57"/>
      <c r="R71" s="57"/>
      <c r="U71" s="29"/>
      <c r="V71" s="29"/>
      <c r="W71" s="29"/>
      <c r="X71" s="34"/>
    </row>
    <row r="72" spans="2:24" x14ac:dyDescent="0.25">
      <c r="B72" s="26" t="s">
        <v>121</v>
      </c>
      <c r="C72" s="143">
        <v>0</v>
      </c>
      <c r="D72" s="65">
        <v>1643386</v>
      </c>
      <c r="E72" s="65">
        <v>1572638</v>
      </c>
      <c r="F72" s="65">
        <v>1619883</v>
      </c>
      <c r="G72" s="22">
        <v>1627271</v>
      </c>
      <c r="H72" s="66"/>
      <c r="I72" s="22">
        <v>1568356</v>
      </c>
      <c r="J72" s="22">
        <v>1582003</v>
      </c>
      <c r="K72" s="22">
        <v>1621252</v>
      </c>
      <c r="L72" s="126">
        <f t="shared" ref="L72:L74" si="52">E72</f>
        <v>1572638</v>
      </c>
      <c r="M72" s="22">
        <v>1610256</v>
      </c>
      <c r="N72" s="22">
        <v>1593040</v>
      </c>
      <c r="O72" s="22">
        <v>1616747</v>
      </c>
      <c r="P72" s="126">
        <f>G72</f>
        <v>1627271</v>
      </c>
      <c r="Q72" s="22">
        <v>1607953</v>
      </c>
      <c r="R72" s="22">
        <v>1647698</v>
      </c>
      <c r="S72" s="130">
        <v>1656317</v>
      </c>
      <c r="U72" s="23">
        <f t="shared" ref="U72:U74" si="53">O72</f>
        <v>1616747</v>
      </c>
      <c r="V72" s="23">
        <f t="shared" ref="V72:V74" si="54">S72</f>
        <v>1656317</v>
      </c>
      <c r="W72" s="29"/>
      <c r="X72" s="25">
        <f t="shared" ref="X72:X74" si="55">SUM(V72/U72)-1</f>
        <v>2.4475072475780069E-2</v>
      </c>
    </row>
    <row r="73" spans="2:24" x14ac:dyDescent="0.25">
      <c r="B73" s="63" t="s">
        <v>122</v>
      </c>
      <c r="C73" s="65">
        <v>83864</v>
      </c>
      <c r="D73" s="65">
        <v>65359</v>
      </c>
      <c r="E73" s="65">
        <v>39693</v>
      </c>
      <c r="F73" s="65">
        <v>55346</v>
      </c>
      <c r="G73" s="22">
        <v>85921</v>
      </c>
      <c r="H73" s="66"/>
      <c r="I73" s="22">
        <v>40702</v>
      </c>
      <c r="J73" s="22">
        <v>40029</v>
      </c>
      <c r="K73" s="22">
        <v>38627</v>
      </c>
      <c r="L73" s="126">
        <f t="shared" si="52"/>
        <v>39693</v>
      </c>
      <c r="M73" s="22">
        <v>57490</v>
      </c>
      <c r="N73" s="22">
        <v>56012</v>
      </c>
      <c r="O73" s="22">
        <v>56874</v>
      </c>
      <c r="P73" s="126">
        <f>G73</f>
        <v>85921</v>
      </c>
      <c r="Q73" s="22">
        <v>89556</v>
      </c>
      <c r="R73" s="22">
        <v>88461</v>
      </c>
      <c r="S73" s="130">
        <v>91729</v>
      </c>
      <c r="U73" s="23">
        <f t="shared" si="53"/>
        <v>56874</v>
      </c>
      <c r="V73" s="23">
        <f t="shared" si="54"/>
        <v>91729</v>
      </c>
      <c r="W73" s="23"/>
      <c r="X73" s="25">
        <f t="shared" si="55"/>
        <v>0.61284594014839811</v>
      </c>
    </row>
    <row r="74" spans="2:24" x14ac:dyDescent="0.25">
      <c r="B74" s="63" t="s">
        <v>123</v>
      </c>
      <c r="C74" s="65">
        <f>28374+2986+423980</f>
        <v>455340</v>
      </c>
      <c r="D74" s="65">
        <f>37962+3561</f>
        <v>41523</v>
      </c>
      <c r="E74" s="65">
        <f>58665+3863</f>
        <v>62528</v>
      </c>
      <c r="F74" s="65">
        <f>53596+5210</f>
        <v>58806</v>
      </c>
      <c r="G74" s="22">
        <f>56300+5018</f>
        <v>61318</v>
      </c>
      <c r="H74" s="66"/>
      <c r="I74" s="22">
        <v>57611</v>
      </c>
      <c r="J74" s="22">
        <v>52840</v>
      </c>
      <c r="K74" s="22">
        <v>51644</v>
      </c>
      <c r="L74" s="126">
        <f t="shared" si="52"/>
        <v>62528</v>
      </c>
      <c r="M74" s="22">
        <v>56005</v>
      </c>
      <c r="N74" s="22">
        <v>56657</v>
      </c>
      <c r="O74" s="22">
        <v>55906</v>
      </c>
      <c r="P74" s="126">
        <f>G74</f>
        <v>61318</v>
      </c>
      <c r="Q74" s="22">
        <v>60963</v>
      </c>
      <c r="R74" s="22">
        <v>61855</v>
      </c>
      <c r="S74" s="213">
        <v>65024</v>
      </c>
      <c r="U74" s="23">
        <f t="shared" si="53"/>
        <v>55906</v>
      </c>
      <c r="V74" s="23">
        <f t="shared" si="54"/>
        <v>65024</v>
      </c>
      <c r="W74" s="23"/>
      <c r="X74" s="25">
        <f t="shared" si="55"/>
        <v>0.16309519550674345</v>
      </c>
    </row>
    <row r="75" spans="2:24" x14ac:dyDescent="0.25">
      <c r="B75" s="41" t="s">
        <v>35</v>
      </c>
      <c r="C75" s="54">
        <f>SUM(C72:C74)+C69</f>
        <v>1362940</v>
      </c>
      <c r="D75" s="54">
        <f>SUM(D72:D74)+D69</f>
        <v>3093981</v>
      </c>
      <c r="E75" s="54">
        <f>SUM(E72:E74)+E69</f>
        <v>3232869</v>
      </c>
      <c r="F75" s="54">
        <f>SUM(F72:F74)+F69</f>
        <v>3415810</v>
      </c>
      <c r="G75" s="54">
        <f>SUM(G72:G74)+G69</f>
        <v>3432701</v>
      </c>
      <c r="I75" s="54">
        <f t="shared" ref="I75:S75" si="56">SUM(I72:I74)+I69</f>
        <v>3266416</v>
      </c>
      <c r="J75" s="54">
        <f t="shared" si="56"/>
        <v>3176926</v>
      </c>
      <c r="K75" s="54">
        <f t="shared" si="56"/>
        <v>3409294</v>
      </c>
      <c r="L75" s="54">
        <f t="shared" si="56"/>
        <v>3232869</v>
      </c>
      <c r="M75" s="54">
        <f t="shared" si="56"/>
        <v>3357651</v>
      </c>
      <c r="N75" s="54">
        <f t="shared" si="56"/>
        <v>3196883</v>
      </c>
      <c r="O75" s="54">
        <f t="shared" si="56"/>
        <v>3371066</v>
      </c>
      <c r="P75" s="54">
        <f t="shared" si="56"/>
        <v>3432701</v>
      </c>
      <c r="Q75" s="54">
        <f t="shared" si="56"/>
        <v>3331196</v>
      </c>
      <c r="R75" s="54">
        <f t="shared" si="56"/>
        <v>3389248</v>
      </c>
      <c r="S75" s="54">
        <f t="shared" si="56"/>
        <v>3629477</v>
      </c>
      <c r="U75" s="54">
        <f>SUM(U72:U74)+U69</f>
        <v>3566466</v>
      </c>
      <c r="V75" s="54">
        <f>SUM(V72:V74)+V69</f>
        <v>3629477</v>
      </c>
      <c r="W75" s="29"/>
      <c r="X75" s="30">
        <f>SUM(V75/U75)-1</f>
        <v>1.7667629524577011E-2</v>
      </c>
    </row>
    <row r="76" spans="2:24" ht="15.75" x14ac:dyDescent="0.25">
      <c r="B76" s="38"/>
      <c r="C76" s="55"/>
      <c r="D76" s="55"/>
      <c r="E76" s="55"/>
      <c r="F76" s="56"/>
      <c r="G76" s="57"/>
      <c r="I76" s="57"/>
      <c r="J76" s="57"/>
      <c r="K76" s="57"/>
      <c r="L76" s="57"/>
      <c r="M76" s="57"/>
      <c r="N76" s="57"/>
      <c r="O76" s="57"/>
      <c r="P76" s="57"/>
      <c r="Q76" s="57"/>
      <c r="R76" s="57"/>
      <c r="U76" s="29"/>
      <c r="V76" s="29"/>
      <c r="W76" s="29"/>
      <c r="X76" s="34"/>
    </row>
    <row r="77" spans="2:24" x14ac:dyDescent="0.25">
      <c r="B77" s="38" t="s">
        <v>36</v>
      </c>
      <c r="C77" s="21"/>
      <c r="D77" s="21"/>
      <c r="E77" s="21"/>
      <c r="F77" s="67"/>
      <c r="G77" s="20"/>
      <c r="I77" s="20"/>
      <c r="J77" s="20"/>
      <c r="K77" s="20"/>
      <c r="L77" s="20"/>
      <c r="M77" s="20"/>
      <c r="N77" s="20"/>
      <c r="O77" s="20"/>
      <c r="P77" s="20"/>
      <c r="Q77" s="20"/>
      <c r="R77" s="20"/>
    </row>
    <row r="78" spans="2:24" x14ac:dyDescent="0.25">
      <c r="B78" s="63" t="s">
        <v>124</v>
      </c>
      <c r="C78" s="175">
        <v>592</v>
      </c>
      <c r="D78" s="175">
        <v>569</v>
      </c>
      <c r="E78" s="175">
        <v>530</v>
      </c>
      <c r="F78" s="175">
        <v>511</v>
      </c>
      <c r="G78" s="175">
        <v>491</v>
      </c>
      <c r="H78" s="68"/>
      <c r="I78" s="213">
        <v>528</v>
      </c>
      <c r="J78" s="213">
        <v>521</v>
      </c>
      <c r="K78" s="213">
        <v>517</v>
      </c>
      <c r="L78" s="126">
        <f t="shared" ref="L78:L81" si="57">E78</f>
        <v>530</v>
      </c>
      <c r="M78" s="222">
        <v>507</v>
      </c>
      <c r="N78" s="222">
        <v>501</v>
      </c>
      <c r="O78" s="222">
        <v>495</v>
      </c>
      <c r="P78" s="126">
        <f>G78</f>
        <v>491</v>
      </c>
      <c r="Q78" s="222">
        <v>487</v>
      </c>
      <c r="R78" s="222">
        <v>481</v>
      </c>
      <c r="S78" s="222">
        <v>474</v>
      </c>
      <c r="U78" s="23">
        <f t="shared" ref="U78:U81" si="58">O78</f>
        <v>495</v>
      </c>
      <c r="V78" s="23">
        <f t="shared" ref="V78:V81" si="59">S78</f>
        <v>474</v>
      </c>
      <c r="W78" s="23"/>
      <c r="X78" s="25">
        <f>SUM(V78/U78)-1</f>
        <v>-4.2424242424242475E-2</v>
      </c>
    </row>
    <row r="79" spans="2:24" x14ac:dyDescent="0.25">
      <c r="B79" s="63" t="s">
        <v>125</v>
      </c>
      <c r="C79" s="176">
        <v>-24908</v>
      </c>
      <c r="D79" s="176">
        <v>-37801</v>
      </c>
      <c r="E79" s="176">
        <v>-53478</v>
      </c>
      <c r="F79" s="176">
        <v>-60470</v>
      </c>
      <c r="G79" s="175">
        <v>-83032</v>
      </c>
      <c r="H79" s="68"/>
      <c r="I79" s="143">
        <v>-58650</v>
      </c>
      <c r="J79" s="175">
        <v>-59803</v>
      </c>
      <c r="K79" s="175">
        <v>-60218</v>
      </c>
      <c r="L79" s="126">
        <f t="shared" si="57"/>
        <v>-53478</v>
      </c>
      <c r="M79" s="213">
        <v>-82129</v>
      </c>
      <c r="N79" s="213">
        <v>-82229</v>
      </c>
      <c r="O79" s="22">
        <v>-82798</v>
      </c>
      <c r="P79" s="126">
        <f>G79</f>
        <v>-83032</v>
      </c>
      <c r="Q79" s="213">
        <v>-106315</v>
      </c>
      <c r="R79" s="22">
        <v>-106491</v>
      </c>
      <c r="S79" s="213">
        <v>-106598</v>
      </c>
      <c r="U79" s="23">
        <f t="shared" si="58"/>
        <v>-82798</v>
      </c>
      <c r="V79" s="23">
        <f t="shared" si="59"/>
        <v>-106598</v>
      </c>
      <c r="W79" s="23"/>
      <c r="X79" s="25">
        <f t="shared" ref="X79:X80" si="60">SUM(V79/U79)-1</f>
        <v>0.28744655668011299</v>
      </c>
    </row>
    <row r="80" spans="2:24" x14ac:dyDescent="0.25">
      <c r="B80" s="63" t="s">
        <v>126</v>
      </c>
      <c r="C80" s="176">
        <v>738671</v>
      </c>
      <c r="D80" s="176">
        <v>847303</v>
      </c>
      <c r="E80" s="176">
        <v>934945</v>
      </c>
      <c r="F80" s="176">
        <v>1023997</v>
      </c>
      <c r="G80" s="176">
        <v>1075104</v>
      </c>
      <c r="H80" s="68"/>
      <c r="I80" s="22">
        <v>951802</v>
      </c>
      <c r="J80" s="220">
        <v>982339</v>
      </c>
      <c r="K80" s="220">
        <v>998816</v>
      </c>
      <c r="L80" s="126">
        <f t="shared" si="57"/>
        <v>934945</v>
      </c>
      <c r="M80" s="22">
        <v>1040378</v>
      </c>
      <c r="N80" s="22">
        <v>1049679</v>
      </c>
      <c r="O80" s="22">
        <v>1058969</v>
      </c>
      <c r="P80" s="126">
        <f>G80</f>
        <v>1075104</v>
      </c>
      <c r="Q80" s="22">
        <v>1091822</v>
      </c>
      <c r="R80" s="220">
        <v>1099197</v>
      </c>
      <c r="S80" s="215">
        <v>1104952</v>
      </c>
      <c r="U80" s="23">
        <f t="shared" si="58"/>
        <v>1058969</v>
      </c>
      <c r="V80" s="23">
        <f t="shared" si="59"/>
        <v>1104952</v>
      </c>
      <c r="W80" s="23"/>
      <c r="X80" s="25">
        <f t="shared" si="60"/>
        <v>4.3422423130422105E-2</v>
      </c>
    </row>
    <row r="81" spans="1:24" x14ac:dyDescent="0.25">
      <c r="B81" s="63" t="s">
        <v>76</v>
      </c>
      <c r="C81" s="177">
        <v>1105863</v>
      </c>
      <c r="D81" s="177">
        <v>1189422</v>
      </c>
      <c r="E81" s="177">
        <v>653376</v>
      </c>
      <c r="F81" s="177">
        <v>995773</v>
      </c>
      <c r="G81" s="178">
        <v>1286765</v>
      </c>
      <c r="H81" s="68"/>
      <c r="I81" s="70">
        <v>851940</v>
      </c>
      <c r="J81" s="221">
        <v>846011</v>
      </c>
      <c r="K81" s="220">
        <v>983140</v>
      </c>
      <c r="L81" s="126">
        <f t="shared" si="57"/>
        <v>653376</v>
      </c>
      <c r="M81" s="70">
        <v>1059312</v>
      </c>
      <c r="N81" s="70">
        <v>1083926</v>
      </c>
      <c r="O81" s="22">
        <v>1051876</v>
      </c>
      <c r="P81" s="126">
        <f>G81</f>
        <v>1286765</v>
      </c>
      <c r="Q81" s="70">
        <v>1314749</v>
      </c>
      <c r="R81" s="221">
        <v>1354973</v>
      </c>
      <c r="S81" s="214">
        <v>1330181</v>
      </c>
      <c r="U81" s="23">
        <f t="shared" si="58"/>
        <v>1051876</v>
      </c>
      <c r="V81" s="23">
        <f t="shared" si="59"/>
        <v>1330181</v>
      </c>
      <c r="W81" s="23"/>
      <c r="X81" s="25">
        <f>SUM(V81/U81)-1</f>
        <v>0.26457966528374066</v>
      </c>
    </row>
    <row r="82" spans="1:24" x14ac:dyDescent="0.25">
      <c r="B82" s="41" t="s">
        <v>37</v>
      </c>
      <c r="C82" s="71">
        <f>SUM(C78:C81)</f>
        <v>1820218</v>
      </c>
      <c r="D82" s="71">
        <f>SUM(D78:D81)</f>
        <v>1999493</v>
      </c>
      <c r="E82" s="71">
        <f>SUM(E78:E81)</f>
        <v>1535373</v>
      </c>
      <c r="F82" s="71">
        <f>SUM(F78:F81)</f>
        <v>1959811</v>
      </c>
      <c r="G82" s="71">
        <f>SUM(G78:G81)</f>
        <v>2279328</v>
      </c>
      <c r="H82" s="72"/>
      <c r="I82" s="71">
        <f t="shared" ref="I82:S82" si="61">SUM(I78:I81)</f>
        <v>1745620</v>
      </c>
      <c r="J82" s="71">
        <f t="shared" si="61"/>
        <v>1769068</v>
      </c>
      <c r="K82" s="71">
        <f t="shared" si="61"/>
        <v>1922255</v>
      </c>
      <c r="L82" s="71">
        <f t="shared" si="61"/>
        <v>1535373</v>
      </c>
      <c r="M82" s="71">
        <f t="shared" si="61"/>
        <v>2018068</v>
      </c>
      <c r="N82" s="71">
        <f t="shared" si="61"/>
        <v>2051877</v>
      </c>
      <c r="O82" s="71">
        <f t="shared" si="61"/>
        <v>2028542</v>
      </c>
      <c r="P82" s="71">
        <f t="shared" si="61"/>
        <v>2279328</v>
      </c>
      <c r="Q82" s="71">
        <f t="shared" si="61"/>
        <v>2300743</v>
      </c>
      <c r="R82" s="71">
        <f t="shared" si="61"/>
        <v>2348160</v>
      </c>
      <c r="S82" s="71">
        <f t="shared" si="61"/>
        <v>2329009</v>
      </c>
      <c r="U82" s="71">
        <f>SUM(U78:U81)</f>
        <v>2028542</v>
      </c>
      <c r="V82" s="71">
        <f>SUM(V78:V81)</f>
        <v>2329009</v>
      </c>
      <c r="W82" s="29"/>
      <c r="X82" s="25">
        <f>SUM(V82/U82)-1</f>
        <v>0.14811968398978181</v>
      </c>
    </row>
    <row r="83" spans="1:24" x14ac:dyDescent="0.25">
      <c r="B83" s="2" t="s">
        <v>38</v>
      </c>
      <c r="C83" s="73">
        <f>SUM(C82+C75)</f>
        <v>3183158</v>
      </c>
      <c r="D83" s="73">
        <f>SUM(D82+D75)</f>
        <v>5093474</v>
      </c>
      <c r="E83" s="73">
        <f>SUM(E82+E75)</f>
        <v>4768242</v>
      </c>
      <c r="F83" s="73">
        <f>SUM(F82+F75)</f>
        <v>5375621</v>
      </c>
      <c r="G83" s="73">
        <f>SUM(G82+G75)</f>
        <v>5712029</v>
      </c>
      <c r="H83" s="68"/>
      <c r="I83" s="73">
        <f t="shared" ref="I83:S83" si="62">SUM(I82+I75)</f>
        <v>5012036</v>
      </c>
      <c r="J83" s="73">
        <f t="shared" si="62"/>
        <v>4945994</v>
      </c>
      <c r="K83" s="73">
        <f t="shared" si="62"/>
        <v>5331549</v>
      </c>
      <c r="L83" s="73">
        <f t="shared" si="62"/>
        <v>4768242</v>
      </c>
      <c r="M83" s="73">
        <f t="shared" si="62"/>
        <v>5375719</v>
      </c>
      <c r="N83" s="73">
        <f t="shared" si="62"/>
        <v>5248760</v>
      </c>
      <c r="O83" s="73">
        <f t="shared" si="62"/>
        <v>5399608</v>
      </c>
      <c r="P83" s="73">
        <f t="shared" si="62"/>
        <v>5712029</v>
      </c>
      <c r="Q83" s="73">
        <f t="shared" si="62"/>
        <v>5631939</v>
      </c>
      <c r="R83" s="73">
        <f t="shared" si="62"/>
        <v>5737408</v>
      </c>
      <c r="S83" s="73">
        <f t="shared" si="62"/>
        <v>5958486</v>
      </c>
      <c r="U83" s="73">
        <f>SUM(U82+U75)</f>
        <v>5595008</v>
      </c>
      <c r="V83" s="73">
        <f>SUM(V82+V75)</f>
        <v>5958486</v>
      </c>
      <c r="W83" s="23"/>
      <c r="X83" s="25">
        <f>SUM(V83/U83)-1</f>
        <v>6.4964697101416169E-2</v>
      </c>
    </row>
    <row r="84" spans="1:24" ht="15.75" thickBot="1" x14ac:dyDescent="0.3">
      <c r="B84" s="2"/>
      <c r="C84" s="73"/>
      <c r="D84" s="73"/>
      <c r="E84" s="73"/>
      <c r="F84" s="73"/>
      <c r="G84" s="73"/>
      <c r="H84" s="68"/>
      <c r="I84" s="73"/>
      <c r="J84" s="73"/>
      <c r="K84" s="73"/>
      <c r="L84" s="73"/>
      <c r="M84" s="73"/>
      <c r="N84" s="73"/>
      <c r="O84" s="73"/>
      <c r="P84" s="73"/>
      <c r="Q84" s="73"/>
      <c r="R84" s="73"/>
      <c r="S84" s="73"/>
      <c r="U84" s="73"/>
      <c r="V84" s="73"/>
      <c r="W84" s="23"/>
      <c r="X84" s="40"/>
    </row>
    <row r="85" spans="1:24" x14ac:dyDescent="0.25">
      <c r="B85" s="74" t="s">
        <v>39</v>
      </c>
      <c r="C85" s="75"/>
      <c r="D85" s="75"/>
      <c r="E85" s="75"/>
      <c r="F85" s="75"/>
      <c r="G85" s="76"/>
      <c r="H85" s="68"/>
      <c r="I85" s="77"/>
      <c r="J85" s="75"/>
      <c r="K85" s="75"/>
      <c r="L85" s="75"/>
      <c r="M85" s="75"/>
      <c r="N85" s="75"/>
      <c r="O85" s="75"/>
      <c r="P85" s="75"/>
      <c r="Q85" s="75"/>
      <c r="R85" s="75"/>
      <c r="S85" s="76"/>
      <c r="U85" s="78"/>
      <c r="V85" s="79"/>
      <c r="W85" s="23"/>
      <c r="X85" s="40"/>
    </row>
    <row r="86" spans="1:24" x14ac:dyDescent="0.25">
      <c r="B86" s="80" t="s">
        <v>40</v>
      </c>
      <c r="C86" s="261">
        <f>SUM(C46+C47)/C69</f>
        <v>0.66212840036128084</v>
      </c>
      <c r="D86" s="261">
        <f>SUM(D46+D47)/D69</f>
        <v>0.92219097381658133</v>
      </c>
      <c r="E86" s="261">
        <f>SUM(E46+E47)/E69</f>
        <v>0.42698185505869668</v>
      </c>
      <c r="F86" s="261">
        <f>SUM(F46+F47)/F69</f>
        <v>0.5573272286720875</v>
      </c>
      <c r="G86" s="81">
        <f>SUM(G46+G47)/G69</f>
        <v>0.58770853297358383</v>
      </c>
      <c r="H86" s="68"/>
      <c r="I86" s="82">
        <f>SUM(I46+I47)/I69</f>
        <v>0.52960874438270555</v>
      </c>
      <c r="J86" s="261">
        <f>SUM(J46+J47)/J69</f>
        <v>0.40926624475551476</v>
      </c>
      <c r="K86" s="261">
        <f>SUM(K46+K47)/K69</f>
        <v>0.26560236922411795</v>
      </c>
      <c r="L86" s="261">
        <f>SUM(L46+L47)/L69</f>
        <v>0.42698185505869668</v>
      </c>
      <c r="M86" s="261">
        <f>SUM(M46+M47)/M69</f>
        <v>0.50598629047065302</v>
      </c>
      <c r="N86" s="261">
        <f>SUM(N46+N47)/N69</f>
        <v>0.37760247965696825</v>
      </c>
      <c r="O86" s="261">
        <f>SUM(O46+O47)/O69</f>
        <v>0.19778939154049949</v>
      </c>
      <c r="P86" s="261">
        <f>SUM(P46+P47)/P69</f>
        <v>0.58770853297358383</v>
      </c>
      <c r="Q86" s="261">
        <f>SUM(Q46+Q47)/Q69</f>
        <v>0.46292865118100823</v>
      </c>
      <c r="R86" s="261">
        <f>SUM(R46+R47)/R69</f>
        <v>0.38638251822170716</v>
      </c>
      <c r="S86" s="81">
        <f>SUM(S46+S47)/S69</f>
        <v>0.21548199274722019</v>
      </c>
      <c r="U86" s="263">
        <f>O86</f>
        <v>0.19778939154049949</v>
      </c>
      <c r="V86" s="264">
        <f>S86</f>
        <v>0.21548199274722019</v>
      </c>
      <c r="W86" s="23"/>
      <c r="X86" s="25">
        <f t="shared" ref="X86:X88" si="63">SUM(V86/U86)-1</f>
        <v>8.945171967475285E-2</v>
      </c>
    </row>
    <row r="87" spans="1:24" x14ac:dyDescent="0.25">
      <c r="B87" s="83" t="s">
        <v>41</v>
      </c>
      <c r="C87" s="261">
        <f>SUM(C51/C69)</f>
        <v>2.3246052133207726</v>
      </c>
      <c r="D87" s="261">
        <f>SUM(D51/D69)</f>
        <v>1.8715134853945745</v>
      </c>
      <c r="E87" s="261">
        <f>SUM(E51/E69)</f>
        <v>1.4641645432314299</v>
      </c>
      <c r="F87" s="261">
        <f>SUM(F51/F69)</f>
        <v>1.6109788764846664</v>
      </c>
      <c r="G87" s="81">
        <f>SUM(G51/G69)</f>
        <v>1.7106099357673512</v>
      </c>
      <c r="I87" s="82">
        <f>SUM(I51/I69)</f>
        <v>1.5826671342406018</v>
      </c>
      <c r="J87" s="261">
        <f>SUM(J51/J69)</f>
        <v>1.6263816081179505</v>
      </c>
      <c r="K87" s="261">
        <f>SUM(K51/K69)</f>
        <v>1.6173058675168794</v>
      </c>
      <c r="L87" s="261">
        <f>SUM(L51/L69)</f>
        <v>1.4641645432314299</v>
      </c>
      <c r="M87" s="261">
        <f>SUM(M51/M69)</f>
        <v>1.6439072158638839</v>
      </c>
      <c r="N87" s="261">
        <f>SUM(N51/N69)</f>
        <v>1.6894393276706809</v>
      </c>
      <c r="O87" s="261">
        <f>SUM(O51/O69)</f>
        <v>1.7008672958729583</v>
      </c>
      <c r="P87" s="261">
        <f>SUM(P51/P69)</f>
        <v>1.7106099357673512</v>
      </c>
      <c r="Q87" s="261">
        <f>SUM(Q51/Q69)</f>
        <v>1.7553162538372913</v>
      </c>
      <c r="R87" s="261">
        <f>SUM(R51/R69)</f>
        <v>1.7588494212667654</v>
      </c>
      <c r="S87" s="81">
        <f>SUM(S51/S69)</f>
        <v>1.6267620637885671</v>
      </c>
      <c r="U87" s="263">
        <f t="shared" ref="U87:U88" si="64">O87</f>
        <v>1.7008672958729583</v>
      </c>
      <c r="V87" s="264">
        <f t="shared" ref="V87:V88" si="65">S87</f>
        <v>1.6267620637885671</v>
      </c>
      <c r="W87" s="265"/>
      <c r="X87" s="25">
        <f t="shared" si="63"/>
        <v>-4.3569085174488653E-2</v>
      </c>
    </row>
    <row r="88" spans="1:24" ht="15.75" thickBot="1" x14ac:dyDescent="0.3">
      <c r="B88" s="84" t="s">
        <v>42</v>
      </c>
      <c r="C88" s="85">
        <f>SUM(C46)/C69</f>
        <v>0.49682301125603351</v>
      </c>
      <c r="D88" s="85">
        <f>SUM(D46)/D69</f>
        <v>0.77847799344056356</v>
      </c>
      <c r="E88" s="85">
        <f>SUM(E46)/E69</f>
        <v>0.27699437102457625</v>
      </c>
      <c r="F88" s="85">
        <f>SUM(F46)/F69</f>
        <v>0.43874894085118404</v>
      </c>
      <c r="G88" s="86">
        <f>SUM(G46)/G69</f>
        <v>0.46230741814423065</v>
      </c>
      <c r="H88" s="68"/>
      <c r="I88" s="262">
        <f>SUM(I46)/I69</f>
        <v>0.40911844185361812</v>
      </c>
      <c r="J88" s="85">
        <f>SUM(J46)/J69</f>
        <v>0.2890881419709278</v>
      </c>
      <c r="K88" s="85">
        <f>SUM(K46)/K69</f>
        <v>0.14762179351632229</v>
      </c>
      <c r="L88" s="85">
        <f>SUM(L46)/L69</f>
        <v>0.27699437102457625</v>
      </c>
      <c r="M88" s="85">
        <f>SUM(M46)/M69</f>
        <v>0.38952751086357795</v>
      </c>
      <c r="N88" s="85">
        <f>SUM(N46)/N69</f>
        <v>0.26061814382493259</v>
      </c>
      <c r="O88" s="85">
        <f>SUM(O46)/O69</f>
        <v>7.4205364599927257E-2</v>
      </c>
      <c r="P88" s="85">
        <f>SUM(P46)/P69</f>
        <v>0.46230741814423065</v>
      </c>
      <c r="Q88" s="85">
        <f>SUM(Q46)/Q69</f>
        <v>0.33355884439990741</v>
      </c>
      <c r="R88" s="85">
        <f>SUM(R46)/R69</f>
        <v>0.26015155533378498</v>
      </c>
      <c r="S88" s="86">
        <f>SUM(S46)/S69</f>
        <v>9.787564130726209E-2</v>
      </c>
      <c r="U88" s="266">
        <f t="shared" si="64"/>
        <v>7.4205364599927257E-2</v>
      </c>
      <c r="V88" s="267">
        <f t="shared" si="65"/>
        <v>9.787564130726209E-2</v>
      </c>
      <c r="W88" s="23"/>
      <c r="X88" s="25">
        <f t="shared" si="63"/>
        <v>0.31898336238830427</v>
      </c>
    </row>
    <row r="89" spans="1:24" x14ac:dyDescent="0.25">
      <c r="B89" s="38"/>
      <c r="C89" s="87"/>
      <c r="D89" s="87"/>
      <c r="E89" s="87"/>
      <c r="F89" s="39"/>
      <c r="G89" s="39"/>
      <c r="H89" s="87"/>
    </row>
    <row r="90" spans="1:24" x14ac:dyDescent="0.25">
      <c r="A90" s="6" t="s">
        <v>16</v>
      </c>
      <c r="B90" s="7" t="s">
        <v>43</v>
      </c>
      <c r="C90" s="13"/>
      <c r="D90" s="13"/>
      <c r="E90" s="13"/>
      <c r="F90" s="13"/>
      <c r="G90" s="13"/>
      <c r="H90" s="8"/>
      <c r="I90" s="8"/>
      <c r="J90" s="8"/>
      <c r="K90" s="8"/>
      <c r="L90" s="8"/>
      <c r="M90" s="8"/>
      <c r="N90" s="8"/>
      <c r="O90" s="8"/>
      <c r="P90" s="8"/>
      <c r="Q90" s="8"/>
      <c r="R90" s="8"/>
      <c r="S90" s="8"/>
      <c r="T90" s="8"/>
      <c r="U90" s="8"/>
      <c r="V90" s="8"/>
      <c r="W90" s="8"/>
      <c r="X90" s="8"/>
    </row>
    <row r="91" spans="1:24" x14ac:dyDescent="0.25">
      <c r="B91" s="15" t="s">
        <v>70</v>
      </c>
      <c r="C91" s="51"/>
      <c r="D91" s="51"/>
      <c r="E91" s="51"/>
      <c r="F91" s="51"/>
      <c r="G91" s="51"/>
      <c r="H91" s="8"/>
      <c r="I91" s="8"/>
      <c r="J91" s="8"/>
      <c r="K91" s="8"/>
      <c r="L91" s="8"/>
      <c r="M91" s="8"/>
      <c r="N91" s="8"/>
      <c r="O91" s="8"/>
      <c r="P91" s="8"/>
      <c r="Q91" s="8"/>
      <c r="R91" s="8"/>
      <c r="S91" s="8"/>
      <c r="T91" s="8"/>
      <c r="U91" s="8"/>
      <c r="V91" s="8"/>
      <c r="W91" s="8"/>
      <c r="X91" s="8"/>
    </row>
    <row r="92" spans="1:24" ht="3" customHeight="1" x14ac:dyDescent="0.25">
      <c r="B92" s="10"/>
      <c r="C92" s="53"/>
      <c r="D92" s="53"/>
      <c r="E92" s="53"/>
      <c r="F92" s="53"/>
      <c r="G92" s="53"/>
    </row>
    <row r="93" spans="1:24" ht="15.75" x14ac:dyDescent="0.25">
      <c r="B93" s="88" t="s">
        <v>44</v>
      </c>
      <c r="C93" s="89"/>
      <c r="D93" s="89"/>
      <c r="E93" s="89"/>
      <c r="F93" s="89"/>
      <c r="G93" s="89"/>
    </row>
    <row r="94" spans="1:24" x14ac:dyDescent="0.25">
      <c r="B94" s="90" t="s">
        <v>84</v>
      </c>
      <c r="C94" s="130">
        <f>C34</f>
        <v>695833</v>
      </c>
      <c r="D94" s="130">
        <f>D34</f>
        <v>125785.47000000067</v>
      </c>
      <c r="E94" s="130">
        <f>E34</f>
        <v>985837</v>
      </c>
      <c r="F94" s="130">
        <f>F34</f>
        <v>1242408</v>
      </c>
      <c r="G94" s="130">
        <f>G34</f>
        <v>1291004.9999999981</v>
      </c>
      <c r="H94" s="4"/>
      <c r="I94" s="130">
        <v>331395</v>
      </c>
      <c r="J94" s="130">
        <v>627072</v>
      </c>
      <c r="K94" s="130">
        <f>901657-J94-I94</f>
        <v>-56810</v>
      </c>
      <c r="L94" s="1">
        <f>SUM(F94-SUM(I94:K94))</f>
        <v>340751</v>
      </c>
      <c r="M94" s="130">
        <v>347051</v>
      </c>
      <c r="N94" s="1">
        <f>647153-M94</f>
        <v>300102</v>
      </c>
      <c r="O94" s="1">
        <f>896636-N94-M94</f>
        <v>249483</v>
      </c>
      <c r="P94" s="1">
        <f>SUM(G94-SUM(M94:O94))</f>
        <v>394368.99999999814</v>
      </c>
      <c r="Q94" s="130">
        <v>313113</v>
      </c>
      <c r="R94" s="1">
        <f>565669-Q94</f>
        <v>252556</v>
      </c>
      <c r="S94" s="1">
        <f>807848-R94-Q94</f>
        <v>242179</v>
      </c>
      <c r="T94" s="36"/>
      <c r="U94" s="23">
        <f>SUM(M94:P94)</f>
        <v>1291004.9999999981</v>
      </c>
      <c r="V94" s="23">
        <f>SUM(Q94:S94)</f>
        <v>807848</v>
      </c>
      <c r="W94" s="23"/>
      <c r="X94" s="30">
        <f>SUM(V94/U94)-1</f>
        <v>-0.37424874419541276</v>
      </c>
    </row>
    <row r="95" spans="1:24" x14ac:dyDescent="0.25">
      <c r="C95" s="91"/>
      <c r="D95" s="91"/>
      <c r="E95" s="91"/>
      <c r="F95" s="91"/>
      <c r="G95" s="91"/>
      <c r="H95" s="23"/>
      <c r="I95" s="91"/>
      <c r="J95" s="92"/>
      <c r="K95" s="93"/>
      <c r="L95" s="91"/>
      <c r="M95" s="91"/>
      <c r="N95" s="92"/>
      <c r="O95" s="92"/>
      <c r="P95" s="92"/>
      <c r="Q95" s="91"/>
      <c r="R95" s="93"/>
      <c r="S95" s="1"/>
      <c r="T95" s="36"/>
      <c r="U95" s="23"/>
      <c r="V95" s="23"/>
      <c r="W95" s="23"/>
      <c r="X95" s="40"/>
    </row>
    <row r="96" spans="1:24" x14ac:dyDescent="0.25">
      <c r="B96" s="3" t="s">
        <v>77</v>
      </c>
      <c r="C96" s="94"/>
      <c r="D96" s="94"/>
      <c r="E96" s="94"/>
      <c r="F96" s="94"/>
      <c r="G96" s="94"/>
      <c r="H96" s="23"/>
      <c r="I96" s="94"/>
      <c r="J96" s="95"/>
      <c r="K96" s="96"/>
      <c r="L96" s="94"/>
      <c r="M96" s="94"/>
      <c r="N96" s="95"/>
      <c r="O96" s="96"/>
      <c r="P96" s="95"/>
      <c r="Q96" s="94"/>
      <c r="R96" s="96"/>
      <c r="S96" s="1"/>
      <c r="T96" s="36"/>
      <c r="U96" s="95"/>
      <c r="V96" s="95"/>
      <c r="W96" s="97"/>
    </row>
    <row r="97" spans="2:24" x14ac:dyDescent="0.25">
      <c r="B97" s="98" t="s">
        <v>127</v>
      </c>
      <c r="C97" s="130">
        <v>295599</v>
      </c>
      <c r="D97" s="130">
        <v>297772</v>
      </c>
      <c r="E97" s="130">
        <v>268460</v>
      </c>
      <c r="F97" s="130">
        <v>241372</v>
      </c>
      <c r="G97" s="130">
        <v>243840</v>
      </c>
      <c r="H97" s="4"/>
      <c r="I97" s="130">
        <v>62839</v>
      </c>
      <c r="J97" s="1">
        <f>123721-I97</f>
        <v>60882</v>
      </c>
      <c r="K97" s="1">
        <f>182182-J97-I97</f>
        <v>58461</v>
      </c>
      <c r="L97" s="1">
        <f t="shared" ref="L97:L102" si="66">SUM(F97-SUM(I97:K97))</f>
        <v>59190</v>
      </c>
      <c r="M97" s="130">
        <v>57949</v>
      </c>
      <c r="N97" s="1">
        <f>119862-M97</f>
        <v>61913</v>
      </c>
      <c r="O97" s="1">
        <f>181273-N97-M97</f>
        <v>61411</v>
      </c>
      <c r="P97" s="1">
        <f>SUM(G97-SUM(M97:O97))</f>
        <v>62567</v>
      </c>
      <c r="Q97" s="130">
        <v>64739</v>
      </c>
      <c r="R97" s="1">
        <f>130053-Q97</f>
        <v>65314</v>
      </c>
      <c r="S97" s="1">
        <f>197075-R97-Q97</f>
        <v>67022</v>
      </c>
      <c r="T97" s="36"/>
      <c r="U97" s="23">
        <f t="shared" ref="U97:U102" si="67">SUM(M97:P97)</f>
        <v>243840</v>
      </c>
      <c r="V97" s="23">
        <f t="shared" ref="V97:V102" si="68">SUM(Q97:S97)</f>
        <v>197075</v>
      </c>
      <c r="W97" s="23"/>
      <c r="X97" s="25">
        <f>SUM(V97/U97)-1</f>
        <v>-0.19178559711286092</v>
      </c>
    </row>
    <row r="98" spans="2:24" x14ac:dyDescent="0.25">
      <c r="B98" s="98" t="s">
        <v>128</v>
      </c>
      <c r="C98" s="130">
        <v>278820</v>
      </c>
      <c r="D98" s="130">
        <v>268071</v>
      </c>
      <c r="E98" s="130">
        <v>276229</v>
      </c>
      <c r="F98" s="130">
        <v>301912</v>
      </c>
      <c r="G98" s="130">
        <v>332754</v>
      </c>
      <c r="H98" s="4"/>
      <c r="I98" s="130">
        <v>72192</v>
      </c>
      <c r="J98" s="1">
        <f>146251-I98</f>
        <v>74059</v>
      </c>
      <c r="K98" s="1">
        <f>222548-J98-I98</f>
        <v>76297</v>
      </c>
      <c r="L98" s="1">
        <f t="shared" si="66"/>
        <v>79364</v>
      </c>
      <c r="M98" s="130">
        <v>75478</v>
      </c>
      <c r="N98" s="1">
        <f>152867-M98</f>
        <v>77389</v>
      </c>
      <c r="O98" s="1">
        <f>232772-N98-M98</f>
        <v>79905</v>
      </c>
      <c r="P98" s="1">
        <f>SUM(G98-SUM(M98:O98))</f>
        <v>99982</v>
      </c>
      <c r="Q98" s="130">
        <v>77938</v>
      </c>
      <c r="R98" s="1">
        <f>163481-Q98</f>
        <v>85543</v>
      </c>
      <c r="S98" s="1">
        <f>235950-R98-Q98</f>
        <v>72469</v>
      </c>
      <c r="T98" s="36"/>
      <c r="U98" s="23">
        <f t="shared" si="67"/>
        <v>332754</v>
      </c>
      <c r="V98" s="23">
        <f t="shared" si="68"/>
        <v>235950</v>
      </c>
      <c r="W98" s="23"/>
      <c r="X98" s="25">
        <f>SUM(V98/U98)-1</f>
        <v>-0.2909176148145477</v>
      </c>
    </row>
    <row r="99" spans="2:24" x14ac:dyDescent="0.25">
      <c r="B99" s="98" t="s">
        <v>122</v>
      </c>
      <c r="C99" s="130">
        <v>5503</v>
      </c>
      <c r="D99" s="130">
        <v>-24008</v>
      </c>
      <c r="E99" s="130">
        <v>-25666</v>
      </c>
      <c r="F99" s="130">
        <v>15653</v>
      </c>
      <c r="G99" s="130">
        <v>30575</v>
      </c>
      <c r="H99" s="4"/>
      <c r="I99" s="130">
        <v>1009</v>
      </c>
      <c r="J99" s="1">
        <f>336-I99</f>
        <v>-673</v>
      </c>
      <c r="K99" s="1">
        <f>-1066-J99-I99</f>
        <v>-1402</v>
      </c>
      <c r="L99" s="1">
        <f t="shared" si="66"/>
        <v>16719</v>
      </c>
      <c r="M99" s="130">
        <v>2144</v>
      </c>
      <c r="N99" s="1">
        <f>666-M99</f>
        <v>-1478</v>
      </c>
      <c r="O99" s="1">
        <f>1528-N99-M99</f>
        <v>862</v>
      </c>
      <c r="P99" s="1">
        <f>SUM(G99-SUM(M99:O99))</f>
        <v>29047</v>
      </c>
      <c r="Q99" s="130">
        <v>3635</v>
      </c>
      <c r="R99" s="1">
        <f>2540-Q99</f>
        <v>-1095</v>
      </c>
      <c r="S99" s="1">
        <f>5808-R99-Q99</f>
        <v>3268</v>
      </c>
      <c r="T99" s="36"/>
      <c r="U99" s="23">
        <f t="shared" si="67"/>
        <v>30575</v>
      </c>
      <c r="V99" s="23">
        <f t="shared" si="68"/>
        <v>5808</v>
      </c>
      <c r="W99" s="23"/>
      <c r="X99" s="25">
        <f t="shared" ref="X99:X101" si="69">SUM(V99/U99)-1</f>
        <v>-0.81004088307440725</v>
      </c>
    </row>
    <row r="100" spans="2:24" x14ac:dyDescent="0.25">
      <c r="B100" s="98" t="s">
        <v>130</v>
      </c>
      <c r="C100" s="130">
        <v>25045</v>
      </c>
      <c r="D100" s="130">
        <v>27583</v>
      </c>
      <c r="E100" s="130">
        <v>47259</v>
      </c>
      <c r="F100" s="130">
        <v>43044</v>
      </c>
      <c r="G100" s="130">
        <v>48246</v>
      </c>
      <c r="H100" s="4"/>
      <c r="I100" s="130">
        <v>10356</v>
      </c>
      <c r="J100" s="1">
        <f>22875-I100</f>
        <v>12519</v>
      </c>
      <c r="K100" s="1">
        <f>32554-J100-I100</f>
        <v>9679</v>
      </c>
      <c r="L100" s="1">
        <f t="shared" si="66"/>
        <v>10490</v>
      </c>
      <c r="M100" s="130">
        <v>9721</v>
      </c>
      <c r="N100" s="1">
        <f>21539-M100</f>
        <v>11818</v>
      </c>
      <c r="O100" s="1">
        <f>33477-N100-M100</f>
        <v>11938</v>
      </c>
      <c r="P100" s="1">
        <f>SUM(G100-SUM(M100:O100))</f>
        <v>14769</v>
      </c>
      <c r="Q100" s="130">
        <v>10082</v>
      </c>
      <c r="R100" s="1">
        <f>19272-Q100</f>
        <v>9190</v>
      </c>
      <c r="S100" s="1">
        <f>27691-R100-Q100</f>
        <v>8419</v>
      </c>
      <c r="T100" s="36"/>
      <c r="U100" s="23">
        <f t="shared" si="67"/>
        <v>48246</v>
      </c>
      <c r="V100" s="23">
        <f t="shared" si="68"/>
        <v>27691</v>
      </c>
      <c r="W100" s="23"/>
      <c r="X100" s="25">
        <f t="shared" si="69"/>
        <v>-0.42604568254363051</v>
      </c>
    </row>
    <row r="101" spans="2:24" x14ac:dyDescent="0.25">
      <c r="B101" s="98" t="s">
        <v>131</v>
      </c>
      <c r="C101" s="130">
        <v>5850</v>
      </c>
      <c r="D101" s="130">
        <v>6827</v>
      </c>
      <c r="E101" s="130">
        <v>5358</v>
      </c>
      <c r="F101" s="130">
        <v>6688</v>
      </c>
      <c r="G101" s="130">
        <v>11419</v>
      </c>
      <c r="H101" s="4"/>
      <c r="I101" s="131">
        <v>1002</v>
      </c>
      <c r="J101" s="4">
        <f>2277-I101</f>
        <v>1275</v>
      </c>
      <c r="K101" s="4">
        <f>3892-J101-I101</f>
        <v>1615</v>
      </c>
      <c r="L101" s="1">
        <f t="shared" si="66"/>
        <v>2796</v>
      </c>
      <c r="M101" s="130">
        <v>1451</v>
      </c>
      <c r="N101" s="4">
        <f>3878-M101</f>
        <v>2427</v>
      </c>
      <c r="O101" s="4">
        <f>6310-N101-M101</f>
        <v>2432</v>
      </c>
      <c r="P101" s="1">
        <f>SUM(G101-SUM(M101:O101))</f>
        <v>5109</v>
      </c>
      <c r="Q101" s="130">
        <v>2975</v>
      </c>
      <c r="R101" s="1">
        <f>5204-Q101</f>
        <v>2229</v>
      </c>
      <c r="S101" s="1">
        <f>7280-R101-Q101</f>
        <v>2076</v>
      </c>
      <c r="T101" s="36"/>
      <c r="U101" s="23">
        <f t="shared" si="67"/>
        <v>11419</v>
      </c>
      <c r="V101" s="23">
        <f t="shared" si="68"/>
        <v>7280</v>
      </c>
      <c r="W101" s="23"/>
      <c r="X101" s="25">
        <f t="shared" si="69"/>
        <v>-0.36246606532971359</v>
      </c>
    </row>
    <row r="102" spans="2:24" x14ac:dyDescent="0.25">
      <c r="B102" s="98" t="s">
        <v>129</v>
      </c>
      <c r="C102" s="130"/>
      <c r="D102" s="130">
        <v>72533</v>
      </c>
      <c r="E102" s="130"/>
      <c r="F102" s="130"/>
      <c r="G102" s="130"/>
      <c r="H102" s="4"/>
      <c r="I102" s="130">
        <v>0</v>
      </c>
      <c r="J102" s="1">
        <v>0</v>
      </c>
      <c r="K102" s="1">
        <v>0</v>
      </c>
      <c r="L102" s="1">
        <f t="shared" si="66"/>
        <v>0</v>
      </c>
      <c r="M102" s="130">
        <v>0</v>
      </c>
      <c r="N102" s="1">
        <v>0</v>
      </c>
      <c r="O102" s="1">
        <v>0</v>
      </c>
      <c r="P102" s="1">
        <f>SUM(G102-SUM(M102:O102))</f>
        <v>0</v>
      </c>
      <c r="Q102" s="130"/>
      <c r="R102" s="1"/>
      <c r="S102" s="1"/>
      <c r="T102" s="36"/>
      <c r="U102" s="23">
        <f t="shared" si="67"/>
        <v>0</v>
      </c>
      <c r="V102" s="23">
        <f t="shared" si="68"/>
        <v>0</v>
      </c>
      <c r="W102" s="23"/>
      <c r="X102" s="25" t="e">
        <f>SUM(V102/U102)-1</f>
        <v>#DIV/0!</v>
      </c>
    </row>
    <row r="103" spans="2:24" x14ac:dyDescent="0.25">
      <c r="B103"/>
      <c r="C103" s="94"/>
      <c r="D103" s="94"/>
      <c r="E103" s="94"/>
      <c r="F103" s="94"/>
      <c r="G103" s="94"/>
      <c r="H103" s="23"/>
      <c r="I103" s="94"/>
      <c r="J103" s="95"/>
      <c r="K103" s="96"/>
      <c r="L103" s="94"/>
      <c r="M103" s="94"/>
      <c r="N103" s="95"/>
      <c r="O103" s="96"/>
      <c r="P103" s="95"/>
      <c r="Q103" s="94"/>
      <c r="R103" s="96"/>
      <c r="S103" s="1"/>
      <c r="T103" s="36"/>
      <c r="U103" s="23"/>
      <c r="V103" s="23"/>
      <c r="W103" s="23"/>
      <c r="X103" s="40"/>
    </row>
    <row r="104" spans="2:24" x14ac:dyDescent="0.25">
      <c r="B104" s="3" t="s">
        <v>132</v>
      </c>
      <c r="C104" s="94"/>
      <c r="D104" s="94"/>
      <c r="E104" s="94" t="s">
        <v>120</v>
      </c>
      <c r="F104" s="94" t="s">
        <v>120</v>
      </c>
      <c r="G104" s="94" t="s">
        <v>120</v>
      </c>
      <c r="H104" s="23"/>
      <c r="I104" s="94"/>
      <c r="J104" s="95"/>
      <c r="K104" s="96"/>
      <c r="L104" s="94"/>
      <c r="M104" s="94"/>
      <c r="N104" s="95"/>
      <c r="O104" s="96"/>
      <c r="P104" s="95"/>
      <c r="Q104" s="94"/>
      <c r="R104" s="96"/>
      <c r="S104" s="1"/>
      <c r="T104" s="36"/>
      <c r="U104" s="95"/>
      <c r="V104" s="95"/>
      <c r="W104" s="97"/>
    </row>
    <row r="105" spans="2:24" x14ac:dyDescent="0.25">
      <c r="B105" s="98" t="s">
        <v>133</v>
      </c>
      <c r="C105" s="130">
        <v>-20637</v>
      </c>
      <c r="D105" s="130">
        <v>-53772</v>
      </c>
      <c r="E105" s="130">
        <v>-40573</v>
      </c>
      <c r="F105" s="130">
        <v>34260</v>
      </c>
      <c r="G105" s="130">
        <v>-8517</v>
      </c>
      <c r="H105" s="4"/>
      <c r="I105" s="130">
        <v>40928</v>
      </c>
      <c r="J105" s="1">
        <f>53168-I105</f>
        <v>12240</v>
      </c>
      <c r="K105" s="1">
        <f>33378-J105-I105</f>
        <v>-19790</v>
      </c>
      <c r="L105" s="1">
        <f t="shared" ref="L105:L113" si="70">SUM(F105-SUM(I105:K105))</f>
        <v>882</v>
      </c>
      <c r="M105" s="130">
        <v>9140</v>
      </c>
      <c r="N105" s="1">
        <f>24978-M105</f>
        <v>15838</v>
      </c>
      <c r="O105" s="1">
        <f>-3446-N105-M105</f>
        <v>-28424</v>
      </c>
      <c r="P105" s="1">
        <f>SUM(G105-SUM(M105:O105))</f>
        <v>-5071</v>
      </c>
      <c r="Q105" s="130">
        <v>4476</v>
      </c>
      <c r="R105" s="1">
        <f>7076-Q105</f>
        <v>2600</v>
      </c>
      <c r="S105" s="1">
        <f>-5682-R105-Q105</f>
        <v>-12758</v>
      </c>
      <c r="T105" s="36"/>
      <c r="U105" s="23">
        <f>SUM(M105:P105)</f>
        <v>-8517</v>
      </c>
      <c r="V105" s="23">
        <f>SUM(Q105:S105)</f>
        <v>-5682</v>
      </c>
      <c r="W105" s="97"/>
      <c r="X105" s="25">
        <f t="shared" ref="X105:X113" si="71">SUM(V105/U105)-1</f>
        <v>-0.33286368439591407</v>
      </c>
    </row>
    <row r="106" spans="2:24" x14ac:dyDescent="0.25">
      <c r="B106" s="98" t="s">
        <v>134</v>
      </c>
      <c r="C106" s="130">
        <v>-79372</v>
      </c>
      <c r="D106" s="130">
        <v>125486</v>
      </c>
      <c r="E106" s="130">
        <v>-331003</v>
      </c>
      <c r="F106" s="130">
        <v>-104233</v>
      </c>
      <c r="G106" s="130">
        <v>-138685</v>
      </c>
      <c r="H106" s="4"/>
      <c r="I106" s="130">
        <v>-71334</v>
      </c>
      <c r="J106" s="1">
        <f>-166912-I106</f>
        <v>-95578</v>
      </c>
      <c r="K106" s="1">
        <f>-615451-J106-I106</f>
        <v>-448539</v>
      </c>
      <c r="L106" s="1">
        <f t="shared" si="70"/>
        <v>511218</v>
      </c>
      <c r="M106" s="130">
        <v>-147784</v>
      </c>
      <c r="N106" s="1">
        <f>-212088-M106</f>
        <v>-64304</v>
      </c>
      <c r="O106" s="1">
        <f>-717855-N106-M106</f>
        <v>-505767</v>
      </c>
      <c r="P106" s="1">
        <f>SUM(G106-SUM(M106:O106))</f>
        <v>579170</v>
      </c>
      <c r="Q106" s="130">
        <v>-163904</v>
      </c>
      <c r="R106" s="1">
        <f>-256150-Q106</f>
        <v>-92246</v>
      </c>
      <c r="S106" s="1">
        <f>-623050-R106-Q106</f>
        <v>-366900</v>
      </c>
      <c r="T106" s="36"/>
      <c r="U106" s="23">
        <f>SUM(M106:P106)</f>
        <v>-138685</v>
      </c>
      <c r="V106" s="23">
        <f>SUM(Q106:S106)</f>
        <v>-623050</v>
      </c>
      <c r="W106" s="97"/>
      <c r="X106" s="25">
        <f t="shared" si="71"/>
        <v>3.4925550708439994</v>
      </c>
    </row>
    <row r="107" spans="2:24" x14ac:dyDescent="0.25">
      <c r="B107" s="98" t="s">
        <v>109</v>
      </c>
      <c r="C107" s="130">
        <v>9289</v>
      </c>
      <c r="D107" s="130">
        <v>-4363</v>
      </c>
      <c r="E107" s="130">
        <v>-3412</v>
      </c>
      <c r="F107" s="130">
        <v>-19432</v>
      </c>
      <c r="G107" s="130">
        <v>14648</v>
      </c>
      <c r="H107" s="4"/>
      <c r="I107" s="130">
        <v>-3261</v>
      </c>
      <c r="J107" s="1">
        <f>-12200-I107</f>
        <v>-8939</v>
      </c>
      <c r="K107" s="1">
        <f>-26828-J107-I107</f>
        <v>-14628</v>
      </c>
      <c r="L107" s="1">
        <f t="shared" si="70"/>
        <v>7396</v>
      </c>
      <c r="M107" s="130">
        <v>22232</v>
      </c>
      <c r="N107" s="1">
        <f>19722-M107</f>
        <v>-2510</v>
      </c>
      <c r="O107" s="1">
        <f>12964-N107-M107</f>
        <v>-6758</v>
      </c>
      <c r="P107" s="1">
        <f>SUM(G107-SUM(M107:O107))</f>
        <v>1684</v>
      </c>
      <c r="Q107" s="130">
        <v>-10931</v>
      </c>
      <c r="R107" s="1">
        <f>-16425-Q107</f>
        <v>-5494</v>
      </c>
      <c r="S107" s="1">
        <f>-19916-R107-Q107</f>
        <v>-3491</v>
      </c>
      <c r="T107" s="36"/>
      <c r="U107" s="23">
        <f>SUM(M107:P107)</f>
        <v>14648</v>
      </c>
      <c r="V107" s="23">
        <f>SUM(Q107:S107)</f>
        <v>-19916</v>
      </c>
      <c r="W107" s="97"/>
      <c r="X107" s="25">
        <f t="shared" si="71"/>
        <v>-2.3596395412342979</v>
      </c>
    </row>
    <row r="108" spans="2:24" x14ac:dyDescent="0.25">
      <c r="B108" s="98" t="s">
        <v>135</v>
      </c>
      <c r="C108" s="130">
        <v>610</v>
      </c>
      <c r="D108" s="130">
        <v>58916</v>
      </c>
      <c r="E108" s="130">
        <v>-35652</v>
      </c>
      <c r="F108" s="130">
        <v>-45182</v>
      </c>
      <c r="G108" s="130">
        <v>45367</v>
      </c>
      <c r="H108" s="4"/>
      <c r="I108" s="130">
        <v>101236</v>
      </c>
      <c r="J108" s="1">
        <f>-45906-I108</f>
        <v>-147142</v>
      </c>
      <c r="K108" s="1">
        <f>-49446-J108-I108</f>
        <v>-3540</v>
      </c>
      <c r="L108" s="1">
        <f t="shared" si="70"/>
        <v>4264</v>
      </c>
      <c r="M108" s="130">
        <v>97003</v>
      </c>
      <c r="N108" s="1">
        <f>8194-M108</f>
        <v>-88809</v>
      </c>
      <c r="O108" s="1">
        <f>9535-N108-M108</f>
        <v>1341</v>
      </c>
      <c r="P108" s="1">
        <f>SUM(G108-SUM(M108:O108))</f>
        <v>35832</v>
      </c>
      <c r="Q108" s="130">
        <v>85652</v>
      </c>
      <c r="R108" s="1">
        <f>-60666-Q108</f>
        <v>-146318</v>
      </c>
      <c r="S108" s="1">
        <f>-69818-R108-Q108</f>
        <v>-9152</v>
      </c>
      <c r="T108" s="36"/>
      <c r="U108" s="23"/>
      <c r="V108" s="23"/>
      <c r="W108" s="97"/>
      <c r="X108" s="25"/>
    </row>
    <row r="109" spans="2:24" x14ac:dyDescent="0.25">
      <c r="B109" s="98" t="s">
        <v>115</v>
      </c>
      <c r="C109" s="130">
        <v>9993</v>
      </c>
      <c r="D109" s="130">
        <v>62324</v>
      </c>
      <c r="E109" s="130">
        <v>66156</v>
      </c>
      <c r="F109" s="130">
        <v>8309</v>
      </c>
      <c r="G109" s="130">
        <v>-20873</v>
      </c>
      <c r="H109" s="4"/>
      <c r="I109" s="130">
        <v>42586</v>
      </c>
      <c r="J109" s="1">
        <f>40051-I109</f>
        <v>-2535</v>
      </c>
      <c r="K109" s="1">
        <f>94214-J109-I109</f>
        <v>54163</v>
      </c>
      <c r="L109" s="1">
        <f t="shared" si="70"/>
        <v>-85905</v>
      </c>
      <c r="M109" s="130">
        <v>62257</v>
      </c>
      <c r="N109" s="1">
        <f>-38752-M109</f>
        <v>-101009</v>
      </c>
      <c r="O109" s="1">
        <f>41817-N109-M109</f>
        <v>80569</v>
      </c>
      <c r="P109" s="1">
        <f>SUM(G109-SUM(M109:O109))</f>
        <v>-62690</v>
      </c>
      <c r="Q109" s="130">
        <v>-74069</v>
      </c>
      <c r="R109" s="1">
        <f>29715-Q109</f>
        <v>103784</v>
      </c>
      <c r="S109" s="1">
        <f>54210-R109-Q109</f>
        <v>24495</v>
      </c>
      <c r="T109" s="36"/>
      <c r="U109" s="23"/>
      <c r="V109" s="23"/>
      <c r="W109" s="97"/>
      <c r="X109" s="25"/>
    </row>
    <row r="110" spans="2:24" x14ac:dyDescent="0.25">
      <c r="B110" s="98" t="s">
        <v>116</v>
      </c>
      <c r="C110" s="130">
        <v>28183</v>
      </c>
      <c r="D110" s="130">
        <v>58599</v>
      </c>
      <c r="E110" s="130">
        <v>58598</v>
      </c>
      <c r="F110" s="130">
        <v>48249</v>
      </c>
      <c r="G110" s="130">
        <v>-62238</v>
      </c>
      <c r="H110" s="4"/>
      <c r="I110" s="130">
        <v>-57214</v>
      </c>
      <c r="J110" s="1">
        <f>-49364-I110</f>
        <v>7850</v>
      </c>
      <c r="K110" s="1">
        <f>64164-J110-I110</f>
        <v>113528</v>
      </c>
      <c r="L110" s="1">
        <f t="shared" si="70"/>
        <v>-15915</v>
      </c>
      <c r="M110" s="130">
        <v>-98515</v>
      </c>
      <c r="N110" s="1">
        <f>-102763-M110</f>
        <v>-4248</v>
      </c>
      <c r="O110" s="1">
        <f>-34955-N110-M110</f>
        <v>67808</v>
      </c>
      <c r="P110" s="1">
        <f>SUM(G110-SUM(M110:O110))</f>
        <v>-27283</v>
      </c>
      <c r="Q110" s="130">
        <v>-43846</v>
      </c>
      <c r="R110" s="1">
        <f>-33634-Q110</f>
        <v>10212</v>
      </c>
      <c r="S110" s="1">
        <f>-45777-R110-Q110</f>
        <v>-12143</v>
      </c>
      <c r="T110" s="36"/>
      <c r="U110" s="23">
        <f>SUM(M110:P110)</f>
        <v>-62238</v>
      </c>
      <c r="V110" s="23">
        <f>SUM(Q110:S110)</f>
        <v>-45777</v>
      </c>
      <c r="W110" s="97"/>
      <c r="X110" s="25">
        <f t="shared" si="71"/>
        <v>-0.26448471994601364</v>
      </c>
    </row>
    <row r="111" spans="2:24" x14ac:dyDescent="0.25">
      <c r="B111" s="98" t="s">
        <v>117</v>
      </c>
      <c r="C111" s="130">
        <v>38481</v>
      </c>
      <c r="D111" s="130">
        <v>36848</v>
      </c>
      <c r="E111" s="130">
        <v>79196</v>
      </c>
      <c r="F111" s="130">
        <v>41098</v>
      </c>
      <c r="G111" s="130">
        <v>41914</v>
      </c>
      <c r="H111" s="4"/>
      <c r="I111" s="131">
        <v>-28885</v>
      </c>
      <c r="J111" s="1">
        <f>-37008-I111</f>
        <v>-8123</v>
      </c>
      <c r="K111" s="1">
        <f>-41447-J111-I111</f>
        <v>-4439</v>
      </c>
      <c r="L111" s="1">
        <f t="shared" si="70"/>
        <v>82545</v>
      </c>
      <c r="M111" s="130">
        <v>-37460</v>
      </c>
      <c r="N111" s="1">
        <f>-40424-M111</f>
        <v>-2964</v>
      </c>
      <c r="O111" s="1">
        <f>-43740-N111-M111</f>
        <v>-3316</v>
      </c>
      <c r="P111" s="1">
        <f>SUM(G111-SUM(M111:O111))</f>
        <v>85654</v>
      </c>
      <c r="Q111" s="130">
        <v>-37862</v>
      </c>
      <c r="R111" s="1">
        <f>-41604-Q111</f>
        <v>-3742</v>
      </c>
      <c r="S111" s="1">
        <f>-31551-R111-Q111</f>
        <v>10053</v>
      </c>
      <c r="T111" s="36"/>
      <c r="U111" s="23">
        <f>SUM(M111:P111)</f>
        <v>41914</v>
      </c>
      <c r="V111" s="23">
        <f>SUM(Q111:S111)</f>
        <v>-31551</v>
      </c>
      <c r="W111" s="97"/>
      <c r="X111" s="25">
        <f t="shared" si="71"/>
        <v>-1.752755642506084</v>
      </c>
    </row>
    <row r="112" spans="2:24" x14ac:dyDescent="0.25">
      <c r="B112" s="98" t="s">
        <v>136</v>
      </c>
      <c r="C112" s="130">
        <v>-256910</v>
      </c>
      <c r="D112" s="130">
        <v>-297513</v>
      </c>
      <c r="E112" s="130">
        <v>-303914</v>
      </c>
      <c r="F112" s="130">
        <v>-324500</v>
      </c>
      <c r="G112" s="130">
        <v>-338105</v>
      </c>
      <c r="H112" s="4"/>
      <c r="I112" s="130">
        <v>-79936</v>
      </c>
      <c r="J112" s="1">
        <f>-163302-I112</f>
        <v>-83366</v>
      </c>
      <c r="K112" s="1">
        <f>-246988-J112-I112</f>
        <v>-83686</v>
      </c>
      <c r="L112" s="1">
        <f t="shared" si="70"/>
        <v>-77512</v>
      </c>
      <c r="M112" s="130">
        <v>-78562</v>
      </c>
      <c r="N112" s="1">
        <f>-163527-M112</f>
        <v>-84965</v>
      </c>
      <c r="O112" s="1">
        <f>-248469-N112-M112</f>
        <v>-84942</v>
      </c>
      <c r="P112" s="1">
        <f>SUM(G112-SUM(M112:O112))</f>
        <v>-89636</v>
      </c>
      <c r="Q112" s="130">
        <v>-83500</v>
      </c>
      <c r="R112" s="1">
        <f>-170779-Q112</f>
        <v>-87279</v>
      </c>
      <c r="S112" s="1">
        <f>-250267-R112-Q112</f>
        <v>-79488</v>
      </c>
      <c r="T112" s="36"/>
      <c r="U112" s="23">
        <f>SUM(M112:P112)</f>
        <v>-338105</v>
      </c>
      <c r="V112" s="23">
        <f>SUM(Q112:S112)</f>
        <v>-250267</v>
      </c>
      <c r="W112" s="97"/>
      <c r="X112" s="25">
        <f t="shared" si="71"/>
        <v>-0.25979503408704396</v>
      </c>
    </row>
    <row r="113" spans="2:24" x14ac:dyDescent="0.25">
      <c r="B113" s="98" t="s">
        <v>137</v>
      </c>
      <c r="C113" s="130">
        <v>54894</v>
      </c>
      <c r="D113" s="130">
        <v>-783</v>
      </c>
      <c r="E113" s="130">
        <v>12392</v>
      </c>
      <c r="F113" s="130">
        <v>-7731</v>
      </c>
      <c r="G113" s="130">
        <v>-15084</v>
      </c>
      <c r="H113" s="4"/>
      <c r="I113" s="130">
        <v>3390</v>
      </c>
      <c r="J113" s="1">
        <f>-392-I113</f>
        <v>-3782</v>
      </c>
      <c r="K113" s="1">
        <f>20063-J113-I113</f>
        <v>20455</v>
      </c>
      <c r="L113" s="1">
        <f t="shared" si="70"/>
        <v>-27794</v>
      </c>
      <c r="M113" s="130">
        <v>-17204</v>
      </c>
      <c r="N113" s="1">
        <f>-12497-M113</f>
        <v>4707</v>
      </c>
      <c r="O113" s="1">
        <f>-9836-N113-M113</f>
        <v>2661</v>
      </c>
      <c r="P113" s="1">
        <f>SUM(G113-SUM(M113:O113))</f>
        <v>-5248</v>
      </c>
      <c r="Q113" s="130">
        <v>10842</v>
      </c>
      <c r="R113" s="132">
        <f>15127-Q113</f>
        <v>4285</v>
      </c>
      <c r="S113" s="1">
        <f>12240-R113-Q113</f>
        <v>-2887</v>
      </c>
      <c r="T113" s="36"/>
      <c r="U113" s="23">
        <f>SUM(M113:P113)</f>
        <v>-15084</v>
      </c>
      <c r="V113" s="23">
        <f>SUM(Q113:S113)</f>
        <v>12240</v>
      </c>
      <c r="W113" s="97"/>
      <c r="X113" s="25">
        <f t="shared" si="71"/>
        <v>-1.8114558472553699</v>
      </c>
    </row>
    <row r="114" spans="2:24" ht="15.75" x14ac:dyDescent="0.25">
      <c r="B114" s="99" t="s">
        <v>10</v>
      </c>
      <c r="C114" s="100">
        <f>SUM(C94:C113)</f>
        <v>1091181</v>
      </c>
      <c r="D114" s="100">
        <f>SUM(D94:D113)</f>
        <v>760305.47000000067</v>
      </c>
      <c r="E114" s="100">
        <f>SUM(E94:E113)</f>
        <v>1059265</v>
      </c>
      <c r="F114" s="100">
        <f>SUM(F94:F113)</f>
        <v>1481915</v>
      </c>
      <c r="G114" s="100">
        <f>SUM(G94:G113)</f>
        <v>1476265.9999999981</v>
      </c>
      <c r="H114" s="36"/>
      <c r="I114" s="100">
        <f t="shared" ref="I114:S114" si="72">SUM(I94:I113)</f>
        <v>426303</v>
      </c>
      <c r="J114" s="100">
        <f t="shared" si="72"/>
        <v>445759</v>
      </c>
      <c r="K114" s="100">
        <f t="shared" si="72"/>
        <v>-298636</v>
      </c>
      <c r="L114" s="100">
        <f t="shared" si="72"/>
        <v>908489</v>
      </c>
      <c r="M114" s="100">
        <f t="shared" si="72"/>
        <v>304901</v>
      </c>
      <c r="N114" s="100">
        <f t="shared" si="72"/>
        <v>123907</v>
      </c>
      <c r="O114" s="100">
        <f t="shared" si="72"/>
        <v>-70797</v>
      </c>
      <c r="P114" s="100">
        <f t="shared" si="72"/>
        <v>1118254.9999999981</v>
      </c>
      <c r="Q114" s="100">
        <f t="shared" si="72"/>
        <v>159340</v>
      </c>
      <c r="R114" s="100">
        <f t="shared" si="72"/>
        <v>199539</v>
      </c>
      <c r="S114" s="100">
        <f t="shared" si="72"/>
        <v>-56838</v>
      </c>
      <c r="T114" s="36"/>
      <c r="U114" s="100">
        <f>SUM(U94:U113)</f>
        <v>1451771.9999999981</v>
      </c>
      <c r="V114" s="100">
        <f>SUM(V94:V113)</f>
        <v>317649</v>
      </c>
      <c r="W114" s="29"/>
      <c r="X114" s="30">
        <f>SUM(V114/U114)-1</f>
        <v>-0.78119911391044849</v>
      </c>
    </row>
    <row r="115" spans="2:24" ht="15.75" x14ac:dyDescent="0.25">
      <c r="B115" s="62"/>
      <c r="C115" s="101"/>
      <c r="D115" s="101"/>
      <c r="E115" s="101"/>
      <c r="F115" s="101"/>
      <c r="G115" s="101"/>
      <c r="H115" s="36"/>
      <c r="I115" s="101"/>
      <c r="J115" s="101"/>
      <c r="K115" s="101"/>
      <c r="L115" s="101"/>
      <c r="M115" s="101"/>
      <c r="N115" s="101"/>
      <c r="O115" s="101"/>
      <c r="P115" s="101"/>
      <c r="Q115" s="101"/>
      <c r="R115" s="101"/>
      <c r="S115" s="101"/>
      <c r="T115" s="36"/>
      <c r="U115" s="29"/>
      <c r="V115" s="29"/>
      <c r="W115" s="29"/>
      <c r="X115" s="40"/>
    </row>
    <row r="116" spans="2:24" ht="15.75" x14ac:dyDescent="0.25">
      <c r="B116" s="62" t="s">
        <v>45</v>
      </c>
      <c r="C116" s="95"/>
      <c r="D116" s="95"/>
      <c r="E116" s="95"/>
      <c r="F116" s="95"/>
      <c r="G116" s="95"/>
      <c r="H116" s="36"/>
      <c r="I116" s="95"/>
      <c r="J116" s="95"/>
      <c r="K116" s="96"/>
      <c r="L116" s="95"/>
      <c r="M116" s="95"/>
      <c r="N116" s="95"/>
      <c r="O116" s="96"/>
      <c r="P116" s="95"/>
      <c r="Q116" s="95"/>
      <c r="R116" s="95"/>
      <c r="S116" s="95"/>
      <c r="T116" s="36"/>
      <c r="U116" s="95"/>
      <c r="V116" s="95"/>
      <c r="W116" s="97"/>
    </row>
    <row r="117" spans="2:24" x14ac:dyDescent="0.25">
      <c r="B117" s="98" t="s">
        <v>78</v>
      </c>
      <c r="C117" s="130">
        <v>-298534</v>
      </c>
      <c r="D117" s="130">
        <v>-151866</v>
      </c>
      <c r="E117" s="130">
        <v>-172187</v>
      </c>
      <c r="F117" s="130">
        <v>-312126</v>
      </c>
      <c r="G117" s="130">
        <v>-435267</v>
      </c>
      <c r="H117" s="4"/>
      <c r="I117" s="130">
        <v>-71076</v>
      </c>
      <c r="J117" s="1">
        <f>-120500-I117</f>
        <v>-49424</v>
      </c>
      <c r="K117" s="1">
        <f>-203961-J117-I117</f>
        <v>-83461</v>
      </c>
      <c r="L117" s="1">
        <f t="shared" ref="L117:L118" si="73">SUM(F117-SUM(I117:K117))</f>
        <v>-108165</v>
      </c>
      <c r="M117" s="130">
        <v>-109766</v>
      </c>
      <c r="N117" s="1">
        <f>-204748-M117</f>
        <v>-94982</v>
      </c>
      <c r="O117" s="1">
        <f>-311030-N117-M117</f>
        <v>-106282</v>
      </c>
      <c r="P117" s="1">
        <f>SUM(G117-SUM(M117:O117))</f>
        <v>-124237</v>
      </c>
      <c r="Q117" s="130">
        <v>-91024</v>
      </c>
      <c r="R117" s="1">
        <f>-186301-Q117</f>
        <v>-95277</v>
      </c>
      <c r="S117" s="1">
        <f>-300536-R117</f>
        <v>-205259</v>
      </c>
      <c r="T117" s="36"/>
      <c r="U117" s="23">
        <f>SUM(M117:P117)</f>
        <v>-435267</v>
      </c>
      <c r="V117" s="23">
        <f>SUM(Q117:S117)</f>
        <v>-391560</v>
      </c>
      <c r="W117" s="97"/>
      <c r="X117" s="25">
        <f>SUM(V117/U117)-1</f>
        <v>-0.10041422850801918</v>
      </c>
    </row>
    <row r="118" spans="2:24" x14ac:dyDescent="0.25">
      <c r="B118" s="98" t="s">
        <v>138</v>
      </c>
      <c r="C118" s="130">
        <f>-62946-110000</f>
        <v>-172946</v>
      </c>
      <c r="D118" s="130">
        <f>-5665+110000-1220</f>
        <v>103115</v>
      </c>
      <c r="E118" s="130">
        <v>-4297</v>
      </c>
      <c r="F118" s="130">
        <v>-2458</v>
      </c>
      <c r="G118" s="130">
        <v>-6158</v>
      </c>
      <c r="H118" s="4"/>
      <c r="I118" s="130">
        <v>-797</v>
      </c>
      <c r="J118" s="1">
        <f>-1249-I118</f>
        <v>-452</v>
      </c>
      <c r="K118" s="1">
        <f>-3068-J118-I118</f>
        <v>-1819</v>
      </c>
      <c r="L118" s="1">
        <f t="shared" si="73"/>
        <v>610</v>
      </c>
      <c r="M118" s="130">
        <v>-314</v>
      </c>
      <c r="N118" s="1">
        <f>-1687-M118</f>
        <v>-1373</v>
      </c>
      <c r="O118" s="1">
        <f>-4870-N118-M118</f>
        <v>-3183</v>
      </c>
      <c r="P118" s="1">
        <f>SUM(G118-SUM(M118:O118))</f>
        <v>-1288</v>
      </c>
      <c r="Q118" s="130">
        <v>-2563</v>
      </c>
      <c r="R118" s="1">
        <f>-5091-Q118</f>
        <v>-2528</v>
      </c>
      <c r="S118" s="1">
        <f>-6108-R118</f>
        <v>-3580</v>
      </c>
      <c r="T118" s="36"/>
      <c r="U118" s="23">
        <f>SUM(M118:P118)</f>
        <v>-6158</v>
      </c>
      <c r="V118" s="23">
        <f>SUM(Q118:S118)</f>
        <v>-8671</v>
      </c>
      <c r="W118" s="97"/>
      <c r="X118" s="25">
        <f>SUM(V118/U118)-1</f>
        <v>0.40808704124715822</v>
      </c>
    </row>
    <row r="119" spans="2:24" ht="15.75" x14ac:dyDescent="0.25">
      <c r="B119" s="102" t="s">
        <v>11</v>
      </c>
      <c r="C119" s="100">
        <f>SUM(C117:C118)</f>
        <v>-471480</v>
      </c>
      <c r="D119" s="100">
        <f>SUM(D117:D118)</f>
        <v>-48751</v>
      </c>
      <c r="E119" s="100">
        <f>SUM(E117:E118)</f>
        <v>-176484</v>
      </c>
      <c r="F119" s="100">
        <f>SUM(F117:F118)</f>
        <v>-314584</v>
      </c>
      <c r="G119" s="100">
        <f>SUM(G117:G118)</f>
        <v>-441425</v>
      </c>
      <c r="H119" s="36"/>
      <c r="I119" s="100">
        <f t="shared" ref="I119:S119" si="74">SUM(I117:I118)</f>
        <v>-71873</v>
      </c>
      <c r="J119" s="100">
        <f t="shared" si="74"/>
        <v>-49876</v>
      </c>
      <c r="K119" s="100">
        <f t="shared" si="74"/>
        <v>-85280</v>
      </c>
      <c r="L119" s="100">
        <f t="shared" si="74"/>
        <v>-107555</v>
      </c>
      <c r="M119" s="100">
        <f t="shared" ref="M119" si="75">SUM(M117:M118)</f>
        <v>-110080</v>
      </c>
      <c r="N119" s="100">
        <f t="shared" si="74"/>
        <v>-96355</v>
      </c>
      <c r="O119" s="100">
        <f t="shared" si="74"/>
        <v>-109465</v>
      </c>
      <c r="P119" s="100">
        <f t="shared" si="74"/>
        <v>-125525</v>
      </c>
      <c r="Q119" s="100">
        <f t="shared" si="74"/>
        <v>-93587</v>
      </c>
      <c r="R119" s="100">
        <f t="shared" si="74"/>
        <v>-97805</v>
      </c>
      <c r="S119" s="100">
        <f t="shared" si="74"/>
        <v>-208839</v>
      </c>
      <c r="T119" s="36"/>
      <c r="U119" s="100">
        <f>SUM(U117:U118)</f>
        <v>-441425</v>
      </c>
      <c r="V119" s="100">
        <f>SUM(V117:V118)</f>
        <v>-400231</v>
      </c>
      <c r="W119" s="29"/>
      <c r="X119" s="30">
        <f>SUM(V119/U119)-1</f>
        <v>-9.3320496120518737E-2</v>
      </c>
    </row>
    <row r="120" spans="2:24" ht="15.75" x14ac:dyDescent="0.25">
      <c r="B120" s="103"/>
      <c r="C120" s="101"/>
      <c r="D120" s="101"/>
      <c r="E120" s="101"/>
      <c r="F120" s="101"/>
      <c r="G120" s="101"/>
      <c r="H120" s="36"/>
      <c r="I120" s="101"/>
      <c r="J120" s="101"/>
      <c r="K120" s="101"/>
      <c r="L120" s="101"/>
      <c r="M120" s="101"/>
      <c r="N120" s="101"/>
      <c r="O120" s="101"/>
      <c r="P120" s="101"/>
      <c r="Q120" s="101"/>
      <c r="R120" s="101"/>
      <c r="S120" s="101"/>
      <c r="T120" s="36"/>
      <c r="U120" s="29"/>
      <c r="V120" s="29"/>
      <c r="W120" s="29"/>
      <c r="X120" s="40"/>
    </row>
    <row r="121" spans="2:24" ht="15.75" x14ac:dyDescent="0.25">
      <c r="B121" s="62" t="s">
        <v>46</v>
      </c>
      <c r="C121" s="104"/>
      <c r="D121" s="104"/>
      <c r="E121" s="104"/>
      <c r="F121" s="104"/>
      <c r="G121" s="104"/>
      <c r="H121" s="36"/>
      <c r="I121" s="104"/>
      <c r="J121" s="104"/>
      <c r="K121" s="104"/>
      <c r="L121" s="104"/>
      <c r="M121" s="104"/>
      <c r="N121" s="104"/>
      <c r="O121" s="104"/>
      <c r="P121" s="105"/>
      <c r="Q121" s="104"/>
      <c r="R121" s="104"/>
      <c r="S121" s="104"/>
      <c r="T121" s="36"/>
      <c r="U121" s="104"/>
      <c r="V121" s="104"/>
      <c r="W121" s="106"/>
    </row>
    <row r="122" spans="2:24" x14ac:dyDescent="0.25">
      <c r="B122" s="98" t="s">
        <v>140</v>
      </c>
      <c r="C122" s="143">
        <v>0</v>
      </c>
      <c r="D122" s="143">
        <v>0</v>
      </c>
      <c r="E122" s="143">
        <v>0</v>
      </c>
      <c r="F122" s="143">
        <v>0</v>
      </c>
      <c r="G122" s="130">
        <v>195400</v>
      </c>
      <c r="H122" s="4"/>
      <c r="I122" s="216">
        <v>0</v>
      </c>
      <c r="J122" s="216">
        <v>0</v>
      </c>
      <c r="K122" s="216">
        <v>0</v>
      </c>
      <c r="L122" s="1">
        <f t="shared" ref="L122:L126" si="76">SUM(F122-SUM(I122:K122))</f>
        <v>0</v>
      </c>
      <c r="M122" s="216">
        <v>0</v>
      </c>
      <c r="N122" s="216">
        <v>0</v>
      </c>
      <c r="O122" s="1">
        <f>195400-N122-M122</f>
        <v>195400</v>
      </c>
      <c r="P122" s="216">
        <v>0</v>
      </c>
      <c r="Q122" s="216">
        <v>0</v>
      </c>
      <c r="R122" s="216">
        <v>0</v>
      </c>
      <c r="S122" s="1">
        <f>199700-R122-Q122</f>
        <v>199700</v>
      </c>
      <c r="T122" s="36"/>
      <c r="U122" s="23">
        <f t="shared" ref="U122:U129" si="77">SUM(M122:P122)</f>
        <v>195400</v>
      </c>
      <c r="V122" s="23">
        <f t="shared" ref="V122:V129" si="78">SUM(Q122:S122)</f>
        <v>199700</v>
      </c>
      <c r="W122" s="23"/>
      <c r="X122" s="25">
        <f>SUM(V122/U122)-1</f>
        <v>2.2006141248720468E-2</v>
      </c>
    </row>
    <row r="123" spans="2:24" x14ac:dyDescent="0.25">
      <c r="B123" s="98" t="s">
        <v>142</v>
      </c>
      <c r="C123" s="130">
        <v>-680979</v>
      </c>
      <c r="D123" s="130">
        <v>-114895</v>
      </c>
      <c r="E123" s="130">
        <v>-1521925</v>
      </c>
      <c r="F123" s="130">
        <v>-900033</v>
      </c>
      <c r="G123" s="130">
        <v>-995738</v>
      </c>
      <c r="H123" s="4"/>
      <c r="I123" s="131">
        <v>-132834</v>
      </c>
      <c r="J123" s="1">
        <f>-434448-I123</f>
        <v>-301614</v>
      </c>
      <c r="K123" s="1">
        <f>-571908-J123-I123</f>
        <v>-137460</v>
      </c>
      <c r="L123" s="1">
        <f t="shared" si="76"/>
        <v>-328125</v>
      </c>
      <c r="M123" s="130">
        <v>-283517</v>
      </c>
      <c r="N123" s="1">
        <f>-559011-M123</f>
        <v>-275494</v>
      </c>
      <c r="O123" s="1">
        <f>-840551-N123-M123</f>
        <v>-281540</v>
      </c>
      <c r="P123" s="1">
        <f>SUM(G123-SUM(M123:O123))</f>
        <v>-155187</v>
      </c>
      <c r="Q123" s="130">
        <v>-289431</v>
      </c>
      <c r="R123" s="1">
        <f>-501768-Q123</f>
        <v>-212337</v>
      </c>
      <c r="S123" s="1">
        <f>-765384-R123-Q123</f>
        <v>-263616</v>
      </c>
      <c r="T123" s="36"/>
      <c r="U123" s="23">
        <f t="shared" si="77"/>
        <v>-995738</v>
      </c>
      <c r="V123" s="23">
        <f t="shared" si="78"/>
        <v>-765384</v>
      </c>
      <c r="W123" s="23"/>
      <c r="X123" s="25">
        <f>SUM(V123/U123)-1</f>
        <v>-0.23133997095621539</v>
      </c>
    </row>
    <row r="124" spans="2:24" x14ac:dyDescent="0.25">
      <c r="B124" s="98" t="s">
        <v>143</v>
      </c>
      <c r="C124" s="130">
        <v>43780</v>
      </c>
      <c r="D124" s="130">
        <v>12229</v>
      </c>
      <c r="E124" s="130">
        <v>40386</v>
      </c>
      <c r="F124" s="130">
        <v>46011</v>
      </c>
      <c r="G124" s="130">
        <v>12176</v>
      </c>
      <c r="H124" s="4"/>
      <c r="I124" s="131">
        <v>6502</v>
      </c>
      <c r="J124" s="1">
        <f>24521-I124</f>
        <v>18019</v>
      </c>
      <c r="K124" s="1">
        <f>31319-J124-I124</f>
        <v>6798</v>
      </c>
      <c r="L124" s="1">
        <f t="shared" si="76"/>
        <v>14692</v>
      </c>
      <c r="M124" s="130">
        <v>8927</v>
      </c>
      <c r="N124" s="1">
        <f>9147-M124</f>
        <v>220</v>
      </c>
      <c r="O124" s="1">
        <f>9302-N124-M124</f>
        <v>155</v>
      </c>
      <c r="P124" s="1">
        <f>SUM(G124-SUM(M124:O124))</f>
        <v>2874</v>
      </c>
      <c r="Q124" s="130">
        <v>8913</v>
      </c>
      <c r="R124" s="1">
        <f>9196-Q124</f>
        <v>283</v>
      </c>
      <c r="S124" s="1">
        <f>9200-R124-Q124</f>
        <v>4</v>
      </c>
      <c r="T124" s="36"/>
      <c r="U124" s="23">
        <f t="shared" si="77"/>
        <v>12176</v>
      </c>
      <c r="V124" s="23">
        <f t="shared" si="78"/>
        <v>9200</v>
      </c>
      <c r="W124" s="23"/>
      <c r="X124" s="25">
        <f>SUM(V124/U124)-1</f>
        <v>-0.24441524310118268</v>
      </c>
    </row>
    <row r="125" spans="2:24" x14ac:dyDescent="0.25">
      <c r="B125" s="98" t="s">
        <v>144</v>
      </c>
      <c r="C125" s="130">
        <v>-9540</v>
      </c>
      <c r="D125" s="130">
        <v>-3353</v>
      </c>
      <c r="E125" s="130">
        <v>-15677</v>
      </c>
      <c r="F125" s="130">
        <v>-6992</v>
      </c>
      <c r="G125" s="130">
        <v>-22562</v>
      </c>
      <c r="H125" s="4"/>
      <c r="I125" s="131">
        <v>-5172</v>
      </c>
      <c r="J125" s="1">
        <f>-6325-I125</f>
        <v>-1153</v>
      </c>
      <c r="K125" s="1">
        <f>-6740-J125-I125</f>
        <v>-415</v>
      </c>
      <c r="L125" s="1">
        <f t="shared" si="76"/>
        <v>-252</v>
      </c>
      <c r="M125" s="130">
        <v>-21659</v>
      </c>
      <c r="N125" s="1">
        <f>-21759-M125</f>
        <v>-100</v>
      </c>
      <c r="O125" s="1">
        <f>-22328-N125-M125</f>
        <v>-569</v>
      </c>
      <c r="P125" s="1">
        <f>SUM(G125-SUM(M125:O125))</f>
        <v>-234</v>
      </c>
      <c r="Q125" s="130">
        <v>-23283</v>
      </c>
      <c r="R125" s="1">
        <f>-23459-Q125</f>
        <v>-176</v>
      </c>
      <c r="S125" s="1">
        <f>-23566-R125-Q125</f>
        <v>-107</v>
      </c>
      <c r="T125" s="36"/>
      <c r="U125" s="23">
        <f t="shared" si="77"/>
        <v>-22562</v>
      </c>
      <c r="V125" s="23">
        <f t="shared" si="78"/>
        <v>-23566</v>
      </c>
      <c r="W125" s="23"/>
      <c r="X125" s="25">
        <f>SUM(V125/U125)-1</f>
        <v>4.4499601099193375E-2</v>
      </c>
    </row>
    <row r="126" spans="2:24" x14ac:dyDescent="0.25">
      <c r="B126" s="98" t="s">
        <v>145</v>
      </c>
      <c r="C126" s="130"/>
      <c r="D126" s="130">
        <v>-1915</v>
      </c>
      <c r="E126" s="143">
        <v>0</v>
      </c>
      <c r="F126" s="143">
        <v>0</v>
      </c>
      <c r="G126" s="143">
        <v>0</v>
      </c>
      <c r="H126" s="4"/>
      <c r="I126" s="216">
        <v>0</v>
      </c>
      <c r="J126" s="216">
        <v>0</v>
      </c>
      <c r="K126" s="216">
        <v>0</v>
      </c>
      <c r="L126" s="1">
        <f t="shared" si="76"/>
        <v>0</v>
      </c>
      <c r="M126" s="216">
        <v>0</v>
      </c>
      <c r="N126" s="216">
        <v>0</v>
      </c>
      <c r="O126" s="216">
        <v>0</v>
      </c>
      <c r="P126" s="1">
        <f>SUM(G126-SUM(M126:O126))</f>
        <v>0</v>
      </c>
      <c r="Q126" s="130">
        <v>-3950</v>
      </c>
      <c r="R126" s="1">
        <f>-4088-Q126</f>
        <v>-138</v>
      </c>
      <c r="S126" s="1">
        <f>-4159-R126-Q126</f>
        <v>-71</v>
      </c>
      <c r="T126" s="36"/>
      <c r="U126" s="23">
        <f t="shared" si="77"/>
        <v>0</v>
      </c>
      <c r="V126" s="23">
        <f t="shared" si="78"/>
        <v>-4159</v>
      </c>
      <c r="W126" s="23"/>
      <c r="X126" s="25" t="e">
        <f>SUM(V126/U126)-1</f>
        <v>#DIV/0!</v>
      </c>
    </row>
    <row r="127" spans="2:24" x14ac:dyDescent="0.25">
      <c r="B127" s="98" t="s">
        <v>79</v>
      </c>
      <c r="C127" s="143">
        <v>0</v>
      </c>
      <c r="D127" s="130">
        <v>800000</v>
      </c>
      <c r="E127" s="143">
        <v>0</v>
      </c>
      <c r="F127" s="143">
        <v>0</v>
      </c>
      <c r="G127" s="143">
        <v>0</v>
      </c>
      <c r="H127" s="4"/>
      <c r="I127" s="216">
        <v>0</v>
      </c>
      <c r="J127" s="216">
        <v>0</v>
      </c>
      <c r="K127" s="216">
        <v>0</v>
      </c>
      <c r="L127" s="1">
        <f>SUM(F127-SUM(I127:K127))</f>
        <v>0</v>
      </c>
      <c r="M127" s="216">
        <v>0</v>
      </c>
      <c r="N127" s="216">
        <v>0</v>
      </c>
      <c r="O127" s="216">
        <v>0</v>
      </c>
      <c r="P127" s="1">
        <f>SUM(G127-SUM(M127:O127))</f>
        <v>0</v>
      </c>
      <c r="Q127" s="143">
        <v>0</v>
      </c>
      <c r="R127" s="1"/>
      <c r="S127" s="216">
        <v>0</v>
      </c>
      <c r="T127" s="36"/>
      <c r="U127" s="23">
        <f t="shared" si="77"/>
        <v>0</v>
      </c>
      <c r="V127" s="23">
        <f t="shared" si="78"/>
        <v>0</v>
      </c>
      <c r="W127" s="23"/>
      <c r="X127" s="25" t="e">
        <f t="shared" ref="X127:X129" si="79">SUM(V127/U127)-1</f>
        <v>#DIV/0!</v>
      </c>
    </row>
    <row r="128" spans="2:24" x14ac:dyDescent="0.25">
      <c r="B128" s="98" t="s">
        <v>139</v>
      </c>
      <c r="C128" s="143">
        <v>0</v>
      </c>
      <c r="D128" s="130">
        <v>-800000</v>
      </c>
      <c r="E128" s="143">
        <v>0</v>
      </c>
      <c r="F128" s="143">
        <v>0</v>
      </c>
      <c r="G128" s="143">
        <v>0</v>
      </c>
      <c r="H128" s="4"/>
      <c r="I128" s="216">
        <v>0</v>
      </c>
      <c r="J128" s="216">
        <v>0</v>
      </c>
      <c r="K128" s="216">
        <v>0</v>
      </c>
      <c r="L128" s="1">
        <f t="shared" ref="L128:L129" si="80">SUM(F128-SUM(I128:K128))</f>
        <v>0</v>
      </c>
      <c r="M128" s="216">
        <v>0</v>
      </c>
      <c r="N128" s="216">
        <v>0</v>
      </c>
      <c r="O128" s="216">
        <v>0</v>
      </c>
      <c r="P128" s="1">
        <f>SUM(G128-SUM(M128:O128))</f>
        <v>0</v>
      </c>
      <c r="Q128" s="143">
        <v>0</v>
      </c>
      <c r="R128" s="1"/>
      <c r="S128" s="216">
        <v>0</v>
      </c>
      <c r="T128" s="36"/>
      <c r="U128" s="23">
        <f t="shared" si="77"/>
        <v>0</v>
      </c>
      <c r="V128" s="23">
        <f t="shared" si="78"/>
        <v>0</v>
      </c>
      <c r="W128" s="23"/>
      <c r="X128" s="25" t="e">
        <f t="shared" si="79"/>
        <v>#DIV/0!</v>
      </c>
    </row>
    <row r="129" spans="2:24" x14ac:dyDescent="0.25">
      <c r="B129" s="98" t="s">
        <v>141</v>
      </c>
      <c r="C129" s="143">
        <v>0</v>
      </c>
      <c r="D129" s="143">
        <v>0</v>
      </c>
      <c r="E129" s="143">
        <v>0</v>
      </c>
      <c r="F129" s="143">
        <v>0</v>
      </c>
      <c r="G129" s="130">
        <v>-195400</v>
      </c>
      <c r="H129" s="4"/>
      <c r="I129" s="216">
        <v>0</v>
      </c>
      <c r="J129" s="216">
        <v>0</v>
      </c>
      <c r="K129" s="216">
        <v>0</v>
      </c>
      <c r="L129" s="1">
        <f t="shared" si="80"/>
        <v>0</v>
      </c>
      <c r="M129" s="216">
        <v>0</v>
      </c>
      <c r="N129" s="216">
        <v>0</v>
      </c>
      <c r="O129" s="216">
        <v>0</v>
      </c>
      <c r="P129" s="1">
        <f>SUM(G129-SUM(M129:O129))</f>
        <v>-195400</v>
      </c>
      <c r="Q129" s="143">
        <v>0</v>
      </c>
      <c r="R129" s="1"/>
      <c r="S129" s="216">
        <v>0</v>
      </c>
      <c r="T129" s="36"/>
      <c r="U129" s="23">
        <f t="shared" si="77"/>
        <v>-195400</v>
      </c>
      <c r="V129" s="23">
        <f t="shared" si="78"/>
        <v>0</v>
      </c>
      <c r="W129" s="23"/>
      <c r="X129" s="25">
        <f t="shared" si="79"/>
        <v>-1</v>
      </c>
    </row>
    <row r="130" spans="2:24" ht="15.75" x14ac:dyDescent="0.25">
      <c r="B130" s="99" t="s">
        <v>12</v>
      </c>
      <c r="C130" s="100">
        <f t="shared" ref="C130:F130" si="81">SUM(C122:C129)</f>
        <v>-646739</v>
      </c>
      <c r="D130" s="100">
        <f t="shared" si="81"/>
        <v>-107934</v>
      </c>
      <c r="E130" s="100">
        <f t="shared" si="81"/>
        <v>-1497216</v>
      </c>
      <c r="F130" s="100">
        <f t="shared" si="81"/>
        <v>-861014</v>
      </c>
      <c r="G130" s="100">
        <f>SUM(G122:G129)</f>
        <v>-1006124</v>
      </c>
      <c r="H130" s="36"/>
      <c r="I130" s="100">
        <f t="shared" ref="I130:S130" si="82">SUM(I122:I129)</f>
        <v>-131504</v>
      </c>
      <c r="J130" s="100">
        <f t="shared" si="82"/>
        <v>-284748</v>
      </c>
      <c r="K130" s="100">
        <f t="shared" si="82"/>
        <v>-131077</v>
      </c>
      <c r="L130" s="100">
        <f t="shared" si="82"/>
        <v>-313685</v>
      </c>
      <c r="M130" s="100">
        <f t="shared" ref="M130" si="83">SUM(M122:M129)</f>
        <v>-296249</v>
      </c>
      <c r="N130" s="100">
        <f t="shared" si="82"/>
        <v>-275374</v>
      </c>
      <c r="O130" s="100">
        <f t="shared" si="82"/>
        <v>-86554</v>
      </c>
      <c r="P130" s="100">
        <f t="shared" si="82"/>
        <v>-347947</v>
      </c>
      <c r="Q130" s="100">
        <f t="shared" si="82"/>
        <v>-307751</v>
      </c>
      <c r="R130" s="100">
        <f t="shared" si="82"/>
        <v>-212368</v>
      </c>
      <c r="S130" s="100">
        <f t="shared" si="82"/>
        <v>-64090</v>
      </c>
      <c r="T130" s="36"/>
      <c r="U130" s="100">
        <f t="shared" ref="U130" si="84">SUM(U122:U129)</f>
        <v>-1006124</v>
      </c>
      <c r="V130" s="100">
        <f t="shared" ref="V130" si="85">SUM(V122:V129)</f>
        <v>-584209</v>
      </c>
      <c r="W130" s="29"/>
      <c r="X130" s="30">
        <f>SUM(V130/U130)-1</f>
        <v>-0.4193469194651952</v>
      </c>
    </row>
    <row r="131" spans="2:24" ht="15.75" x14ac:dyDescent="0.25">
      <c r="B131" s="62"/>
      <c r="C131" s="101"/>
      <c r="D131" s="101"/>
      <c r="E131" s="101"/>
      <c r="F131" s="101"/>
      <c r="G131" s="101"/>
      <c r="H131" s="36"/>
      <c r="I131" s="101"/>
      <c r="J131" s="101"/>
      <c r="K131" s="101"/>
      <c r="L131" s="101"/>
      <c r="M131" s="101"/>
      <c r="N131" s="101"/>
      <c r="O131" s="101"/>
      <c r="P131" s="101"/>
      <c r="Q131" s="101"/>
      <c r="R131" s="101"/>
      <c r="S131" s="101"/>
      <c r="T131" s="36"/>
      <c r="U131" s="29"/>
      <c r="V131" s="29"/>
      <c r="W131" s="29"/>
      <c r="X131" s="40"/>
    </row>
    <row r="132" spans="2:24" x14ac:dyDescent="0.25">
      <c r="B132" t="s">
        <v>80</v>
      </c>
      <c r="C132" s="130"/>
      <c r="D132" s="130">
        <v>56</v>
      </c>
      <c r="E132" s="130">
        <v>-56</v>
      </c>
      <c r="F132" s="130">
        <v>0</v>
      </c>
      <c r="G132" s="130">
        <v>0</v>
      </c>
      <c r="H132" s="4"/>
      <c r="I132" s="216">
        <v>0</v>
      </c>
      <c r="J132" s="216">
        <v>0</v>
      </c>
      <c r="K132" s="216">
        <v>0</v>
      </c>
      <c r="L132" s="1">
        <f t="shared" ref="L132:L135" si="86">SUM(F132-SUM(I132:K132))</f>
        <v>0</v>
      </c>
      <c r="M132" s="130"/>
      <c r="N132" s="130"/>
      <c r="O132" s="130"/>
      <c r="P132" s="1"/>
      <c r="Q132" s="130"/>
      <c r="R132" s="130"/>
      <c r="S132" s="130"/>
      <c r="T132" s="23"/>
      <c r="U132" s="23">
        <f>SUM(M132:P132)</f>
        <v>0</v>
      </c>
      <c r="V132" s="23">
        <f>SUM(Q132:S132)</f>
        <v>0</v>
      </c>
      <c r="W132" s="23"/>
      <c r="X132" s="40"/>
    </row>
    <row r="133" spans="2:24" x14ac:dyDescent="0.25">
      <c r="B133" t="s">
        <v>81</v>
      </c>
      <c r="C133" s="130">
        <v>-16926</v>
      </c>
      <c r="D133" s="130">
        <v>653726</v>
      </c>
      <c r="E133" s="130">
        <v>-614491</v>
      </c>
      <c r="F133" s="130">
        <v>306317</v>
      </c>
      <c r="G133" s="130">
        <v>28717</v>
      </c>
      <c r="H133" s="4"/>
      <c r="I133" s="130">
        <v>222926</v>
      </c>
      <c r="J133" s="130">
        <v>2666</v>
      </c>
      <c r="K133" s="130">
        <v>-180932</v>
      </c>
      <c r="L133" s="1">
        <f t="shared" si="86"/>
        <v>261657</v>
      </c>
      <c r="M133" s="130">
        <v>-101428</v>
      </c>
      <c r="N133" s="130">
        <v>-349250</v>
      </c>
      <c r="O133" s="130">
        <v>-616066</v>
      </c>
      <c r="P133" s="1">
        <f>SUM(G133-SUM(M133:O133))</f>
        <v>1095461</v>
      </c>
      <c r="Q133" s="130">
        <v>-241998</v>
      </c>
      <c r="R133" s="130">
        <v>-352632</v>
      </c>
      <c r="S133" s="130">
        <v>-588812</v>
      </c>
      <c r="T133" s="23"/>
      <c r="U133" s="23"/>
      <c r="V133" s="23"/>
      <c r="W133" s="23"/>
      <c r="X133" s="40"/>
    </row>
    <row r="134" spans="2:24" x14ac:dyDescent="0.25">
      <c r="B134" t="s">
        <v>82</v>
      </c>
      <c r="C134" s="130">
        <v>409251</v>
      </c>
      <c r="D134" s="130">
        <v>392325</v>
      </c>
      <c r="E134" s="130">
        <v>1046051</v>
      </c>
      <c r="F134" s="130">
        <v>431560</v>
      </c>
      <c r="G134" s="130">
        <v>737877</v>
      </c>
      <c r="H134" s="4"/>
      <c r="I134" s="130">
        <v>431560</v>
      </c>
      <c r="J134" s="130">
        <v>431560</v>
      </c>
      <c r="K134" s="130">
        <v>431560</v>
      </c>
      <c r="L134" s="1">
        <f t="shared" si="86"/>
        <v>-863120</v>
      </c>
      <c r="M134" s="130">
        <v>737877</v>
      </c>
      <c r="N134" s="130">
        <v>737877</v>
      </c>
      <c r="O134" s="130">
        <v>737877</v>
      </c>
      <c r="P134" s="1">
        <f>SUM(G134-SUM(M134:O134))</f>
        <v>-1475754</v>
      </c>
      <c r="Q134" s="130">
        <v>766594</v>
      </c>
      <c r="R134" s="130">
        <v>766594</v>
      </c>
      <c r="S134" s="130">
        <v>766594</v>
      </c>
      <c r="T134" s="23"/>
      <c r="U134" s="23"/>
      <c r="V134" s="23"/>
      <c r="W134" s="23"/>
      <c r="X134" s="40"/>
    </row>
    <row r="135" spans="2:24" x14ac:dyDescent="0.25">
      <c r="B135" t="s">
        <v>83</v>
      </c>
      <c r="C135" s="130">
        <v>392325</v>
      </c>
      <c r="D135" s="130">
        <v>1046051</v>
      </c>
      <c r="E135" s="130">
        <v>431560</v>
      </c>
      <c r="F135" s="130">
        <v>737877</v>
      </c>
      <c r="G135" s="130">
        <v>766594</v>
      </c>
      <c r="H135" s="4"/>
      <c r="I135" s="130">
        <v>654486</v>
      </c>
      <c r="J135" s="130">
        <v>434226</v>
      </c>
      <c r="K135" s="130">
        <v>250628</v>
      </c>
      <c r="L135" s="1">
        <f t="shared" si="86"/>
        <v>-601463</v>
      </c>
      <c r="M135" s="130">
        <v>636449</v>
      </c>
      <c r="N135" s="130">
        <v>388627</v>
      </c>
      <c r="O135" s="130">
        <v>121811</v>
      </c>
      <c r="P135" s="1">
        <f>SUM(G135-SUM(M135:O135))</f>
        <v>-380293</v>
      </c>
      <c r="Q135" s="130">
        <v>524596</v>
      </c>
      <c r="R135" s="130">
        <v>413962</v>
      </c>
      <c r="S135" s="130">
        <v>177782</v>
      </c>
      <c r="T135" s="23"/>
      <c r="U135" s="23"/>
      <c r="V135" s="23"/>
      <c r="W135" s="23"/>
      <c r="X135" s="40"/>
    </row>
    <row r="136" spans="2:24" x14ac:dyDescent="0.25">
      <c r="B136"/>
      <c r="C136" s="130"/>
      <c r="D136" s="130"/>
      <c r="E136" s="130"/>
      <c r="F136" s="130"/>
      <c r="G136" s="130"/>
      <c r="H136" s="4"/>
      <c r="I136" s="130"/>
      <c r="J136" s="130"/>
      <c r="K136" s="130"/>
      <c r="L136" s="1"/>
      <c r="M136" s="130"/>
      <c r="N136" s="130"/>
      <c r="O136" s="130"/>
      <c r="P136" s="1"/>
      <c r="Q136" s="130"/>
      <c r="R136" s="130"/>
      <c r="S136" s="130"/>
      <c r="T136" s="23"/>
      <c r="U136" s="23"/>
      <c r="V136" s="23"/>
      <c r="W136" s="23"/>
      <c r="X136" s="40"/>
    </row>
    <row r="137" spans="2:24" x14ac:dyDescent="0.25">
      <c r="B137" s="3" t="s">
        <v>146</v>
      </c>
      <c r="C137" s="130"/>
      <c r="D137" s="130"/>
      <c r="E137" s="130" t="s">
        <v>120</v>
      </c>
      <c r="F137" s="130" t="s">
        <v>120</v>
      </c>
      <c r="G137" s="130" t="s">
        <v>120</v>
      </c>
      <c r="H137" s="4"/>
      <c r="I137" s="130"/>
      <c r="J137" s="130"/>
      <c r="K137" s="130"/>
      <c r="L137" s="1"/>
      <c r="M137" s="130"/>
      <c r="N137" s="130"/>
      <c r="O137" s="130"/>
      <c r="P137" s="1"/>
      <c r="Q137" s="130"/>
      <c r="R137" s="130"/>
      <c r="S137" s="130"/>
      <c r="T137" s="23"/>
      <c r="U137" s="23"/>
      <c r="V137" s="23"/>
      <c r="W137" s="23"/>
      <c r="X137" s="40"/>
    </row>
    <row r="138" spans="2:24" x14ac:dyDescent="0.25">
      <c r="B138" t="s">
        <v>147</v>
      </c>
      <c r="C138" s="130"/>
      <c r="D138" s="130">
        <v>6987</v>
      </c>
      <c r="E138" s="130">
        <v>2132</v>
      </c>
      <c r="F138" s="130">
        <v>2138</v>
      </c>
      <c r="G138" s="130">
        <v>3327</v>
      </c>
      <c r="H138" s="4"/>
      <c r="I138" s="130"/>
      <c r="J138" s="130">
        <v>1057</v>
      </c>
      <c r="K138" s="130">
        <v>1598</v>
      </c>
      <c r="L138" s="1">
        <f t="shared" ref="L138:L141" si="87">SUM(F138-SUM(I138:K138))</f>
        <v>-517</v>
      </c>
      <c r="M138" s="130"/>
      <c r="N138" s="130"/>
      <c r="O138" s="130"/>
      <c r="P138" s="1">
        <f>SUM(G138-SUM(M138:O138))</f>
        <v>3327</v>
      </c>
      <c r="Q138" s="130"/>
      <c r="R138" s="130"/>
      <c r="S138" s="130"/>
      <c r="T138" s="23"/>
      <c r="U138" s="23"/>
      <c r="V138" s="23"/>
      <c r="W138" s="23"/>
      <c r="X138" s="40"/>
    </row>
    <row r="139" spans="2:24" x14ac:dyDescent="0.25">
      <c r="B139" t="s">
        <v>148</v>
      </c>
      <c r="C139" s="130">
        <v>133861</v>
      </c>
      <c r="D139" s="130">
        <v>19454</v>
      </c>
      <c r="E139" s="130">
        <v>370646</v>
      </c>
      <c r="F139" s="130">
        <v>429846</v>
      </c>
      <c r="G139" s="130">
        <v>328215</v>
      </c>
      <c r="H139" s="4"/>
      <c r="I139" s="130">
        <v>524</v>
      </c>
      <c r="J139" s="130">
        <v>246641</v>
      </c>
      <c r="K139" s="130">
        <v>339290</v>
      </c>
      <c r="L139" s="1">
        <f t="shared" si="87"/>
        <v>-156609</v>
      </c>
      <c r="M139" s="130">
        <v>2818</v>
      </c>
      <c r="N139" s="130">
        <v>189166</v>
      </c>
      <c r="O139" s="130">
        <v>266802</v>
      </c>
      <c r="P139" s="1">
        <f>SUM(G139-SUM(M139:O139))</f>
        <v>-130571</v>
      </c>
      <c r="Q139" s="130">
        <v>5057</v>
      </c>
      <c r="R139" s="130">
        <v>233249</v>
      </c>
      <c r="S139" s="130">
        <v>316790</v>
      </c>
      <c r="T139" s="23"/>
      <c r="U139" s="23"/>
      <c r="V139" s="23"/>
      <c r="W139" s="23"/>
      <c r="X139" s="40"/>
    </row>
    <row r="140" spans="2:24" x14ac:dyDescent="0.25">
      <c r="B140" t="s">
        <v>149</v>
      </c>
      <c r="C140" s="130">
        <v>26901</v>
      </c>
      <c r="D140" s="130">
        <v>20487</v>
      </c>
      <c r="E140" s="130">
        <v>39874</v>
      </c>
      <c r="F140" s="130">
        <v>69591</v>
      </c>
      <c r="G140" s="130">
        <v>61757</v>
      </c>
      <c r="H140" s="4"/>
      <c r="I140" s="130">
        <v>3357</v>
      </c>
      <c r="J140" s="130">
        <v>42451</v>
      </c>
      <c r="K140" s="130">
        <v>33982</v>
      </c>
      <c r="L140" s="1">
        <f t="shared" si="87"/>
        <v>-10199</v>
      </c>
      <c r="M140" s="130">
        <v>29634</v>
      </c>
      <c r="N140" s="130">
        <v>51860</v>
      </c>
      <c r="O140" s="130">
        <v>53936</v>
      </c>
      <c r="P140" s="1">
        <f>SUM(G140-SUM(M140:O140))</f>
        <v>-73673</v>
      </c>
      <c r="Q140" s="130">
        <v>51695</v>
      </c>
      <c r="R140" s="130">
        <v>54075</v>
      </c>
      <c r="S140" s="130">
        <v>47431</v>
      </c>
      <c r="T140" s="23"/>
      <c r="U140" s="23"/>
      <c r="V140" s="23"/>
      <c r="W140" s="23"/>
      <c r="X140" s="40"/>
    </row>
    <row r="141" spans="2:24" x14ac:dyDescent="0.25">
      <c r="B141" t="s">
        <v>150</v>
      </c>
      <c r="C141" s="130"/>
      <c r="D141" s="130"/>
      <c r="E141" s="130" t="s">
        <v>120</v>
      </c>
      <c r="F141" s="130">
        <v>0</v>
      </c>
      <c r="G141" s="130">
        <v>4297</v>
      </c>
      <c r="H141" s="4"/>
      <c r="I141" s="130">
        <v>27475</v>
      </c>
      <c r="J141" s="130">
        <v>0</v>
      </c>
      <c r="K141" s="130"/>
      <c r="L141" s="1">
        <f t="shared" si="87"/>
        <v>-27475</v>
      </c>
      <c r="M141" s="130"/>
      <c r="N141" s="130"/>
      <c r="O141" s="130"/>
      <c r="P141" s="1">
        <f>SUM(G141-SUM(M141:O141))</f>
        <v>4297</v>
      </c>
      <c r="Q141" s="130"/>
      <c r="R141" s="130"/>
      <c r="S141" s="130"/>
      <c r="T141" s="23"/>
      <c r="U141" s="23"/>
      <c r="V141" s="23"/>
      <c r="W141" s="23"/>
      <c r="X141" s="40"/>
    </row>
    <row r="142" spans="2:24" ht="15.75" thickBot="1" x14ac:dyDescent="0.3">
      <c r="B142"/>
      <c r="C142" s="107"/>
      <c r="D142" s="107"/>
      <c r="E142" s="107"/>
      <c r="F142" s="107"/>
      <c r="G142" s="107"/>
      <c r="H142" s="23"/>
      <c r="I142" s="107"/>
      <c r="J142" s="107"/>
      <c r="K142" s="107"/>
      <c r="L142" s="107"/>
      <c r="M142" s="107"/>
      <c r="N142" s="107"/>
      <c r="O142" s="107"/>
      <c r="P142" s="107"/>
      <c r="Q142" s="135"/>
      <c r="R142" s="107"/>
      <c r="S142" s="107"/>
      <c r="T142" s="36"/>
      <c r="U142" s="23"/>
      <c r="V142" s="23"/>
      <c r="W142" s="23"/>
      <c r="X142" s="40"/>
    </row>
    <row r="143" spans="2:24" x14ac:dyDescent="0.25">
      <c r="B143" s="108" t="s">
        <v>47</v>
      </c>
      <c r="C143" s="109"/>
      <c r="D143" s="109"/>
      <c r="E143" s="109"/>
      <c r="F143" s="109"/>
      <c r="G143" s="110"/>
      <c r="H143" s="36"/>
      <c r="I143" s="111"/>
      <c r="J143" s="112"/>
      <c r="K143" s="112"/>
      <c r="L143" s="112"/>
      <c r="M143" s="112"/>
      <c r="N143" s="112"/>
      <c r="O143" s="112"/>
      <c r="P143" s="112"/>
      <c r="Q143" s="112"/>
      <c r="R143" s="112"/>
      <c r="S143" s="112"/>
      <c r="T143" s="36"/>
      <c r="U143" s="111"/>
      <c r="V143" s="113"/>
    </row>
    <row r="144" spans="2:24" x14ac:dyDescent="0.25">
      <c r="B144" s="114" t="s">
        <v>48</v>
      </c>
      <c r="C144" s="115">
        <f>SUM(C114-C117)</f>
        <v>1389715</v>
      </c>
      <c r="D144" s="115">
        <f>SUM(D114-D117)</f>
        <v>912171.47000000067</v>
      </c>
      <c r="E144" s="115">
        <f>SUM(E114-E117)</f>
        <v>1231452</v>
      </c>
      <c r="F144" s="115">
        <f>SUM(F114-F117)</f>
        <v>1794041</v>
      </c>
      <c r="G144" s="116">
        <f>SUM(G114-G117)</f>
        <v>1911532.9999999981</v>
      </c>
      <c r="H144" s="36"/>
      <c r="I144" s="117">
        <f t="shared" ref="I144:S144" si="88">SUM(I114-I117)</f>
        <v>497379</v>
      </c>
      <c r="J144" s="115">
        <f t="shared" si="88"/>
        <v>495183</v>
      </c>
      <c r="K144" s="115">
        <f t="shared" si="88"/>
        <v>-215175</v>
      </c>
      <c r="L144" s="115">
        <f t="shared" si="88"/>
        <v>1016654</v>
      </c>
      <c r="M144" s="115">
        <f t="shared" si="88"/>
        <v>414667</v>
      </c>
      <c r="N144" s="115">
        <f t="shared" si="88"/>
        <v>218889</v>
      </c>
      <c r="O144" s="115">
        <f t="shared" si="88"/>
        <v>35485</v>
      </c>
      <c r="P144" s="115">
        <f t="shared" si="88"/>
        <v>1242491.9999999981</v>
      </c>
      <c r="Q144" s="115">
        <f t="shared" si="88"/>
        <v>250364</v>
      </c>
      <c r="R144" s="115">
        <f t="shared" si="88"/>
        <v>294816</v>
      </c>
      <c r="S144" s="115">
        <f t="shared" si="88"/>
        <v>148421</v>
      </c>
      <c r="T144" s="36"/>
      <c r="U144" s="257">
        <f>SUM(L144:O144)</f>
        <v>1685695</v>
      </c>
      <c r="V144" s="258">
        <f>SUM(P144:S144)</f>
        <v>1936092.9999999981</v>
      </c>
      <c r="X144" s="30">
        <f t="shared" ref="X144:X146" si="89">SUM(V144/U144)-1</f>
        <v>0.14854288587199838</v>
      </c>
    </row>
    <row r="145" spans="2:24" x14ac:dyDescent="0.25">
      <c r="B145" s="179" t="s">
        <v>23</v>
      </c>
      <c r="C145" s="180"/>
      <c r="D145" s="181">
        <f>D144/C144-1</f>
        <v>-0.34362695228877815</v>
      </c>
      <c r="E145" s="181">
        <f>E144/D144-1</f>
        <v>0.35002249083716586</v>
      </c>
      <c r="F145" s="181">
        <f>F144/E144-1</f>
        <v>0.45685012489321553</v>
      </c>
      <c r="G145" s="182">
        <f>G144/F144-1</f>
        <v>6.5490142087052616E-2</v>
      </c>
      <c r="I145" s="183"/>
      <c r="J145" s="181">
        <f t="shared" ref="J145:S145" si="90">J144/I144-1</f>
        <v>-4.4151441858221174E-3</v>
      </c>
      <c r="K145" s="181">
        <f t="shared" si="90"/>
        <v>-1.4345363229351573</v>
      </c>
      <c r="L145" s="181">
        <f t="shared" si="90"/>
        <v>-5.724777506680609</v>
      </c>
      <c r="M145" s="181">
        <f>M144/L144-1</f>
        <v>-0.592125737960014</v>
      </c>
      <c r="N145" s="181">
        <f t="shared" si="90"/>
        <v>-0.47213306098628538</v>
      </c>
      <c r="O145" s="181">
        <f t="shared" si="90"/>
        <v>-0.83788586909346741</v>
      </c>
      <c r="P145" s="181">
        <f t="shared" si="90"/>
        <v>34.014569536423785</v>
      </c>
      <c r="Q145" s="181">
        <f t="shared" si="90"/>
        <v>-0.79849850139880152</v>
      </c>
      <c r="R145" s="181">
        <f t="shared" si="90"/>
        <v>0.17754948794555125</v>
      </c>
      <c r="S145" s="181">
        <f t="shared" si="90"/>
        <v>-0.49656395853685009</v>
      </c>
      <c r="U145" s="183"/>
      <c r="V145" s="182">
        <f>V144/U144-1</f>
        <v>0.14854288587199838</v>
      </c>
      <c r="X145" s="25"/>
    </row>
    <row r="146" spans="2:24" x14ac:dyDescent="0.25">
      <c r="B146" s="179" t="s">
        <v>152</v>
      </c>
      <c r="C146" s="195">
        <f>C144/C40</f>
        <v>24.67994907287008</v>
      </c>
      <c r="D146" s="195">
        <f>D144/D40</f>
        <v>16.229194241028555</v>
      </c>
      <c r="E146" s="195">
        <f>E144/E40</f>
        <v>23.533659690933959</v>
      </c>
      <c r="F146" s="195">
        <f>F144/F40</f>
        <v>35.741371465091795</v>
      </c>
      <c r="G146" s="196">
        <f>G144/G40</f>
        <v>39.601879841745998</v>
      </c>
      <c r="I146" s="197">
        <f>I144/I40</f>
        <v>9.5985626327155238</v>
      </c>
      <c r="J146" s="195">
        <f>J144/J40</f>
        <v>9.6674837584796922</v>
      </c>
      <c r="K146" s="195">
        <f>K144/K40</f>
        <v>-4.2290043128473815</v>
      </c>
      <c r="L146" s="195">
        <f>L144/L40</f>
        <v>19.428763166917406</v>
      </c>
      <c r="M146" s="195">
        <f>M144/M40</f>
        <v>8.3263804096865019</v>
      </c>
      <c r="N146" s="195">
        <f>N144/N40</f>
        <v>4.4463743053359037</v>
      </c>
      <c r="O146" s="195">
        <f>O144/O40</f>
        <v>0.73072264196359438</v>
      </c>
      <c r="P146" s="195">
        <f>P144/P40</f>
        <v>25.741129704970117</v>
      </c>
      <c r="Q146" s="195">
        <f>Q144/Q40</f>
        <v>5.2469210510901245</v>
      </c>
      <c r="R146" s="195">
        <f>R144/R40</f>
        <v>6.2574065217442518</v>
      </c>
      <c r="S146" s="195">
        <f>S144/S40</f>
        <v>3.2006227478858285</v>
      </c>
      <c r="U146" s="259">
        <f>SUM(L146:O146)</f>
        <v>32.932240523903403</v>
      </c>
      <c r="V146" s="260">
        <f>SUM(P146:S146)</f>
        <v>40.446080025690321</v>
      </c>
      <c r="X146" s="25">
        <f t="shared" si="89"/>
        <v>0.22816059224191276</v>
      </c>
    </row>
    <row r="147" spans="2:24" ht="15.75" thickBot="1" x14ac:dyDescent="0.3">
      <c r="B147" s="118" t="s">
        <v>151</v>
      </c>
      <c r="C147" s="119">
        <f>C144/C10</f>
        <v>0.18784836797931567</v>
      </c>
      <c r="D147" s="119">
        <f>D144/D10</f>
        <v>0.14977119025979616</v>
      </c>
      <c r="E147" s="119">
        <f>E144/E10</f>
        <v>0.1426796243121653</v>
      </c>
      <c r="F147" s="119">
        <f>F144/F10</f>
        <v>0.17573854541963721</v>
      </c>
      <c r="G147" s="120">
        <f>G144/G10</f>
        <v>0.17056137413256325</v>
      </c>
      <c r="I147" s="121">
        <f>I144/I10</f>
        <v>0.21202045610620401</v>
      </c>
      <c r="J147" s="119">
        <f>J144/J10</f>
        <v>0.2155675406477609</v>
      </c>
      <c r="K147" s="119">
        <f>K144/K10</f>
        <v>-9.2002584238964263E-2</v>
      </c>
      <c r="L147" s="119">
        <f>L144/L10</f>
        <v>0.315068336074462</v>
      </c>
      <c r="M147" s="119">
        <f>M144/M10</f>
        <v>0.15741290827833057</v>
      </c>
      <c r="N147" s="119">
        <f>N144/N10</f>
        <v>8.6523923347572876E-2</v>
      </c>
      <c r="O147" s="119">
        <f>O144/O10</f>
        <v>1.4257113389552873E-2</v>
      </c>
      <c r="P147" s="119">
        <f>P144/P10</f>
        <v>0.34957451513632176</v>
      </c>
      <c r="Q147" s="119">
        <f>Q144/Q10</f>
        <v>9.1848114788498858E-2</v>
      </c>
      <c r="R147" s="119">
        <f>R144/R10</f>
        <v>0.11551957280453214</v>
      </c>
      <c r="S147" s="119">
        <f>S144/S10</f>
        <v>5.8662108217066522E-2</v>
      </c>
      <c r="U147" s="121"/>
      <c r="V147" s="120">
        <f>SUM(V146/U146)-1</f>
        <v>0.22816059224191276</v>
      </c>
      <c r="X147" s="25"/>
    </row>
    <row r="148" spans="2:24" x14ac:dyDescent="0.25">
      <c r="C148" s="89"/>
      <c r="D148" s="89"/>
      <c r="E148" s="89"/>
      <c r="F148" s="184"/>
      <c r="G148" s="89"/>
    </row>
  </sheetData>
  <mergeCells count="1">
    <mergeCell ref="X7:X8"/>
  </mergeCells>
  <conditionalFormatting sqref="C8:V8 C9:R9">
    <cfRule type="timePeriod" dxfId="3" priority="4"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3508C-6A05-4C42-A250-755FDCE0B6B6}">
  <dimension ref="A1:Z52"/>
  <sheetViews>
    <sheetView showGridLines="0" zoomScale="157" zoomScaleNormal="220" workbookViewId="0">
      <selection activeCell="E14" sqref="E14"/>
    </sheetView>
  </sheetViews>
  <sheetFormatPr defaultRowHeight="15" outlineLevelCol="1" x14ac:dyDescent="0.25"/>
  <cols>
    <col min="1" max="1" width="2.140625" bestFit="1" customWidth="1"/>
    <col min="2" max="2" width="44.42578125" bestFit="1" customWidth="1"/>
    <col min="3" max="3" width="13" bestFit="1" customWidth="1"/>
    <col min="4" max="6" width="12.7109375" bestFit="1" customWidth="1"/>
    <col min="7" max="7" width="13" bestFit="1" customWidth="1"/>
    <col min="8" max="8" width="1.7109375" customWidth="1"/>
    <col min="9" max="10" width="10.5703125" bestFit="1" customWidth="1" outlineLevel="1"/>
    <col min="11" max="12" width="12.28515625" bestFit="1" customWidth="1" outlineLevel="1"/>
    <col min="13" max="13" width="12.42578125" bestFit="1" customWidth="1" outlineLevel="1"/>
    <col min="14" max="14" width="11.85546875" bestFit="1" customWidth="1" outlineLevel="1"/>
    <col min="15" max="15" width="12.5703125" bestFit="1" customWidth="1" outlineLevel="1"/>
    <col min="16" max="16" width="11.7109375" bestFit="1" customWidth="1" outlineLevel="1"/>
    <col min="17" max="17" width="11" bestFit="1" customWidth="1"/>
    <col min="18" max="18" width="12.85546875" bestFit="1" customWidth="1"/>
    <col min="19" max="19" width="11" bestFit="1" customWidth="1"/>
    <col min="20" max="20" width="2.5703125" customWidth="1"/>
    <col min="21" max="22" width="11.85546875" bestFit="1" customWidth="1"/>
    <col min="23" max="23" width="2" customWidth="1"/>
    <col min="24" max="24" width="11.42578125" bestFit="1" customWidth="1"/>
    <col min="25" max="25" width="2.140625" customWidth="1"/>
  </cols>
  <sheetData>
    <row r="1" spans="1:26" ht="6" customHeight="1" x14ac:dyDescent="0.25">
      <c r="A1" t="s">
        <v>13</v>
      </c>
    </row>
    <row r="2" spans="1:26" x14ac:dyDescent="0.25">
      <c r="B2" s="122" t="s">
        <v>87</v>
      </c>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6" x14ac:dyDescent="0.25">
      <c r="B3" s="144" t="s">
        <v>14</v>
      </c>
      <c r="C3" s="145"/>
      <c r="D3" s="145"/>
      <c r="E3" s="145"/>
      <c r="F3" s="145"/>
      <c r="G3" s="145"/>
      <c r="H3" s="145"/>
      <c r="I3" s="145"/>
      <c r="J3" s="145"/>
      <c r="K3" s="145"/>
      <c r="L3" s="145"/>
      <c r="M3" s="145"/>
      <c r="N3" s="145"/>
      <c r="O3" s="145"/>
      <c r="P3" s="145"/>
      <c r="Q3" s="145"/>
      <c r="R3" s="145"/>
      <c r="S3" s="145"/>
      <c r="T3" s="145"/>
      <c r="U3" s="145"/>
      <c r="V3" s="145"/>
      <c r="W3" s="145"/>
      <c r="X3" s="145"/>
      <c r="Y3" s="145"/>
      <c r="Z3" s="145"/>
    </row>
    <row r="4" spans="1:26" ht="5.25" customHeight="1" x14ac:dyDescent="0.25">
      <c r="B4" s="146"/>
    </row>
    <row r="5" spans="1:26" ht="15.75" thickBot="1" x14ac:dyDescent="0.3">
      <c r="B5" s="147"/>
      <c r="C5" s="147" t="s">
        <v>4</v>
      </c>
      <c r="D5" s="147"/>
      <c r="E5" s="147"/>
      <c r="F5" s="147"/>
      <c r="G5" s="147"/>
      <c r="I5" s="147" t="s">
        <v>5</v>
      </c>
      <c r="J5" s="147"/>
      <c r="K5" s="147"/>
      <c r="L5" s="147"/>
      <c r="M5" s="147"/>
      <c r="N5" s="147"/>
      <c r="O5" s="147"/>
      <c r="P5" s="147"/>
      <c r="Q5" s="147"/>
      <c r="R5" s="147"/>
      <c r="S5" s="147"/>
      <c r="U5" s="147" t="s">
        <v>6</v>
      </c>
      <c r="V5" s="147"/>
      <c r="W5" s="148"/>
      <c r="X5" s="147" t="s">
        <v>15</v>
      </c>
      <c r="Z5" s="147" t="s">
        <v>175</v>
      </c>
    </row>
    <row r="6" spans="1:26" ht="4.5" customHeight="1" x14ac:dyDescent="0.25"/>
    <row r="7" spans="1:26" x14ac:dyDescent="0.25">
      <c r="A7" t="s">
        <v>16</v>
      </c>
      <c r="B7" s="122" t="s">
        <v>157</v>
      </c>
      <c r="C7" s="123" t="s">
        <v>85</v>
      </c>
      <c r="D7" s="123" t="s">
        <v>71</v>
      </c>
      <c r="E7" s="123" t="s">
        <v>18</v>
      </c>
      <c r="F7" s="123" t="s">
        <v>19</v>
      </c>
      <c r="G7" s="123" t="s">
        <v>20</v>
      </c>
      <c r="I7" s="123" t="s">
        <v>56</v>
      </c>
      <c r="J7" s="123" t="s">
        <v>57</v>
      </c>
      <c r="K7" s="123" t="s">
        <v>58</v>
      </c>
      <c r="L7" s="123" t="s">
        <v>59</v>
      </c>
      <c r="M7" s="123" t="s">
        <v>60</v>
      </c>
      <c r="N7" s="123" t="s">
        <v>61</v>
      </c>
      <c r="O7" s="123" t="s">
        <v>62</v>
      </c>
      <c r="P7" s="123" t="s">
        <v>63</v>
      </c>
      <c r="Q7" s="123" t="s">
        <v>64</v>
      </c>
      <c r="R7" s="123" t="s">
        <v>65</v>
      </c>
      <c r="S7" s="123" t="s">
        <v>66</v>
      </c>
      <c r="T7" s="139"/>
      <c r="U7" s="123" t="str">
        <f>O7</f>
        <v>3Q23</v>
      </c>
      <c r="V7" s="123" t="str">
        <f>S7</f>
        <v>3Q24</v>
      </c>
      <c r="W7" s="139"/>
      <c r="X7" s="245" t="s">
        <v>21</v>
      </c>
      <c r="Z7" s="245" t="s">
        <v>175</v>
      </c>
    </row>
    <row r="8" spans="1:26" x14ac:dyDescent="0.25">
      <c r="B8" s="15" t="s">
        <v>70</v>
      </c>
      <c r="C8" s="124" t="s">
        <v>88</v>
      </c>
      <c r="D8" s="124" t="s">
        <v>89</v>
      </c>
      <c r="E8" s="124" t="s">
        <v>90</v>
      </c>
      <c r="F8" s="124" t="s">
        <v>91</v>
      </c>
      <c r="G8" s="124" t="s">
        <v>92</v>
      </c>
      <c r="I8" s="125"/>
      <c r="J8" s="125" t="s">
        <v>190</v>
      </c>
      <c r="K8" s="125" t="s">
        <v>189</v>
      </c>
      <c r="L8" s="125" t="str">
        <f>F8</f>
        <v>Jan. 28, 2023</v>
      </c>
      <c r="M8" s="125" t="s">
        <v>174</v>
      </c>
      <c r="N8" s="125" t="s">
        <v>172</v>
      </c>
      <c r="O8" s="125" t="s">
        <v>171</v>
      </c>
      <c r="P8" s="125" t="str">
        <f>G8</f>
        <v>Feb. 03, 2024</v>
      </c>
      <c r="Q8" s="125" t="s">
        <v>170</v>
      </c>
      <c r="R8" s="125" t="s">
        <v>169</v>
      </c>
      <c r="S8" s="125"/>
      <c r="T8" s="140"/>
      <c r="U8" s="125" t="str">
        <f>O8</f>
        <v>Oct. 28, 2023</v>
      </c>
      <c r="V8" s="125">
        <f>S8</f>
        <v>0</v>
      </c>
      <c r="W8" s="149"/>
      <c r="X8" s="245"/>
      <c r="Z8" s="245"/>
    </row>
    <row r="9" spans="1:26" ht="4.5" customHeight="1" x14ac:dyDescent="0.25">
      <c r="B9" s="198"/>
      <c r="C9" s="149"/>
      <c r="D9" s="149"/>
      <c r="E9" s="149"/>
      <c r="F9" s="149"/>
      <c r="G9" s="149"/>
      <c r="I9" s="140"/>
      <c r="J9" s="140"/>
      <c r="K9" s="140"/>
      <c r="L9" s="140"/>
      <c r="M9" s="140"/>
      <c r="N9" s="140"/>
      <c r="O9" s="140"/>
      <c r="P9" s="140"/>
      <c r="Q9" s="140"/>
      <c r="R9" s="140"/>
      <c r="S9" s="140"/>
      <c r="T9" s="140"/>
      <c r="U9" s="140"/>
      <c r="V9" s="140"/>
      <c r="W9" s="149"/>
      <c r="X9" s="199"/>
    </row>
    <row r="10" spans="1:26" ht="16.5" thickBot="1" x14ac:dyDescent="0.3">
      <c r="B10" s="38" t="s">
        <v>158</v>
      </c>
      <c r="C10" s="149"/>
      <c r="D10" s="149"/>
      <c r="E10" s="149"/>
      <c r="F10" s="149"/>
      <c r="G10" s="149"/>
      <c r="I10" s="140"/>
      <c r="J10" s="140"/>
      <c r="K10" s="140"/>
      <c r="L10" s="140"/>
      <c r="M10" s="140"/>
      <c r="N10" s="140"/>
      <c r="O10" s="140"/>
      <c r="P10" s="140"/>
      <c r="Q10" s="140"/>
      <c r="R10" s="140"/>
      <c r="S10" s="140"/>
      <c r="T10" s="140"/>
      <c r="U10" s="140"/>
      <c r="V10" s="140"/>
      <c r="W10" s="149"/>
      <c r="X10" s="199"/>
    </row>
    <row r="11" spans="1:26" x14ac:dyDescent="0.25">
      <c r="A11" t="s">
        <v>16</v>
      </c>
      <c r="B11" s="38" t="s">
        <v>93</v>
      </c>
      <c r="C11" s="22">
        <v>7398068</v>
      </c>
      <c r="D11" s="22">
        <v>6151953</v>
      </c>
      <c r="E11" s="22">
        <v>8630889</v>
      </c>
      <c r="F11" s="22">
        <v>10208580</v>
      </c>
      <c r="G11" s="22">
        <v>11207303</v>
      </c>
      <c r="I11" s="22">
        <v>2345901</v>
      </c>
      <c r="J11" s="22">
        <v>2297113</v>
      </c>
      <c r="K11" s="22">
        <v>2338793</v>
      </c>
      <c r="L11" s="4">
        <f>F11-SUM(I11:K11)</f>
        <v>3226773</v>
      </c>
      <c r="M11" s="22">
        <v>2634263</v>
      </c>
      <c r="N11" s="22">
        <v>2529809</v>
      </c>
      <c r="O11" s="22">
        <v>2488933</v>
      </c>
      <c r="P11" s="4">
        <f>G11-SUM(M11:O11)</f>
        <v>3554298</v>
      </c>
      <c r="Q11" s="22">
        <v>2725848</v>
      </c>
      <c r="R11" s="22">
        <v>2552087</v>
      </c>
      <c r="S11" s="22">
        <v>2530100</v>
      </c>
      <c r="U11" s="4">
        <f>SUM(L11:O11)</f>
        <v>10879778</v>
      </c>
      <c r="V11" s="4">
        <f>SUM(P11:S11)</f>
        <v>11362333</v>
      </c>
      <c r="X11" s="247">
        <f>SUM(V11/U11)-1</f>
        <v>4.435338662241084E-2</v>
      </c>
      <c r="Z11" s="250">
        <f>SUMPRODUCT(G11/C11)^1/5</f>
        <v>0.30297918321377959</v>
      </c>
    </row>
    <row r="12" spans="1:26" x14ac:dyDescent="0.25">
      <c r="B12" s="159" t="s">
        <v>99</v>
      </c>
      <c r="C12" s="39">
        <f t="shared" ref="C12:C16" si="0">+$C$11*C20</f>
        <v>3773014.68</v>
      </c>
      <c r="D12" s="39">
        <f t="shared" ref="D12:D16" si="1">+$D$11*D20</f>
        <v>3075976.5</v>
      </c>
      <c r="E12" s="39">
        <f t="shared" ref="E12:E17" si="2">+$E$11*E20</f>
        <v>3711282.27</v>
      </c>
      <c r="F12" s="39">
        <f t="shared" ref="F12:F17" si="3">+$F$11*F20</f>
        <v>4287603.5999999996</v>
      </c>
      <c r="G12" s="39">
        <f t="shared" ref="G12:G17" si="4">+$G$11*G20</f>
        <v>4594994.2299999995</v>
      </c>
      <c r="I12" s="39">
        <f t="shared" ref="I12" si="5">+I$11*I20</f>
        <v>1032196.4400000001</v>
      </c>
      <c r="J12" s="39">
        <f t="shared" ref="J12:R12" si="6">+J$11*J20</f>
        <v>964787.46</v>
      </c>
      <c r="K12" s="39">
        <f t="shared" si="6"/>
        <v>1029068.92</v>
      </c>
      <c r="L12" s="39">
        <f t="shared" si="6"/>
        <v>1355244.66</v>
      </c>
      <c r="M12" s="39">
        <f t="shared" si="6"/>
        <v>1159075.72</v>
      </c>
      <c r="N12" s="39">
        <f t="shared" si="6"/>
        <v>1011923.6000000001</v>
      </c>
      <c r="O12" s="39">
        <f t="shared" si="6"/>
        <v>1045351.86</v>
      </c>
      <c r="P12" s="39">
        <f t="shared" si="6"/>
        <v>1457262.18</v>
      </c>
      <c r="Q12" s="39">
        <f t="shared" si="6"/>
        <v>1144856.1599999999</v>
      </c>
      <c r="R12" s="39">
        <f t="shared" si="6"/>
        <v>995313.93</v>
      </c>
      <c r="S12" s="39">
        <f>+S$11*S20</f>
        <v>1037340.9999999999</v>
      </c>
      <c r="U12" s="4">
        <f t="shared" ref="U12:U17" si="7">SUM(L12:O12)</f>
        <v>4571595.84</v>
      </c>
      <c r="V12" s="4">
        <f t="shared" ref="V12:V17" si="8">SUM(P12:S12)</f>
        <v>4634773.2699999996</v>
      </c>
      <c r="X12" s="247">
        <f t="shared" ref="X12:X17" si="9">SUM(V12/U12)-1</f>
        <v>1.3819557154903572E-2</v>
      </c>
      <c r="Z12" s="248">
        <f t="shared" ref="Z12:Z17" si="10">SUMPRODUCT(G12/C12)^1/5</f>
        <v>0.24357150023068552</v>
      </c>
    </row>
    <row r="13" spans="1:26" x14ac:dyDescent="0.25">
      <c r="B13" s="159" t="s">
        <v>100</v>
      </c>
      <c r="C13" s="39">
        <f t="shared" si="0"/>
        <v>1405632.92</v>
      </c>
      <c r="D13" s="39">
        <f t="shared" si="1"/>
        <v>1168871.07</v>
      </c>
      <c r="E13" s="39">
        <f t="shared" si="2"/>
        <v>1726177.8</v>
      </c>
      <c r="F13" s="39">
        <f t="shared" si="3"/>
        <v>2143801.7999999998</v>
      </c>
      <c r="G13" s="39">
        <f t="shared" si="4"/>
        <v>2129387.5699999998</v>
      </c>
      <c r="I13" s="39">
        <f t="shared" ref="I13:S13" si="11">+I$11*I21</f>
        <v>469180.2</v>
      </c>
      <c r="J13" s="39">
        <f t="shared" si="11"/>
        <v>505364.86</v>
      </c>
      <c r="K13" s="39">
        <f t="shared" si="11"/>
        <v>491146.52999999997</v>
      </c>
      <c r="L13" s="39">
        <f t="shared" si="11"/>
        <v>677622.33</v>
      </c>
      <c r="M13" s="39">
        <f t="shared" si="11"/>
        <v>474167.33999999997</v>
      </c>
      <c r="N13" s="39">
        <f t="shared" si="11"/>
        <v>531259.89</v>
      </c>
      <c r="O13" s="39">
        <f t="shared" si="11"/>
        <v>472897.27</v>
      </c>
      <c r="P13" s="39">
        <f t="shared" si="11"/>
        <v>675316.62</v>
      </c>
      <c r="Q13" s="39">
        <f t="shared" si="11"/>
        <v>517911.12</v>
      </c>
      <c r="R13" s="39">
        <f t="shared" si="11"/>
        <v>510417.4</v>
      </c>
      <c r="S13" s="39">
        <f t="shared" si="11"/>
        <v>506020</v>
      </c>
      <c r="U13" s="4">
        <f t="shared" si="7"/>
        <v>2155946.83</v>
      </c>
      <c r="V13" s="4">
        <f t="shared" si="8"/>
        <v>2209665.14</v>
      </c>
      <c r="X13" s="247">
        <f t="shared" si="9"/>
        <v>2.4916342672513858E-2</v>
      </c>
      <c r="Z13" s="248">
        <f t="shared" si="10"/>
        <v>0.30297918321377959</v>
      </c>
    </row>
    <row r="14" spans="1:26" x14ac:dyDescent="0.25">
      <c r="B14" s="159" t="s">
        <v>101</v>
      </c>
      <c r="C14" s="39">
        <f t="shared" si="0"/>
        <v>854476.85400000005</v>
      </c>
      <c r="D14" s="39">
        <f t="shared" si="1"/>
        <v>710550.57150000008</v>
      </c>
      <c r="E14" s="39">
        <f t="shared" si="2"/>
        <v>1467251.1300000001</v>
      </c>
      <c r="F14" s="39">
        <f t="shared" si="3"/>
        <v>1735458.6</v>
      </c>
      <c r="G14" s="39">
        <f t="shared" si="4"/>
        <v>2129387.5699999998</v>
      </c>
      <c r="I14" s="39">
        <f t="shared" ref="I14:S14" si="12">+I$11*I22</f>
        <v>422262.18</v>
      </c>
      <c r="J14" s="39">
        <f t="shared" si="12"/>
        <v>390509.21</v>
      </c>
      <c r="K14" s="39">
        <f t="shared" si="12"/>
        <v>374206.88</v>
      </c>
      <c r="L14" s="39">
        <f t="shared" si="12"/>
        <v>548551.41</v>
      </c>
      <c r="M14" s="39">
        <f t="shared" si="12"/>
        <v>500509.97000000003</v>
      </c>
      <c r="N14" s="39">
        <f t="shared" si="12"/>
        <v>505961.80000000005</v>
      </c>
      <c r="O14" s="39">
        <f t="shared" si="12"/>
        <v>472897.27</v>
      </c>
      <c r="P14" s="39">
        <f t="shared" si="12"/>
        <v>675316.62</v>
      </c>
      <c r="Q14" s="39">
        <f t="shared" si="12"/>
        <v>626945.04</v>
      </c>
      <c r="R14" s="39">
        <f t="shared" si="12"/>
        <v>612500.88</v>
      </c>
      <c r="S14" s="39">
        <f t="shared" si="12"/>
        <v>581923</v>
      </c>
      <c r="U14" s="4">
        <f t="shared" si="7"/>
        <v>2027920.4500000002</v>
      </c>
      <c r="V14" s="4">
        <f t="shared" si="8"/>
        <v>2496685.54</v>
      </c>
      <c r="X14" s="247">
        <f t="shared" si="9"/>
        <v>0.23115556135350368</v>
      </c>
      <c r="Z14" s="248">
        <f t="shared" si="10"/>
        <v>0.49840731437764607</v>
      </c>
    </row>
    <row r="15" spans="1:26" x14ac:dyDescent="0.25">
      <c r="B15" s="159" t="s">
        <v>102</v>
      </c>
      <c r="C15" s="39">
        <f t="shared" si="0"/>
        <v>699117.42599999998</v>
      </c>
      <c r="D15" s="39">
        <f t="shared" si="1"/>
        <v>581359.55850000004</v>
      </c>
      <c r="E15" s="39">
        <f t="shared" si="2"/>
        <v>1208324.4600000002</v>
      </c>
      <c r="F15" s="39">
        <f t="shared" si="3"/>
        <v>1429201.2000000002</v>
      </c>
      <c r="G15" s="39">
        <f t="shared" si="4"/>
        <v>1681095.45</v>
      </c>
      <c r="I15" s="39">
        <f t="shared" ref="I15:S15" si="13">+I$11*I23</f>
        <v>281508.12</v>
      </c>
      <c r="J15" s="39">
        <f t="shared" si="13"/>
        <v>275653.56</v>
      </c>
      <c r="K15" s="39">
        <f t="shared" si="13"/>
        <v>280655.15999999997</v>
      </c>
      <c r="L15" s="39">
        <f t="shared" si="13"/>
        <v>451748.22000000003</v>
      </c>
      <c r="M15" s="39">
        <f t="shared" si="13"/>
        <v>316111.56</v>
      </c>
      <c r="N15" s="39">
        <f t="shared" si="13"/>
        <v>303577.08</v>
      </c>
      <c r="O15" s="39">
        <f t="shared" si="13"/>
        <v>323561.29000000004</v>
      </c>
      <c r="P15" s="39">
        <f t="shared" si="13"/>
        <v>533144.69999999995</v>
      </c>
      <c r="Q15" s="39">
        <f t="shared" si="13"/>
        <v>272584.8</v>
      </c>
      <c r="R15" s="39">
        <f t="shared" si="13"/>
        <v>280729.57</v>
      </c>
      <c r="S15" s="39">
        <f t="shared" si="13"/>
        <v>253010</v>
      </c>
      <c r="U15" s="4">
        <f t="shared" si="7"/>
        <v>1394998.1500000001</v>
      </c>
      <c r="V15" s="4">
        <f t="shared" si="8"/>
        <v>1339469.07</v>
      </c>
      <c r="X15" s="247">
        <f t="shared" si="9"/>
        <v>-3.9805844903808674E-2</v>
      </c>
      <c r="Z15" s="248">
        <f t="shared" si="10"/>
        <v>0.4809193384345708</v>
      </c>
    </row>
    <row r="16" spans="1:26" x14ac:dyDescent="0.25">
      <c r="B16" s="159" t="s">
        <v>103</v>
      </c>
      <c r="C16" s="39">
        <f t="shared" si="0"/>
        <v>369903.4</v>
      </c>
      <c r="D16" s="39">
        <f t="shared" si="1"/>
        <v>307597.65000000002</v>
      </c>
      <c r="E16" s="39">
        <f t="shared" si="2"/>
        <v>258926.66999999998</v>
      </c>
      <c r="F16" s="39">
        <f t="shared" si="3"/>
        <v>306257.39999999997</v>
      </c>
      <c r="G16" s="39">
        <f t="shared" si="4"/>
        <v>336219.08999999997</v>
      </c>
      <c r="I16" s="39">
        <f t="shared" ref="I16:S16" si="14">+I$11*I24</f>
        <v>70377.03</v>
      </c>
      <c r="J16" s="39">
        <f t="shared" si="14"/>
        <v>91884.52</v>
      </c>
      <c r="K16" s="39">
        <f t="shared" si="14"/>
        <v>93551.72</v>
      </c>
      <c r="L16" s="39">
        <f t="shared" si="14"/>
        <v>96803.19</v>
      </c>
      <c r="M16" s="39">
        <f t="shared" si="14"/>
        <v>105370.52</v>
      </c>
      <c r="N16" s="39">
        <f t="shared" si="14"/>
        <v>101192.36</v>
      </c>
      <c r="O16" s="39">
        <f t="shared" si="14"/>
        <v>99557.32</v>
      </c>
      <c r="P16" s="39">
        <f t="shared" si="14"/>
        <v>106628.94</v>
      </c>
      <c r="Q16" s="39">
        <f t="shared" si="14"/>
        <v>109033.92</v>
      </c>
      <c r="R16" s="39">
        <f t="shared" si="14"/>
        <v>102083.48</v>
      </c>
      <c r="S16" s="39">
        <f t="shared" si="14"/>
        <v>101204</v>
      </c>
      <c r="U16" s="4">
        <f t="shared" si="7"/>
        <v>402923.39</v>
      </c>
      <c r="V16" s="4">
        <f t="shared" si="8"/>
        <v>418950.33999999997</v>
      </c>
      <c r="X16" s="247">
        <f t="shared" si="9"/>
        <v>3.9776668214768884E-2</v>
      </c>
      <c r="Z16" s="248">
        <f t="shared" si="10"/>
        <v>0.18178750992826773</v>
      </c>
    </row>
    <row r="17" spans="2:26" ht="15.75" thickBot="1" x14ac:dyDescent="0.3">
      <c r="B17" s="159" t="s">
        <v>106</v>
      </c>
      <c r="C17" s="39">
        <f>+$C$11*C25</f>
        <v>295922.72000000003</v>
      </c>
      <c r="D17" s="39">
        <f>+$D$11*D25</f>
        <v>246078.12</v>
      </c>
      <c r="E17" s="39">
        <f t="shared" si="2"/>
        <v>258926.66999999998</v>
      </c>
      <c r="F17" s="39">
        <f t="shared" si="3"/>
        <v>306257.39999999997</v>
      </c>
      <c r="G17" s="39">
        <f t="shared" si="4"/>
        <v>336219.08999999997</v>
      </c>
      <c r="I17" s="39">
        <f t="shared" ref="I17:S17" si="15">+I$11*I25</f>
        <v>70377.03</v>
      </c>
      <c r="J17" s="39">
        <f t="shared" si="15"/>
        <v>68913.39</v>
      </c>
      <c r="K17" s="39">
        <f t="shared" si="15"/>
        <v>70163.789999999994</v>
      </c>
      <c r="L17" s="39">
        <f t="shared" si="15"/>
        <v>96803.19</v>
      </c>
      <c r="M17" s="39">
        <f t="shared" si="15"/>
        <v>79027.89</v>
      </c>
      <c r="N17" s="39">
        <f t="shared" si="15"/>
        <v>75894.27</v>
      </c>
      <c r="O17" s="39">
        <f t="shared" si="15"/>
        <v>74667.989999999991</v>
      </c>
      <c r="P17" s="39">
        <f t="shared" si="15"/>
        <v>106628.94</v>
      </c>
      <c r="Q17" s="39">
        <f t="shared" si="15"/>
        <v>54516.959999999999</v>
      </c>
      <c r="R17" s="39">
        <f t="shared" si="15"/>
        <v>51041.74</v>
      </c>
      <c r="S17" s="39">
        <f t="shared" si="15"/>
        <v>50602</v>
      </c>
      <c r="U17" s="4">
        <f t="shared" si="7"/>
        <v>326393.34000000003</v>
      </c>
      <c r="V17" s="4">
        <f t="shared" si="8"/>
        <v>262789.64</v>
      </c>
      <c r="X17" s="247">
        <f t="shared" si="9"/>
        <v>-0.19486825313286116</v>
      </c>
      <c r="Z17" s="249">
        <f t="shared" si="10"/>
        <v>0.22723438741033464</v>
      </c>
    </row>
    <row r="18" spans="2:26" ht="6" customHeight="1" thickBot="1" x14ac:dyDescent="0.3">
      <c r="B18" s="2"/>
      <c r="C18" s="22"/>
      <c r="D18" s="22"/>
      <c r="E18" s="22"/>
      <c r="F18" s="22"/>
      <c r="G18" s="22"/>
    </row>
    <row r="19" spans="2:26" x14ac:dyDescent="0.25">
      <c r="B19" s="158" t="s">
        <v>104</v>
      </c>
      <c r="C19" s="152"/>
      <c r="D19" s="152"/>
      <c r="E19" s="152"/>
      <c r="F19" s="152"/>
      <c r="G19" s="153"/>
      <c r="I19" s="151"/>
      <c r="J19" s="152"/>
      <c r="K19" s="152"/>
      <c r="L19" s="152"/>
      <c r="M19" s="152"/>
      <c r="N19" s="152"/>
      <c r="O19" s="152"/>
      <c r="P19" s="152"/>
      <c r="Q19" s="152"/>
      <c r="R19" s="152"/>
      <c r="S19" s="153"/>
      <c r="U19" s="151"/>
      <c r="V19" s="153"/>
    </row>
    <row r="20" spans="2:26" x14ac:dyDescent="0.25">
      <c r="B20" s="160" t="s">
        <v>99</v>
      </c>
      <c r="C20" s="171">
        <v>0.51</v>
      </c>
      <c r="D20" s="171">
        <v>0.5</v>
      </c>
      <c r="E20" s="171">
        <v>0.43</v>
      </c>
      <c r="F20" s="171">
        <v>0.42</v>
      </c>
      <c r="G20" s="172">
        <v>0.41</v>
      </c>
      <c r="I20" s="173">
        <v>0.44</v>
      </c>
      <c r="J20" s="171">
        <v>0.42</v>
      </c>
      <c r="K20" s="171">
        <v>0.44</v>
      </c>
      <c r="L20" s="174">
        <f>F20</f>
        <v>0.42</v>
      </c>
      <c r="M20" s="171">
        <v>0.44</v>
      </c>
      <c r="N20" s="171">
        <v>0.4</v>
      </c>
      <c r="O20" s="171">
        <v>0.42</v>
      </c>
      <c r="P20" s="174">
        <f>G20</f>
        <v>0.41</v>
      </c>
      <c r="Q20" s="171">
        <v>0.42</v>
      </c>
      <c r="R20" s="171">
        <v>0.39</v>
      </c>
      <c r="S20" s="172">
        <v>0.41</v>
      </c>
      <c r="U20" s="162">
        <f>O20</f>
        <v>0.42</v>
      </c>
      <c r="V20" s="156">
        <f>S20</f>
        <v>0.41</v>
      </c>
      <c r="X20" s="254">
        <f>SUM((V20/U20)-1)*1000</f>
        <v>-23.809523809523835</v>
      </c>
    </row>
    <row r="21" spans="2:26" x14ac:dyDescent="0.25">
      <c r="B21" s="160" t="s">
        <v>100</v>
      </c>
      <c r="C21" s="171">
        <v>0.19</v>
      </c>
      <c r="D21" s="171">
        <v>0.19</v>
      </c>
      <c r="E21" s="171">
        <v>0.2</v>
      </c>
      <c r="F21" s="171">
        <v>0.21</v>
      </c>
      <c r="G21" s="172">
        <v>0.19</v>
      </c>
      <c r="I21" s="173">
        <v>0.2</v>
      </c>
      <c r="J21" s="171">
        <v>0.22</v>
      </c>
      <c r="K21" s="171">
        <v>0.21</v>
      </c>
      <c r="L21" s="174">
        <f t="shared" ref="L21:L25" si="16">F21</f>
        <v>0.21</v>
      </c>
      <c r="M21" s="171">
        <v>0.18</v>
      </c>
      <c r="N21" s="171">
        <v>0.21</v>
      </c>
      <c r="O21" s="171">
        <v>0.19</v>
      </c>
      <c r="P21" s="174">
        <f t="shared" ref="P21:P25" si="17">G21</f>
        <v>0.19</v>
      </c>
      <c r="Q21" s="171">
        <v>0.19</v>
      </c>
      <c r="R21" s="171">
        <v>0.2</v>
      </c>
      <c r="S21" s="172">
        <v>0.2</v>
      </c>
      <c r="U21" s="162">
        <f t="shared" ref="U21:U25" si="18">O21</f>
        <v>0.19</v>
      </c>
      <c r="V21" s="156">
        <f t="shared" ref="V21:V25" si="19">S21</f>
        <v>0.2</v>
      </c>
      <c r="X21" s="254">
        <f t="shared" ref="X21:X25" si="20">SUM((V21/U21)-1)*1000</f>
        <v>52.631578947368361</v>
      </c>
    </row>
    <row r="22" spans="2:26" x14ac:dyDescent="0.25">
      <c r="B22" s="160" t="s">
        <v>101</v>
      </c>
      <c r="C22" s="174">
        <f>21%*0.55</f>
        <v>0.11550000000000001</v>
      </c>
      <c r="D22" s="174">
        <f>21%*0.55</f>
        <v>0.11550000000000001</v>
      </c>
      <c r="E22" s="171">
        <v>0.17</v>
      </c>
      <c r="F22" s="171">
        <v>0.17</v>
      </c>
      <c r="G22" s="172">
        <v>0.19</v>
      </c>
      <c r="I22" s="173">
        <v>0.18</v>
      </c>
      <c r="J22" s="171">
        <v>0.17</v>
      </c>
      <c r="K22" s="171">
        <v>0.16</v>
      </c>
      <c r="L22" s="174">
        <f t="shared" si="16"/>
        <v>0.17</v>
      </c>
      <c r="M22" s="171">
        <v>0.19</v>
      </c>
      <c r="N22" s="171">
        <v>0.2</v>
      </c>
      <c r="O22" s="171">
        <v>0.19</v>
      </c>
      <c r="P22" s="174">
        <f t="shared" si="17"/>
        <v>0.19</v>
      </c>
      <c r="Q22" s="171">
        <v>0.23</v>
      </c>
      <c r="R22" s="171">
        <v>0.24</v>
      </c>
      <c r="S22" s="172">
        <v>0.23</v>
      </c>
      <c r="U22" s="162">
        <f t="shared" si="18"/>
        <v>0.19</v>
      </c>
      <c r="V22" s="156">
        <f t="shared" si="19"/>
        <v>0.23</v>
      </c>
      <c r="X22" s="254">
        <f t="shared" si="20"/>
        <v>210.52631578947367</v>
      </c>
    </row>
    <row r="23" spans="2:26" x14ac:dyDescent="0.25">
      <c r="B23" s="160" t="s">
        <v>102</v>
      </c>
      <c r="C23" s="174">
        <f>21%*0.45</f>
        <v>9.4500000000000001E-2</v>
      </c>
      <c r="D23" s="174">
        <f>21%*0.45</f>
        <v>9.4500000000000001E-2</v>
      </c>
      <c r="E23" s="171">
        <v>0.14000000000000001</v>
      </c>
      <c r="F23" s="171">
        <v>0.14000000000000001</v>
      </c>
      <c r="G23" s="172">
        <v>0.15</v>
      </c>
      <c r="I23" s="173">
        <v>0.12</v>
      </c>
      <c r="J23" s="171">
        <v>0.12</v>
      </c>
      <c r="K23" s="171">
        <v>0.12</v>
      </c>
      <c r="L23" s="174">
        <f t="shared" si="16"/>
        <v>0.14000000000000001</v>
      </c>
      <c r="M23" s="171">
        <v>0.12</v>
      </c>
      <c r="N23" s="171">
        <v>0.12</v>
      </c>
      <c r="O23" s="171">
        <v>0.13</v>
      </c>
      <c r="P23" s="174">
        <f t="shared" si="17"/>
        <v>0.15</v>
      </c>
      <c r="Q23" s="171">
        <v>0.1</v>
      </c>
      <c r="R23" s="171">
        <v>0.11</v>
      </c>
      <c r="S23" s="172">
        <v>0.1</v>
      </c>
      <c r="U23" s="162">
        <f t="shared" si="18"/>
        <v>0.13</v>
      </c>
      <c r="V23" s="156">
        <f t="shared" si="19"/>
        <v>0.1</v>
      </c>
      <c r="X23" s="254">
        <f t="shared" si="20"/>
        <v>-230.76923076923072</v>
      </c>
    </row>
    <row r="24" spans="2:26" x14ac:dyDescent="0.25">
      <c r="B24" s="160" t="s">
        <v>103</v>
      </c>
      <c r="C24" s="171">
        <v>0.05</v>
      </c>
      <c r="D24" s="171">
        <v>0.05</v>
      </c>
      <c r="E24" s="171">
        <v>0.03</v>
      </c>
      <c r="F24" s="171">
        <v>0.03</v>
      </c>
      <c r="G24" s="172">
        <v>0.03</v>
      </c>
      <c r="I24" s="173">
        <v>0.03</v>
      </c>
      <c r="J24" s="171">
        <v>0.04</v>
      </c>
      <c r="K24" s="171">
        <v>0.04</v>
      </c>
      <c r="L24" s="174">
        <f t="shared" si="16"/>
        <v>0.03</v>
      </c>
      <c r="M24" s="171">
        <v>0.04</v>
      </c>
      <c r="N24" s="171">
        <v>0.04</v>
      </c>
      <c r="O24" s="171">
        <v>0.04</v>
      </c>
      <c r="P24" s="174">
        <f t="shared" si="17"/>
        <v>0.03</v>
      </c>
      <c r="Q24" s="171">
        <v>0.04</v>
      </c>
      <c r="R24" s="171">
        <v>0.04</v>
      </c>
      <c r="S24" s="172">
        <v>0.04</v>
      </c>
      <c r="U24" s="162">
        <f t="shared" si="18"/>
        <v>0.04</v>
      </c>
      <c r="V24" s="156">
        <f t="shared" si="19"/>
        <v>0.04</v>
      </c>
      <c r="X24" s="254">
        <f t="shared" si="20"/>
        <v>0</v>
      </c>
    </row>
    <row r="25" spans="2:26" ht="15.75" thickBot="1" x14ac:dyDescent="0.3">
      <c r="B25" s="160" t="s">
        <v>106</v>
      </c>
      <c r="C25" s="171">
        <v>0.04</v>
      </c>
      <c r="D25" s="171">
        <v>0.04</v>
      </c>
      <c r="E25" s="171">
        <v>0.03</v>
      </c>
      <c r="F25" s="171">
        <v>0.03</v>
      </c>
      <c r="G25" s="172">
        <v>0.03</v>
      </c>
      <c r="I25" s="173">
        <v>0.03</v>
      </c>
      <c r="J25" s="171">
        <v>0.03</v>
      </c>
      <c r="K25" s="171">
        <v>0.03</v>
      </c>
      <c r="L25" s="174">
        <f t="shared" si="16"/>
        <v>0.03</v>
      </c>
      <c r="M25" s="171">
        <v>0.03</v>
      </c>
      <c r="N25" s="171">
        <v>0.03</v>
      </c>
      <c r="O25" s="171">
        <v>0.03</v>
      </c>
      <c r="P25" s="174">
        <f t="shared" si="17"/>
        <v>0.03</v>
      </c>
      <c r="Q25" s="171">
        <v>0.02</v>
      </c>
      <c r="R25" s="171">
        <v>0.02</v>
      </c>
      <c r="S25" s="172">
        <v>0.02</v>
      </c>
      <c r="U25" s="252">
        <f t="shared" si="18"/>
        <v>0.03</v>
      </c>
      <c r="V25" s="253">
        <f t="shared" si="19"/>
        <v>0.02</v>
      </c>
      <c r="X25" s="254">
        <f t="shared" si="20"/>
        <v>-333.33333333333326</v>
      </c>
    </row>
    <row r="26" spans="2:26" x14ac:dyDescent="0.25">
      <c r="B26" s="160"/>
      <c r="C26" s="154"/>
      <c r="D26" s="154"/>
      <c r="E26" s="155"/>
      <c r="F26" s="155"/>
      <c r="G26" s="156"/>
      <c r="I26" s="162"/>
      <c r="J26" s="155"/>
      <c r="K26" s="155"/>
      <c r="L26" s="155"/>
      <c r="M26" s="155"/>
      <c r="N26" s="155"/>
      <c r="O26" s="155"/>
      <c r="P26" s="155"/>
      <c r="Q26" s="155"/>
      <c r="R26" s="155"/>
      <c r="S26" s="156"/>
      <c r="U26" s="163"/>
      <c r="V26" s="163"/>
    </row>
    <row r="27" spans="2:26" x14ac:dyDescent="0.25">
      <c r="B27" s="164" t="s">
        <v>105</v>
      </c>
      <c r="C27" s="154"/>
      <c r="D27" s="154"/>
      <c r="E27" s="155"/>
      <c r="F27" s="155"/>
      <c r="G27" s="156"/>
      <c r="I27" s="162"/>
      <c r="J27" s="155"/>
      <c r="K27" s="155"/>
      <c r="L27" s="155"/>
      <c r="M27" s="155"/>
      <c r="N27" s="155"/>
      <c r="O27" s="155"/>
      <c r="P27" s="155"/>
      <c r="Q27" s="155"/>
      <c r="R27" s="155"/>
      <c r="S27" s="156"/>
      <c r="U27" s="163"/>
      <c r="V27" s="163"/>
    </row>
    <row r="28" spans="2:26" x14ac:dyDescent="0.25">
      <c r="B28" s="160" t="s">
        <v>99</v>
      </c>
      <c r="C28" s="154"/>
      <c r="D28" s="165">
        <f>SUM(D12/C12)-1</f>
        <v>-0.1847430341829468</v>
      </c>
      <c r="E28" s="165">
        <f t="shared" ref="E28:G28" si="21">SUM(E12/D12)-1</f>
        <v>0.20653791405753585</v>
      </c>
      <c r="F28" s="165">
        <f t="shared" si="21"/>
        <v>0.1552890047352824</v>
      </c>
      <c r="G28" s="166">
        <f t="shared" si="21"/>
        <v>7.169287524620982E-2</v>
      </c>
      <c r="I28" s="169" t="e">
        <f t="shared" ref="I28:S28" si="22">SUM(I12/H12)-1</f>
        <v>#DIV/0!</v>
      </c>
      <c r="J28" s="165">
        <f t="shared" si="22"/>
        <v>-6.5306348082347698E-2</v>
      </c>
      <c r="K28" s="165">
        <f t="shared" si="22"/>
        <v>6.662758655673251E-2</v>
      </c>
      <c r="L28" s="165">
        <f t="shared" si="22"/>
        <v>0.31696199706429762</v>
      </c>
      <c r="M28" s="165">
        <f t="shared" si="22"/>
        <v>-0.14474798963605584</v>
      </c>
      <c r="N28" s="165">
        <f t="shared" si="22"/>
        <v>-0.12695643387301725</v>
      </c>
      <c r="O28" s="165">
        <f t="shared" si="22"/>
        <v>3.3034371369538018E-2</v>
      </c>
      <c r="P28" s="165">
        <f t="shared" si="22"/>
        <v>0.39403987859169254</v>
      </c>
      <c r="Q28" s="165">
        <f t="shared" si="22"/>
        <v>-0.21437873313915279</v>
      </c>
      <c r="R28" s="165">
        <f t="shared" si="22"/>
        <v>-0.13062097687450958</v>
      </c>
      <c r="S28" s="166">
        <f t="shared" si="22"/>
        <v>4.2224939019993357E-2</v>
      </c>
      <c r="U28" s="251"/>
      <c r="V28" s="251"/>
    </row>
    <row r="29" spans="2:26" x14ac:dyDescent="0.25">
      <c r="B29" s="160" t="s">
        <v>100</v>
      </c>
      <c r="C29" s="154"/>
      <c r="D29" s="165">
        <f t="shared" ref="D29:G33" si="23">SUM(D13/C13)-1</f>
        <v>-0.16843789486660565</v>
      </c>
      <c r="E29" s="165">
        <f t="shared" si="23"/>
        <v>0.47679059248168398</v>
      </c>
      <c r="F29" s="165">
        <f t="shared" si="23"/>
        <v>0.24193568009042865</v>
      </c>
      <c r="G29" s="166">
        <f t="shared" si="23"/>
        <v>-6.7236766010738691E-3</v>
      </c>
      <c r="I29" s="169" t="e">
        <f t="shared" ref="I29:S29" si="24">SUM(I13/H13)-1</f>
        <v>#DIV/0!</v>
      </c>
      <c r="J29" s="165">
        <f t="shared" si="24"/>
        <v>7.7123160781294553E-2</v>
      </c>
      <c r="K29" s="165">
        <f t="shared" si="24"/>
        <v>-2.8134781670415387E-2</v>
      </c>
      <c r="L29" s="165">
        <f t="shared" si="24"/>
        <v>0.37967447311497859</v>
      </c>
      <c r="M29" s="165">
        <f t="shared" si="24"/>
        <v>-0.30024835515677295</v>
      </c>
      <c r="N29" s="165">
        <f t="shared" si="24"/>
        <v>0.12040590986296107</v>
      </c>
      <c r="O29" s="165">
        <f t="shared" si="24"/>
        <v>-0.1098570042620759</v>
      </c>
      <c r="P29" s="165">
        <f t="shared" si="24"/>
        <v>0.42804085124027047</v>
      </c>
      <c r="Q29" s="165">
        <f t="shared" si="24"/>
        <v>-0.23308400139774432</v>
      </c>
      <c r="R29" s="165">
        <f t="shared" si="24"/>
        <v>-1.4469123582440124E-2</v>
      </c>
      <c r="S29" s="166">
        <f t="shared" si="24"/>
        <v>-8.6153019078112347E-3</v>
      </c>
      <c r="U29" s="251"/>
      <c r="V29" s="251"/>
    </row>
    <row r="30" spans="2:26" x14ac:dyDescent="0.25">
      <c r="B30" s="160" t="s">
        <v>101</v>
      </c>
      <c r="C30" s="154"/>
      <c r="D30" s="165">
        <f t="shared" si="23"/>
        <v>-0.16843789486660565</v>
      </c>
      <c r="E30" s="165">
        <f t="shared" si="23"/>
        <v>1.064949616327203</v>
      </c>
      <c r="F30" s="165">
        <f t="shared" si="23"/>
        <v>0.18279588580040818</v>
      </c>
      <c r="G30" s="166">
        <f t="shared" si="23"/>
        <v>0.22698839949279104</v>
      </c>
      <c r="I30" s="169" t="e">
        <f t="shared" ref="I30:S30" si="25">SUM(I14/H14)-1</f>
        <v>#DIV/0!</v>
      </c>
      <c r="J30" s="165">
        <f t="shared" si="25"/>
        <v>-7.5197286197878244E-2</v>
      </c>
      <c r="K30" s="165">
        <f t="shared" si="25"/>
        <v>-4.1746339350101414E-2</v>
      </c>
      <c r="L30" s="165">
        <f t="shared" si="25"/>
        <v>0.46590412768466472</v>
      </c>
      <c r="M30" s="165">
        <f t="shared" si="25"/>
        <v>-8.7578737606380463E-2</v>
      </c>
      <c r="N30" s="165">
        <f t="shared" si="25"/>
        <v>1.089255025229563E-2</v>
      </c>
      <c r="O30" s="165">
        <f t="shared" si="25"/>
        <v>-6.5349854475179825E-2</v>
      </c>
      <c r="P30" s="165">
        <f t="shared" si="25"/>
        <v>0.42804085124027047</v>
      </c>
      <c r="Q30" s="165">
        <f t="shared" si="25"/>
        <v>-7.1628001692006227E-2</v>
      </c>
      <c r="R30" s="165">
        <f t="shared" si="25"/>
        <v>-2.3038957290419049E-2</v>
      </c>
      <c r="S30" s="166">
        <f t="shared" si="25"/>
        <v>-4.9922997661652313E-2</v>
      </c>
      <c r="U30" s="251"/>
      <c r="V30" s="251"/>
    </row>
    <row r="31" spans="2:26" x14ac:dyDescent="0.25">
      <c r="B31" s="160" t="s">
        <v>102</v>
      </c>
      <c r="C31" s="154"/>
      <c r="D31" s="165">
        <f t="shared" si="23"/>
        <v>-0.16843789486660565</v>
      </c>
      <c r="E31" s="165">
        <f t="shared" si="23"/>
        <v>1.0784460190482963</v>
      </c>
      <c r="F31" s="165">
        <f t="shared" si="23"/>
        <v>0.18279588580040818</v>
      </c>
      <c r="G31" s="166">
        <f t="shared" si="23"/>
        <v>0.17624827770925444</v>
      </c>
      <c r="I31" s="169" t="e">
        <f t="shared" ref="I31:S31" si="26">SUM(I15/H15)-1</f>
        <v>#DIV/0!</v>
      </c>
      <c r="J31" s="165">
        <f t="shared" si="26"/>
        <v>-2.0797126562459356E-2</v>
      </c>
      <c r="K31" s="165">
        <f t="shared" si="26"/>
        <v>1.8144514440517234E-2</v>
      </c>
      <c r="L31" s="165">
        <f t="shared" si="26"/>
        <v>0.60962021863414195</v>
      </c>
      <c r="M31" s="165">
        <f t="shared" si="26"/>
        <v>-0.30024835515677295</v>
      </c>
      <c r="N31" s="165">
        <f t="shared" si="26"/>
        <v>-3.9652077260319052E-2</v>
      </c>
      <c r="O31" s="165">
        <f t="shared" si="26"/>
        <v>6.5829113317777521E-2</v>
      </c>
      <c r="P31" s="165">
        <f t="shared" si="26"/>
        <v>0.64773944373877335</v>
      </c>
      <c r="Q31" s="165">
        <f t="shared" si="26"/>
        <v>-0.48872266759849625</v>
      </c>
      <c r="R31" s="165">
        <f t="shared" si="26"/>
        <v>2.9879765856350105E-2</v>
      </c>
      <c r="S31" s="166">
        <f t="shared" si="26"/>
        <v>-9.8741183552555567E-2</v>
      </c>
      <c r="U31" s="251"/>
      <c r="V31" s="251"/>
    </row>
    <row r="32" spans="2:26" x14ac:dyDescent="0.25">
      <c r="B32" s="160" t="s">
        <v>103</v>
      </c>
      <c r="C32" s="154"/>
      <c r="D32" s="165">
        <f t="shared" si="23"/>
        <v>-0.16843789486660565</v>
      </c>
      <c r="E32" s="165">
        <f t="shared" si="23"/>
        <v>-0.15822936228544016</v>
      </c>
      <c r="F32" s="165">
        <f t="shared" si="23"/>
        <v>0.18279588580040818</v>
      </c>
      <c r="G32" s="166">
        <f t="shared" si="23"/>
        <v>9.7831725861970975E-2</v>
      </c>
      <c r="I32" s="169" t="e">
        <f t="shared" ref="I32:S33" si="27">SUM(I16/H16)-1</f>
        <v>#DIV/0!</v>
      </c>
      <c r="J32" s="165">
        <f t="shared" si="27"/>
        <v>0.30560383125005419</v>
      </c>
      <c r="K32" s="165">
        <f t="shared" si="27"/>
        <v>1.8144514440517234E-2</v>
      </c>
      <c r="L32" s="165">
        <f t="shared" si="27"/>
        <v>3.475585483623389E-2</v>
      </c>
      <c r="M32" s="165">
        <f t="shared" si="27"/>
        <v>8.850255864501988E-2</v>
      </c>
      <c r="N32" s="165">
        <f t="shared" si="27"/>
        <v>-3.9652077260319163E-2</v>
      </c>
      <c r="O32" s="165">
        <f t="shared" si="27"/>
        <v>-1.6157741552820681E-2</v>
      </c>
      <c r="P32" s="165">
        <f t="shared" si="27"/>
        <v>7.1030638430202853E-2</v>
      </c>
      <c r="Q32" s="165">
        <f t="shared" si="27"/>
        <v>2.2554664803007496E-2</v>
      </c>
      <c r="R32" s="165">
        <f t="shared" si="27"/>
        <v>-6.3745667403318218E-2</v>
      </c>
      <c r="S32" s="166">
        <f t="shared" si="27"/>
        <v>-8.6153019078111237E-3</v>
      </c>
      <c r="U32" s="251"/>
      <c r="V32" s="251"/>
    </row>
    <row r="33" spans="1:22" ht="15.75" thickBot="1" x14ac:dyDescent="0.3">
      <c r="B33" s="161" t="s">
        <v>106</v>
      </c>
      <c r="C33" s="157"/>
      <c r="D33" s="167">
        <f t="shared" si="23"/>
        <v>-0.16843789486660576</v>
      </c>
      <c r="E33" s="167">
        <f t="shared" si="23"/>
        <v>5.2213297143199888E-2</v>
      </c>
      <c r="F33" s="167">
        <f t="shared" si="23"/>
        <v>0.18279588580040818</v>
      </c>
      <c r="G33" s="168">
        <f t="shared" si="23"/>
        <v>9.7831725861970975E-2</v>
      </c>
      <c r="I33" s="170" t="e">
        <f t="shared" si="27"/>
        <v>#DIV/0!</v>
      </c>
      <c r="J33" s="167">
        <f t="shared" si="27"/>
        <v>-2.0797126562459356E-2</v>
      </c>
      <c r="K33" s="167">
        <f t="shared" si="27"/>
        <v>1.8144514440517234E-2</v>
      </c>
      <c r="L33" s="167">
        <f t="shared" si="27"/>
        <v>0.37967447311497859</v>
      </c>
      <c r="M33" s="167">
        <f t="shared" si="27"/>
        <v>-0.18362308101623515</v>
      </c>
      <c r="N33" s="167">
        <f t="shared" si="27"/>
        <v>-3.9652077260319052E-2</v>
      </c>
      <c r="O33" s="167">
        <f t="shared" si="27"/>
        <v>-1.6157741552821014E-2</v>
      </c>
      <c r="P33" s="167">
        <f t="shared" si="27"/>
        <v>0.42804085124027069</v>
      </c>
      <c r="Q33" s="167">
        <f t="shared" si="27"/>
        <v>-0.48872266759849625</v>
      </c>
      <c r="R33" s="167">
        <f t="shared" si="27"/>
        <v>-6.3745667403318218E-2</v>
      </c>
      <c r="S33" s="168">
        <f t="shared" si="27"/>
        <v>-8.6153019078111237E-3</v>
      </c>
      <c r="U33" s="251"/>
      <c r="V33" s="251"/>
    </row>
    <row r="34" spans="1:22" x14ac:dyDescent="0.25">
      <c r="B34" s="98"/>
      <c r="E34" s="163"/>
      <c r="F34" s="163"/>
      <c r="G34" s="163"/>
      <c r="I34" s="163"/>
      <c r="J34" s="163"/>
      <c r="K34" s="163"/>
      <c r="L34" s="163"/>
      <c r="M34" s="163"/>
      <c r="N34" s="163"/>
      <c r="O34" s="163"/>
      <c r="P34" s="163"/>
      <c r="Q34" s="163"/>
      <c r="R34" s="163"/>
      <c r="S34" s="163"/>
      <c r="U34" s="163"/>
      <c r="V34" s="163"/>
    </row>
    <row r="35" spans="1:22" x14ac:dyDescent="0.25">
      <c r="A35" t="s">
        <v>16</v>
      </c>
      <c r="B35" s="3" t="s">
        <v>154</v>
      </c>
    </row>
    <row r="36" spans="1:22" ht="3.75" customHeight="1" x14ac:dyDescent="0.25">
      <c r="B36" s="3"/>
    </row>
    <row r="37" spans="1:22" x14ac:dyDescent="0.25">
      <c r="B37" s="203" t="s">
        <v>162</v>
      </c>
      <c r="C37" s="202">
        <v>1174</v>
      </c>
      <c r="D37" s="204">
        <f>C40</f>
        <v>1254</v>
      </c>
      <c r="E37" s="204">
        <f>D40</f>
        <v>1264</v>
      </c>
      <c r="F37" s="204">
        <f>E40</f>
        <v>1308</v>
      </c>
      <c r="G37" s="204">
        <f>F40</f>
        <v>1355</v>
      </c>
      <c r="I37" s="202"/>
      <c r="J37" s="204">
        <f t="shared" ref="J37:S37" si="28">I40</f>
        <v>1318</v>
      </c>
      <c r="K37" s="204">
        <f t="shared" si="28"/>
        <v>1325</v>
      </c>
      <c r="L37" s="204">
        <f t="shared" si="28"/>
        <v>1343</v>
      </c>
      <c r="M37" s="204">
        <f t="shared" si="28"/>
        <v>1355</v>
      </c>
      <c r="N37" s="204">
        <f t="shared" si="28"/>
        <v>1359</v>
      </c>
      <c r="O37" s="204">
        <f t="shared" si="28"/>
        <v>1362</v>
      </c>
      <c r="P37" s="204">
        <f t="shared" si="28"/>
        <v>1374</v>
      </c>
      <c r="Q37" s="204">
        <f t="shared" si="28"/>
        <v>1385</v>
      </c>
      <c r="R37" s="204">
        <f t="shared" si="28"/>
        <v>1395</v>
      </c>
      <c r="S37" s="204">
        <f t="shared" si="28"/>
        <v>1411</v>
      </c>
    </row>
    <row r="38" spans="1:22" x14ac:dyDescent="0.25">
      <c r="B38" t="s">
        <v>155</v>
      </c>
      <c r="C38" s="134">
        <v>86</v>
      </c>
      <c r="D38" s="134">
        <v>30</v>
      </c>
      <c r="E38" s="134">
        <v>48</v>
      </c>
      <c r="F38" s="134">
        <v>47</v>
      </c>
      <c r="G38" s="134">
        <v>33</v>
      </c>
      <c r="I38" s="134"/>
      <c r="J38" s="150">
        <v>0</v>
      </c>
      <c r="K38" s="150">
        <v>0</v>
      </c>
      <c r="L38" s="150">
        <v>0</v>
      </c>
      <c r="M38" s="150">
        <v>0</v>
      </c>
      <c r="N38" s="150">
        <v>0</v>
      </c>
      <c r="O38" s="150">
        <v>0</v>
      </c>
      <c r="P38" s="150">
        <v>0</v>
      </c>
      <c r="Q38" s="150">
        <f t="shared" ref="Q38:R38" si="29">Q40-Q37</f>
        <v>10</v>
      </c>
      <c r="R38" s="150">
        <f t="shared" si="29"/>
        <v>16</v>
      </c>
      <c r="S38" s="150">
        <f>S40-S37</f>
        <v>26</v>
      </c>
    </row>
    <row r="39" spans="1:22" x14ac:dyDescent="0.25">
      <c r="B39" t="s">
        <v>156</v>
      </c>
      <c r="C39" s="131">
        <v>-6</v>
      </c>
      <c r="D39" s="131">
        <v>-20</v>
      </c>
      <c r="E39" s="131">
        <v>-4</v>
      </c>
      <c r="F39" s="131">
        <v>0</v>
      </c>
      <c r="G39" s="131">
        <v>-3</v>
      </c>
      <c r="H39" s="4"/>
      <c r="I39" s="131">
        <v>0</v>
      </c>
      <c r="J39" s="131">
        <v>0</v>
      </c>
      <c r="K39" s="131">
        <v>0</v>
      </c>
      <c r="L39" s="131">
        <v>0</v>
      </c>
      <c r="M39" s="131">
        <v>0</v>
      </c>
      <c r="N39" s="131">
        <v>0</v>
      </c>
      <c r="O39" s="131">
        <v>0</v>
      </c>
      <c r="P39" s="131">
        <v>0</v>
      </c>
      <c r="Q39" s="131">
        <v>0</v>
      </c>
      <c r="R39" s="131">
        <v>0</v>
      </c>
      <c r="S39" s="131">
        <v>0</v>
      </c>
    </row>
    <row r="40" spans="1:22" x14ac:dyDescent="0.25">
      <c r="B40" s="45" t="s">
        <v>163</v>
      </c>
      <c r="C40" s="200">
        <f>SUM(C37:C39)</f>
        <v>1254</v>
      </c>
      <c r="D40" s="200">
        <f>SUM(D37:D39)</f>
        <v>1264</v>
      </c>
      <c r="E40" s="200">
        <f t="shared" ref="E40:G40" si="30">SUM(E37:E39)</f>
        <v>1308</v>
      </c>
      <c r="F40" s="200">
        <f t="shared" si="30"/>
        <v>1355</v>
      </c>
      <c r="G40" s="200">
        <f t="shared" si="30"/>
        <v>1385</v>
      </c>
      <c r="I40" s="200">
        <v>1318</v>
      </c>
      <c r="J40" s="200">
        <v>1325</v>
      </c>
      <c r="K40" s="200">
        <v>1343</v>
      </c>
      <c r="L40" s="200">
        <f>F40</f>
        <v>1355</v>
      </c>
      <c r="M40" s="200">
        <v>1359</v>
      </c>
      <c r="N40" s="200">
        <v>1362</v>
      </c>
      <c r="O40" s="200">
        <v>1374</v>
      </c>
      <c r="P40" s="200">
        <f>G40</f>
        <v>1385</v>
      </c>
      <c r="Q40" s="200">
        <v>1395</v>
      </c>
      <c r="R40" s="200">
        <v>1411</v>
      </c>
      <c r="S40" s="200">
        <v>1437</v>
      </c>
    </row>
    <row r="41" spans="1:22" x14ac:dyDescent="0.25">
      <c r="B41" s="206" t="s">
        <v>166</v>
      </c>
      <c r="C41" s="205"/>
      <c r="D41" s="207">
        <f>SUM(D40/C40)-1</f>
        <v>7.9744816586921896E-3</v>
      </c>
      <c r="E41" s="207">
        <f t="shared" ref="E41:G41" si="31">SUM(E40/D40)-1</f>
        <v>3.4810126582278444E-2</v>
      </c>
      <c r="F41" s="207">
        <f t="shared" si="31"/>
        <v>3.5932721712538251E-2</v>
      </c>
      <c r="G41" s="207">
        <f t="shared" si="31"/>
        <v>2.2140221402213944E-2</v>
      </c>
      <c r="I41" s="205"/>
      <c r="J41" s="207">
        <f t="shared" ref="J41" si="32">SUM(J40/I40)-1</f>
        <v>5.3110773899849306E-3</v>
      </c>
      <c r="K41" s="207">
        <f t="shared" ref="K41" si="33">SUM(K40/J40)-1</f>
        <v>1.35849056603774E-2</v>
      </c>
      <c r="L41" s="207">
        <f t="shared" ref="L41" si="34">SUM(L40/K40)-1</f>
        <v>8.9352196574832288E-3</v>
      </c>
      <c r="M41" s="207">
        <f t="shared" ref="M41" si="35">SUM(M40/L40)-1</f>
        <v>2.952029520295163E-3</v>
      </c>
      <c r="N41" s="207">
        <f t="shared" ref="N41" si="36">SUM(N40/M40)-1</f>
        <v>2.2075055187638082E-3</v>
      </c>
      <c r="O41" s="207">
        <f t="shared" ref="O41" si="37">SUM(O40/N40)-1</f>
        <v>8.8105726872247381E-3</v>
      </c>
      <c r="P41" s="207">
        <f t="shared" ref="P41" si="38">SUM(P40/O40)-1</f>
        <v>8.0058224163026548E-3</v>
      </c>
      <c r="Q41" s="207">
        <f t="shared" ref="Q41" si="39">SUM(Q40/P40)-1</f>
        <v>7.2202166064982976E-3</v>
      </c>
      <c r="R41" s="207">
        <f t="shared" ref="R41" si="40">SUM(R40/Q40)-1</f>
        <v>1.1469534050179142E-2</v>
      </c>
      <c r="S41" s="207">
        <f t="shared" ref="S41" si="41">SUM(S40/R40)-1</f>
        <v>1.8426647767540771E-2</v>
      </c>
    </row>
    <row r="42" spans="1:22" x14ac:dyDescent="0.25">
      <c r="B42" s="210" t="s">
        <v>168</v>
      </c>
      <c r="C42" s="211">
        <f>SUM(C11/C40)</f>
        <v>5899.575757575758</v>
      </c>
      <c r="D42" s="211">
        <f t="shared" ref="D42:S42" si="42">SUM(D11/D40)</f>
        <v>4867.0514240506327</v>
      </c>
      <c r="E42" s="211">
        <f t="shared" si="42"/>
        <v>6598.5389908256884</v>
      </c>
      <c r="F42" s="211">
        <f t="shared" si="42"/>
        <v>7534.007380073801</v>
      </c>
      <c r="G42" s="211">
        <f>SUM(G11/G40)</f>
        <v>8091.9155234657037</v>
      </c>
      <c r="I42" s="211">
        <f t="shared" si="42"/>
        <v>1779.8945371775417</v>
      </c>
      <c r="J42" s="211">
        <f t="shared" si="42"/>
        <v>1733.6701886792453</v>
      </c>
      <c r="K42" s="211">
        <f t="shared" si="42"/>
        <v>1741.4690990320178</v>
      </c>
      <c r="L42" s="211">
        <f t="shared" si="42"/>
        <v>2381.3822878228784</v>
      </c>
      <c r="M42" s="211">
        <f t="shared" si="42"/>
        <v>1938.3833701250919</v>
      </c>
      <c r="N42" s="211">
        <f t="shared" si="42"/>
        <v>1857.4221732745962</v>
      </c>
      <c r="O42" s="211">
        <f t="shared" si="42"/>
        <v>1811.4505094614265</v>
      </c>
      <c r="P42" s="211">
        <f t="shared" si="42"/>
        <v>2566.2801444043321</v>
      </c>
      <c r="Q42" s="211">
        <f t="shared" si="42"/>
        <v>1954.0129032258064</v>
      </c>
      <c r="R42" s="211">
        <f t="shared" si="42"/>
        <v>1808.7080085046066</v>
      </c>
      <c r="S42" s="211">
        <f t="shared" si="42"/>
        <v>1760.6819763395963</v>
      </c>
    </row>
    <row r="43" spans="1:22" x14ac:dyDescent="0.25">
      <c r="B43" s="210"/>
      <c r="C43" s="211"/>
      <c r="D43" s="211"/>
      <c r="E43" s="211"/>
      <c r="F43" s="211"/>
      <c r="G43" s="211"/>
    </row>
    <row r="44" spans="1:22" x14ac:dyDescent="0.25">
      <c r="A44" t="s">
        <v>16</v>
      </c>
      <c r="B44" s="3" t="s">
        <v>159</v>
      </c>
    </row>
    <row r="45" spans="1:22" ht="3.75" customHeight="1" x14ac:dyDescent="0.25">
      <c r="B45" s="3"/>
    </row>
    <row r="46" spans="1:22" x14ac:dyDescent="0.25">
      <c r="B46" s="201" t="s">
        <v>165</v>
      </c>
      <c r="C46" s="209">
        <v>44000</v>
      </c>
      <c r="D46" s="208">
        <f>C49</f>
        <v>44000</v>
      </c>
      <c r="E46" s="208">
        <f>D49</f>
        <v>37000</v>
      </c>
      <c r="F46" s="208">
        <f>E49</f>
        <v>40500</v>
      </c>
      <c r="G46" s="208">
        <f>F49</f>
        <v>53000</v>
      </c>
      <c r="I46" s="217"/>
      <c r="J46" s="218"/>
      <c r="K46" s="218"/>
      <c r="L46" s="218"/>
      <c r="M46" s="218"/>
      <c r="N46" s="218"/>
      <c r="O46" s="218"/>
      <c r="P46" s="218"/>
      <c r="Q46" s="218"/>
      <c r="R46" s="218"/>
      <c r="S46" s="218"/>
    </row>
    <row r="47" spans="1:22" x14ac:dyDescent="0.25">
      <c r="B47" t="s">
        <v>161</v>
      </c>
      <c r="C47" s="131">
        <v>18000</v>
      </c>
      <c r="D47" s="131">
        <v>16000</v>
      </c>
      <c r="E47" s="131">
        <v>16500</v>
      </c>
      <c r="F47" s="131">
        <v>18500</v>
      </c>
      <c r="G47" s="131">
        <v>20000</v>
      </c>
      <c r="I47" s="131"/>
      <c r="J47" s="131"/>
      <c r="K47" s="131"/>
      <c r="L47" s="131"/>
      <c r="M47" s="131"/>
      <c r="N47" s="131"/>
      <c r="O47" s="131"/>
      <c r="P47" s="131"/>
      <c r="Q47" s="131"/>
      <c r="R47" s="131"/>
      <c r="S47" s="131"/>
    </row>
    <row r="48" spans="1:22" x14ac:dyDescent="0.25">
      <c r="B48" t="s">
        <v>164</v>
      </c>
      <c r="C48" s="131">
        <v>26000</v>
      </c>
      <c r="D48" s="131">
        <v>21000</v>
      </c>
      <c r="E48" s="131">
        <v>24000</v>
      </c>
      <c r="F48" s="131">
        <v>34500</v>
      </c>
      <c r="G48" s="131">
        <v>36000</v>
      </c>
      <c r="I48" s="131"/>
      <c r="J48" s="131"/>
      <c r="K48" s="131"/>
      <c r="L48" s="131"/>
      <c r="M48" s="131"/>
      <c r="N48" s="131"/>
      <c r="O48" s="131"/>
      <c r="P48" s="131"/>
      <c r="Q48" s="131"/>
      <c r="R48" s="131"/>
      <c r="S48" s="131"/>
    </row>
    <row r="49" spans="2:19" x14ac:dyDescent="0.25">
      <c r="B49" s="45" t="s">
        <v>160</v>
      </c>
      <c r="C49" s="200">
        <f>SUM(C47:C48)</f>
        <v>44000</v>
      </c>
      <c r="D49" s="200">
        <f>SUMPRODUCT(D46+SUM(D47-C47)+SUM(D48-C48))</f>
        <v>37000</v>
      </c>
      <c r="E49" s="200">
        <f>SUMPRODUCT(E46+SUM(E47-D47)+SUM(E48-D48))</f>
        <v>40500</v>
      </c>
      <c r="F49" s="200">
        <f>SUMPRODUCT(F46+SUM(F47-E47)+SUM(F48-E48))</f>
        <v>53000</v>
      </c>
      <c r="G49" s="200">
        <f>SUMPRODUCT(G46+SUM(G47-F47)+SUM(G48-F48))</f>
        <v>56000</v>
      </c>
      <c r="I49" s="205"/>
      <c r="J49" s="205"/>
      <c r="K49" s="205"/>
      <c r="L49" s="205"/>
      <c r="M49" s="205"/>
      <c r="N49" s="205"/>
      <c r="O49" s="205"/>
      <c r="P49" s="205"/>
      <c r="Q49" s="205"/>
      <c r="R49" s="205"/>
      <c r="S49" s="205"/>
    </row>
    <row r="50" spans="2:19" x14ac:dyDescent="0.25">
      <c r="B50" s="206" t="s">
        <v>166</v>
      </c>
      <c r="C50" s="205"/>
      <c r="D50" s="207">
        <f>SUM(D49/C49)-1</f>
        <v>-0.15909090909090906</v>
      </c>
      <c r="E50" s="207">
        <f t="shared" ref="E50" si="43">SUM(E49/D49)-1</f>
        <v>9.4594594594594517E-2</v>
      </c>
      <c r="F50" s="207">
        <f t="shared" ref="F50" si="44">SUM(F49/E49)-1</f>
        <v>0.30864197530864201</v>
      </c>
      <c r="G50" s="207">
        <f t="shared" ref="G50" si="45">SUM(G49/F49)-1</f>
        <v>5.6603773584905648E-2</v>
      </c>
      <c r="I50" s="205"/>
      <c r="J50" s="207"/>
      <c r="K50" s="207"/>
      <c r="L50" s="207"/>
      <c r="M50" s="207"/>
      <c r="N50" s="207"/>
      <c r="O50" s="207"/>
      <c r="P50" s="207"/>
      <c r="Q50" s="207"/>
      <c r="R50" s="207"/>
      <c r="S50" s="207"/>
    </row>
    <row r="51" spans="2:19" x14ac:dyDescent="0.25">
      <c r="B51" s="210" t="s">
        <v>167</v>
      </c>
      <c r="C51" s="211">
        <f>C11/C49</f>
        <v>168.13790909090909</v>
      </c>
      <c r="D51" s="211">
        <f t="shared" ref="D51:F51" si="46">D11/D49</f>
        <v>166.26900000000001</v>
      </c>
      <c r="E51" s="211">
        <f t="shared" si="46"/>
        <v>213.10837037037038</v>
      </c>
      <c r="F51" s="211">
        <f t="shared" si="46"/>
        <v>192.61471698113206</v>
      </c>
      <c r="G51" s="211">
        <f>G11/G49</f>
        <v>200.13041071428572</v>
      </c>
      <c r="I51" s="219"/>
      <c r="J51" s="219"/>
      <c r="K51" s="219"/>
      <c r="L51" s="219"/>
      <c r="M51" s="219"/>
      <c r="N51" s="219"/>
      <c r="O51" s="219"/>
      <c r="P51" s="219"/>
      <c r="Q51" s="219"/>
      <c r="R51" s="219"/>
      <c r="S51" s="219"/>
    </row>
    <row r="52" spans="2:19" x14ac:dyDescent="0.25">
      <c r="F52" s="212"/>
    </row>
  </sheetData>
  <mergeCells count="2">
    <mergeCell ref="X7:X8"/>
    <mergeCell ref="Z7:Z8"/>
  </mergeCells>
  <conditionalFormatting sqref="C8:V10">
    <cfRule type="timePeriod" dxfId="2" priority="1" timePeriod="lastWeek">
      <formula>AND(TODAY()-ROUNDDOWN(C8,0)&gt;=(WEEKDAY(TODAY())),TODAY()-ROUNDDOWN(C8,0)&lt;(WEEKDAY(TODAY())+7))</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AA33"/>
  <sheetViews>
    <sheetView showGridLines="0" zoomScale="82" zoomScaleNormal="100" workbookViewId="0">
      <selection activeCell="C8" sqref="C8"/>
    </sheetView>
  </sheetViews>
  <sheetFormatPr defaultRowHeight="15" x14ac:dyDescent="0.25"/>
  <cols>
    <col min="1" max="1" width="4.5703125" customWidth="1"/>
    <col min="2" max="2" width="60.5703125" bestFit="1" customWidth="1"/>
    <col min="3" max="7" width="12.5703125" bestFit="1" customWidth="1"/>
    <col min="8" max="8" width="1.5703125" customWidth="1"/>
    <col min="9" max="10" width="10.7109375" bestFit="1" customWidth="1"/>
    <col min="11" max="11" width="11.85546875" bestFit="1" customWidth="1"/>
    <col min="12" max="14" width="10.7109375" bestFit="1" customWidth="1"/>
    <col min="15" max="15" width="11.85546875" bestFit="1" customWidth="1"/>
    <col min="16" max="18" width="10.7109375" bestFit="1" customWidth="1"/>
    <col min="19" max="19" width="10.7109375" customWidth="1"/>
    <col min="20" max="20" width="2.140625" customWidth="1"/>
    <col min="21" max="21" width="10.7109375" bestFit="1" customWidth="1"/>
    <col min="22" max="22" width="11.140625" bestFit="1" customWidth="1"/>
    <col min="23" max="23" width="2.28515625" customWidth="1"/>
  </cols>
  <sheetData>
    <row r="2" spans="1:27" x14ac:dyDescent="0.25">
      <c r="A2" s="6"/>
      <c r="B2" s="7" t="s">
        <v>191</v>
      </c>
      <c r="C2" s="8"/>
      <c r="D2" s="8"/>
      <c r="E2" s="8"/>
      <c r="F2" s="8"/>
      <c r="G2" s="8"/>
      <c r="H2" s="8"/>
      <c r="I2" s="8"/>
      <c r="J2" s="8"/>
      <c r="K2" s="8"/>
      <c r="L2" s="8"/>
      <c r="M2" s="8"/>
      <c r="N2" s="8"/>
      <c r="O2" s="8"/>
      <c r="P2" s="8"/>
      <c r="Q2" s="8"/>
      <c r="R2" s="8"/>
      <c r="S2" s="8"/>
      <c r="T2" s="8"/>
      <c r="U2" s="8"/>
      <c r="V2" s="8"/>
      <c r="W2" s="6"/>
      <c r="X2" s="6"/>
      <c r="Y2" s="6"/>
      <c r="Z2" s="6"/>
      <c r="AA2" s="6"/>
    </row>
    <row r="3" spans="1:27" x14ac:dyDescent="0.25">
      <c r="A3" s="6"/>
      <c r="B3" s="9" t="s">
        <v>14</v>
      </c>
      <c r="C3" s="8"/>
      <c r="D3" s="8"/>
      <c r="E3" s="8"/>
      <c r="F3" s="8"/>
      <c r="G3" s="8"/>
      <c r="H3" s="8"/>
      <c r="I3" s="8"/>
      <c r="J3" s="8"/>
      <c r="K3" s="8"/>
      <c r="L3" s="8"/>
      <c r="M3" s="8"/>
      <c r="N3" s="8"/>
      <c r="O3" s="8"/>
      <c r="P3" s="8"/>
      <c r="Q3" s="8"/>
      <c r="R3" s="8"/>
      <c r="S3" s="8"/>
      <c r="T3" s="8"/>
      <c r="U3" s="8"/>
      <c r="V3" s="8"/>
      <c r="W3" s="6"/>
      <c r="X3" s="6"/>
      <c r="Y3" s="6"/>
      <c r="Z3" s="6"/>
      <c r="AA3" s="6"/>
    </row>
    <row r="4" spans="1:27" ht="3" customHeight="1" x14ac:dyDescent="0.25">
      <c r="A4" s="6"/>
      <c r="B4" s="10"/>
      <c r="C4" s="6"/>
      <c r="D4" s="6"/>
      <c r="E4" s="6"/>
      <c r="F4" s="6"/>
      <c r="G4" s="6"/>
      <c r="H4" s="6"/>
      <c r="I4" s="6"/>
      <c r="J4" s="6"/>
      <c r="K4" s="6"/>
      <c r="L4" s="6"/>
      <c r="M4" s="6"/>
      <c r="N4" s="6"/>
      <c r="O4" s="6"/>
      <c r="P4" s="6"/>
      <c r="Q4" s="6"/>
      <c r="R4" s="6"/>
      <c r="S4" s="6"/>
      <c r="T4" s="6"/>
      <c r="U4" s="6"/>
      <c r="V4" s="6"/>
      <c r="W4" s="6"/>
      <c r="X4" s="6"/>
      <c r="Y4" s="6"/>
      <c r="Z4" s="6"/>
      <c r="AA4" s="6"/>
    </row>
    <row r="5" spans="1:27" ht="15.75" thickBot="1" x14ac:dyDescent="0.3">
      <c r="A5" s="6"/>
      <c r="B5" s="11"/>
      <c r="C5" s="11"/>
      <c r="D5" s="11"/>
      <c r="E5" s="11" t="s">
        <v>4</v>
      </c>
      <c r="F5" s="11"/>
      <c r="G5" s="11"/>
      <c r="H5" s="6"/>
      <c r="I5" s="11" t="s">
        <v>5</v>
      </c>
      <c r="J5" s="11"/>
      <c r="K5" s="11"/>
      <c r="L5" s="11"/>
      <c r="M5" s="11"/>
      <c r="N5" s="11"/>
      <c r="O5" s="11"/>
      <c r="P5" s="11"/>
      <c r="Q5" s="11"/>
      <c r="R5" s="11"/>
      <c r="S5" s="11"/>
      <c r="T5" s="6"/>
      <c r="U5" s="11" t="s">
        <v>6</v>
      </c>
      <c r="V5" s="11"/>
      <c r="W5" s="12"/>
      <c r="X5" s="11" t="s">
        <v>15</v>
      </c>
      <c r="Y5" s="6"/>
      <c r="Z5" s="6"/>
      <c r="AA5" s="6"/>
    </row>
    <row r="6" spans="1:27" ht="6" customHeight="1" x14ac:dyDescent="0.25">
      <c r="A6" s="6"/>
      <c r="B6" s="6"/>
      <c r="C6" s="6"/>
      <c r="D6" s="6"/>
      <c r="E6" s="6"/>
      <c r="F6" s="6"/>
      <c r="G6" s="6"/>
      <c r="H6" s="6"/>
      <c r="I6" s="6"/>
      <c r="J6" s="6"/>
      <c r="K6" s="6"/>
      <c r="L6" s="6"/>
      <c r="M6" s="6"/>
      <c r="N6" s="6"/>
      <c r="O6" s="6"/>
      <c r="P6" s="6"/>
      <c r="Q6" s="6"/>
      <c r="R6" s="6"/>
      <c r="S6" s="6"/>
      <c r="T6" s="6"/>
      <c r="U6" s="6"/>
      <c r="V6" s="6"/>
      <c r="W6" s="6"/>
      <c r="X6" s="6"/>
      <c r="Y6" s="6"/>
      <c r="Z6" s="6"/>
      <c r="AA6" s="6"/>
    </row>
    <row r="7" spans="1:27" x14ac:dyDescent="0.25">
      <c r="A7" s="6" t="s">
        <v>16</v>
      </c>
      <c r="B7" s="122" t="s">
        <v>86</v>
      </c>
      <c r="C7" s="123" t="s">
        <v>85</v>
      </c>
      <c r="D7" s="123" t="s">
        <v>71</v>
      </c>
      <c r="E7" s="123" t="s">
        <v>18</v>
      </c>
      <c r="F7" s="123" t="s">
        <v>19</v>
      </c>
      <c r="G7" s="123" t="s">
        <v>20</v>
      </c>
      <c r="H7" s="6"/>
      <c r="I7" s="123" t="s">
        <v>56</v>
      </c>
      <c r="J7" s="123" t="s">
        <v>57</v>
      </c>
      <c r="K7" s="123" t="s">
        <v>58</v>
      </c>
      <c r="L7" s="123" t="s">
        <v>59</v>
      </c>
      <c r="M7" s="123" t="s">
        <v>60</v>
      </c>
      <c r="N7" s="123" t="s">
        <v>61</v>
      </c>
      <c r="O7" s="123" t="s">
        <v>62</v>
      </c>
      <c r="P7" s="123" t="s">
        <v>63</v>
      </c>
      <c r="Q7" s="123" t="s">
        <v>64</v>
      </c>
      <c r="R7" s="123" t="s">
        <v>65</v>
      </c>
      <c r="S7" s="123" t="s">
        <v>66</v>
      </c>
      <c r="T7" s="139"/>
      <c r="U7" s="13" t="str">
        <f>O7</f>
        <v>3Q23</v>
      </c>
      <c r="V7" s="13" t="str">
        <f>S7</f>
        <v>3Q24</v>
      </c>
      <c r="W7" s="14"/>
      <c r="X7" s="244" t="s">
        <v>21</v>
      </c>
      <c r="Y7" s="6"/>
      <c r="Z7" s="6"/>
      <c r="AA7" s="6"/>
    </row>
    <row r="8" spans="1:27" x14ac:dyDescent="0.25">
      <c r="A8" s="6"/>
      <c r="B8" s="15" t="s">
        <v>70</v>
      </c>
      <c r="C8" s="124" t="str">
        <f>'Base Financials '!C8</f>
        <v>Feb. 01, 2020</v>
      </c>
      <c r="D8" s="124" t="str">
        <f>'Base Financials '!D8</f>
        <v>Jan. 30, 2021</v>
      </c>
      <c r="E8" s="124" t="str">
        <f>'Base Financials '!E8</f>
        <v>Jan. 29, 2022</v>
      </c>
      <c r="F8" s="124" t="str">
        <f>'Base Financials '!F8</f>
        <v>Jan. 28, 2023</v>
      </c>
      <c r="G8" s="124" t="str">
        <f>'Base Financials '!G8</f>
        <v>Feb. 03, 2024</v>
      </c>
      <c r="H8" s="268">
        <f>'Base Financials '!H8</f>
        <v>0</v>
      </c>
      <c r="I8" s="124">
        <f>'Base Financials '!I8</f>
        <v>0</v>
      </c>
      <c r="J8" s="124" t="str">
        <f>'Base Financials '!J8</f>
        <v>Jul. 30, 2022</v>
      </c>
      <c r="K8" s="124" t="str">
        <f>'Base Financials '!K8</f>
        <v>Oct. 29, 2022</v>
      </c>
      <c r="L8" s="124" t="str">
        <f>'Base Financials '!L8</f>
        <v>Jan. 28, 2023</v>
      </c>
      <c r="M8" s="124" t="str">
        <f>'Base Financials '!M8</f>
        <v>Apr. 29, 2023</v>
      </c>
      <c r="N8" s="124" t="str">
        <f>'Base Financials '!N8</f>
        <v>Jul. 29, 2023</v>
      </c>
      <c r="O8" s="124" t="str">
        <f>'Base Financials '!O8</f>
        <v>Oct. 28, 2023</v>
      </c>
      <c r="P8" s="124" t="str">
        <f>'Base Financials '!P8</f>
        <v>Feb. 03, 2024</v>
      </c>
      <c r="Q8" s="124" t="str">
        <f>'Base Financials '!Q8</f>
        <v>May 04, 2024</v>
      </c>
      <c r="R8" s="124" t="str">
        <f>'Base Financials '!R8</f>
        <v>Aug. 03, 2024</v>
      </c>
      <c r="S8" s="124">
        <f>'Base Financials '!S8</f>
        <v>45598</v>
      </c>
      <c r="T8" s="140"/>
      <c r="U8" s="16" t="str">
        <f>O8</f>
        <v>Oct. 28, 2023</v>
      </c>
      <c r="V8" s="16">
        <f>S8</f>
        <v>45598</v>
      </c>
      <c r="W8" s="17"/>
      <c r="X8" s="244"/>
      <c r="Y8" s="6"/>
      <c r="Z8" s="6"/>
      <c r="AA8" s="6"/>
    </row>
    <row r="9" spans="1:27" x14ac:dyDescent="0.25">
      <c r="A9" s="6"/>
      <c r="B9" s="2" t="s">
        <v>7</v>
      </c>
      <c r="C9" s="126">
        <f>'Base Financials '!C10</f>
        <v>7398068</v>
      </c>
      <c r="D9" s="126">
        <f>'Base Financials '!D10</f>
        <v>6090433.4700000007</v>
      </c>
      <c r="E9" s="126">
        <f>'Base Financials '!E10</f>
        <v>8630889</v>
      </c>
      <c r="F9" s="126">
        <f>'Base Financials '!F10</f>
        <v>10208580</v>
      </c>
      <c r="G9" s="126">
        <f>'Base Financials '!G10</f>
        <v>11207302.999999998</v>
      </c>
      <c r="H9" s="126">
        <f>'Base Financials '!H10</f>
        <v>0</v>
      </c>
      <c r="I9" s="126">
        <f>'Base Financials '!I10</f>
        <v>2345900.9999999995</v>
      </c>
      <c r="J9" s="126">
        <f>'Base Financials '!J10</f>
        <v>2297113</v>
      </c>
      <c r="K9" s="126">
        <f>'Base Financials '!K10</f>
        <v>2338793.0000000005</v>
      </c>
      <c r="L9" s="126">
        <f>'Base Financials '!L10</f>
        <v>3226773</v>
      </c>
      <c r="M9" s="126">
        <f>'Base Financials '!M10</f>
        <v>2634263.0000000005</v>
      </c>
      <c r="N9" s="126">
        <f>'Base Financials '!N10</f>
        <v>2529809</v>
      </c>
      <c r="O9" s="126">
        <f>'Base Financials '!O10</f>
        <v>2488933</v>
      </c>
      <c r="P9" s="126">
        <f>'Base Financials '!P10</f>
        <v>3554298</v>
      </c>
      <c r="Q9" s="126">
        <f>'Base Financials '!Q10</f>
        <v>2725847.9999999995</v>
      </c>
      <c r="R9" s="126">
        <f>'Base Financials '!R10</f>
        <v>2552087</v>
      </c>
      <c r="S9" s="126">
        <f>'Base Financials '!S10</f>
        <v>2530100</v>
      </c>
      <c r="T9" s="6"/>
      <c r="U9" s="23">
        <f>SUM(L9:O9)</f>
        <v>10879778</v>
      </c>
      <c r="V9" s="23">
        <f>SUM(P9:S9)</f>
        <v>11362333</v>
      </c>
      <c r="W9" s="17"/>
      <c r="X9" s="25">
        <f t="shared" ref="X9:X11" si="0">SUM(V9/U9)-1</f>
        <v>4.435338662241084E-2</v>
      </c>
      <c r="Y9" s="6"/>
      <c r="Z9" s="6"/>
      <c r="AA9" s="6"/>
    </row>
    <row r="10" spans="1:27" x14ac:dyDescent="0.25">
      <c r="A10" s="6"/>
      <c r="B10" s="2" t="s">
        <v>8</v>
      </c>
      <c r="C10" s="126">
        <f>'Base Financials '!C17</f>
        <v>-4717004</v>
      </c>
      <c r="D10" s="126">
        <f>'Base Financials '!D17</f>
        <v>-4202794</v>
      </c>
      <c r="E10" s="126">
        <f>'Base Financials '!E17</f>
        <v>-5262335</v>
      </c>
      <c r="F10" s="126">
        <f>'Base Financials '!F17</f>
        <v>-6164070</v>
      </c>
      <c r="G10" s="126">
        <f>'Base Financials '!G17</f>
        <v>-6826203</v>
      </c>
      <c r="H10" s="126">
        <f>'Base Financials '!H17</f>
        <v>0</v>
      </c>
      <c r="I10" s="126">
        <f>'Base Financials '!I17</f>
        <v>-1404875</v>
      </c>
      <c r="J10" s="126">
        <f>'Base Financials '!J17</f>
        <v>-1368949</v>
      </c>
      <c r="K10" s="126">
        <f>'Base Financials '!K17</f>
        <v>-1375976</v>
      </c>
      <c r="L10" s="126">
        <f>'Base Financials '!L17</f>
        <v>-2014270</v>
      </c>
      <c r="M10" s="126">
        <f>'Base Financials '!M17</f>
        <v>-1579406</v>
      </c>
      <c r="N10" s="126">
        <f>'Base Financials '!N17</f>
        <v>-1536197</v>
      </c>
      <c r="O10" s="126">
        <f>'Base Financials '!O17</f>
        <v>-1496866</v>
      </c>
      <c r="P10" s="126">
        <f>'Base Financials '!P17</f>
        <v>-2213734</v>
      </c>
      <c r="Q10" s="126">
        <f>'Base Financials '!Q17</f>
        <v>-1656068</v>
      </c>
      <c r="R10" s="126">
        <f>'Base Financials '!R17</f>
        <v>-1573910</v>
      </c>
      <c r="S10" s="126">
        <f>'Base Financials '!S17</f>
        <v>-1524456</v>
      </c>
      <c r="T10" s="6"/>
      <c r="U10" s="23">
        <f t="shared" ref="U10" si="1">SUM(L10:O10)</f>
        <v>-6626739</v>
      </c>
      <c r="V10" s="23">
        <f t="shared" ref="V10" si="2">SUM(P10:S10)</f>
        <v>-6968168</v>
      </c>
      <c r="W10" s="17"/>
      <c r="X10" s="25">
        <f t="shared" si="0"/>
        <v>5.1522928547510283E-2</v>
      </c>
      <c r="Y10" s="6"/>
      <c r="Z10" s="6"/>
      <c r="AA10" s="6"/>
    </row>
    <row r="11" spans="1:27" x14ac:dyDescent="0.25">
      <c r="A11" s="6"/>
      <c r="B11" s="41" t="s">
        <v>22</v>
      </c>
      <c r="C11" s="28">
        <f>SUM(C9:C10)</f>
        <v>2681064</v>
      </c>
      <c r="D11" s="28">
        <f>SUM(D9:D10)</f>
        <v>1887639.4700000007</v>
      </c>
      <c r="E11" s="28">
        <f>SUM(E9:E10)</f>
        <v>3368554</v>
      </c>
      <c r="F11" s="28">
        <f t="shared" ref="F11:G11" si="3">SUM(F9:F10)</f>
        <v>4044510</v>
      </c>
      <c r="G11" s="28">
        <f t="shared" si="3"/>
        <v>4381099.9999999981</v>
      </c>
      <c r="H11" s="21"/>
      <c r="I11" s="28">
        <f t="shared" ref="I11:R11" si="4">SUM(I9:I10)</f>
        <v>941025.99999999953</v>
      </c>
      <c r="J11" s="28">
        <f t="shared" si="4"/>
        <v>928164</v>
      </c>
      <c r="K11" s="28">
        <f t="shared" si="4"/>
        <v>962817.00000000047</v>
      </c>
      <c r="L11" s="28">
        <f t="shared" si="4"/>
        <v>1212503</v>
      </c>
      <c r="M11" s="28">
        <f t="shared" si="4"/>
        <v>1054857.0000000005</v>
      </c>
      <c r="N11" s="28">
        <f t="shared" si="4"/>
        <v>993612</v>
      </c>
      <c r="O11" s="28">
        <f t="shared" si="4"/>
        <v>992067</v>
      </c>
      <c r="P11" s="28">
        <f t="shared" si="4"/>
        <v>1340564</v>
      </c>
      <c r="Q11" s="28">
        <f t="shared" si="4"/>
        <v>1069779.9999999995</v>
      </c>
      <c r="R11" s="28">
        <f t="shared" si="4"/>
        <v>978177</v>
      </c>
      <c r="S11" s="28">
        <f t="shared" ref="S11" si="5">SUM(S9:S10)</f>
        <v>1005644</v>
      </c>
      <c r="T11" s="6"/>
      <c r="U11" s="28">
        <f t="shared" ref="U11:V11" si="6">SUM(U9:U10)</f>
        <v>4253039</v>
      </c>
      <c r="V11" s="28">
        <f t="shared" si="6"/>
        <v>4394165</v>
      </c>
      <c r="W11" s="17"/>
      <c r="X11" s="30">
        <f t="shared" si="0"/>
        <v>3.3182390286099039E-2</v>
      </c>
      <c r="Y11" s="6"/>
      <c r="Z11" s="6"/>
      <c r="AA11" s="6"/>
    </row>
    <row r="12" spans="1:27" ht="15.75" x14ac:dyDescent="0.25">
      <c r="A12" s="6"/>
      <c r="B12" s="38"/>
      <c r="C12" s="126"/>
      <c r="D12" s="126"/>
      <c r="E12" s="126"/>
      <c r="F12" s="126"/>
      <c r="G12" s="126"/>
      <c r="H12" s="21"/>
      <c r="I12" s="126"/>
      <c r="J12" s="126"/>
      <c r="K12" s="126"/>
      <c r="L12" s="126"/>
      <c r="M12" s="126"/>
      <c r="N12" s="126"/>
      <c r="O12" s="126"/>
      <c r="P12" s="126"/>
      <c r="Q12" s="126"/>
      <c r="R12" s="126"/>
      <c r="S12" s="126"/>
      <c r="T12" s="6"/>
      <c r="U12" s="126"/>
      <c r="V12" s="126"/>
      <c r="W12" s="17"/>
      <c r="X12" s="127"/>
      <c r="Y12" s="6"/>
      <c r="Z12" s="6"/>
      <c r="AA12" s="6"/>
    </row>
    <row r="13" spans="1:27" x14ac:dyDescent="0.25">
      <c r="B13" s="38" t="s">
        <v>26</v>
      </c>
      <c r="C13" s="17"/>
      <c r="D13" s="17"/>
      <c r="E13" s="17"/>
      <c r="F13" s="17"/>
      <c r="G13" s="17"/>
      <c r="H13" s="6"/>
      <c r="I13" s="19"/>
      <c r="J13" s="128"/>
      <c r="K13" s="128"/>
      <c r="L13" s="33"/>
      <c r="M13" s="33"/>
      <c r="N13" s="33"/>
      <c r="O13" s="33"/>
      <c r="P13" s="33"/>
      <c r="Q13" s="33"/>
      <c r="R13" s="33"/>
      <c r="S13" s="33"/>
      <c r="T13" s="6"/>
      <c r="U13" s="19"/>
      <c r="V13" s="19"/>
    </row>
    <row r="14" spans="1:27" x14ac:dyDescent="0.25">
      <c r="B14" s="26" t="str">
        <f>'Base Financials '!B23</f>
        <v>Selling, general and administrative expenses</v>
      </c>
      <c r="C14" s="126">
        <f>'Base Financials '!C23</f>
        <v>-1760716</v>
      </c>
      <c r="D14" s="126">
        <f>'Base Financials '!D23</f>
        <v>-1583017</v>
      </c>
      <c r="E14" s="126">
        <f>'Base Financials '!E23</f>
        <v>-2061545</v>
      </c>
      <c r="F14" s="126">
        <f>'Base Financials '!F23</f>
        <v>-2395299</v>
      </c>
      <c r="G14" s="126">
        <f>'Base Financials '!G23</f>
        <v>-2694561</v>
      </c>
      <c r="H14" s="126">
        <f>'Base Financials '!H23</f>
        <v>0</v>
      </c>
      <c r="I14" s="126">
        <f>'Base Financials '!I23</f>
        <v>-500970</v>
      </c>
      <c r="J14" s="126">
        <f>'Base Financials '!J23</f>
        <v>-534459</v>
      </c>
      <c r="K14" s="126">
        <f>'Base Financials '!K23</f>
        <v>-597164</v>
      </c>
      <c r="L14" s="126">
        <f>'Base Financials '!L23</f>
        <v>-428952</v>
      </c>
      <c r="M14" s="126">
        <f>'Base Financials '!M23</f>
        <v>-612129</v>
      </c>
      <c r="N14" s="126">
        <f>'Base Financials '!N23</f>
        <v>-600692</v>
      </c>
      <c r="O14" s="126">
        <f>'Base Financials '!O23</f>
        <v>-661380</v>
      </c>
      <c r="P14" s="126">
        <f>'Base Financials '!P23</f>
        <v>-820360</v>
      </c>
      <c r="Q14" s="126">
        <f>'Base Financials '!Q23</f>
        <v>-665913</v>
      </c>
      <c r="R14" s="126">
        <f>'Base Financials '!R23</f>
        <v>-644821</v>
      </c>
      <c r="S14" s="126">
        <f>'Base Financials '!S23</f>
        <v>-682259</v>
      </c>
      <c r="T14" s="6"/>
      <c r="U14" s="23">
        <f t="shared" ref="U14:U16" si="7">SUM(L14:O14)</f>
        <v>-2303153</v>
      </c>
      <c r="V14" s="23">
        <f t="shared" ref="V14:V16" si="8">SUM(P14:S14)</f>
        <v>-2813353</v>
      </c>
      <c r="X14" s="25">
        <f t="shared" ref="X14:X17" si="9">SUM(V14/U14)-1</f>
        <v>0.22152240862851924</v>
      </c>
    </row>
    <row r="15" spans="1:27" x14ac:dyDescent="0.25">
      <c r="B15" s="26" t="str">
        <f>'Base Financials '!B24</f>
        <v>Pre-opening expenses</v>
      </c>
      <c r="C15" s="126">
        <f>'Base Financials '!C24</f>
        <v>-19254</v>
      </c>
      <c r="D15" s="126">
        <f>'Base Financials '!D24</f>
        <v>-15000</v>
      </c>
      <c r="E15" s="126">
        <f>'Base Financials '!E24</f>
        <v>-9517</v>
      </c>
      <c r="F15" s="126">
        <f>'Base Financials '!F24</f>
        <v>-10601</v>
      </c>
      <c r="G15" s="126">
        <f>'Base Financials '!G24</f>
        <v>-8510</v>
      </c>
      <c r="H15" s="126">
        <f>'Base Financials '!H24</f>
        <v>0</v>
      </c>
      <c r="I15" s="126">
        <f>'Base Financials '!I24</f>
        <v>-2348</v>
      </c>
      <c r="J15" s="126">
        <f>'Base Financials '!J24</f>
        <v>-2277</v>
      </c>
      <c r="K15" s="126">
        <f>'Base Financials '!K24</f>
        <v>-3797</v>
      </c>
      <c r="L15" s="126">
        <f>'Base Financials '!L24</f>
        <v>-1095</v>
      </c>
      <c r="M15" s="126">
        <f>'Base Financials '!M24</f>
        <v>-658</v>
      </c>
      <c r="N15" s="126">
        <f>'Base Financials '!N24</f>
        <v>-1278</v>
      </c>
      <c r="O15" s="126">
        <f>'Base Financials '!O24</f>
        <v>-3460</v>
      </c>
      <c r="P15" s="126">
        <f>'Base Financials '!P24</f>
        <v>-3114</v>
      </c>
      <c r="Q15" s="126">
        <f>'Base Financials '!Q24</f>
        <v>-2919</v>
      </c>
      <c r="R15" s="126">
        <f>'Base Financials '!R24</f>
        <v>-4155</v>
      </c>
      <c r="S15" s="126">
        <f>'Base Financials '!S24</f>
        <v>-4883</v>
      </c>
      <c r="T15" s="6"/>
      <c r="U15" s="23">
        <f t="shared" si="7"/>
        <v>-6491</v>
      </c>
      <c r="V15" s="23">
        <f t="shared" si="8"/>
        <v>-15071</v>
      </c>
      <c r="X15" s="25">
        <f t="shared" si="9"/>
        <v>1.3218302264674162</v>
      </c>
    </row>
    <row r="16" spans="1:27" x14ac:dyDescent="0.25">
      <c r="B16" s="26" t="str">
        <f>'Base Financials '!B25</f>
        <v>Impairment, restructuring and other costs</v>
      </c>
      <c r="C16" s="126">
        <f>'Base Financials '!C25</f>
        <v>0</v>
      </c>
      <c r="D16" s="126">
        <f>'Base Financials '!D25</f>
        <v>-114322</v>
      </c>
      <c r="E16" s="126">
        <f>'Base Financials '!E25</f>
        <v>0</v>
      </c>
      <c r="F16" s="126">
        <f>'Base Financials '!F25</f>
        <v>0</v>
      </c>
      <c r="G16" s="126">
        <f>'Base Financials '!G25</f>
        <v>0</v>
      </c>
      <c r="H16" s="126">
        <f>'Base Financials '!H25</f>
        <v>0</v>
      </c>
      <c r="I16" s="126">
        <f>'Base Financials '!I25</f>
        <v>0</v>
      </c>
      <c r="J16" s="126">
        <f>'Base Financials '!J25</f>
        <v>0</v>
      </c>
      <c r="K16" s="126">
        <f>'Base Financials '!K25</f>
        <v>0</v>
      </c>
      <c r="L16" s="126">
        <f>'Base Financials '!L25</f>
        <v>0</v>
      </c>
      <c r="M16" s="126">
        <f>'Base Financials '!M25</f>
        <v>0</v>
      </c>
      <c r="N16" s="126">
        <f>'Base Financials '!N25</f>
        <v>0</v>
      </c>
      <c r="O16" s="126">
        <f>'Base Financials '!O25</f>
        <v>0</v>
      </c>
      <c r="P16" s="126">
        <f>'Base Financials '!P25</f>
        <v>0</v>
      </c>
      <c r="Q16" s="126">
        <f>'Base Financials '!Q25</f>
        <v>0</v>
      </c>
      <c r="R16" s="126">
        <f>'Base Financials '!R25</f>
        <v>0</v>
      </c>
      <c r="S16" s="126">
        <f>'Base Financials '!S25</f>
        <v>0</v>
      </c>
      <c r="T16" s="6"/>
      <c r="U16" s="23">
        <f t="shared" si="7"/>
        <v>0</v>
      </c>
      <c r="V16" s="23">
        <f t="shared" si="8"/>
        <v>0</v>
      </c>
      <c r="X16" s="25" t="e">
        <f t="shared" si="9"/>
        <v>#DIV/0!</v>
      </c>
    </row>
    <row r="17" spans="2:24" x14ac:dyDescent="0.25">
      <c r="B17" s="41" t="s">
        <v>27</v>
      </c>
      <c r="C17" s="28">
        <f>SUM(C11+SUM((C14:C16)))</f>
        <v>901094</v>
      </c>
      <c r="D17" s="28">
        <f>SUM(D11+SUM((D14:D16)))</f>
        <v>175300.47000000067</v>
      </c>
      <c r="E17" s="28">
        <f>SUM(E11+SUM((E14:E16)))</f>
        <v>1297492</v>
      </c>
      <c r="F17" s="28">
        <f>SUM(F11+SUM((F14:F16)))</f>
        <v>1638610</v>
      </c>
      <c r="G17" s="28">
        <f>SUM(G11+SUM((G14:G16)))</f>
        <v>1678028.9999999981</v>
      </c>
      <c r="H17" s="21"/>
      <c r="I17" s="28">
        <f t="shared" ref="I17:S17" si="10">SUM(I11+SUM((I14:I16)))</f>
        <v>437707.99999999953</v>
      </c>
      <c r="J17" s="28">
        <f t="shared" si="10"/>
        <v>391428</v>
      </c>
      <c r="K17" s="28">
        <f t="shared" si="10"/>
        <v>361856.00000000047</v>
      </c>
      <c r="L17" s="28">
        <f t="shared" si="10"/>
        <v>782456</v>
      </c>
      <c r="M17" s="28">
        <f t="shared" si="10"/>
        <v>442070.00000000047</v>
      </c>
      <c r="N17" s="28">
        <f t="shared" si="10"/>
        <v>391642</v>
      </c>
      <c r="O17" s="28">
        <f t="shared" si="10"/>
        <v>327227</v>
      </c>
      <c r="P17" s="28">
        <f t="shared" si="10"/>
        <v>517090</v>
      </c>
      <c r="Q17" s="28">
        <f t="shared" si="10"/>
        <v>400947.99999999953</v>
      </c>
      <c r="R17" s="28">
        <f t="shared" si="10"/>
        <v>329201</v>
      </c>
      <c r="S17" s="28">
        <f t="shared" si="10"/>
        <v>318502</v>
      </c>
      <c r="T17" s="6"/>
      <c r="U17" s="28">
        <f>SUM(U11+SUM((U14:U16)))</f>
        <v>1943395</v>
      </c>
      <c r="V17" s="28">
        <f>SUM(V11+SUM((V14:V16)))</f>
        <v>1565741</v>
      </c>
      <c r="X17" s="30">
        <f t="shared" si="9"/>
        <v>-0.19432693816748525</v>
      </c>
    </row>
    <row r="18" spans="2:24" x14ac:dyDescent="0.25">
      <c r="B18" s="31" t="s">
        <v>23</v>
      </c>
      <c r="C18" s="32"/>
      <c r="D18" s="32"/>
      <c r="E18" s="32"/>
      <c r="F18" s="33">
        <f>F17/E17-1</f>
        <v>0.26290566724110831</v>
      </c>
      <c r="G18" s="33">
        <f>G17/F17-1</f>
        <v>2.4056364845813194E-2</v>
      </c>
      <c r="H18" s="33"/>
      <c r="I18" s="33"/>
      <c r="J18" s="33">
        <f t="shared" ref="J18:R18" si="11">J17/I17-1</f>
        <v>-0.10573258884918613</v>
      </c>
      <c r="K18" s="33">
        <f t="shared" si="11"/>
        <v>-7.5549015400021347E-2</v>
      </c>
      <c r="L18" s="33">
        <f t="shared" si="11"/>
        <v>1.1623408206579384</v>
      </c>
      <c r="M18" s="33">
        <f t="shared" si="11"/>
        <v>-0.43502254439866206</v>
      </c>
      <c r="N18" s="33">
        <f t="shared" si="11"/>
        <v>-0.11407243196778882</v>
      </c>
      <c r="O18" s="33">
        <f t="shared" si="11"/>
        <v>-0.16447418816163739</v>
      </c>
      <c r="P18" s="33">
        <f>P17/O17-1</f>
        <v>0.58021801379470528</v>
      </c>
      <c r="Q18" s="33">
        <f t="shared" si="11"/>
        <v>-0.22460693496296669</v>
      </c>
      <c r="R18" s="33">
        <f t="shared" si="11"/>
        <v>-0.17894340413220566</v>
      </c>
      <c r="S18" s="33">
        <f>S17/Q17-1</f>
        <v>-0.20562766244001629</v>
      </c>
      <c r="T18" s="6"/>
      <c r="U18" s="6"/>
      <c r="V18" s="33">
        <f>V17/U17-1</f>
        <v>-0.19432693816748525</v>
      </c>
    </row>
    <row r="19" spans="2:24" x14ac:dyDescent="0.25">
      <c r="B19" s="38" t="s">
        <v>9</v>
      </c>
    </row>
    <row r="20" spans="2:24" x14ac:dyDescent="0.25">
      <c r="B20" s="26" t="str">
        <f>'Base Financials '!B31</f>
        <v>Interest Income (Expense), net</v>
      </c>
      <c r="C20" s="126">
        <f>'Base Financials '!C31</f>
        <v>5056</v>
      </c>
      <c r="D20" s="126">
        <f>'Base Financials '!D31</f>
        <v>-5735</v>
      </c>
      <c r="E20" s="126">
        <f>'Base Financials '!E31</f>
        <v>1663</v>
      </c>
      <c r="F20" s="126">
        <f>'Base Financials '!F31</f>
        <v>-4934</v>
      </c>
      <c r="G20" s="126">
        <f>'Base Financials '!G31</f>
        <v>-17622</v>
      </c>
      <c r="H20" s="126">
        <f>'Base Financials '!H31</f>
        <v>0</v>
      </c>
      <c r="I20" s="126">
        <f>'Base Financials '!I31</f>
        <v>-401</v>
      </c>
      <c r="J20" s="126">
        <f>'Base Financials '!J31</f>
        <v>108</v>
      </c>
      <c r="K20" s="126">
        <f>'Base Financials '!K31</f>
        <v>849</v>
      </c>
      <c r="L20" s="126">
        <f>'Base Financials '!L31</f>
        <v>1107</v>
      </c>
      <c r="M20" s="126">
        <f>'Base Financials '!M31</f>
        <v>7348</v>
      </c>
      <c r="N20" s="126">
        <f>'Base Financials '!N31</f>
        <v>4449</v>
      </c>
      <c r="O20" s="126">
        <f>'Base Financials '!O31</f>
        <v>2497</v>
      </c>
      <c r="P20" s="126">
        <f>'Base Financials '!P31</f>
        <v>-31916</v>
      </c>
      <c r="Q20" s="126">
        <f>'Base Financials '!Q31</f>
        <v>6900</v>
      </c>
      <c r="R20" s="126">
        <f>'Base Financials '!R31</f>
        <v>4526</v>
      </c>
      <c r="S20" s="126">
        <f>'Base Financials '!S31</f>
        <v>-1674</v>
      </c>
      <c r="T20" s="6"/>
      <c r="U20" s="23">
        <f>SUM(L20:O20)</f>
        <v>15401</v>
      </c>
      <c r="V20" s="23">
        <f>SUM(P20:S20)</f>
        <v>-22164</v>
      </c>
      <c r="X20" s="25">
        <f t="shared" ref="X20" si="12">SUM(V20/U20)-1</f>
        <v>-2.4391273293941951</v>
      </c>
    </row>
    <row r="21" spans="2:24" x14ac:dyDescent="0.25">
      <c r="B21" s="41" t="s">
        <v>49</v>
      </c>
      <c r="C21" s="28">
        <f>SUM(C17+SUM(C20:C20))</f>
        <v>906150</v>
      </c>
      <c r="D21" s="28">
        <f>SUM(D17+SUM(D20:D20))</f>
        <v>169565.47000000067</v>
      </c>
      <c r="E21" s="28">
        <f>SUM(E17+SUM(E20:E20))</f>
        <v>1299155</v>
      </c>
      <c r="F21" s="28">
        <f>SUM(F17+SUM(F20:F20))</f>
        <v>1633676</v>
      </c>
      <c r="G21" s="28">
        <f>SUM(G17+SUM(G20:G20))</f>
        <v>1660406.9999999981</v>
      </c>
      <c r="H21" s="6"/>
      <c r="I21" s="28">
        <f>SUM(I17+SUM(I20:I20))</f>
        <v>437306.99999999953</v>
      </c>
      <c r="J21" s="28">
        <f>SUM(J17+SUM(J20:J20))</f>
        <v>391536</v>
      </c>
      <c r="K21" s="28">
        <f>SUM(K17+SUM(K20:K20))</f>
        <v>362705.00000000047</v>
      </c>
      <c r="L21" s="28">
        <f>SUM(L17+SUM(L20:L20))</f>
        <v>783563</v>
      </c>
      <c r="M21" s="28">
        <f>SUM(M17+SUM(M20:M20))</f>
        <v>449418.00000000047</v>
      </c>
      <c r="N21" s="28">
        <f>SUM(N17+SUM(N20:N20))</f>
        <v>396091</v>
      </c>
      <c r="O21" s="28">
        <f>SUM(O17+SUM(O20:O20))</f>
        <v>329724</v>
      </c>
      <c r="P21" s="28">
        <f>SUM(P17+SUM(P20:P20))</f>
        <v>485174</v>
      </c>
      <c r="Q21" s="28">
        <f>SUM(Q17+SUM(Q20:Q20))</f>
        <v>407847.99999999953</v>
      </c>
      <c r="R21" s="28">
        <f>SUM(R17+SUM(R20:R20))</f>
        <v>333727</v>
      </c>
      <c r="S21" s="28">
        <f>SUM(S17+SUM(S20:S20))</f>
        <v>316828</v>
      </c>
      <c r="T21" s="6"/>
      <c r="U21" s="28">
        <f>SUM(U17+SUM(U20:U20))</f>
        <v>1958796</v>
      </c>
      <c r="V21" s="28">
        <f>SUM(V17+SUM(V20:V20))</f>
        <v>1543577</v>
      </c>
      <c r="X21" s="30">
        <f t="shared" ref="X21" si="13">SUM(V21/U21)-1</f>
        <v>-0.21197664279485973</v>
      </c>
    </row>
    <row r="22" spans="2:24" x14ac:dyDescent="0.25">
      <c r="B22" s="31" t="s">
        <v>23</v>
      </c>
      <c r="C22" s="42"/>
      <c r="D22" s="42"/>
      <c r="E22" s="42"/>
      <c r="F22" s="33">
        <f>F21/E21-1</f>
        <v>0.25749121544388465</v>
      </c>
      <c r="G22" s="33">
        <f>G21/F21-1</f>
        <v>1.6362485584655806E-2</v>
      </c>
      <c r="H22" s="33"/>
      <c r="I22" s="33"/>
      <c r="J22" s="33">
        <f t="shared" ref="J22:R22" si="14">J21/I21-1</f>
        <v>-0.10466560105372102</v>
      </c>
      <c r="K22" s="33">
        <f t="shared" si="14"/>
        <v>-7.3635629929302837E-2</v>
      </c>
      <c r="L22" s="33">
        <f t="shared" si="14"/>
        <v>1.1603313987951616</v>
      </c>
      <c r="M22" s="33">
        <f t="shared" si="14"/>
        <v>-0.42644305563177376</v>
      </c>
      <c r="N22" s="33">
        <f t="shared" si="14"/>
        <v>-0.11865790867299575</v>
      </c>
      <c r="O22" s="33">
        <f t="shared" si="14"/>
        <v>-0.16755493055888671</v>
      </c>
      <c r="P22" s="33">
        <f t="shared" si="14"/>
        <v>0.47145491380669902</v>
      </c>
      <c r="Q22" s="33">
        <f t="shared" si="14"/>
        <v>-0.15937787268072989</v>
      </c>
      <c r="R22" s="33">
        <f t="shared" si="14"/>
        <v>-0.18173682352248788</v>
      </c>
      <c r="S22" s="33">
        <f>S21/Q21-1</f>
        <v>-0.22317137757203576</v>
      </c>
      <c r="T22" s="6"/>
      <c r="U22" s="6"/>
      <c r="V22" s="33">
        <f>V21/U21-1</f>
        <v>-0.21197664279485973</v>
      </c>
    </row>
    <row r="23" spans="2:24" x14ac:dyDescent="0.25">
      <c r="B23" s="3" t="s">
        <v>50</v>
      </c>
      <c r="C23" s="42"/>
      <c r="D23" s="42"/>
      <c r="E23" s="42"/>
      <c r="F23" s="33"/>
      <c r="G23" s="33"/>
      <c r="H23" s="33"/>
      <c r="I23" s="33"/>
      <c r="J23" s="33"/>
      <c r="K23" s="33"/>
      <c r="L23" s="33"/>
      <c r="M23" s="33"/>
      <c r="N23" s="33"/>
      <c r="O23" s="33"/>
      <c r="P23" s="33"/>
      <c r="Q23" s="33"/>
      <c r="R23" s="33"/>
      <c r="S23" s="33"/>
      <c r="T23" s="6"/>
      <c r="U23" s="6"/>
      <c r="V23" s="33"/>
    </row>
    <row r="24" spans="2:24" x14ac:dyDescent="0.25">
      <c r="B24" s="98" t="str">
        <f>'Base Financials '!B97</f>
        <v>Depreciation and amortization</v>
      </c>
      <c r="C24" s="126">
        <f>'Base Financials '!C97</f>
        <v>295599</v>
      </c>
      <c r="D24" s="126">
        <f>'Base Financials '!D97</f>
        <v>297772</v>
      </c>
      <c r="E24" s="126">
        <f>'Base Financials '!E97</f>
        <v>268460</v>
      </c>
      <c r="F24" s="126">
        <f>'Base Financials '!F97</f>
        <v>241372</v>
      </c>
      <c r="G24" s="126">
        <f>'Base Financials '!G97</f>
        <v>243840</v>
      </c>
      <c r="H24" s="126">
        <f>'Base Financials '!H97</f>
        <v>0</v>
      </c>
      <c r="I24" s="126">
        <f>'Base Financials '!I97</f>
        <v>62839</v>
      </c>
      <c r="J24" s="126">
        <f>'Base Financials '!J97</f>
        <v>60882</v>
      </c>
      <c r="K24" s="126">
        <f>'Base Financials '!K97</f>
        <v>58461</v>
      </c>
      <c r="L24" s="126">
        <f>'Base Financials '!L97</f>
        <v>59190</v>
      </c>
      <c r="M24" s="126">
        <f>'Base Financials '!M97</f>
        <v>57949</v>
      </c>
      <c r="N24" s="126">
        <f>'Base Financials '!N97</f>
        <v>61913</v>
      </c>
      <c r="O24" s="126">
        <f>'Base Financials '!O97</f>
        <v>61411</v>
      </c>
      <c r="P24" s="126">
        <f>'Base Financials '!P97</f>
        <v>62567</v>
      </c>
      <c r="Q24" s="126">
        <f>'Base Financials '!Q97</f>
        <v>64739</v>
      </c>
      <c r="R24" s="126">
        <f>'Base Financials '!R97</f>
        <v>65314</v>
      </c>
      <c r="S24" s="126">
        <f>'Base Financials '!S97</f>
        <v>67022</v>
      </c>
      <c r="T24" s="6"/>
      <c r="U24" s="23">
        <f>SUM(L24:O24)</f>
        <v>240463</v>
      </c>
      <c r="V24" s="23">
        <f>SUM(P24:S24)</f>
        <v>259642</v>
      </c>
      <c r="X24" s="25">
        <f t="shared" ref="X24:X25" si="15">SUM(V24/U24)-1</f>
        <v>7.975863230517799E-2</v>
      </c>
    </row>
    <row r="25" spans="2:24" x14ac:dyDescent="0.25">
      <c r="B25" s="45" t="s">
        <v>51</v>
      </c>
      <c r="C25" s="129">
        <f>SUM(C21+C24)</f>
        <v>1201749</v>
      </c>
      <c r="D25" s="129">
        <f>SUM(D21+D24)</f>
        <v>467337.47000000067</v>
      </c>
      <c r="E25" s="129">
        <f>SUM(E21+E24)</f>
        <v>1567615</v>
      </c>
      <c r="F25" s="129">
        <f>SUM(F21+F24)</f>
        <v>1875048</v>
      </c>
      <c r="G25" s="129">
        <f t="shared" ref="G25" si="16">SUM(G21+G24)</f>
        <v>1904246.9999999981</v>
      </c>
      <c r="I25" s="129">
        <f t="shared" ref="I25:S25" si="17">SUM(I21+I24)</f>
        <v>500145.99999999953</v>
      </c>
      <c r="J25" s="129">
        <f t="shared" si="17"/>
        <v>452418</v>
      </c>
      <c r="K25" s="129">
        <f t="shared" si="17"/>
        <v>421166.00000000047</v>
      </c>
      <c r="L25" s="129">
        <f t="shared" si="17"/>
        <v>842753</v>
      </c>
      <c r="M25" s="129">
        <f t="shared" si="17"/>
        <v>507367.00000000047</v>
      </c>
      <c r="N25" s="129">
        <f t="shared" si="17"/>
        <v>458004</v>
      </c>
      <c r="O25" s="129">
        <f t="shared" si="17"/>
        <v>391135</v>
      </c>
      <c r="P25" s="129">
        <f t="shared" si="17"/>
        <v>547741</v>
      </c>
      <c r="Q25" s="129">
        <f t="shared" si="17"/>
        <v>472586.99999999953</v>
      </c>
      <c r="R25" s="129">
        <f t="shared" si="17"/>
        <v>399041</v>
      </c>
      <c r="S25" s="129">
        <f t="shared" si="17"/>
        <v>383850</v>
      </c>
      <c r="U25" s="129">
        <f t="shared" ref="U25:V25" si="18">SUM(U21+U24)</f>
        <v>2199259</v>
      </c>
      <c r="V25" s="129">
        <f t="shared" si="18"/>
        <v>1803219</v>
      </c>
      <c r="X25" s="30">
        <f t="shared" si="15"/>
        <v>-0.18007883564418747</v>
      </c>
    </row>
    <row r="26" spans="2:24" x14ac:dyDescent="0.25">
      <c r="B26" s="31" t="s">
        <v>23</v>
      </c>
      <c r="C26" s="42"/>
      <c r="D26" s="42"/>
      <c r="E26" s="42"/>
      <c r="F26" s="33">
        <f>F25/E25-1</f>
        <v>0.19611511755118438</v>
      </c>
      <c r="G26" s="33">
        <f>G25/F25-1</f>
        <v>1.55724013465246E-2</v>
      </c>
      <c r="H26" s="33"/>
      <c r="I26" s="33"/>
      <c r="J26" s="33">
        <f t="shared" ref="J26:R26" si="19">J25/I25-1</f>
        <v>-9.542813498458369E-2</v>
      </c>
      <c r="K26" s="33">
        <f t="shared" si="19"/>
        <v>-6.9077711320061352E-2</v>
      </c>
      <c r="L26" s="33">
        <f t="shared" si="19"/>
        <v>1.000999605856121</v>
      </c>
      <c r="M26" s="33">
        <f t="shared" si="19"/>
        <v>-0.39796476547695414</v>
      </c>
      <c r="N26" s="33">
        <f t="shared" si="19"/>
        <v>-9.7292492416732657E-2</v>
      </c>
      <c r="O26" s="33">
        <f t="shared" si="19"/>
        <v>-0.14600090828901058</v>
      </c>
      <c r="P26" s="33">
        <f t="shared" si="19"/>
        <v>0.4003886126273537</v>
      </c>
      <c r="Q26" s="33">
        <f t="shared" si="19"/>
        <v>-0.13720718368718143</v>
      </c>
      <c r="R26" s="33">
        <f t="shared" si="19"/>
        <v>-0.15562425542810021</v>
      </c>
      <c r="S26" s="33">
        <f>S25/Q25-1</f>
        <v>-0.18776860133689588</v>
      </c>
      <c r="T26" s="6"/>
      <c r="U26" s="6"/>
      <c r="V26" s="33">
        <f>V25/U25-1</f>
        <v>-0.18007883564418747</v>
      </c>
    </row>
    <row r="27" spans="2:24" x14ac:dyDescent="0.25">
      <c r="B27" s="31" t="s">
        <v>52</v>
      </c>
      <c r="C27" s="33">
        <f>SUM(C25/C9)</f>
        <v>0.16244092376550201</v>
      </c>
      <c r="D27" s="33">
        <f>SUM(D25/D9)</f>
        <v>7.6733039167407674E-2</v>
      </c>
      <c r="E27" s="33">
        <f>SUM(E25/E9)</f>
        <v>0.18162845102051481</v>
      </c>
      <c r="F27" s="33">
        <f>SUM(F25/F9)</f>
        <v>0.18367373327142464</v>
      </c>
      <c r="G27" s="33">
        <f>SUM(G25/G9)</f>
        <v>0.16991126232600282</v>
      </c>
      <c r="H27" s="33"/>
      <c r="I27" s="33">
        <f>SUM(I25/I9)</f>
        <v>0.21319996027112809</v>
      </c>
      <c r="J27" s="33">
        <f>SUM(J25/J9)</f>
        <v>0.19695069419745567</v>
      </c>
      <c r="K27" s="33">
        <f>SUM(K25/K9)</f>
        <v>0.18007835665661748</v>
      </c>
      <c r="L27" s="33">
        <f>SUM(L25/L9)</f>
        <v>0.26117517408258961</v>
      </c>
      <c r="M27" s="33">
        <f>SUM(M25/M9)</f>
        <v>0.19260301647937217</v>
      </c>
      <c r="N27" s="33">
        <f>SUM(N25/N9)</f>
        <v>0.18104291667868996</v>
      </c>
      <c r="O27" s="33">
        <f>SUM(O25/O9)</f>
        <v>0.1571496701598637</v>
      </c>
      <c r="P27" s="33">
        <f>SUM(P25/P9)</f>
        <v>0.15410666184996305</v>
      </c>
      <c r="Q27" s="33">
        <f>SUM(Q25/Q9)</f>
        <v>0.173372469778212</v>
      </c>
      <c r="R27" s="33">
        <f>SUM(R25/R9)</f>
        <v>0.15635869780301376</v>
      </c>
      <c r="S27" s="33">
        <f>SUM(S25/S9)</f>
        <v>0.15171337101300345</v>
      </c>
      <c r="T27" s="6"/>
      <c r="U27" s="33">
        <f>SUM(U25/U9)</f>
        <v>0.20214190032186319</v>
      </c>
      <c r="V27" s="33">
        <f>SUM(V25/V9)</f>
        <v>0.15870147442431057</v>
      </c>
    </row>
    <row r="28" spans="2:24" x14ac:dyDescent="0.25">
      <c r="B28" s="3" t="s">
        <v>53</v>
      </c>
      <c r="C28" s="42"/>
      <c r="D28" s="42"/>
      <c r="E28" s="42"/>
      <c r="F28" s="33"/>
      <c r="G28" s="33"/>
      <c r="H28" s="33"/>
      <c r="I28" s="33"/>
      <c r="J28" s="33"/>
      <c r="K28" s="33"/>
      <c r="L28" s="33"/>
      <c r="M28" s="33"/>
      <c r="N28" s="33"/>
      <c r="O28" s="33"/>
      <c r="P28" s="33"/>
      <c r="Q28" s="33"/>
      <c r="R28" s="33"/>
      <c r="S28" s="33"/>
      <c r="T28" s="6"/>
      <c r="U28" s="6"/>
      <c r="V28" s="33"/>
    </row>
    <row r="29" spans="2:24" x14ac:dyDescent="0.25">
      <c r="B29" s="98" t="str">
        <f>'Base Financials '!B100</f>
        <v>Stock-based compensation expense</v>
      </c>
      <c r="C29" s="126">
        <f>'Base Financials '!C100</f>
        <v>25045</v>
      </c>
      <c r="D29" s="126">
        <f>'Base Financials '!D100</f>
        <v>27583</v>
      </c>
      <c r="E29" s="126">
        <f>'Base Financials '!E100</f>
        <v>47259</v>
      </c>
      <c r="F29" s="126">
        <f>'Base Financials '!F100</f>
        <v>43044</v>
      </c>
      <c r="G29" s="126">
        <f>'Base Financials '!G100</f>
        <v>48246</v>
      </c>
      <c r="H29" s="126">
        <f>'Base Financials '!H100</f>
        <v>0</v>
      </c>
      <c r="I29" s="126">
        <f>'Base Financials '!I100</f>
        <v>10356</v>
      </c>
      <c r="J29" s="126">
        <f>'Base Financials '!J100</f>
        <v>12519</v>
      </c>
      <c r="K29" s="126">
        <f>'Base Financials '!K100</f>
        <v>9679</v>
      </c>
      <c r="L29" s="126">
        <f>'Base Financials '!L100</f>
        <v>10490</v>
      </c>
      <c r="M29" s="126">
        <f>'Base Financials '!M100</f>
        <v>9721</v>
      </c>
      <c r="N29" s="126">
        <f>'Base Financials '!N100</f>
        <v>11818</v>
      </c>
      <c r="O29" s="126">
        <f>'Base Financials '!O100</f>
        <v>11938</v>
      </c>
      <c r="P29" s="126">
        <f>'Base Financials '!P100</f>
        <v>14769</v>
      </c>
      <c r="Q29" s="126">
        <f>'Base Financials '!Q100</f>
        <v>10082</v>
      </c>
      <c r="R29" s="126">
        <f>'Base Financials '!R100</f>
        <v>9190</v>
      </c>
      <c r="S29" s="126">
        <f>'Base Financials '!S100</f>
        <v>8419</v>
      </c>
      <c r="U29" s="23">
        <f>SUM(L29:O29)</f>
        <v>43967</v>
      </c>
      <c r="V29" s="23">
        <f>SUM(P29:S29)</f>
        <v>42460</v>
      </c>
      <c r="X29" s="25">
        <f t="shared" ref="X29" si="20">SUM(V29/U29)-1</f>
        <v>-3.4275706780085069E-2</v>
      </c>
    </row>
    <row r="30" spans="2:24" x14ac:dyDescent="0.25">
      <c r="B30" s="45" t="s">
        <v>54</v>
      </c>
      <c r="C30" s="129">
        <f>SUM(C25+C29)</f>
        <v>1226794</v>
      </c>
      <c r="D30" s="129">
        <f>SUM(D25+D29)</f>
        <v>494920.47000000067</v>
      </c>
      <c r="E30" s="129">
        <f>SUM(E25+E29)</f>
        <v>1614874</v>
      </c>
      <c r="F30" s="129">
        <f>SUM(F25+F29)</f>
        <v>1918092</v>
      </c>
      <c r="G30" s="129">
        <f t="shared" ref="G30" si="21">SUM(G25+G29)</f>
        <v>1952492.9999999981</v>
      </c>
      <c r="I30" s="129">
        <f t="shared" ref="I30:S30" si="22">SUM(I25+I29)</f>
        <v>510501.99999999953</v>
      </c>
      <c r="J30" s="129">
        <f t="shared" si="22"/>
        <v>464937</v>
      </c>
      <c r="K30" s="129">
        <f t="shared" si="22"/>
        <v>430845.00000000047</v>
      </c>
      <c r="L30" s="129">
        <f t="shared" si="22"/>
        <v>853243</v>
      </c>
      <c r="M30" s="129">
        <f t="shared" si="22"/>
        <v>517088.00000000047</v>
      </c>
      <c r="N30" s="129">
        <f t="shared" si="22"/>
        <v>469822</v>
      </c>
      <c r="O30" s="129">
        <f t="shared" si="22"/>
        <v>403073</v>
      </c>
      <c r="P30" s="129">
        <f t="shared" si="22"/>
        <v>562510</v>
      </c>
      <c r="Q30" s="129">
        <f t="shared" si="22"/>
        <v>482668.99999999953</v>
      </c>
      <c r="R30" s="129">
        <f t="shared" si="22"/>
        <v>408231</v>
      </c>
      <c r="S30" s="129">
        <f t="shared" si="22"/>
        <v>392269</v>
      </c>
      <c r="U30" s="129">
        <f t="shared" ref="U30:V30" si="23">SUM(U25+U29)</f>
        <v>2243226</v>
      </c>
      <c r="V30" s="129">
        <f t="shared" si="23"/>
        <v>1845679</v>
      </c>
      <c r="X30" s="30">
        <f>SUM(V30/U30)-1</f>
        <v>-0.17722110924177947</v>
      </c>
    </row>
    <row r="31" spans="2:24" x14ac:dyDescent="0.25">
      <c r="B31" s="31" t="s">
        <v>23</v>
      </c>
      <c r="C31" s="42"/>
      <c r="D31" s="42"/>
      <c r="E31" s="42"/>
      <c r="F31" s="33">
        <f>F30/E30-1</f>
        <v>0.18776573280639841</v>
      </c>
      <c r="G31" s="33">
        <f>G30/F30-1</f>
        <v>1.7935010416600505E-2</v>
      </c>
      <c r="H31" s="33"/>
      <c r="I31" s="33"/>
      <c r="J31" s="33">
        <f t="shared" ref="J31:R31" si="24">J30/I30-1</f>
        <v>-8.9255282055701213E-2</v>
      </c>
      <c r="K31" s="33">
        <f t="shared" si="24"/>
        <v>-7.3326063531187091E-2</v>
      </c>
      <c r="L31" s="33">
        <f t="shared" si="24"/>
        <v>0.98039434135245651</v>
      </c>
      <c r="M31" s="33">
        <f t="shared" si="24"/>
        <v>-0.39397334639721571</v>
      </c>
      <c r="N31" s="33">
        <f t="shared" si="24"/>
        <v>-9.1408038863791896E-2</v>
      </c>
      <c r="O31" s="33">
        <f t="shared" si="24"/>
        <v>-0.14207295528945008</v>
      </c>
      <c r="P31" s="33">
        <f t="shared" si="24"/>
        <v>0.39555365901462025</v>
      </c>
      <c r="Q31" s="33">
        <f t="shared" si="24"/>
        <v>-0.141937032230539</v>
      </c>
      <c r="R31" s="33">
        <f t="shared" si="24"/>
        <v>-0.15422163014405232</v>
      </c>
      <c r="S31" s="33">
        <f>S30/Q30-1</f>
        <v>-0.18729191226285435</v>
      </c>
      <c r="T31" s="6"/>
      <c r="U31" s="6"/>
      <c r="V31" s="33">
        <f>V30/U30-1</f>
        <v>-0.17722110924177947</v>
      </c>
    </row>
    <row r="32" spans="2:24" x14ac:dyDescent="0.25">
      <c r="B32" s="31" t="s">
        <v>55</v>
      </c>
      <c r="C32" s="33">
        <f>C30/C9</f>
        <v>0.16582626707405232</v>
      </c>
      <c r="D32" s="33">
        <f>D30/D9</f>
        <v>8.1261945054955279E-2</v>
      </c>
      <c r="E32" s="33">
        <f>E30/E9</f>
        <v>0.18710401674728988</v>
      </c>
      <c r="F32" s="33">
        <f>F30/F9</f>
        <v>0.18789018649018766</v>
      </c>
      <c r="G32" s="33">
        <f>G30/G9</f>
        <v>0.17421613389055318</v>
      </c>
      <c r="H32" s="33"/>
      <c r="I32" s="33">
        <f>I30/I9</f>
        <v>0.21761446881176982</v>
      </c>
      <c r="J32" s="33">
        <f>J30/J9</f>
        <v>0.20240057846523005</v>
      </c>
      <c r="K32" s="33">
        <f>K30/K9</f>
        <v>0.18421681610984827</v>
      </c>
      <c r="L32" s="33">
        <f>L30/L9</f>
        <v>0.26442610000765471</v>
      </c>
      <c r="M32" s="33">
        <f>M30/M9</f>
        <v>0.19629323268026025</v>
      </c>
      <c r="N32" s="33">
        <f>N30/N9</f>
        <v>0.18571441559422075</v>
      </c>
      <c r="O32" s="33">
        <f>O30/O9</f>
        <v>0.16194610300879936</v>
      </c>
      <c r="P32" s="33">
        <f>P30/P9</f>
        <v>0.15826191276026941</v>
      </c>
      <c r="Q32" s="33">
        <f>Q30/Q9</f>
        <v>0.17707113529441099</v>
      </c>
      <c r="R32" s="33">
        <f>R30/R9</f>
        <v>0.15995967222120563</v>
      </c>
      <c r="S32" s="33">
        <f>S30/S9</f>
        <v>0.15504090747401289</v>
      </c>
      <c r="U32" s="33">
        <f>U30/U9</f>
        <v>0.20618306733832253</v>
      </c>
      <c r="V32" s="33">
        <f>V30/V9</f>
        <v>0.16243838303278033</v>
      </c>
    </row>
    <row r="33" spans="2:2" x14ac:dyDescent="0.25">
      <c r="B33" s="3"/>
    </row>
  </sheetData>
  <mergeCells count="1">
    <mergeCell ref="X7:X8"/>
  </mergeCells>
  <conditionalFormatting sqref="C13:K13 M13:S13 C8:V8">
    <cfRule type="timePeriod" dxfId="1" priority="5" timePeriod="lastWeek">
      <formula>AND(TODAY()-ROUNDDOWN(C8,0)&gt;=(WEEKDAY(TODAY())),TODAY()-ROUNDDOWN(C8,0)&lt;(WEEKDAY(TODAY())+7))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DF921-BA34-436D-861F-051F1025A97F}">
  <dimension ref="A2:AA45"/>
  <sheetViews>
    <sheetView showGridLines="0" topLeftCell="P36" zoomScale="274" zoomScaleNormal="145" workbookViewId="0">
      <selection activeCell="C45" sqref="C45"/>
    </sheetView>
  </sheetViews>
  <sheetFormatPr defaultRowHeight="15" x14ac:dyDescent="0.25"/>
  <cols>
    <col min="1" max="1" width="4.5703125" customWidth="1"/>
    <col min="2" max="2" width="60.5703125" bestFit="1" customWidth="1"/>
    <col min="3" max="7" width="12.7109375" bestFit="1" customWidth="1"/>
    <col min="8" max="8" width="1.5703125" customWidth="1"/>
    <col min="9" max="10" width="10.85546875" bestFit="1" customWidth="1"/>
    <col min="11" max="11" width="12" bestFit="1" customWidth="1"/>
    <col min="12" max="14" width="10.85546875" bestFit="1" customWidth="1"/>
    <col min="15" max="15" width="12" bestFit="1" customWidth="1"/>
    <col min="16" max="16" width="11.28515625" bestFit="1" customWidth="1"/>
    <col min="17" max="18" width="10.85546875" bestFit="1" customWidth="1"/>
    <col min="19" max="19" width="10.7109375" customWidth="1"/>
    <col min="20" max="20" width="2.140625" customWidth="1"/>
    <col min="21" max="21" width="10.7109375" bestFit="1" customWidth="1"/>
    <col min="22" max="22" width="11.140625" bestFit="1" customWidth="1"/>
    <col min="23" max="23" width="2.28515625" customWidth="1"/>
  </cols>
  <sheetData>
    <row r="2" spans="1:27" x14ac:dyDescent="0.25">
      <c r="A2" s="6"/>
      <c r="B2" s="7" t="s">
        <v>191</v>
      </c>
      <c r="C2" s="8"/>
      <c r="D2" s="8"/>
      <c r="E2" s="8"/>
      <c r="F2" s="8"/>
      <c r="G2" s="8"/>
      <c r="H2" s="8"/>
      <c r="I2" s="8"/>
      <c r="J2" s="8"/>
      <c r="K2" s="8"/>
      <c r="L2" s="8"/>
      <c r="M2" s="8"/>
      <c r="N2" s="8"/>
      <c r="O2" s="8"/>
      <c r="P2" s="8"/>
      <c r="Q2" s="8"/>
      <c r="R2" s="8"/>
      <c r="S2" s="8"/>
      <c r="T2" s="8"/>
      <c r="U2" s="8"/>
      <c r="V2" s="8"/>
      <c r="W2" s="6"/>
      <c r="X2" s="6"/>
      <c r="Y2" s="6"/>
      <c r="Z2" s="6"/>
      <c r="AA2" s="6"/>
    </row>
    <row r="3" spans="1:27" x14ac:dyDescent="0.25">
      <c r="A3" s="6"/>
      <c r="B3" s="9" t="s">
        <v>14</v>
      </c>
      <c r="C3" s="8"/>
      <c r="D3" s="8"/>
      <c r="E3" s="8"/>
      <c r="F3" s="8"/>
      <c r="G3" s="8"/>
      <c r="H3" s="8"/>
      <c r="I3" s="8"/>
      <c r="J3" s="8"/>
      <c r="K3" s="8"/>
      <c r="L3" s="8"/>
      <c r="M3" s="8"/>
      <c r="N3" s="8"/>
      <c r="O3" s="8"/>
      <c r="P3" s="8"/>
      <c r="Q3" s="8"/>
      <c r="R3" s="8"/>
      <c r="S3" s="8"/>
      <c r="T3" s="8"/>
      <c r="U3" s="8"/>
      <c r="V3" s="8"/>
      <c r="W3" s="6"/>
      <c r="X3" s="6"/>
      <c r="Y3" s="6"/>
      <c r="Z3" s="6"/>
      <c r="AA3" s="6"/>
    </row>
    <row r="4" spans="1:27" ht="3" customHeight="1" x14ac:dyDescent="0.25">
      <c r="A4" s="6"/>
      <c r="B4" s="10"/>
      <c r="C4" s="6"/>
      <c r="D4" s="6"/>
      <c r="E4" s="6"/>
      <c r="F4" s="6"/>
      <c r="G4" s="6"/>
      <c r="H4" s="6"/>
      <c r="I4" s="6"/>
      <c r="J4" s="6"/>
      <c r="K4" s="6"/>
      <c r="L4" s="6"/>
      <c r="M4" s="6"/>
      <c r="N4" s="6"/>
      <c r="O4" s="6"/>
      <c r="P4" s="6"/>
      <c r="Q4" s="6"/>
      <c r="R4" s="6"/>
      <c r="S4" s="6"/>
      <c r="T4" s="6"/>
      <c r="U4" s="6"/>
      <c r="V4" s="6"/>
      <c r="W4" s="6"/>
      <c r="X4" s="6"/>
      <c r="Y4" s="6"/>
      <c r="Z4" s="6"/>
      <c r="AA4" s="6"/>
    </row>
    <row r="5" spans="1:27" ht="15.75" thickBot="1" x14ac:dyDescent="0.3">
      <c r="A5" s="6"/>
      <c r="B5" s="11"/>
      <c r="C5" s="11"/>
      <c r="D5" s="11"/>
      <c r="E5" s="11" t="s">
        <v>4</v>
      </c>
      <c r="F5" s="11"/>
      <c r="G5" s="11"/>
      <c r="H5" s="6"/>
      <c r="I5" s="11" t="s">
        <v>5</v>
      </c>
      <c r="J5" s="11"/>
      <c r="K5" s="11"/>
      <c r="L5" s="11"/>
      <c r="M5" s="11"/>
      <c r="N5" s="11"/>
      <c r="O5" s="11"/>
      <c r="P5" s="11"/>
      <c r="Q5" s="11"/>
      <c r="R5" s="11"/>
      <c r="S5" s="11"/>
      <c r="T5" s="6"/>
      <c r="U5" s="11" t="s">
        <v>6</v>
      </c>
      <c r="V5" s="11"/>
      <c r="W5" s="12"/>
      <c r="X5" s="11" t="s">
        <v>15</v>
      </c>
      <c r="Y5" s="6"/>
      <c r="Z5" s="6"/>
      <c r="AA5" s="6"/>
    </row>
    <row r="6" spans="1:27" ht="6" customHeight="1" x14ac:dyDescent="0.25">
      <c r="A6" s="6"/>
      <c r="B6" s="6"/>
      <c r="C6" s="6"/>
      <c r="D6" s="6"/>
      <c r="E6" s="6"/>
      <c r="F6" s="6"/>
      <c r="G6" s="6"/>
      <c r="H6" s="6"/>
      <c r="I6" s="6"/>
      <c r="J6" s="6"/>
      <c r="K6" s="6"/>
      <c r="L6" s="6"/>
      <c r="M6" s="6"/>
      <c r="N6" s="6"/>
      <c r="O6" s="6"/>
      <c r="P6" s="6"/>
      <c r="Q6" s="6"/>
      <c r="R6" s="6"/>
      <c r="S6" s="6"/>
      <c r="T6" s="6"/>
      <c r="U6" s="6"/>
      <c r="V6" s="6"/>
      <c r="W6" s="6"/>
      <c r="X6" s="6"/>
      <c r="Y6" s="6"/>
      <c r="Z6" s="6"/>
      <c r="AA6" s="6"/>
    </row>
    <row r="7" spans="1:27" s="269" customFormat="1" x14ac:dyDescent="0.25">
      <c r="A7" s="269" t="s">
        <v>16</v>
      </c>
      <c r="B7" s="270" t="s">
        <v>192</v>
      </c>
      <c r="C7" s="123" t="s">
        <v>85</v>
      </c>
      <c r="D7" s="123" t="s">
        <v>71</v>
      </c>
      <c r="E7" s="123" t="s">
        <v>18</v>
      </c>
      <c r="F7" s="123" t="s">
        <v>19</v>
      </c>
      <c r="G7" s="123" t="s">
        <v>20</v>
      </c>
      <c r="I7" s="123" t="s">
        <v>56</v>
      </c>
      <c r="J7" s="123" t="s">
        <v>57</v>
      </c>
      <c r="K7" s="123" t="s">
        <v>58</v>
      </c>
      <c r="L7" s="123" t="s">
        <v>59</v>
      </c>
      <c r="M7" s="123" t="s">
        <v>60</v>
      </c>
      <c r="N7" s="123" t="s">
        <v>61</v>
      </c>
      <c r="O7" s="123" t="s">
        <v>62</v>
      </c>
      <c r="P7" s="123" t="s">
        <v>63</v>
      </c>
      <c r="Q7" s="123" t="s">
        <v>64</v>
      </c>
      <c r="R7" s="123" t="s">
        <v>65</v>
      </c>
      <c r="S7" s="123" t="s">
        <v>66</v>
      </c>
      <c r="T7" s="139"/>
      <c r="U7" s="123" t="str">
        <f>O7</f>
        <v>3Q23</v>
      </c>
      <c r="V7" s="123" t="str">
        <f>S7</f>
        <v>3Q24</v>
      </c>
      <c r="W7" s="139"/>
      <c r="X7" s="245" t="s">
        <v>21</v>
      </c>
    </row>
    <row r="8" spans="1:27" s="269" customFormat="1" x14ac:dyDescent="0.25">
      <c r="B8" s="15" t="s">
        <v>70</v>
      </c>
      <c r="C8" s="124" t="str">
        <f>'Base Financials '!C8</f>
        <v>Feb. 01, 2020</v>
      </c>
      <c r="D8" s="124" t="str">
        <f>'Base Financials '!D8</f>
        <v>Jan. 30, 2021</v>
      </c>
      <c r="E8" s="124" t="str">
        <f>'Base Financials '!E8</f>
        <v>Jan. 29, 2022</v>
      </c>
      <c r="F8" s="124" t="str">
        <f>'Base Financials '!F8</f>
        <v>Jan. 28, 2023</v>
      </c>
      <c r="G8" s="124" t="str">
        <f>'Base Financials '!G8</f>
        <v>Feb. 03, 2024</v>
      </c>
      <c r="H8" s="268"/>
      <c r="I8" s="124">
        <f>'Base Financials '!I8</f>
        <v>0</v>
      </c>
      <c r="J8" s="124" t="str">
        <f>'Base Financials '!J8</f>
        <v>Jul. 30, 2022</v>
      </c>
      <c r="K8" s="124" t="str">
        <f>'Base Financials '!K8</f>
        <v>Oct. 29, 2022</v>
      </c>
      <c r="L8" s="124" t="str">
        <f>'Base Financials '!L8</f>
        <v>Jan. 28, 2023</v>
      </c>
      <c r="M8" s="124" t="str">
        <f>'Base Financials '!M8</f>
        <v>Apr. 29, 2023</v>
      </c>
      <c r="N8" s="124" t="str">
        <f>'Base Financials '!N8</f>
        <v>Jul. 29, 2023</v>
      </c>
      <c r="O8" s="124" t="str">
        <f>'Base Financials '!O8</f>
        <v>Oct. 28, 2023</v>
      </c>
      <c r="P8" s="124" t="str">
        <f>'Base Financials '!P8</f>
        <v>Feb. 03, 2024</v>
      </c>
      <c r="Q8" s="124" t="str">
        <f>'Base Financials '!Q8</f>
        <v>May 04, 2024</v>
      </c>
      <c r="R8" s="124" t="str">
        <f>'Base Financials '!R8</f>
        <v>Aug. 03, 2024</v>
      </c>
      <c r="S8" s="124">
        <f>'Base Financials '!S8</f>
        <v>45598</v>
      </c>
      <c r="T8" s="140"/>
      <c r="U8" s="125" t="str">
        <f>O8</f>
        <v>Oct. 28, 2023</v>
      </c>
      <c r="V8" s="125">
        <f>S8</f>
        <v>45598</v>
      </c>
      <c r="W8" s="149"/>
      <c r="X8" s="245"/>
    </row>
    <row r="9" spans="1:27" ht="15.75" x14ac:dyDescent="0.25">
      <c r="A9" s="6"/>
      <c r="B9" s="38"/>
      <c r="C9" s="126"/>
      <c r="D9" s="126"/>
      <c r="E9" s="126"/>
      <c r="F9" s="126"/>
      <c r="G9" s="126"/>
      <c r="H9" s="21"/>
      <c r="I9" s="126"/>
      <c r="J9" s="126"/>
      <c r="K9" s="126"/>
      <c r="L9" s="126"/>
      <c r="M9" s="126"/>
      <c r="N9" s="126"/>
      <c r="O9" s="126"/>
      <c r="P9" s="126"/>
      <c r="Q9" s="126"/>
      <c r="R9" s="126"/>
      <c r="S9" s="126"/>
      <c r="T9" s="6"/>
      <c r="U9" s="126"/>
      <c r="V9" s="126"/>
      <c r="W9" s="17"/>
      <c r="X9" s="127"/>
      <c r="Y9" s="6"/>
      <c r="Z9" s="6"/>
      <c r="AA9" s="6"/>
    </row>
    <row r="10" spans="1:27" s="271" customFormat="1" x14ac:dyDescent="0.25">
      <c r="B10" s="272" t="s">
        <v>49</v>
      </c>
      <c r="C10" s="255">
        <f>'Base Financials '!C26</f>
        <v>901094</v>
      </c>
      <c r="D10" s="255">
        <f>'Base Financials '!D26</f>
        <v>175300.47000000067</v>
      </c>
      <c r="E10" s="255">
        <f>'Base Financials '!E26</f>
        <v>1297492</v>
      </c>
      <c r="F10" s="255">
        <f>'Base Financials '!F26</f>
        <v>1638610</v>
      </c>
      <c r="G10" s="255">
        <f>'Base Financials '!G26</f>
        <v>1678028.9999999981</v>
      </c>
      <c r="H10" s="255">
        <f>'Base Financials '!H26</f>
        <v>0</v>
      </c>
      <c r="I10" s="255">
        <f>'Base Financials '!I26</f>
        <v>437707.99999999953</v>
      </c>
      <c r="J10" s="255">
        <f>'Base Financials '!J26</f>
        <v>391428</v>
      </c>
      <c r="K10" s="255">
        <f>'Base Financials '!K26</f>
        <v>361856.00000000047</v>
      </c>
      <c r="L10" s="255">
        <f>'Base Financials '!L26</f>
        <v>782456</v>
      </c>
      <c r="M10" s="255">
        <f>'Base Financials '!M26</f>
        <v>442070.00000000047</v>
      </c>
      <c r="N10" s="255">
        <f>'Base Financials '!N26</f>
        <v>391642</v>
      </c>
      <c r="O10" s="255">
        <f>'Base Financials '!O26</f>
        <v>327227</v>
      </c>
      <c r="P10" s="255">
        <f>'Base Financials '!P26</f>
        <v>517090</v>
      </c>
      <c r="Q10" s="255">
        <f>'Base Financials '!Q26</f>
        <v>400947.99999999953</v>
      </c>
      <c r="R10" s="255">
        <f>'Base Financials '!R26</f>
        <v>329201</v>
      </c>
      <c r="S10" s="255">
        <f>'Base Financials '!S26</f>
        <v>318502</v>
      </c>
      <c r="T10" s="273"/>
      <c r="U10" s="23">
        <f>SUM(L10:O10)</f>
        <v>1943395.0000000005</v>
      </c>
      <c r="V10" s="23">
        <f>SUM(P10:S10)</f>
        <v>1565740.9999999995</v>
      </c>
      <c r="X10" s="256">
        <f t="shared" ref="X10" si="0">SUM(V10/U10)-1</f>
        <v>-0.1943269381674857</v>
      </c>
    </row>
    <row r="11" spans="1:27" x14ac:dyDescent="0.25">
      <c r="B11" s="31" t="s">
        <v>23</v>
      </c>
      <c r="C11" s="42"/>
      <c r="D11" s="42"/>
      <c r="E11" s="42"/>
      <c r="F11" s="33">
        <f>F10/E10-1</f>
        <v>0.26290566724110831</v>
      </c>
      <c r="G11" s="33">
        <f>G10/F10-1</f>
        <v>2.4056364845813194E-2</v>
      </c>
      <c r="H11" s="33"/>
      <c r="I11" s="33"/>
      <c r="J11" s="33">
        <f>J10/I10-1</f>
        <v>-0.10573258884918613</v>
      </c>
      <c r="K11" s="33">
        <f>K10/J10-1</f>
        <v>-7.5549015400021347E-2</v>
      </c>
      <c r="L11" s="33">
        <f>L10/K10-1</f>
        <v>1.1623408206579384</v>
      </c>
      <c r="M11" s="33">
        <f>M10/L10-1</f>
        <v>-0.43502254439866206</v>
      </c>
      <c r="N11" s="33">
        <f>N10/M10-1</f>
        <v>-0.11407243196778882</v>
      </c>
      <c r="O11" s="33">
        <f>O10/N10-1</f>
        <v>-0.16447418816163739</v>
      </c>
      <c r="P11" s="33">
        <f>P10/O10-1</f>
        <v>0.58021801379470528</v>
      </c>
      <c r="Q11" s="33">
        <f>Q10/P10-1</f>
        <v>-0.22460693496296669</v>
      </c>
      <c r="R11" s="33">
        <f>R10/Q10-1</f>
        <v>-0.17894340413220566</v>
      </c>
      <c r="S11" s="33">
        <f>S10/Q10-1</f>
        <v>-0.20562766244001629</v>
      </c>
      <c r="T11" s="6"/>
      <c r="U11" s="6"/>
      <c r="V11" s="33">
        <f>V10/U10-1</f>
        <v>-0.1943269381674857</v>
      </c>
    </row>
    <row r="12" spans="1:27" x14ac:dyDescent="0.25">
      <c r="B12" s="3" t="s">
        <v>50</v>
      </c>
      <c r="C12" s="42"/>
      <c r="D12" s="42"/>
      <c r="E12" s="42"/>
      <c r="F12" s="33"/>
      <c r="G12" s="33"/>
      <c r="H12" s="33"/>
      <c r="I12" s="33"/>
      <c r="J12" s="33"/>
      <c r="K12" s="33"/>
      <c r="L12" s="33"/>
      <c r="M12" s="33"/>
      <c r="N12" s="33"/>
      <c r="O12" s="33"/>
      <c r="P12" s="33"/>
      <c r="Q12" s="33"/>
      <c r="R12" s="33"/>
      <c r="S12" s="33"/>
      <c r="T12" s="6"/>
      <c r="U12" s="6"/>
      <c r="V12" s="33"/>
    </row>
    <row r="13" spans="1:27" x14ac:dyDescent="0.25">
      <c r="B13" s="98" t="str">
        <f>'Base Financials '!B97</f>
        <v>Depreciation and amortization</v>
      </c>
      <c r="C13" s="126">
        <f>'Base Financials '!C97</f>
        <v>295599</v>
      </c>
      <c r="D13" s="126">
        <f>'Base Financials '!D97</f>
        <v>297772</v>
      </c>
      <c r="E13" s="126">
        <f>'Base Financials '!E97</f>
        <v>268460</v>
      </c>
      <c r="F13" s="126">
        <f>'Base Financials '!F97</f>
        <v>241372</v>
      </c>
      <c r="G13" s="126">
        <f>'Base Financials '!G97</f>
        <v>243840</v>
      </c>
      <c r="H13" s="126">
        <f>'Base Financials '!H97</f>
        <v>0</v>
      </c>
      <c r="I13" s="126">
        <f>'Base Financials '!I97</f>
        <v>62839</v>
      </c>
      <c r="J13" s="126">
        <f>'Base Financials '!J97</f>
        <v>60882</v>
      </c>
      <c r="K13" s="126">
        <f>'Base Financials '!K97</f>
        <v>58461</v>
      </c>
      <c r="L13" s="126">
        <f>'Base Financials '!L97</f>
        <v>59190</v>
      </c>
      <c r="M13" s="126">
        <f>'Base Financials '!M97</f>
        <v>57949</v>
      </c>
      <c r="N13" s="126">
        <f>'Base Financials '!N97</f>
        <v>61913</v>
      </c>
      <c r="O13" s="126">
        <f>'Base Financials '!O97</f>
        <v>61411</v>
      </c>
      <c r="P13" s="126">
        <f>'Base Financials '!P97</f>
        <v>62567</v>
      </c>
      <c r="Q13" s="126">
        <f>'Base Financials '!Q97</f>
        <v>64739</v>
      </c>
      <c r="R13" s="126">
        <f>'Base Financials '!R97</f>
        <v>65314</v>
      </c>
      <c r="S13" s="126">
        <f>'Base Financials '!S97</f>
        <v>67022</v>
      </c>
      <c r="T13" s="6"/>
      <c r="U13" s="23">
        <f>SUM(L13:O13)</f>
        <v>240463</v>
      </c>
      <c r="V13" s="23">
        <f>SUM(P13:S13)</f>
        <v>259642</v>
      </c>
      <c r="X13" s="25">
        <f t="shared" ref="X13:X14" si="1">SUM(V13/U13)-1</f>
        <v>7.975863230517799E-2</v>
      </c>
    </row>
    <row r="14" spans="1:27" x14ac:dyDescent="0.25">
      <c r="B14" s="45" t="s">
        <v>51</v>
      </c>
      <c r="C14" s="129">
        <f>SUM(C10+C13)</f>
        <v>1196693</v>
      </c>
      <c r="D14" s="129">
        <f>SUM(D10+D13)</f>
        <v>473072.47000000067</v>
      </c>
      <c r="E14" s="129">
        <f>SUM(E10+E13)</f>
        <v>1565952</v>
      </c>
      <c r="F14" s="129">
        <f>SUM(F10+F13)</f>
        <v>1879982</v>
      </c>
      <c r="G14" s="129">
        <f>SUM(G10+G13)</f>
        <v>1921868.9999999981</v>
      </c>
      <c r="I14" s="129">
        <f>SUM(I10+I13)</f>
        <v>500546.99999999953</v>
      </c>
      <c r="J14" s="129">
        <f>SUM(J10+J13)</f>
        <v>452310</v>
      </c>
      <c r="K14" s="129">
        <f>SUM(K10+K13)</f>
        <v>420317.00000000047</v>
      </c>
      <c r="L14" s="129">
        <f>SUM(L10+L13)</f>
        <v>841646</v>
      </c>
      <c r="M14" s="129">
        <f>SUM(M10+M13)</f>
        <v>500019.00000000047</v>
      </c>
      <c r="N14" s="129">
        <f>SUM(N10+N13)</f>
        <v>453555</v>
      </c>
      <c r="O14" s="129">
        <f>SUM(O10+O13)</f>
        <v>388638</v>
      </c>
      <c r="P14" s="129">
        <f>SUM(P10+P13)</f>
        <v>579657</v>
      </c>
      <c r="Q14" s="129">
        <f>SUM(Q10+Q13)</f>
        <v>465686.99999999953</v>
      </c>
      <c r="R14" s="129">
        <f>SUM(R10+R13)</f>
        <v>394515</v>
      </c>
      <c r="S14" s="129">
        <f>SUM(S10+S13)</f>
        <v>385524</v>
      </c>
      <c r="U14" s="129">
        <f>SUM(U10+U13)</f>
        <v>2183858.0000000005</v>
      </c>
      <c r="V14" s="129">
        <f>SUM(V10+V13)</f>
        <v>1825382.9999999995</v>
      </c>
      <c r="X14" s="30">
        <f t="shared" si="1"/>
        <v>-0.16414757736079955</v>
      </c>
    </row>
    <row r="15" spans="1:27" x14ac:dyDescent="0.25">
      <c r="B15" s="31" t="s">
        <v>23</v>
      </c>
      <c r="C15" s="42"/>
      <c r="D15" s="42"/>
      <c r="E15" s="42"/>
      <c r="F15" s="33">
        <f>F14/E14-1</f>
        <v>0.20053615947359815</v>
      </c>
      <c r="G15" s="33">
        <f>G14/F14-1</f>
        <v>2.2280532473182291E-2</v>
      </c>
      <c r="H15" s="33"/>
      <c r="I15" s="33"/>
      <c r="J15" s="33">
        <f t="shared" ref="J15:R15" si="2">J14/I14-1</f>
        <v>-9.6368572781376338E-2</v>
      </c>
      <c r="K15" s="33">
        <f t="shared" si="2"/>
        <v>-7.0732462249341266E-2</v>
      </c>
      <c r="L15" s="33">
        <f t="shared" si="2"/>
        <v>1.0024077065643291</v>
      </c>
      <c r="M15" s="33">
        <f t="shared" si="2"/>
        <v>-0.40590343208427238</v>
      </c>
      <c r="N15" s="33">
        <f t="shared" si="2"/>
        <v>-9.2924468870183796E-2</v>
      </c>
      <c r="O15" s="33">
        <f t="shared" si="2"/>
        <v>-0.14312927869828351</v>
      </c>
      <c r="P15" s="33">
        <f t="shared" si="2"/>
        <v>0.49150880768221317</v>
      </c>
      <c r="Q15" s="33">
        <f t="shared" si="2"/>
        <v>-0.19661627479699284</v>
      </c>
      <c r="R15" s="33">
        <f t="shared" si="2"/>
        <v>-0.15283226716657239</v>
      </c>
      <c r="S15" s="33">
        <f>S14/Q14-1</f>
        <v>-0.17213922656204617</v>
      </c>
      <c r="T15" s="6"/>
      <c r="U15" s="6"/>
      <c r="V15" s="33">
        <f>V14/U14-1</f>
        <v>-0.16414757736079955</v>
      </c>
    </row>
    <row r="16" spans="1:27" x14ac:dyDescent="0.25">
      <c r="B16" s="3" t="s">
        <v>53</v>
      </c>
      <c r="C16" s="42"/>
      <c r="D16" s="42"/>
      <c r="E16" s="42"/>
      <c r="F16" s="33"/>
      <c r="G16" s="33"/>
      <c r="H16" s="33"/>
      <c r="I16" s="33"/>
      <c r="J16" s="33"/>
      <c r="K16" s="33"/>
      <c r="L16" s="33"/>
      <c r="M16" s="33"/>
      <c r="N16" s="33"/>
      <c r="O16" s="33"/>
      <c r="P16" s="33"/>
      <c r="Q16" s="33"/>
      <c r="R16" s="33"/>
      <c r="S16" s="33"/>
      <c r="T16" s="6"/>
      <c r="U16" s="6"/>
      <c r="V16" s="33"/>
    </row>
    <row r="17" spans="2:24" x14ac:dyDescent="0.25">
      <c r="B17" s="98" t="str">
        <f>'Base Financials '!B100</f>
        <v>Stock-based compensation expense</v>
      </c>
      <c r="C17" s="126">
        <f>'Base Financials '!C100</f>
        <v>25045</v>
      </c>
      <c r="D17" s="126">
        <f>'Base Financials '!D100</f>
        <v>27583</v>
      </c>
      <c r="E17" s="126">
        <f>'Base Financials '!E100</f>
        <v>47259</v>
      </c>
      <c r="F17" s="126">
        <f>'Base Financials '!F100</f>
        <v>43044</v>
      </c>
      <c r="G17" s="126">
        <f>'Base Financials '!G100</f>
        <v>48246</v>
      </c>
      <c r="H17" s="126">
        <f>'Base Financials '!H100</f>
        <v>0</v>
      </c>
      <c r="I17" s="126">
        <f>'Base Financials '!I100</f>
        <v>10356</v>
      </c>
      <c r="J17" s="126">
        <f>'Base Financials '!J100</f>
        <v>12519</v>
      </c>
      <c r="K17" s="126">
        <f>'Base Financials '!K100</f>
        <v>9679</v>
      </c>
      <c r="L17" s="126">
        <f>'Base Financials '!L100</f>
        <v>10490</v>
      </c>
      <c r="M17" s="126">
        <f>'Base Financials '!M100</f>
        <v>9721</v>
      </c>
      <c r="N17" s="126">
        <f>'Base Financials '!N100</f>
        <v>11818</v>
      </c>
      <c r="O17" s="126">
        <f>'Base Financials '!O100</f>
        <v>11938</v>
      </c>
      <c r="P17" s="126">
        <f>'Base Financials '!P100</f>
        <v>14769</v>
      </c>
      <c r="Q17" s="126">
        <f>'Base Financials '!Q100</f>
        <v>10082</v>
      </c>
      <c r="R17" s="126">
        <f>'Base Financials '!R100</f>
        <v>9190</v>
      </c>
      <c r="S17" s="126">
        <f>'Base Financials '!S100</f>
        <v>8419</v>
      </c>
      <c r="U17" s="23">
        <f>SUM(L17:O17)</f>
        <v>43967</v>
      </c>
      <c r="V17" s="23">
        <f>SUM(P17:S17)</f>
        <v>42460</v>
      </c>
      <c r="X17" s="25">
        <f t="shared" ref="X17" si="3">SUM(V17/U17)-1</f>
        <v>-3.4275706780085069E-2</v>
      </c>
    </row>
    <row r="18" spans="2:24" x14ac:dyDescent="0.25">
      <c r="B18" s="45" t="s">
        <v>54</v>
      </c>
      <c r="C18" s="129">
        <f>SUM(C14+C17)</f>
        <v>1221738</v>
      </c>
      <c r="D18" s="129">
        <f>SUM(D14+D17)</f>
        <v>500655.47000000067</v>
      </c>
      <c r="E18" s="129">
        <f>SUM(E14+E17)</f>
        <v>1613211</v>
      </c>
      <c r="F18" s="129">
        <f>SUM(F14+F17)</f>
        <v>1923026</v>
      </c>
      <c r="G18" s="129">
        <f>SUM(G14+G17)</f>
        <v>1970114.9999999981</v>
      </c>
      <c r="I18" s="129">
        <f>SUM(I14+I17)</f>
        <v>510902.99999999953</v>
      </c>
      <c r="J18" s="129">
        <f>SUM(J14+J17)</f>
        <v>464829</v>
      </c>
      <c r="K18" s="129">
        <f>SUM(K14+K17)</f>
        <v>429996.00000000047</v>
      </c>
      <c r="L18" s="129">
        <f>SUM(L14+L17)</f>
        <v>852136</v>
      </c>
      <c r="M18" s="129">
        <f>SUM(M14+M17)</f>
        <v>509740.00000000047</v>
      </c>
      <c r="N18" s="129">
        <f>SUM(N14+N17)</f>
        <v>465373</v>
      </c>
      <c r="O18" s="129">
        <f>SUM(O14+O17)</f>
        <v>400576</v>
      </c>
      <c r="P18" s="129">
        <f>SUM(P14+P17)</f>
        <v>594426</v>
      </c>
      <c r="Q18" s="129">
        <f>SUM(Q14+Q17)</f>
        <v>475768.99999999953</v>
      </c>
      <c r="R18" s="129">
        <f>SUM(R14+R17)</f>
        <v>403705</v>
      </c>
      <c r="S18" s="129">
        <f>SUM(S14+S17)</f>
        <v>393943</v>
      </c>
      <c r="U18" s="129">
        <f>SUM(U14+U17)</f>
        <v>2227825.0000000005</v>
      </c>
      <c r="V18" s="129">
        <f>SUM(V14+V17)</f>
        <v>1867842.9999999995</v>
      </c>
      <c r="X18" s="30">
        <f>SUM(V18/U18)-1</f>
        <v>-0.16158450506660127</v>
      </c>
    </row>
    <row r="19" spans="2:24" x14ac:dyDescent="0.25">
      <c r="B19" s="31" t="s">
        <v>23</v>
      </c>
      <c r="C19" s="42"/>
      <c r="D19" s="33">
        <f t="shared" ref="D19:E19" si="4">D18/C18-1</f>
        <v>-0.59021044610219153</v>
      </c>
      <c r="E19" s="33">
        <f t="shared" si="4"/>
        <v>2.2221978918955942</v>
      </c>
      <c r="F19" s="33">
        <f>F18/E18-1</f>
        <v>0.19204865327598197</v>
      </c>
      <c r="G19" s="33">
        <f>G18/F18-1</f>
        <v>2.4486928413863351E-2</v>
      </c>
      <c r="H19" s="33"/>
      <c r="I19" s="33"/>
      <c r="J19" s="33">
        <f t="shared" ref="J19:R19" si="5">J18/I18-1</f>
        <v>-9.0181502163815042E-2</v>
      </c>
      <c r="K19" s="33">
        <f t="shared" si="5"/>
        <v>-7.4937234983186385E-2</v>
      </c>
      <c r="L19" s="33">
        <f t="shared" si="5"/>
        <v>0.98173006260523143</v>
      </c>
      <c r="M19" s="33">
        <f t="shared" si="5"/>
        <v>-0.40180910089469235</v>
      </c>
      <c r="N19" s="33">
        <f t="shared" si="5"/>
        <v>-8.7038490210696429E-2</v>
      </c>
      <c r="O19" s="33">
        <f t="shared" si="5"/>
        <v>-0.13923669830437091</v>
      </c>
      <c r="P19" s="33">
        <f t="shared" si="5"/>
        <v>0.48392814347339841</v>
      </c>
      <c r="Q19" s="33">
        <f t="shared" si="5"/>
        <v>-0.19961610023787735</v>
      </c>
      <c r="R19" s="33">
        <f t="shared" si="5"/>
        <v>-0.15146846473813891</v>
      </c>
      <c r="S19" s="33">
        <f>S18/Q18-1</f>
        <v>-0.17198682553928402</v>
      </c>
      <c r="T19" s="6"/>
      <c r="U19" s="6"/>
      <c r="V19" s="33">
        <f>V18/U18-1</f>
        <v>-0.16158450506660127</v>
      </c>
    </row>
    <row r="20" spans="2:24" x14ac:dyDescent="0.25">
      <c r="B20" s="3" t="s">
        <v>193</v>
      </c>
    </row>
    <row r="21" spans="2:24" x14ac:dyDescent="0.25">
      <c r="B21" t="str">
        <f>'Base Financials '!B105</f>
        <v>Receivables</v>
      </c>
      <c r="C21" s="126">
        <f>'Base Financials '!C105</f>
        <v>-20637</v>
      </c>
      <c r="D21" s="126">
        <f>'Base Financials '!D105</f>
        <v>-53772</v>
      </c>
      <c r="E21" s="126">
        <f>'Base Financials '!E105</f>
        <v>-40573</v>
      </c>
      <c r="F21" s="126">
        <f>'Base Financials '!F105</f>
        <v>34260</v>
      </c>
      <c r="G21" s="126">
        <f>'Base Financials '!G105</f>
        <v>-8517</v>
      </c>
      <c r="H21" s="126">
        <f>'Base Financials '!H105</f>
        <v>0</v>
      </c>
      <c r="I21" s="126">
        <f>'Base Financials '!I105</f>
        <v>40928</v>
      </c>
      <c r="J21" s="126">
        <f>'Base Financials '!J105</f>
        <v>12240</v>
      </c>
      <c r="K21" s="126">
        <f>'Base Financials '!K105</f>
        <v>-19790</v>
      </c>
      <c r="L21" s="126">
        <f>'Base Financials '!L105</f>
        <v>882</v>
      </c>
      <c r="M21" s="126">
        <f>'Base Financials '!M105</f>
        <v>9140</v>
      </c>
      <c r="N21" s="126">
        <f>'Base Financials '!N105</f>
        <v>15838</v>
      </c>
      <c r="O21" s="126">
        <f>'Base Financials '!O105</f>
        <v>-28424</v>
      </c>
      <c r="P21" s="126">
        <f>'Base Financials '!P105</f>
        <v>-5071</v>
      </c>
      <c r="Q21" s="126">
        <f>'Base Financials '!Q105</f>
        <v>4476</v>
      </c>
      <c r="R21" s="126">
        <f>'Base Financials '!R105</f>
        <v>2600</v>
      </c>
      <c r="S21" s="126">
        <f>'Base Financials '!S105</f>
        <v>-12758</v>
      </c>
      <c r="U21" s="23">
        <f t="shared" ref="U21:U28" si="6">SUM(L21:O21)</f>
        <v>-2564</v>
      </c>
      <c r="V21" s="23">
        <f t="shared" ref="V21:V28" si="7">SUM(P21:S21)</f>
        <v>-10753</v>
      </c>
      <c r="X21" s="25">
        <f t="shared" ref="X21:X28" si="8">SUM(V21/U21)-1</f>
        <v>3.1938377535101408</v>
      </c>
    </row>
    <row r="22" spans="2:24" x14ac:dyDescent="0.25">
      <c r="B22" t="str">
        <f>'Base Financials '!B106</f>
        <v>Merchandise inventories</v>
      </c>
      <c r="C22" s="126">
        <f>'Base Financials '!C106</f>
        <v>-79372</v>
      </c>
      <c r="D22" s="126">
        <f>'Base Financials '!D106</f>
        <v>125486</v>
      </c>
      <c r="E22" s="126">
        <f>'Base Financials '!E106</f>
        <v>-331003</v>
      </c>
      <c r="F22" s="126">
        <f>'Base Financials '!F106</f>
        <v>-104233</v>
      </c>
      <c r="G22" s="126">
        <f>'Base Financials '!G106</f>
        <v>-138685</v>
      </c>
      <c r="H22" s="126">
        <f>'Base Financials '!H106</f>
        <v>0</v>
      </c>
      <c r="I22" s="126">
        <f>'Base Financials '!I106</f>
        <v>-71334</v>
      </c>
      <c r="J22" s="126">
        <f>'Base Financials '!J106</f>
        <v>-95578</v>
      </c>
      <c r="K22" s="126">
        <f>'Base Financials '!K106</f>
        <v>-448539</v>
      </c>
      <c r="L22" s="126">
        <f>'Base Financials '!L106</f>
        <v>511218</v>
      </c>
      <c r="M22" s="126">
        <f>'Base Financials '!M106</f>
        <v>-147784</v>
      </c>
      <c r="N22" s="126">
        <f>'Base Financials '!N106</f>
        <v>-64304</v>
      </c>
      <c r="O22" s="126">
        <f>'Base Financials '!O106</f>
        <v>-505767</v>
      </c>
      <c r="P22" s="126">
        <f>'Base Financials '!P106</f>
        <v>579170</v>
      </c>
      <c r="Q22" s="126">
        <f>'Base Financials '!Q106</f>
        <v>-163904</v>
      </c>
      <c r="R22" s="126">
        <f>'Base Financials '!R106</f>
        <v>-92246</v>
      </c>
      <c r="S22" s="126">
        <f>'Base Financials '!S106</f>
        <v>-366900</v>
      </c>
      <c r="U22" s="23">
        <f t="shared" si="6"/>
        <v>-206637</v>
      </c>
      <c r="V22" s="23">
        <f t="shared" si="7"/>
        <v>-43880</v>
      </c>
      <c r="X22" s="25">
        <f t="shared" si="8"/>
        <v>-0.787646936415066</v>
      </c>
    </row>
    <row r="23" spans="2:24" x14ac:dyDescent="0.25">
      <c r="B23" t="str">
        <f>'Base Financials '!B107</f>
        <v>Prepaid expenses and other current assets</v>
      </c>
      <c r="C23" s="126">
        <f>'Base Financials '!C107</f>
        <v>9289</v>
      </c>
      <c r="D23" s="126">
        <f>'Base Financials '!D107</f>
        <v>-4363</v>
      </c>
      <c r="E23" s="126">
        <f>'Base Financials '!E107</f>
        <v>-3412</v>
      </c>
      <c r="F23" s="126">
        <f>'Base Financials '!F107</f>
        <v>-19432</v>
      </c>
      <c r="G23" s="126">
        <f>'Base Financials '!G107</f>
        <v>14648</v>
      </c>
      <c r="H23" s="126">
        <f>'Base Financials '!H107</f>
        <v>0</v>
      </c>
      <c r="I23" s="126">
        <f>'Base Financials '!I107</f>
        <v>-3261</v>
      </c>
      <c r="J23" s="126">
        <f>'Base Financials '!J107</f>
        <v>-8939</v>
      </c>
      <c r="K23" s="126">
        <f>'Base Financials '!K107</f>
        <v>-14628</v>
      </c>
      <c r="L23" s="126">
        <f>'Base Financials '!L107</f>
        <v>7396</v>
      </c>
      <c r="M23" s="126">
        <f>'Base Financials '!M107</f>
        <v>22232</v>
      </c>
      <c r="N23" s="126">
        <f>'Base Financials '!N107</f>
        <v>-2510</v>
      </c>
      <c r="O23" s="126">
        <f>'Base Financials '!O107</f>
        <v>-6758</v>
      </c>
      <c r="P23" s="126">
        <f>'Base Financials '!P107</f>
        <v>1684</v>
      </c>
      <c r="Q23" s="126">
        <f>'Base Financials '!Q107</f>
        <v>-10931</v>
      </c>
      <c r="R23" s="126">
        <f>'Base Financials '!R107</f>
        <v>-5494</v>
      </c>
      <c r="S23" s="126">
        <f>'Base Financials '!S107</f>
        <v>-3491</v>
      </c>
      <c r="U23" s="23">
        <f t="shared" si="6"/>
        <v>20360</v>
      </c>
      <c r="V23" s="23">
        <f t="shared" si="7"/>
        <v>-18232</v>
      </c>
      <c r="X23" s="25">
        <f t="shared" si="8"/>
        <v>-1.8954813359528488</v>
      </c>
    </row>
    <row r="24" spans="2:24" x14ac:dyDescent="0.25">
      <c r="B24" t="str">
        <f>'Base Financials '!B109</f>
        <v>Accounts payable</v>
      </c>
      <c r="C24" s="126">
        <f>'Base Financials '!C109</f>
        <v>9993</v>
      </c>
      <c r="D24" s="126">
        <f>'Base Financials '!D109</f>
        <v>62324</v>
      </c>
      <c r="E24" s="126">
        <f>'Base Financials '!E109</f>
        <v>66156</v>
      </c>
      <c r="F24" s="126">
        <f>'Base Financials '!F109</f>
        <v>8309</v>
      </c>
      <c r="G24" s="126">
        <f>'Base Financials '!G109</f>
        <v>-20873</v>
      </c>
      <c r="H24" s="126">
        <f>'Base Financials '!H109</f>
        <v>0</v>
      </c>
      <c r="I24" s="126">
        <f>'Base Financials '!I109</f>
        <v>42586</v>
      </c>
      <c r="J24" s="126">
        <f>'Base Financials '!J109</f>
        <v>-2535</v>
      </c>
      <c r="K24" s="126">
        <f>'Base Financials '!K109</f>
        <v>54163</v>
      </c>
      <c r="L24" s="126">
        <f>'Base Financials '!L109</f>
        <v>-85905</v>
      </c>
      <c r="M24" s="126">
        <f>'Base Financials '!M109</f>
        <v>62257</v>
      </c>
      <c r="N24" s="126">
        <f>'Base Financials '!N109</f>
        <v>-101009</v>
      </c>
      <c r="O24" s="126">
        <f>'Base Financials '!O109</f>
        <v>80569</v>
      </c>
      <c r="P24" s="126">
        <f>'Base Financials '!P109</f>
        <v>-62690</v>
      </c>
      <c r="Q24" s="126">
        <f>'Base Financials '!Q109</f>
        <v>-74069</v>
      </c>
      <c r="R24" s="126">
        <f>'Base Financials '!R109</f>
        <v>103784</v>
      </c>
      <c r="S24" s="126">
        <f>'Base Financials '!S109</f>
        <v>24495</v>
      </c>
      <c r="U24" s="23">
        <f t="shared" si="6"/>
        <v>-44088</v>
      </c>
      <c r="V24" s="23">
        <f t="shared" si="7"/>
        <v>-8480</v>
      </c>
      <c r="X24" s="25">
        <f t="shared" si="8"/>
        <v>-0.80765741244783162</v>
      </c>
    </row>
    <row r="25" spans="2:24" x14ac:dyDescent="0.25">
      <c r="B25" t="str">
        <f>'Base Financials '!B110</f>
        <v>Accrued liabilities</v>
      </c>
      <c r="C25" s="126">
        <f>'Base Financials '!C110</f>
        <v>28183</v>
      </c>
      <c r="D25" s="126">
        <f>'Base Financials '!D110</f>
        <v>58599</v>
      </c>
      <c r="E25" s="126">
        <f>'Base Financials '!E110</f>
        <v>58598</v>
      </c>
      <c r="F25" s="126">
        <f>'Base Financials '!F110</f>
        <v>48249</v>
      </c>
      <c r="G25" s="126">
        <f>'Base Financials '!G110</f>
        <v>-62238</v>
      </c>
      <c r="H25" s="126">
        <f>'Base Financials '!H110</f>
        <v>0</v>
      </c>
      <c r="I25" s="126">
        <f>'Base Financials '!I110</f>
        <v>-57214</v>
      </c>
      <c r="J25" s="126">
        <f>'Base Financials '!J110</f>
        <v>7850</v>
      </c>
      <c r="K25" s="126">
        <f>'Base Financials '!K110</f>
        <v>113528</v>
      </c>
      <c r="L25" s="126">
        <f>'Base Financials '!L110</f>
        <v>-15915</v>
      </c>
      <c r="M25" s="126">
        <f>'Base Financials '!M110</f>
        <v>-98515</v>
      </c>
      <c r="N25" s="126">
        <f>'Base Financials '!N110</f>
        <v>-4248</v>
      </c>
      <c r="O25" s="126">
        <f>'Base Financials '!O110</f>
        <v>67808</v>
      </c>
      <c r="P25" s="126">
        <f>'Base Financials '!P110</f>
        <v>-27283</v>
      </c>
      <c r="Q25" s="126">
        <f>'Base Financials '!Q110</f>
        <v>-43846</v>
      </c>
      <c r="R25" s="126">
        <f>'Base Financials '!R110</f>
        <v>10212</v>
      </c>
      <c r="S25" s="126">
        <f>'Base Financials '!S110</f>
        <v>-12143</v>
      </c>
      <c r="U25" s="23">
        <f t="shared" si="6"/>
        <v>-50870</v>
      </c>
      <c r="V25" s="23">
        <f t="shared" si="7"/>
        <v>-73060</v>
      </c>
      <c r="X25" s="25">
        <f t="shared" si="8"/>
        <v>0.43620994692353054</v>
      </c>
    </row>
    <row r="26" spans="2:24" x14ac:dyDescent="0.25">
      <c r="B26" t="str">
        <f>'Base Financials '!B111</f>
        <v>Deferred revenue</v>
      </c>
      <c r="C26" s="126">
        <f>'Base Financials '!C111</f>
        <v>38481</v>
      </c>
      <c r="D26" s="126">
        <f>'Base Financials '!D111</f>
        <v>36848</v>
      </c>
      <c r="E26" s="126">
        <f>'Base Financials '!E111</f>
        <v>79196</v>
      </c>
      <c r="F26" s="126">
        <f>'Base Financials '!F111</f>
        <v>41098</v>
      </c>
      <c r="G26" s="126">
        <f>'Base Financials '!G111</f>
        <v>41914</v>
      </c>
      <c r="H26" s="126">
        <f>'Base Financials '!H111</f>
        <v>0</v>
      </c>
      <c r="I26" s="126">
        <f>'Base Financials '!I111</f>
        <v>-28885</v>
      </c>
      <c r="J26" s="126">
        <f>'Base Financials '!J111</f>
        <v>-8123</v>
      </c>
      <c r="K26" s="126">
        <f>'Base Financials '!K111</f>
        <v>-4439</v>
      </c>
      <c r="L26" s="126">
        <f>'Base Financials '!L111</f>
        <v>82545</v>
      </c>
      <c r="M26" s="126">
        <f>'Base Financials '!M111</f>
        <v>-37460</v>
      </c>
      <c r="N26" s="126">
        <f>'Base Financials '!N111</f>
        <v>-2964</v>
      </c>
      <c r="O26" s="126">
        <f>'Base Financials '!O111</f>
        <v>-3316</v>
      </c>
      <c r="P26" s="126">
        <f>'Base Financials '!P111</f>
        <v>85654</v>
      </c>
      <c r="Q26" s="126">
        <f>'Base Financials '!Q111</f>
        <v>-37862</v>
      </c>
      <c r="R26" s="126">
        <f>'Base Financials '!R111</f>
        <v>-3742</v>
      </c>
      <c r="S26" s="126">
        <f>'Base Financials '!S111</f>
        <v>10053</v>
      </c>
      <c r="U26" s="23">
        <f t="shared" si="6"/>
        <v>38805</v>
      </c>
      <c r="V26" s="23">
        <f t="shared" si="7"/>
        <v>54103</v>
      </c>
      <c r="X26" s="25">
        <f t="shared" si="8"/>
        <v>0.39422754799639215</v>
      </c>
    </row>
    <row r="27" spans="2:24" x14ac:dyDescent="0.25">
      <c r="B27" t="str">
        <f>'Base Financials '!B112</f>
        <v>Operating lease liabilities</v>
      </c>
      <c r="C27" s="126">
        <f>'Base Financials '!C112</f>
        <v>-256910</v>
      </c>
      <c r="D27" s="126">
        <f>'Base Financials '!D112</f>
        <v>-297513</v>
      </c>
      <c r="E27" s="126">
        <f>'Base Financials '!E112</f>
        <v>-303914</v>
      </c>
      <c r="F27" s="126">
        <f>'Base Financials '!F112</f>
        <v>-324500</v>
      </c>
      <c r="G27" s="126">
        <f>'Base Financials '!G112</f>
        <v>-338105</v>
      </c>
      <c r="H27" s="126">
        <f>'Base Financials '!H112</f>
        <v>0</v>
      </c>
      <c r="I27" s="126">
        <f>'Base Financials '!I112</f>
        <v>-79936</v>
      </c>
      <c r="J27" s="126">
        <f>'Base Financials '!J112</f>
        <v>-83366</v>
      </c>
      <c r="K27" s="126">
        <f>'Base Financials '!K112</f>
        <v>-83686</v>
      </c>
      <c r="L27" s="126">
        <f>'Base Financials '!L112</f>
        <v>-77512</v>
      </c>
      <c r="M27" s="126">
        <f>'Base Financials '!M112</f>
        <v>-78562</v>
      </c>
      <c r="N27" s="126">
        <f>'Base Financials '!N112</f>
        <v>-84965</v>
      </c>
      <c r="O27" s="126">
        <f>'Base Financials '!O112</f>
        <v>-84942</v>
      </c>
      <c r="P27" s="126">
        <f>'Base Financials '!P112</f>
        <v>-89636</v>
      </c>
      <c r="Q27" s="126">
        <f>'Base Financials '!Q112</f>
        <v>-83500</v>
      </c>
      <c r="R27" s="126">
        <f>'Base Financials '!R112</f>
        <v>-87279</v>
      </c>
      <c r="S27" s="126">
        <f>'Base Financials '!S112</f>
        <v>-79488</v>
      </c>
      <c r="U27" s="23">
        <f t="shared" si="6"/>
        <v>-325981</v>
      </c>
      <c r="V27" s="23">
        <f t="shared" si="7"/>
        <v>-339903</v>
      </c>
      <c r="X27" s="25">
        <f t="shared" si="8"/>
        <v>4.2708010589574297E-2</v>
      </c>
    </row>
    <row r="28" spans="2:24" x14ac:dyDescent="0.25">
      <c r="B28" t="str">
        <f>'Base Financials '!B113</f>
        <v>Other assets and liabilities</v>
      </c>
      <c r="C28" s="126">
        <f>'Base Financials '!C113</f>
        <v>54894</v>
      </c>
      <c r="D28" s="126">
        <f>'Base Financials '!D113</f>
        <v>-783</v>
      </c>
      <c r="E28" s="126">
        <f>'Base Financials '!E113</f>
        <v>12392</v>
      </c>
      <c r="F28" s="126">
        <f>'Base Financials '!F113</f>
        <v>-7731</v>
      </c>
      <c r="G28" s="126">
        <f>'Base Financials '!G113</f>
        <v>-15084</v>
      </c>
      <c r="H28" s="126">
        <f>'Base Financials '!H113</f>
        <v>0</v>
      </c>
      <c r="I28" s="126">
        <f>'Base Financials '!I113</f>
        <v>3390</v>
      </c>
      <c r="J28" s="126">
        <f>'Base Financials '!J113</f>
        <v>-3782</v>
      </c>
      <c r="K28" s="126">
        <f>'Base Financials '!K113</f>
        <v>20455</v>
      </c>
      <c r="L28" s="126">
        <f>'Base Financials '!L113</f>
        <v>-27794</v>
      </c>
      <c r="M28" s="126">
        <f>'Base Financials '!M113</f>
        <v>-17204</v>
      </c>
      <c r="N28" s="126">
        <f>'Base Financials '!N113</f>
        <v>4707</v>
      </c>
      <c r="O28" s="126">
        <f>'Base Financials '!O113</f>
        <v>2661</v>
      </c>
      <c r="P28" s="126">
        <f>'Base Financials '!P113</f>
        <v>-5248</v>
      </c>
      <c r="Q28" s="126">
        <f>'Base Financials '!Q113</f>
        <v>10842</v>
      </c>
      <c r="R28" s="126">
        <f>'Base Financials '!R113</f>
        <v>4285</v>
      </c>
      <c r="S28" s="126">
        <f>'Base Financials '!S113</f>
        <v>-2887</v>
      </c>
      <c r="U28" s="23">
        <f t="shared" si="6"/>
        <v>-37630</v>
      </c>
      <c r="V28" s="23">
        <f t="shared" si="7"/>
        <v>6992</v>
      </c>
      <c r="X28" s="25">
        <f t="shared" si="8"/>
        <v>-1.1858091947913898</v>
      </c>
    </row>
    <row r="29" spans="2:24" x14ac:dyDescent="0.25">
      <c r="B29" s="45" t="s">
        <v>193</v>
      </c>
      <c r="C29" s="129">
        <f>SUM(C18-SUM(C21:C28))</f>
        <v>1437817</v>
      </c>
      <c r="D29" s="129">
        <f>SUM(D18-SUM(D21:D28))</f>
        <v>573829.47000000067</v>
      </c>
      <c r="E29" s="129">
        <f>SUM(E18-SUM(E21:E28))</f>
        <v>2075771</v>
      </c>
      <c r="F29" s="129">
        <f>SUM(F18-SUM(F21:F28))</f>
        <v>2247006</v>
      </c>
      <c r="G29" s="129">
        <f>SUM(G18-SUM(G21:G28))</f>
        <v>2497054.9999999981</v>
      </c>
      <c r="I29" s="129">
        <f>SUM(I18-SUM(I21:I28))</f>
        <v>664628.99999999953</v>
      </c>
      <c r="J29" s="129">
        <f>SUM(J18-SUM(J21:J28))</f>
        <v>647062</v>
      </c>
      <c r="K29" s="129">
        <f>SUM(K18-SUM(K21:K28))</f>
        <v>812932.00000000047</v>
      </c>
      <c r="L29" s="129">
        <f>SUM(L18-SUM(L21:L28))</f>
        <v>457221</v>
      </c>
      <c r="M29" s="129">
        <f>SUM(M18-SUM(M21:M28))</f>
        <v>795636.00000000047</v>
      </c>
      <c r="N29" s="129">
        <f>SUM(N18-SUM(N21:N28))</f>
        <v>704828</v>
      </c>
      <c r="O29" s="129">
        <f>SUM(O18-SUM(O21:O28))</f>
        <v>878745</v>
      </c>
      <c r="P29" s="129">
        <f>SUM(P18-SUM(P21:P28))</f>
        <v>117846</v>
      </c>
      <c r="Q29" s="129">
        <f>SUM(Q18-SUM(Q21:Q28))</f>
        <v>874562.99999999953</v>
      </c>
      <c r="R29" s="129">
        <f>SUM(R18-SUM(R21:R28))</f>
        <v>471585</v>
      </c>
      <c r="S29" s="129">
        <f>SUM(S18-SUM(S21:S28))</f>
        <v>837062</v>
      </c>
      <c r="U29" s="129">
        <f>SUM(U18-SUM(U21:U28))</f>
        <v>2836430.0000000005</v>
      </c>
      <c r="V29" s="129">
        <f>SUM(V18-SUM(V21:V28))</f>
        <v>2301055.9999999995</v>
      </c>
      <c r="X29" s="30">
        <f>SUM(V29/U29)-1</f>
        <v>-0.1887492375979668</v>
      </c>
    </row>
    <row r="30" spans="2:24" x14ac:dyDescent="0.25">
      <c r="B30" s="31" t="s">
        <v>23</v>
      </c>
      <c r="C30" s="42"/>
      <c r="D30" s="33">
        <f>D29/C29-1</f>
        <v>-0.60090229145990026</v>
      </c>
      <c r="E30" s="33">
        <f t="shared" ref="E30" si="9">E29/D29-1</f>
        <v>2.6174004796233237</v>
      </c>
      <c r="F30" s="33">
        <f>F29/E29-1</f>
        <v>8.2492240232665326E-2</v>
      </c>
      <c r="G30" s="33">
        <f>G29/F29-1</f>
        <v>0.11128096676199273</v>
      </c>
      <c r="H30" s="33"/>
      <c r="I30" s="33"/>
      <c r="J30" s="33">
        <f t="shared" ref="J30" si="10">J29/I29-1</f>
        <v>-2.6431287229416012E-2</v>
      </c>
      <c r="K30" s="33">
        <f t="shared" ref="K30" si="11">K29/J29-1</f>
        <v>0.25634328704204612</v>
      </c>
      <c r="L30" s="33">
        <f t="shared" ref="L30" si="12">L29/K29-1</f>
        <v>-0.43756550363376057</v>
      </c>
      <c r="M30" s="33">
        <f t="shared" ref="M30" si="13">M29/L29-1</f>
        <v>0.74015629203383138</v>
      </c>
      <c r="N30" s="33">
        <f t="shared" ref="N30" si="14">N29/M29-1</f>
        <v>-0.11413259329643255</v>
      </c>
      <c r="O30" s="33">
        <f t="shared" ref="O30" si="15">O29/N29-1</f>
        <v>0.24675098038102905</v>
      </c>
      <c r="P30" s="33">
        <f t="shared" ref="P30" si="16">P29/O29-1</f>
        <v>-0.86589283580560916</v>
      </c>
      <c r="Q30" s="33">
        <f t="shared" ref="Q30" si="17">Q29/P29-1</f>
        <v>6.4212361896033769</v>
      </c>
      <c r="R30" s="33">
        <f t="shared" ref="R30" si="18">R29/Q29-1</f>
        <v>-0.46077641061878871</v>
      </c>
      <c r="S30" s="33">
        <f>S29/Q29-1</f>
        <v>-4.2879701062129905E-2</v>
      </c>
      <c r="T30" s="6"/>
      <c r="U30" s="6"/>
      <c r="V30" s="33">
        <f>V29/U29-1</f>
        <v>-0.1887492375979668</v>
      </c>
    </row>
    <row r="31" spans="2:24" x14ac:dyDescent="0.25">
      <c r="B31" s="3" t="s">
        <v>194</v>
      </c>
    </row>
    <row r="32" spans="2:24" x14ac:dyDescent="0.25">
      <c r="B32" t="str">
        <f>'Base Financials '!B98</f>
        <v>Non-cash lease expense</v>
      </c>
      <c r="C32" s="126">
        <f>'Base Financials '!C98</f>
        <v>278820</v>
      </c>
      <c r="D32" s="126">
        <f>'Base Financials '!D98</f>
        <v>268071</v>
      </c>
      <c r="E32" s="126">
        <f>'Base Financials '!E98</f>
        <v>276229</v>
      </c>
      <c r="F32" s="126">
        <f>'Base Financials '!F98</f>
        <v>301912</v>
      </c>
      <c r="G32" s="126">
        <f>'Base Financials '!G98</f>
        <v>332754</v>
      </c>
      <c r="H32" s="126">
        <f>'Base Financials '!H98</f>
        <v>0</v>
      </c>
      <c r="I32" s="126">
        <f>'Base Financials '!I98</f>
        <v>72192</v>
      </c>
      <c r="J32" s="126">
        <f>'Base Financials '!J98</f>
        <v>74059</v>
      </c>
      <c r="K32" s="126">
        <f>'Base Financials '!K98</f>
        <v>76297</v>
      </c>
      <c r="L32" s="126">
        <f>'Base Financials '!L98</f>
        <v>79364</v>
      </c>
      <c r="M32" s="126">
        <f>'Base Financials '!M98</f>
        <v>75478</v>
      </c>
      <c r="N32" s="126">
        <f>'Base Financials '!N98</f>
        <v>77389</v>
      </c>
      <c r="O32" s="126">
        <f>'Base Financials '!O98</f>
        <v>79905</v>
      </c>
      <c r="P32" s="126">
        <f>'Base Financials '!P98</f>
        <v>99982</v>
      </c>
      <c r="Q32" s="126">
        <f>'Base Financials '!Q98</f>
        <v>77938</v>
      </c>
      <c r="R32" s="126">
        <f>'Base Financials '!R98</f>
        <v>85543</v>
      </c>
      <c r="S32" s="126">
        <f>'Base Financials '!S98</f>
        <v>72469</v>
      </c>
      <c r="U32" s="23">
        <f t="shared" ref="U32:U35" si="19">SUM(L32:O32)</f>
        <v>312136</v>
      </c>
      <c r="V32" s="23">
        <f t="shared" ref="V32:V35" si="20">SUM(P32:S32)</f>
        <v>335932</v>
      </c>
      <c r="X32" s="25">
        <f t="shared" ref="X32:X35" si="21">SUM(V32/U32)-1</f>
        <v>7.6235999692441769E-2</v>
      </c>
    </row>
    <row r="33" spans="2:24" x14ac:dyDescent="0.25">
      <c r="B33" t="str">
        <f>'Base Financials '!B99</f>
        <v>Deferred income taxes</v>
      </c>
      <c r="C33" s="126">
        <f>'Base Financials '!C99</f>
        <v>5503</v>
      </c>
      <c r="D33" s="126">
        <f>'Base Financials '!D99</f>
        <v>-24008</v>
      </c>
      <c r="E33" s="126">
        <f>'Base Financials '!E99</f>
        <v>-25666</v>
      </c>
      <c r="F33" s="126">
        <f>'Base Financials '!F99</f>
        <v>15653</v>
      </c>
      <c r="G33" s="126">
        <f>'Base Financials '!G99</f>
        <v>30575</v>
      </c>
      <c r="H33" s="126">
        <f>'Base Financials '!H99</f>
        <v>0</v>
      </c>
      <c r="I33" s="126">
        <f>'Base Financials '!I99</f>
        <v>1009</v>
      </c>
      <c r="J33" s="126">
        <f>'Base Financials '!J99</f>
        <v>-673</v>
      </c>
      <c r="K33" s="126">
        <f>'Base Financials '!K99</f>
        <v>-1402</v>
      </c>
      <c r="L33" s="126">
        <f>'Base Financials '!L99</f>
        <v>16719</v>
      </c>
      <c r="M33" s="126">
        <f>'Base Financials '!M99</f>
        <v>2144</v>
      </c>
      <c r="N33" s="126">
        <f>'Base Financials '!N99</f>
        <v>-1478</v>
      </c>
      <c r="O33" s="126">
        <f>'Base Financials '!O99</f>
        <v>862</v>
      </c>
      <c r="P33" s="126">
        <f>'Base Financials '!P99</f>
        <v>29047</v>
      </c>
      <c r="Q33" s="126">
        <f>'Base Financials '!Q99</f>
        <v>3635</v>
      </c>
      <c r="R33" s="126">
        <f>'Base Financials '!R99</f>
        <v>-1095</v>
      </c>
      <c r="S33" s="126">
        <f>'Base Financials '!S99</f>
        <v>3268</v>
      </c>
      <c r="U33" s="23">
        <f t="shared" si="19"/>
        <v>18247</v>
      </c>
      <c r="V33" s="23">
        <f t="shared" si="20"/>
        <v>34855</v>
      </c>
      <c r="X33" s="25">
        <f t="shared" si="21"/>
        <v>0.91017701539979168</v>
      </c>
    </row>
    <row r="34" spans="2:24" x14ac:dyDescent="0.25">
      <c r="B34" t="str">
        <f>'Base Financials '!B101</f>
        <v>Loss on disposal of property and equipment</v>
      </c>
      <c r="C34" s="126">
        <f>'Base Financials '!C101</f>
        <v>5850</v>
      </c>
      <c r="D34" s="126">
        <f>'Base Financials '!D101</f>
        <v>6827</v>
      </c>
      <c r="E34" s="126">
        <f>'Base Financials '!E101</f>
        <v>5358</v>
      </c>
      <c r="F34" s="126">
        <f>'Base Financials '!F101</f>
        <v>6688</v>
      </c>
      <c r="G34" s="126">
        <f>'Base Financials '!G101</f>
        <v>11419</v>
      </c>
      <c r="H34" s="126">
        <f>'Base Financials '!H101</f>
        <v>0</v>
      </c>
      <c r="I34" s="126">
        <f>'Base Financials '!I101</f>
        <v>1002</v>
      </c>
      <c r="J34" s="126">
        <f>'Base Financials '!J101</f>
        <v>1275</v>
      </c>
      <c r="K34" s="126">
        <f>'Base Financials '!K101</f>
        <v>1615</v>
      </c>
      <c r="L34" s="126">
        <f>'Base Financials '!L101</f>
        <v>2796</v>
      </c>
      <c r="M34" s="126">
        <f>'Base Financials '!M101</f>
        <v>1451</v>
      </c>
      <c r="N34" s="126">
        <f>'Base Financials '!N101</f>
        <v>2427</v>
      </c>
      <c r="O34" s="126">
        <f>'Base Financials '!O101</f>
        <v>2432</v>
      </c>
      <c r="P34" s="126">
        <f>'Base Financials '!P101</f>
        <v>5109</v>
      </c>
      <c r="Q34" s="126">
        <f>'Base Financials '!Q101</f>
        <v>2975</v>
      </c>
      <c r="R34" s="126">
        <f>'Base Financials '!R101</f>
        <v>2229</v>
      </c>
      <c r="S34" s="126">
        <f>'Base Financials '!S101</f>
        <v>2076</v>
      </c>
      <c r="U34" s="23">
        <f t="shared" si="19"/>
        <v>9106</v>
      </c>
      <c r="V34" s="23">
        <f t="shared" si="20"/>
        <v>12389</v>
      </c>
      <c r="X34" s="25">
        <f t="shared" si="21"/>
        <v>0.36053151768065006</v>
      </c>
    </row>
    <row r="35" spans="2:24" x14ac:dyDescent="0.25">
      <c r="B35" t="str">
        <f>'Base Financials '!B102</f>
        <v>Long-lived asset impairment charge</v>
      </c>
      <c r="C35" s="126">
        <f>'Base Financials '!C102</f>
        <v>0</v>
      </c>
      <c r="D35" s="126">
        <f>'Base Financials '!D102</f>
        <v>72533</v>
      </c>
      <c r="E35" s="126">
        <f>'Base Financials '!E102</f>
        <v>0</v>
      </c>
      <c r="F35" s="126">
        <f>'Base Financials '!F102</f>
        <v>0</v>
      </c>
      <c r="G35" s="126">
        <f>'Base Financials '!G102</f>
        <v>0</v>
      </c>
      <c r="H35" s="126">
        <f>'Base Financials '!H102</f>
        <v>0</v>
      </c>
      <c r="I35" s="126">
        <f>'Base Financials '!I102</f>
        <v>0</v>
      </c>
      <c r="J35" s="126">
        <f>'Base Financials '!J102</f>
        <v>0</v>
      </c>
      <c r="K35" s="126">
        <f>'Base Financials '!K102</f>
        <v>0</v>
      </c>
      <c r="L35" s="126">
        <f>'Base Financials '!L102</f>
        <v>0</v>
      </c>
      <c r="M35" s="126">
        <f>'Base Financials '!M102</f>
        <v>0</v>
      </c>
      <c r="N35" s="126">
        <f>'Base Financials '!N102</f>
        <v>0</v>
      </c>
      <c r="O35" s="126">
        <f>'Base Financials '!O102</f>
        <v>0</v>
      </c>
      <c r="P35" s="126">
        <f>'Base Financials '!P102</f>
        <v>0</v>
      </c>
      <c r="Q35" s="126">
        <f>'Base Financials '!Q102</f>
        <v>0</v>
      </c>
      <c r="R35" s="126">
        <f>'Base Financials '!R102</f>
        <v>0</v>
      </c>
      <c r="S35" s="126">
        <f>'Base Financials '!S102</f>
        <v>0</v>
      </c>
      <c r="U35" s="23">
        <f t="shared" si="19"/>
        <v>0</v>
      </c>
      <c r="V35" s="23">
        <f t="shared" si="20"/>
        <v>0</v>
      </c>
      <c r="X35" s="25" t="e">
        <f t="shared" si="21"/>
        <v>#DIV/0!</v>
      </c>
    </row>
    <row r="36" spans="2:24" x14ac:dyDescent="0.25">
      <c r="B36" s="45" t="s">
        <v>194</v>
      </c>
      <c r="C36" s="129">
        <f>SUM(C29+SUM(C32:C35))</f>
        <v>1727990</v>
      </c>
      <c r="D36" s="129">
        <f t="shared" ref="D36:G36" si="22">SUM(D29+SUM(D32:D35))</f>
        <v>897252.47000000067</v>
      </c>
      <c r="E36" s="129">
        <f t="shared" si="22"/>
        <v>2331692</v>
      </c>
      <c r="F36" s="129">
        <f t="shared" si="22"/>
        <v>2571259</v>
      </c>
      <c r="G36" s="129">
        <f t="shared" si="22"/>
        <v>2871802.9999999981</v>
      </c>
      <c r="I36" s="129">
        <f t="shared" ref="I36" si="23">SUM(I29+SUM(I32:I35))</f>
        <v>738831.99999999953</v>
      </c>
      <c r="J36" s="129">
        <f t="shared" ref="J36" si="24">SUM(J29+SUM(J32:J35))</f>
        <v>721723</v>
      </c>
      <c r="K36" s="129">
        <f t="shared" ref="K36" si="25">SUM(K29+SUM(K32:K35))</f>
        <v>889442.00000000047</v>
      </c>
      <c r="L36" s="129">
        <f t="shared" ref="L36" si="26">SUM(L29+SUM(L32:L35))</f>
        <v>556100</v>
      </c>
      <c r="M36" s="129">
        <f t="shared" ref="M36" si="27">SUM(M29+SUM(M32:M35))</f>
        <v>874709.00000000047</v>
      </c>
      <c r="N36" s="129">
        <f t="shared" ref="N36" si="28">SUM(N29+SUM(N32:N35))</f>
        <v>783166</v>
      </c>
      <c r="O36" s="129">
        <f t="shared" ref="O36" si="29">SUM(O29+SUM(O32:O35))</f>
        <v>961944</v>
      </c>
      <c r="P36" s="129">
        <f t="shared" ref="P36" si="30">SUM(P29+SUM(P32:P35))</f>
        <v>251984</v>
      </c>
      <c r="Q36" s="129">
        <f t="shared" ref="Q36" si="31">SUM(Q29+SUM(Q32:Q35))</f>
        <v>959110.99999999953</v>
      </c>
      <c r="R36" s="129">
        <f t="shared" ref="R36" si="32">SUM(R29+SUM(R32:R35))</f>
        <v>558262</v>
      </c>
      <c r="S36" s="129">
        <f t="shared" ref="S36" si="33">SUM(S29+SUM(S32:S35))</f>
        <v>914875</v>
      </c>
      <c r="U36" s="129">
        <f t="shared" ref="U36" si="34">SUM(U29+SUM(U32:U35))</f>
        <v>3175919.0000000005</v>
      </c>
      <c r="V36" s="129">
        <f t="shared" ref="V36" si="35">SUM(V29+SUM(V32:V35))</f>
        <v>2684231.9999999995</v>
      </c>
      <c r="X36" s="30">
        <f>SUM(V36/U36)-1</f>
        <v>-0.15481723557811167</v>
      </c>
    </row>
    <row r="38" spans="2:24" x14ac:dyDescent="0.25">
      <c r="B38" s="3" t="s">
        <v>195</v>
      </c>
    </row>
    <row r="39" spans="2:24" x14ac:dyDescent="0.25">
      <c r="B39" t="str">
        <f>'Base Financials '!B117</f>
        <v>Capital expenditures</v>
      </c>
      <c r="C39" s="126">
        <f>'Base Financials '!C117</f>
        <v>-298534</v>
      </c>
      <c r="D39" s="126">
        <f>'Base Financials '!D117</f>
        <v>-151866</v>
      </c>
      <c r="E39" s="126">
        <f>'Base Financials '!E117</f>
        <v>-172187</v>
      </c>
      <c r="F39" s="126">
        <f>'Base Financials '!F117</f>
        <v>-312126</v>
      </c>
      <c r="G39" s="126">
        <f>'Base Financials '!G117</f>
        <v>-435267</v>
      </c>
      <c r="H39" s="126">
        <f>'Base Financials '!H117</f>
        <v>0</v>
      </c>
      <c r="I39" s="126">
        <f>'Base Financials '!I117</f>
        <v>-71076</v>
      </c>
      <c r="J39" s="126">
        <f>'Base Financials '!J117</f>
        <v>-49424</v>
      </c>
      <c r="K39" s="126">
        <f>'Base Financials '!K117</f>
        <v>-83461</v>
      </c>
      <c r="L39" s="126">
        <f>'Base Financials '!L117</f>
        <v>-108165</v>
      </c>
      <c r="M39" s="126">
        <f>'Base Financials '!M117</f>
        <v>-109766</v>
      </c>
      <c r="N39" s="126">
        <f>'Base Financials '!N117</f>
        <v>-94982</v>
      </c>
      <c r="O39" s="126">
        <f>'Base Financials '!O117</f>
        <v>-106282</v>
      </c>
      <c r="P39" s="126">
        <f>'Base Financials '!P117</f>
        <v>-124237</v>
      </c>
      <c r="Q39" s="126">
        <f>'Base Financials '!Q117</f>
        <v>-91024</v>
      </c>
      <c r="R39" s="126">
        <f>'Base Financials '!R117</f>
        <v>-95277</v>
      </c>
      <c r="S39" s="126">
        <f>'Base Financials '!S117</f>
        <v>-205259</v>
      </c>
      <c r="U39" s="23">
        <f t="shared" ref="U39" si="36">SUM(L39:O39)</f>
        <v>-419195</v>
      </c>
      <c r="V39" s="23">
        <f t="shared" ref="V39" si="37">SUM(P39:S39)</f>
        <v>-515797</v>
      </c>
      <c r="X39" s="25">
        <f t="shared" ref="X39" si="38">SUM(V39/U39)-1</f>
        <v>0.23044645093572202</v>
      </c>
    </row>
    <row r="40" spans="2:24" x14ac:dyDescent="0.25">
      <c r="B40" s="45" t="s">
        <v>195</v>
      </c>
      <c r="C40" s="129">
        <f>SUM(C36+C39)</f>
        <v>1429456</v>
      </c>
      <c r="D40" s="129">
        <f t="shared" ref="D40:G40" si="39">SUM(D36+D39)</f>
        <v>745386.47000000067</v>
      </c>
      <c r="E40" s="129">
        <f t="shared" si="39"/>
        <v>2159505</v>
      </c>
      <c r="F40" s="129">
        <f t="shared" si="39"/>
        <v>2259133</v>
      </c>
      <c r="G40" s="129">
        <f t="shared" si="39"/>
        <v>2436535.9999999981</v>
      </c>
      <c r="I40" s="129">
        <f t="shared" ref="I40:S40" si="40">SUM(I36+I39)</f>
        <v>667755.99999999953</v>
      </c>
      <c r="J40" s="129">
        <f t="shared" si="40"/>
        <v>672299</v>
      </c>
      <c r="K40" s="129">
        <f t="shared" si="40"/>
        <v>805981.00000000047</v>
      </c>
      <c r="L40" s="129">
        <f t="shared" si="40"/>
        <v>447935</v>
      </c>
      <c r="M40" s="129">
        <f t="shared" si="40"/>
        <v>764943.00000000047</v>
      </c>
      <c r="N40" s="129">
        <f t="shared" si="40"/>
        <v>688184</v>
      </c>
      <c r="O40" s="129">
        <f t="shared" si="40"/>
        <v>855662</v>
      </c>
      <c r="P40" s="129">
        <f t="shared" si="40"/>
        <v>127747</v>
      </c>
      <c r="Q40" s="129">
        <f t="shared" si="40"/>
        <v>868086.99999999953</v>
      </c>
      <c r="R40" s="129">
        <f t="shared" si="40"/>
        <v>462985</v>
      </c>
      <c r="S40" s="129">
        <f t="shared" si="40"/>
        <v>709616</v>
      </c>
      <c r="U40" s="129">
        <f t="shared" ref="U40" si="41">SUM(U33+SUM(U36:U39))</f>
        <v>2774971.0000000005</v>
      </c>
      <c r="V40" s="129">
        <f t="shared" ref="V40" si="42">SUM(V33+SUM(V36:V39))</f>
        <v>2203289.9999999995</v>
      </c>
      <c r="X40" s="30">
        <f>SUM(V40/U40)-1</f>
        <v>-0.20601332410320716</v>
      </c>
    </row>
    <row r="42" spans="2:24" x14ac:dyDescent="0.25">
      <c r="B42" s="3" t="s">
        <v>196</v>
      </c>
    </row>
    <row r="43" spans="2:24" x14ac:dyDescent="0.25">
      <c r="B43" t="s">
        <v>197</v>
      </c>
      <c r="C43" s="4">
        <f>SUM('Base Financials '!C123+'Base Financials '!C124+'Base Financials '!C125)</f>
        <v>-646739</v>
      </c>
      <c r="D43" s="4">
        <f>SUM('Base Financials '!D123+'Base Financials '!D124+'Base Financials '!D125)</f>
        <v>-106019</v>
      </c>
      <c r="E43" s="4">
        <f>SUM('Base Financials '!E123+'Base Financials '!E124+'Base Financials '!E125)</f>
        <v>-1497216</v>
      </c>
      <c r="F43" s="4">
        <f>SUM('Base Financials '!F123+'Base Financials '!F124+'Base Financials '!F125)</f>
        <v>-861014</v>
      </c>
      <c r="G43" s="4">
        <f>SUM('Base Financials '!G123+'Base Financials '!G124+'Base Financials '!G125)</f>
        <v>-1006124</v>
      </c>
      <c r="H43" s="4">
        <f>SUM('Base Financials '!H123+'Base Financials '!H124+'Base Financials '!H125)</f>
        <v>0</v>
      </c>
      <c r="I43" s="4">
        <f>SUM('Base Financials '!I123+'Base Financials '!I124+'Base Financials '!I125)</f>
        <v>-131504</v>
      </c>
      <c r="J43" s="4">
        <f>SUM('Base Financials '!J123+'Base Financials '!J124+'Base Financials '!J125)</f>
        <v>-284748</v>
      </c>
      <c r="K43" s="4">
        <f>SUM('Base Financials '!K123+'Base Financials '!K124+'Base Financials '!K125)</f>
        <v>-131077</v>
      </c>
      <c r="L43" s="4">
        <f>SUM('Base Financials '!L123+'Base Financials '!L124+'Base Financials '!L125)</f>
        <v>-313685</v>
      </c>
      <c r="M43" s="4">
        <f>SUM('Base Financials '!M123+'Base Financials '!M124+'Base Financials '!M125)</f>
        <v>-296249</v>
      </c>
      <c r="N43" s="4">
        <f>SUM('Base Financials '!N123+'Base Financials '!N124+'Base Financials '!N125)</f>
        <v>-275374</v>
      </c>
      <c r="O43" s="4">
        <f>SUM('Base Financials '!O123+'Base Financials '!O124+'Base Financials '!O125)</f>
        <v>-281954</v>
      </c>
      <c r="P43" s="4">
        <f>SUM('Base Financials '!P123+'Base Financials '!P124+'Base Financials '!P125)</f>
        <v>-152547</v>
      </c>
      <c r="Q43" s="4">
        <f>SUM('Base Financials '!Q123+'Base Financials '!Q124+'Base Financials '!Q125)</f>
        <v>-303801</v>
      </c>
      <c r="R43" s="4">
        <f>SUM('Base Financials '!R123+'Base Financials '!R124+'Base Financials '!R125)</f>
        <v>-212230</v>
      </c>
      <c r="S43" s="4">
        <f>SUM('Base Financials '!S123+'Base Financials '!S124+'Base Financials '!S125)</f>
        <v>-263719</v>
      </c>
      <c r="U43" s="23">
        <f t="shared" ref="U43:U44" si="43">SUM(L43:O43)</f>
        <v>-1167262</v>
      </c>
      <c r="V43" s="23">
        <f t="shared" ref="V43:V44" si="44">SUM(P43:S43)</f>
        <v>-932297</v>
      </c>
      <c r="X43" s="25">
        <f t="shared" ref="X43:X44" si="45">SUM(V43/U43)-1</f>
        <v>-0.20129585303042508</v>
      </c>
    </row>
    <row r="44" spans="2:24" x14ac:dyDescent="0.25">
      <c r="B44" s="274" t="s">
        <v>198</v>
      </c>
      <c r="C44" s="275">
        <f>SUM('Base Financials '!C122+'Base Financials '!C126+'Base Financials '!C127+'Base Financials '!C128+'Base Financials '!C129)</f>
        <v>0</v>
      </c>
      <c r="D44" s="275">
        <f>SUM('Base Financials '!D122+'Base Financials '!D126+'Base Financials '!D127+'Base Financials '!D128+'Base Financials '!D129)</f>
        <v>-1915</v>
      </c>
      <c r="E44" s="275">
        <f>SUM('Base Financials '!E122+'Base Financials '!E126+'Base Financials '!E127+'Base Financials '!E128+'Base Financials '!E129)</f>
        <v>0</v>
      </c>
      <c r="F44" s="275">
        <f>SUM('Base Financials '!F122+'Base Financials '!F126+'Base Financials '!F127+'Base Financials '!F128+'Base Financials '!F129)</f>
        <v>0</v>
      </c>
      <c r="G44" s="275">
        <f>SUM('Base Financials '!G122+'Base Financials '!G126+'Base Financials '!G127+'Base Financials '!G128+'Base Financials '!G129)</f>
        <v>0</v>
      </c>
      <c r="H44" s="275">
        <f>SUM('Base Financials '!H122+'Base Financials '!H126+'Base Financials '!H127+'Base Financials '!H128+'Base Financials '!H129)</f>
        <v>0</v>
      </c>
      <c r="I44" s="275">
        <f>SUM('Base Financials '!I122+'Base Financials '!I126+'Base Financials '!I127+'Base Financials '!I128+'Base Financials '!I129)</f>
        <v>0</v>
      </c>
      <c r="J44" s="275">
        <f>SUM('Base Financials '!J122+'Base Financials '!J126+'Base Financials '!J127+'Base Financials '!J128+'Base Financials '!J129)</f>
        <v>0</v>
      </c>
      <c r="K44" s="275">
        <f>SUM('Base Financials '!K122+'Base Financials '!K126+'Base Financials '!K127+'Base Financials '!K128+'Base Financials '!K129)</f>
        <v>0</v>
      </c>
      <c r="L44" s="275">
        <f>SUM('Base Financials '!L122+'Base Financials '!L126+'Base Financials '!L127+'Base Financials '!L128+'Base Financials '!L129)</f>
        <v>0</v>
      </c>
      <c r="M44" s="275">
        <f>SUM('Base Financials '!M122+'Base Financials '!M126+'Base Financials '!M127+'Base Financials '!M128+'Base Financials '!M129)</f>
        <v>0</v>
      </c>
      <c r="N44" s="275">
        <f>SUM('Base Financials '!N122+'Base Financials '!N126+'Base Financials '!N127+'Base Financials '!N128+'Base Financials '!N129)</f>
        <v>0</v>
      </c>
      <c r="O44" s="275">
        <f>SUM('Base Financials '!O122+'Base Financials '!O126+'Base Financials '!O127+'Base Financials '!O128+'Base Financials '!O129)</f>
        <v>195400</v>
      </c>
      <c r="P44" s="275">
        <f>SUM('Base Financials '!P122+'Base Financials '!P126+'Base Financials '!P127+'Base Financials '!P128+'Base Financials '!P129)</f>
        <v>-195400</v>
      </c>
      <c r="Q44" s="275">
        <f>SUM('Base Financials '!Q122+'Base Financials '!Q126+'Base Financials '!Q127+'Base Financials '!Q128+'Base Financials '!Q129)</f>
        <v>-3950</v>
      </c>
      <c r="R44" s="275">
        <f>SUM('Base Financials '!R122+'Base Financials '!R126+'Base Financials '!R127+'Base Financials '!R128+'Base Financials '!R129)</f>
        <v>-138</v>
      </c>
      <c r="S44" s="275">
        <f>SUM('Base Financials '!S122+'Base Financials '!S126+'Base Financials '!S127+'Base Financials '!S128+'Base Financials '!S129)</f>
        <v>199629</v>
      </c>
      <c r="U44" s="23">
        <f t="shared" si="43"/>
        <v>195400</v>
      </c>
      <c r="V44" s="23">
        <f t="shared" si="44"/>
        <v>141</v>
      </c>
      <c r="X44" s="25">
        <f t="shared" si="45"/>
        <v>-0.99927840327533268</v>
      </c>
    </row>
    <row r="45" spans="2:24" x14ac:dyDescent="0.25">
      <c r="B45" s="45" t="s">
        <v>48</v>
      </c>
      <c r="C45" s="129">
        <f>SUM(C40+SUM(C43:C44))</f>
        <v>782717</v>
      </c>
      <c r="D45" s="129">
        <f t="shared" ref="D45:G45" si="46">SUM(D40+SUM(D43:D44))</f>
        <v>637452.47000000067</v>
      </c>
      <c r="E45" s="129">
        <f t="shared" si="46"/>
        <v>662289</v>
      </c>
      <c r="F45" s="129">
        <f t="shared" si="46"/>
        <v>1398119</v>
      </c>
      <c r="G45" s="129">
        <f t="shared" si="46"/>
        <v>1430411.9999999981</v>
      </c>
      <c r="I45" s="129">
        <f t="shared" ref="I45" si="47">SUM(I40+SUM(I43:I44))</f>
        <v>536251.99999999953</v>
      </c>
      <c r="J45" s="129">
        <f t="shared" ref="J45" si="48">SUM(J40+SUM(J43:J44))</f>
        <v>387551</v>
      </c>
      <c r="K45" s="129">
        <f t="shared" ref="K45" si="49">SUM(K40+SUM(K43:K44))</f>
        <v>674904.00000000047</v>
      </c>
      <c r="L45" s="129">
        <f t="shared" ref="L45" si="50">SUM(L40+SUM(L43:L44))</f>
        <v>134250</v>
      </c>
      <c r="M45" s="129">
        <f t="shared" ref="M45" si="51">SUM(M40+SUM(M43:M44))</f>
        <v>468694.00000000047</v>
      </c>
      <c r="N45" s="129">
        <f t="shared" ref="N45" si="52">SUM(N40+SUM(N43:N44))</f>
        <v>412810</v>
      </c>
      <c r="O45" s="129">
        <f t="shared" ref="O45" si="53">SUM(O40+SUM(O43:O44))</f>
        <v>769108</v>
      </c>
      <c r="P45" s="129">
        <f t="shared" ref="P45" si="54">SUM(P40+SUM(P43:P44))</f>
        <v>-220200</v>
      </c>
      <c r="Q45" s="129">
        <f t="shared" ref="Q45" si="55">SUM(Q40+SUM(Q43:Q44))</f>
        <v>560335.99999999953</v>
      </c>
      <c r="R45" s="129">
        <f t="shared" ref="R45" si="56">SUM(R40+SUM(R43:R44))</f>
        <v>250617</v>
      </c>
      <c r="S45" s="129">
        <f t="shared" ref="S45" si="57">SUM(S40+SUM(S43:S44))</f>
        <v>645526</v>
      </c>
      <c r="U45" s="129">
        <f t="shared" ref="U45" si="58">SUM(U38+SUM(U41:U44))</f>
        <v>-971862</v>
      </c>
      <c r="V45" s="129">
        <f t="shared" ref="V45" si="59">SUM(V38+SUM(V41:V44))</f>
        <v>-932156</v>
      </c>
      <c r="X45" s="30">
        <f>SUM(V45/U45)-1</f>
        <v>-4.085559472435385E-2</v>
      </c>
    </row>
  </sheetData>
  <mergeCells count="1">
    <mergeCell ref="X7:X8"/>
  </mergeCells>
  <conditionalFormatting sqref="C8:V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Firm Background</vt:lpstr>
      <vt:lpstr>Base Financials </vt:lpstr>
      <vt:lpstr> Segment Data</vt:lpstr>
      <vt:lpstr>Adjusted EBITDA Analysis</vt:lpstr>
      <vt:lpstr>FCF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2025-02-14T07:14:28Z</dcterms:modified>
</cp:coreProperties>
</file>