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felix\Downloads\"/>
    </mc:Choice>
  </mc:AlternateContent>
  <xr:revisionPtr revIDLastSave="0" documentId="8_{640A3F8A-94A0-48C8-A670-0D18D34830F3}" xr6:coauthVersionLast="47" xr6:coauthVersionMax="47" xr10:uidLastSave="{00000000-0000-0000-0000-000000000000}"/>
  <bookViews>
    <workbookView xWindow="-28920" yWindow="-120" windowWidth="29040" windowHeight="15720" activeTab="1" xr2:uid="{DD943627-84DE-4F35-8251-A0903E7D7A97}"/>
  </bookViews>
  <sheets>
    <sheet name="Background" sheetId="2" r:id="rId1"/>
    <sheet name="Base Financials" sheetId="1" r:id="rId2"/>
    <sheet name="Leverage &amp; Liquidity Profile" sheetId="4" r:id="rId3"/>
    <sheet name="FCF &amp; EBITDA Analysis" sheetId="3" r:id="rId4"/>
    <sheet name="Cash Burn Analysis "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2" l="1" a="1"/>
  <c r="C23" i="2" s="1"/>
  <c r="C22" i="2" s="1"/>
  <c r="C27" i="2" s="1"/>
  <c r="C24" i="2" a="1"/>
  <c r="C24" i="2" s="1"/>
  <c r="C29" i="2"/>
  <c r="C25" i="2"/>
  <c r="M22" i="4"/>
  <c r="J22" i="4"/>
  <c r="D22" i="4"/>
  <c r="Q12" i="4"/>
  <c r="P12" i="4"/>
  <c r="O12" i="4"/>
  <c r="N12" i="4"/>
  <c r="M12" i="4"/>
  <c r="L12" i="4"/>
  <c r="K12" i="4"/>
  <c r="J12" i="4"/>
  <c r="I12" i="4"/>
  <c r="H12" i="4"/>
  <c r="G12" i="4"/>
  <c r="E12" i="4"/>
  <c r="D12" i="4"/>
  <c r="C12" i="4"/>
  <c r="T8" i="3"/>
  <c r="S8" i="3"/>
  <c r="N8" i="3"/>
  <c r="J8" i="3"/>
  <c r="T8" i="4"/>
  <c r="S8" i="4"/>
  <c r="T8" i="1"/>
  <c r="S8" i="1"/>
  <c r="N8" i="4"/>
  <c r="J8" i="4"/>
  <c r="J8" i="1"/>
  <c r="N8" i="1"/>
  <c r="N31" i="1"/>
  <c r="J31" i="1"/>
  <c r="N32" i="1"/>
  <c r="J32" i="1"/>
  <c r="Q21" i="4"/>
  <c r="P21" i="4"/>
  <c r="O21" i="4"/>
  <c r="N21" i="4"/>
  <c r="N22" i="4" s="1"/>
  <c r="M21" i="4"/>
  <c r="L21" i="4"/>
  <c r="K21" i="4"/>
  <c r="J21" i="4"/>
  <c r="I21" i="4"/>
  <c r="H21" i="4"/>
  <c r="G21" i="4"/>
  <c r="E21" i="4"/>
  <c r="E22" i="4" s="1"/>
  <c r="D21" i="4"/>
  <c r="C21" i="4"/>
  <c r="Q17" i="4"/>
  <c r="P17" i="4"/>
  <c r="O17" i="4"/>
  <c r="N17" i="4"/>
  <c r="M17" i="4"/>
  <c r="L17" i="4"/>
  <c r="K17" i="4"/>
  <c r="J17" i="4"/>
  <c r="I17" i="4"/>
  <c r="H17" i="4"/>
  <c r="Q16" i="4"/>
  <c r="P16" i="4"/>
  <c r="O16" i="4"/>
  <c r="N16" i="4"/>
  <c r="M16" i="4"/>
  <c r="L16" i="4"/>
  <c r="K16" i="4"/>
  <c r="J16" i="4"/>
  <c r="I16" i="4"/>
  <c r="H16" i="4"/>
  <c r="G17" i="4"/>
  <c r="G16" i="4"/>
  <c r="E17" i="4"/>
  <c r="D17" i="4"/>
  <c r="E16" i="4"/>
  <c r="D16" i="4"/>
  <c r="C17" i="4"/>
  <c r="C16" i="4"/>
  <c r="Q11" i="4"/>
  <c r="Q22" i="4" s="1"/>
  <c r="P11" i="4"/>
  <c r="P22" i="4" s="1"/>
  <c r="O11" i="4"/>
  <c r="O22" i="4" s="1"/>
  <c r="N11" i="4"/>
  <c r="M11" i="4"/>
  <c r="L11" i="4"/>
  <c r="L22" i="4" s="1"/>
  <c r="K11" i="4"/>
  <c r="K22" i="4" s="1"/>
  <c r="J11" i="4"/>
  <c r="I11" i="4"/>
  <c r="H11" i="4"/>
  <c r="G11" i="4"/>
  <c r="G22" i="4" s="1"/>
  <c r="E11" i="4"/>
  <c r="D11" i="4"/>
  <c r="C11" i="4"/>
  <c r="C22" i="4" s="1"/>
  <c r="V67" i="3"/>
  <c r="V57" i="3"/>
  <c r="V58" i="3"/>
  <c r="V59" i="3"/>
  <c r="V60" i="3"/>
  <c r="V61" i="3"/>
  <c r="V62" i="3"/>
  <c r="V63" i="3"/>
  <c r="V64" i="3"/>
  <c r="V56" i="3"/>
  <c r="V54" i="3"/>
  <c r="V53" i="3"/>
  <c r="V52" i="3"/>
  <c r="V51" i="3"/>
  <c r="V44" i="3"/>
  <c r="V45" i="3"/>
  <c r="V46" i="3"/>
  <c r="V47" i="3"/>
  <c r="V48" i="3"/>
  <c r="V43" i="3"/>
  <c r="V42" i="3"/>
  <c r="V36" i="3"/>
  <c r="V35" i="3"/>
  <c r="V31" i="3"/>
  <c r="V32" i="3"/>
  <c r="V33" i="3"/>
  <c r="V30" i="3"/>
  <c r="V21" i="3"/>
  <c r="V22" i="3"/>
  <c r="V23" i="3"/>
  <c r="V24" i="3"/>
  <c r="V25" i="3"/>
  <c r="V26" i="3"/>
  <c r="V27" i="3"/>
  <c r="V20" i="3"/>
  <c r="V19" i="3"/>
  <c r="V18" i="3"/>
  <c r="V14" i="3"/>
  <c r="V15" i="3"/>
  <c r="V13" i="3"/>
  <c r="V10" i="3"/>
  <c r="Q67" i="3"/>
  <c r="P67" i="3"/>
  <c r="O67" i="3"/>
  <c r="N67" i="3"/>
  <c r="M67" i="3"/>
  <c r="L67" i="3"/>
  <c r="K67" i="3"/>
  <c r="J67" i="3"/>
  <c r="I67" i="3"/>
  <c r="H67" i="3"/>
  <c r="G67" i="3"/>
  <c r="E67" i="3"/>
  <c r="D67" i="3"/>
  <c r="C67" i="3"/>
  <c r="Q53" i="3"/>
  <c r="P53" i="3"/>
  <c r="O53" i="3"/>
  <c r="N53" i="3"/>
  <c r="M53" i="3"/>
  <c r="L53" i="3"/>
  <c r="K53" i="3"/>
  <c r="J53" i="3"/>
  <c r="I53" i="3"/>
  <c r="H53" i="3"/>
  <c r="G53" i="3"/>
  <c r="E53" i="3"/>
  <c r="D53" i="3"/>
  <c r="Q52" i="3"/>
  <c r="P52" i="3"/>
  <c r="O52" i="3"/>
  <c r="N52" i="3"/>
  <c r="M52" i="3"/>
  <c r="L52" i="3"/>
  <c r="K52" i="3"/>
  <c r="J52" i="3"/>
  <c r="S52" i="3" s="1"/>
  <c r="I52" i="3"/>
  <c r="H52" i="3"/>
  <c r="G52" i="3"/>
  <c r="E52" i="3"/>
  <c r="D52" i="3"/>
  <c r="Q51" i="3"/>
  <c r="P51" i="3"/>
  <c r="O51" i="3"/>
  <c r="N51" i="3"/>
  <c r="M51" i="3"/>
  <c r="L51" i="3"/>
  <c r="K51" i="3"/>
  <c r="J51" i="3"/>
  <c r="I51" i="3"/>
  <c r="H51" i="3"/>
  <c r="G51" i="3"/>
  <c r="E51" i="3"/>
  <c r="D51" i="3"/>
  <c r="C53" i="3"/>
  <c r="C52" i="3"/>
  <c r="C51" i="3"/>
  <c r="Q47" i="3"/>
  <c r="P47" i="3"/>
  <c r="O47" i="3"/>
  <c r="N47" i="3"/>
  <c r="M47" i="3"/>
  <c r="L47" i="3"/>
  <c r="K47" i="3"/>
  <c r="J47" i="3"/>
  <c r="I47" i="3"/>
  <c r="H47" i="3"/>
  <c r="G47" i="3"/>
  <c r="E47" i="3"/>
  <c r="D47" i="3"/>
  <c r="C47" i="3"/>
  <c r="Q46" i="3"/>
  <c r="P46" i="3"/>
  <c r="O46" i="3"/>
  <c r="N46" i="3"/>
  <c r="M46" i="3"/>
  <c r="L46" i="3"/>
  <c r="K46" i="3"/>
  <c r="J46" i="3"/>
  <c r="I46" i="3"/>
  <c r="H46" i="3"/>
  <c r="G46" i="3"/>
  <c r="E46" i="3"/>
  <c r="D46" i="3"/>
  <c r="C46" i="3"/>
  <c r="Q45" i="3"/>
  <c r="P45" i="3"/>
  <c r="O45" i="3"/>
  <c r="N45" i="3"/>
  <c r="M45" i="3"/>
  <c r="L45" i="3"/>
  <c r="K45" i="3"/>
  <c r="J45" i="3"/>
  <c r="I45" i="3"/>
  <c r="H45" i="3"/>
  <c r="G45" i="3"/>
  <c r="E45" i="3"/>
  <c r="D45" i="3"/>
  <c r="C45" i="3"/>
  <c r="Q44" i="3"/>
  <c r="P44" i="3"/>
  <c r="O44" i="3"/>
  <c r="N44" i="3"/>
  <c r="M44" i="3"/>
  <c r="L44" i="3"/>
  <c r="K44" i="3"/>
  <c r="J44" i="3"/>
  <c r="I44" i="3"/>
  <c r="H44" i="3"/>
  <c r="G44" i="3"/>
  <c r="E44" i="3"/>
  <c r="D44" i="3"/>
  <c r="C44" i="3"/>
  <c r="Q43" i="3"/>
  <c r="P43" i="3"/>
  <c r="O43" i="3"/>
  <c r="N43" i="3"/>
  <c r="M43" i="3"/>
  <c r="L43" i="3"/>
  <c r="K43" i="3"/>
  <c r="J43" i="3"/>
  <c r="I43" i="3"/>
  <c r="H43" i="3"/>
  <c r="G43" i="3"/>
  <c r="E43" i="3"/>
  <c r="D43" i="3"/>
  <c r="C43" i="3"/>
  <c r="Q42" i="3"/>
  <c r="P42" i="3"/>
  <c r="O42" i="3"/>
  <c r="N42" i="3"/>
  <c r="M42" i="3"/>
  <c r="L42" i="3"/>
  <c r="K42" i="3"/>
  <c r="J42" i="3"/>
  <c r="I42" i="3"/>
  <c r="H42" i="3"/>
  <c r="G42" i="3"/>
  <c r="E42" i="3"/>
  <c r="D42" i="3"/>
  <c r="C42" i="3"/>
  <c r="Q64" i="3"/>
  <c r="P64" i="3"/>
  <c r="O64" i="3"/>
  <c r="N64" i="3"/>
  <c r="M64" i="3"/>
  <c r="L64" i="3"/>
  <c r="K64" i="3"/>
  <c r="J64" i="3"/>
  <c r="I64" i="3"/>
  <c r="H64" i="3"/>
  <c r="G64" i="3"/>
  <c r="E64" i="3"/>
  <c r="D64" i="3"/>
  <c r="C64" i="3"/>
  <c r="Q63" i="3"/>
  <c r="P63" i="3"/>
  <c r="O63" i="3"/>
  <c r="N63" i="3"/>
  <c r="M63" i="3"/>
  <c r="L63" i="3"/>
  <c r="K63" i="3"/>
  <c r="J63" i="3"/>
  <c r="I63" i="3"/>
  <c r="H63" i="3"/>
  <c r="G63" i="3"/>
  <c r="E63" i="3"/>
  <c r="D63" i="3"/>
  <c r="C63" i="3"/>
  <c r="Q62" i="3"/>
  <c r="P62" i="3"/>
  <c r="O62" i="3"/>
  <c r="N62" i="3"/>
  <c r="M62" i="3"/>
  <c r="L62" i="3"/>
  <c r="K62" i="3"/>
  <c r="J62" i="3"/>
  <c r="I62" i="3"/>
  <c r="H62" i="3"/>
  <c r="G62" i="3"/>
  <c r="E62" i="3"/>
  <c r="D62" i="3"/>
  <c r="C62" i="3"/>
  <c r="Q61" i="3"/>
  <c r="P61" i="3"/>
  <c r="O61" i="3"/>
  <c r="N61" i="3"/>
  <c r="M61" i="3"/>
  <c r="L61" i="3"/>
  <c r="K61" i="3"/>
  <c r="J61" i="3"/>
  <c r="I61" i="3"/>
  <c r="H61" i="3"/>
  <c r="G61" i="3"/>
  <c r="E61" i="3"/>
  <c r="D61" i="3"/>
  <c r="C61" i="3"/>
  <c r="Q60" i="3"/>
  <c r="P60" i="3"/>
  <c r="O60" i="3"/>
  <c r="N60" i="3"/>
  <c r="M60" i="3"/>
  <c r="L60" i="3"/>
  <c r="K60" i="3"/>
  <c r="J60" i="3"/>
  <c r="I60" i="3"/>
  <c r="H60" i="3"/>
  <c r="G60" i="3"/>
  <c r="E60" i="3"/>
  <c r="D60" i="3"/>
  <c r="C60" i="3"/>
  <c r="Q59" i="3"/>
  <c r="P59" i="3"/>
  <c r="O59" i="3"/>
  <c r="N59" i="3"/>
  <c r="M59" i="3"/>
  <c r="L59" i="3"/>
  <c r="K59" i="3"/>
  <c r="J59" i="3"/>
  <c r="I59" i="3"/>
  <c r="H59" i="3"/>
  <c r="G59" i="3"/>
  <c r="E59" i="3"/>
  <c r="D59" i="3"/>
  <c r="C59" i="3"/>
  <c r="Q58" i="3"/>
  <c r="P58" i="3"/>
  <c r="O58" i="3"/>
  <c r="N58" i="3"/>
  <c r="M58" i="3"/>
  <c r="L58" i="3"/>
  <c r="K58" i="3"/>
  <c r="J58" i="3"/>
  <c r="I58" i="3"/>
  <c r="H58" i="3"/>
  <c r="G58" i="3"/>
  <c r="E58" i="3"/>
  <c r="D58" i="3"/>
  <c r="C58" i="3"/>
  <c r="Q57" i="3"/>
  <c r="P57" i="3"/>
  <c r="O57" i="3"/>
  <c r="N57" i="3"/>
  <c r="M57" i="3"/>
  <c r="L57" i="3"/>
  <c r="K57" i="3"/>
  <c r="J57" i="3"/>
  <c r="I57" i="3"/>
  <c r="H57" i="3"/>
  <c r="G57" i="3"/>
  <c r="E57" i="3"/>
  <c r="D57" i="3"/>
  <c r="C57" i="3"/>
  <c r="Q56" i="3"/>
  <c r="P56" i="3"/>
  <c r="O56" i="3"/>
  <c r="N56" i="3"/>
  <c r="M56" i="3"/>
  <c r="L56" i="3"/>
  <c r="K56" i="3"/>
  <c r="J56" i="3"/>
  <c r="I56" i="3"/>
  <c r="H56" i="3"/>
  <c r="G56" i="3"/>
  <c r="E56" i="3"/>
  <c r="D56" i="3"/>
  <c r="C56" i="3"/>
  <c r="Q55" i="3"/>
  <c r="P55" i="3"/>
  <c r="O55" i="3"/>
  <c r="K55" i="3"/>
  <c r="J55" i="3"/>
  <c r="I55" i="3"/>
  <c r="H55" i="3"/>
  <c r="G55" i="3"/>
  <c r="E55" i="3"/>
  <c r="D55" i="3"/>
  <c r="C55" i="3"/>
  <c r="Q54" i="3"/>
  <c r="P54" i="3"/>
  <c r="O54" i="3"/>
  <c r="N54" i="3"/>
  <c r="M54" i="3"/>
  <c r="L54" i="3"/>
  <c r="K54" i="3"/>
  <c r="J54" i="3"/>
  <c r="I54" i="3"/>
  <c r="H54" i="3"/>
  <c r="G54" i="3"/>
  <c r="E54" i="3"/>
  <c r="D54" i="3"/>
  <c r="C54" i="3"/>
  <c r="C108" i="1"/>
  <c r="T30" i="3"/>
  <c r="S30" i="3"/>
  <c r="O35" i="3"/>
  <c r="K35" i="3"/>
  <c r="G35" i="3"/>
  <c r="E35" i="3"/>
  <c r="D35" i="3"/>
  <c r="C35" i="3"/>
  <c r="O32" i="3"/>
  <c r="K32" i="3"/>
  <c r="G32" i="3"/>
  <c r="E32" i="3"/>
  <c r="D32" i="3"/>
  <c r="C32" i="3"/>
  <c r="O31" i="3"/>
  <c r="K31" i="3"/>
  <c r="H31" i="3"/>
  <c r="G31" i="3"/>
  <c r="E31" i="3"/>
  <c r="D31" i="3"/>
  <c r="C31" i="3"/>
  <c r="Q19" i="3"/>
  <c r="P19" i="3"/>
  <c r="O19" i="3"/>
  <c r="N19" i="3"/>
  <c r="M19" i="3"/>
  <c r="L19" i="3"/>
  <c r="K19" i="3"/>
  <c r="I19" i="3"/>
  <c r="H19" i="3"/>
  <c r="G19" i="3"/>
  <c r="E19" i="3"/>
  <c r="D19" i="3"/>
  <c r="Q18" i="3"/>
  <c r="P18" i="3"/>
  <c r="O18" i="3"/>
  <c r="M18" i="3"/>
  <c r="L18" i="3"/>
  <c r="K18" i="3"/>
  <c r="I18" i="3"/>
  <c r="H18" i="3"/>
  <c r="G18" i="3"/>
  <c r="E18" i="3"/>
  <c r="D18" i="3"/>
  <c r="C19" i="3"/>
  <c r="C18" i="3"/>
  <c r="Q26" i="3"/>
  <c r="P26" i="3"/>
  <c r="O26" i="3"/>
  <c r="M26" i="3"/>
  <c r="L26" i="3"/>
  <c r="K26" i="3"/>
  <c r="I26" i="3"/>
  <c r="H26" i="3"/>
  <c r="G26" i="3"/>
  <c r="E26" i="3"/>
  <c r="D26" i="3"/>
  <c r="Q25" i="3"/>
  <c r="P25" i="3"/>
  <c r="O25" i="3"/>
  <c r="M25" i="3"/>
  <c r="L25" i="3"/>
  <c r="K25" i="3"/>
  <c r="I25" i="3"/>
  <c r="H25" i="3"/>
  <c r="G25" i="3"/>
  <c r="E25" i="3"/>
  <c r="D25" i="3"/>
  <c r="Q24" i="3"/>
  <c r="P24" i="3"/>
  <c r="O24" i="3"/>
  <c r="M24" i="3"/>
  <c r="L24" i="3"/>
  <c r="K24" i="3"/>
  <c r="I24" i="3"/>
  <c r="H24" i="3"/>
  <c r="G24" i="3"/>
  <c r="E24" i="3"/>
  <c r="D24" i="3"/>
  <c r="Q23" i="3"/>
  <c r="P23" i="3"/>
  <c r="O23" i="3"/>
  <c r="M23" i="3"/>
  <c r="L23" i="3"/>
  <c r="K23" i="3"/>
  <c r="I23" i="3"/>
  <c r="H23" i="3"/>
  <c r="G23" i="3"/>
  <c r="E23" i="3"/>
  <c r="D23" i="3"/>
  <c r="Q22" i="3"/>
  <c r="P22" i="3"/>
  <c r="O22" i="3"/>
  <c r="M22" i="3"/>
  <c r="L22" i="3"/>
  <c r="K22" i="3"/>
  <c r="I22" i="3"/>
  <c r="H22" i="3"/>
  <c r="G22" i="3"/>
  <c r="E22" i="3"/>
  <c r="D22" i="3"/>
  <c r="Q21" i="3"/>
  <c r="P21" i="3"/>
  <c r="O21" i="3"/>
  <c r="M21" i="3"/>
  <c r="L21" i="3"/>
  <c r="K21" i="3"/>
  <c r="I21" i="3"/>
  <c r="H21" i="3"/>
  <c r="G21" i="3"/>
  <c r="E21" i="3"/>
  <c r="D21" i="3"/>
  <c r="Q20" i="3"/>
  <c r="P20" i="3"/>
  <c r="O20" i="3"/>
  <c r="M20" i="3"/>
  <c r="L20" i="3"/>
  <c r="K20" i="3"/>
  <c r="I20" i="3"/>
  <c r="H20" i="3"/>
  <c r="G20" i="3"/>
  <c r="E20" i="3"/>
  <c r="D20" i="3"/>
  <c r="C26" i="3"/>
  <c r="C25" i="3"/>
  <c r="C24" i="3"/>
  <c r="C23" i="3"/>
  <c r="C22" i="3"/>
  <c r="C21" i="3"/>
  <c r="C20" i="3"/>
  <c r="Q14" i="3"/>
  <c r="P14" i="3"/>
  <c r="O14" i="3"/>
  <c r="M14" i="3"/>
  <c r="L14" i="3"/>
  <c r="K14" i="3"/>
  <c r="I14" i="3"/>
  <c r="H14" i="3"/>
  <c r="G14" i="3"/>
  <c r="E14" i="3"/>
  <c r="D14" i="3"/>
  <c r="Q13" i="3"/>
  <c r="P13" i="3"/>
  <c r="O13" i="3"/>
  <c r="M13" i="3"/>
  <c r="L13" i="3"/>
  <c r="K13" i="3"/>
  <c r="I13" i="3"/>
  <c r="H13" i="3"/>
  <c r="G13" i="3"/>
  <c r="E13" i="3"/>
  <c r="D13" i="3"/>
  <c r="C14" i="3"/>
  <c r="C13" i="3"/>
  <c r="Q10" i="3"/>
  <c r="Q11" i="3" s="1"/>
  <c r="P10" i="3"/>
  <c r="O10" i="3"/>
  <c r="M10" i="3"/>
  <c r="L10" i="3"/>
  <c r="K10" i="3"/>
  <c r="I10" i="3"/>
  <c r="I11" i="3" s="1"/>
  <c r="H10" i="3"/>
  <c r="G10" i="3"/>
  <c r="E10" i="3"/>
  <c r="D10" i="3"/>
  <c r="C10" i="3"/>
  <c r="L147" i="1"/>
  <c r="N147" i="1" s="1"/>
  <c r="L146" i="1"/>
  <c r="Q144" i="1"/>
  <c r="P143" i="1"/>
  <c r="Q143" i="1" s="1"/>
  <c r="J149" i="1"/>
  <c r="J148" i="1"/>
  <c r="J147" i="1"/>
  <c r="J146" i="1"/>
  <c r="J145" i="1"/>
  <c r="J144" i="1"/>
  <c r="J143" i="1"/>
  <c r="J142" i="1"/>
  <c r="J141" i="1"/>
  <c r="J140" i="1"/>
  <c r="N149" i="1"/>
  <c r="N148" i="1"/>
  <c r="N146" i="1"/>
  <c r="N145" i="1"/>
  <c r="N144" i="1"/>
  <c r="N143" i="1"/>
  <c r="N142" i="1"/>
  <c r="N141" i="1"/>
  <c r="M140" i="1"/>
  <c r="N140" i="1" s="1"/>
  <c r="L139" i="1"/>
  <c r="H139" i="1"/>
  <c r="I139" i="1" s="1"/>
  <c r="J139" i="1" s="1"/>
  <c r="P136" i="1"/>
  <c r="Q136" i="1" s="1"/>
  <c r="L136" i="1"/>
  <c r="H136" i="1"/>
  <c r="I136" i="1" s="1"/>
  <c r="P131" i="1"/>
  <c r="Q131" i="1" s="1"/>
  <c r="L131" i="1"/>
  <c r="M131" i="1" s="1"/>
  <c r="J132" i="1"/>
  <c r="H131" i="1"/>
  <c r="I131" i="1" s="1"/>
  <c r="J131" i="1" s="1"/>
  <c r="Q75" i="1"/>
  <c r="P75" i="1"/>
  <c r="O75" i="1"/>
  <c r="M75" i="1"/>
  <c r="L75" i="1"/>
  <c r="K75" i="1"/>
  <c r="I75" i="1"/>
  <c r="H75" i="1"/>
  <c r="G75" i="1"/>
  <c r="E75" i="1"/>
  <c r="D75" i="1"/>
  <c r="C75" i="1"/>
  <c r="N133" i="1"/>
  <c r="N132" i="1"/>
  <c r="J133" i="1"/>
  <c r="O114" i="1"/>
  <c r="K114" i="1"/>
  <c r="G114" i="1"/>
  <c r="E114" i="1"/>
  <c r="D114" i="1"/>
  <c r="C114" i="1"/>
  <c r="Q121" i="1"/>
  <c r="P126" i="1"/>
  <c r="Q126" i="1" s="1"/>
  <c r="P125" i="1"/>
  <c r="Q125" i="1" s="1"/>
  <c r="P124" i="1"/>
  <c r="Q124" i="1" s="1"/>
  <c r="P120" i="1"/>
  <c r="Q120" i="1" s="1"/>
  <c r="P119" i="1"/>
  <c r="Q119" i="1" s="1"/>
  <c r="P118" i="1"/>
  <c r="Q118" i="1" s="1"/>
  <c r="P117" i="1"/>
  <c r="Q117" i="1" s="1"/>
  <c r="N128" i="1"/>
  <c r="T128" i="1" s="1"/>
  <c r="N127" i="1"/>
  <c r="T127" i="1" s="1"/>
  <c r="N121" i="1"/>
  <c r="N118" i="1"/>
  <c r="N117" i="1"/>
  <c r="M122" i="1"/>
  <c r="S122" i="1" s="1"/>
  <c r="L119" i="1"/>
  <c r="L120" i="1"/>
  <c r="M120" i="1" s="1"/>
  <c r="L122" i="1"/>
  <c r="L123" i="1"/>
  <c r="M123" i="1" s="1"/>
  <c r="N123" i="1" s="1"/>
  <c r="T123" i="1" s="1"/>
  <c r="L124" i="1"/>
  <c r="M124" i="1" s="1"/>
  <c r="L125" i="1"/>
  <c r="L126" i="1"/>
  <c r="H126" i="1"/>
  <c r="I126" i="1" s="1"/>
  <c r="J126" i="1" s="1"/>
  <c r="H124" i="1"/>
  <c r="J128" i="1"/>
  <c r="S128" i="1" s="1"/>
  <c r="J127" i="1"/>
  <c r="S127" i="1" s="1"/>
  <c r="J125" i="1"/>
  <c r="J123" i="1"/>
  <c r="S123" i="1" s="1"/>
  <c r="J122" i="1"/>
  <c r="J121" i="1"/>
  <c r="S121" i="1" s="1"/>
  <c r="J120" i="1"/>
  <c r="J119" i="1"/>
  <c r="J118" i="1"/>
  <c r="S118" i="1" s="1"/>
  <c r="J117" i="1"/>
  <c r="P112" i="1"/>
  <c r="Q112" i="1" s="1"/>
  <c r="Q114" i="1" s="1"/>
  <c r="N113" i="1"/>
  <c r="T113" i="1" s="1"/>
  <c r="L112" i="1"/>
  <c r="M112" i="1" s="1"/>
  <c r="L111" i="1"/>
  <c r="M111" i="1" s="1"/>
  <c r="H113" i="1"/>
  <c r="I113" i="1" s="1"/>
  <c r="J113" i="1" s="1"/>
  <c r="S113" i="1" s="1"/>
  <c r="H112" i="1"/>
  <c r="I112" i="1" s="1"/>
  <c r="J112" i="1" s="1"/>
  <c r="H111" i="1"/>
  <c r="I111" i="1" s="1"/>
  <c r="V84" i="1"/>
  <c r="V85" i="1"/>
  <c r="S97" i="1"/>
  <c r="T97" i="1"/>
  <c r="S98" i="1"/>
  <c r="T98" i="1"/>
  <c r="S99" i="1"/>
  <c r="T99" i="1"/>
  <c r="S100" i="1"/>
  <c r="T100" i="1"/>
  <c r="S101" i="1"/>
  <c r="T101" i="1"/>
  <c r="V101" i="1" s="1"/>
  <c r="P102" i="1"/>
  <c r="Q102" i="1" s="1"/>
  <c r="P106" i="1"/>
  <c r="Q106" i="1" s="1"/>
  <c r="P105" i="1"/>
  <c r="P104" i="1"/>
  <c r="Q104" i="1" s="1"/>
  <c r="P103" i="1"/>
  <c r="Q103" i="1" s="1"/>
  <c r="N107" i="1"/>
  <c r="T107" i="1" s="1"/>
  <c r="L106" i="1"/>
  <c r="M106" i="1" s="1"/>
  <c r="N106" i="1" s="1"/>
  <c r="L105" i="1"/>
  <c r="M105" i="1" s="1"/>
  <c r="N105" i="1" s="1"/>
  <c r="L104" i="1"/>
  <c r="M104" i="1" s="1"/>
  <c r="N104" i="1" s="1"/>
  <c r="L103" i="1"/>
  <c r="M103" i="1" s="1"/>
  <c r="L102" i="1"/>
  <c r="H106" i="1"/>
  <c r="I106" i="1" s="1"/>
  <c r="H105" i="1"/>
  <c r="I105" i="1" s="1"/>
  <c r="J105" i="1" s="1"/>
  <c r="H104" i="1"/>
  <c r="I104" i="1" s="1"/>
  <c r="H103" i="1"/>
  <c r="I103" i="1" s="1"/>
  <c r="J103" i="1" s="1"/>
  <c r="H102" i="1"/>
  <c r="P95" i="1"/>
  <c r="Q95" i="1" s="1"/>
  <c r="P88" i="1"/>
  <c r="Q88" i="1" s="1"/>
  <c r="Q32" i="3" s="1"/>
  <c r="P93" i="1"/>
  <c r="Q93" i="1" s="1"/>
  <c r="P92" i="1"/>
  <c r="Q92" i="1" s="1"/>
  <c r="P89" i="1"/>
  <c r="Q89" i="1" s="1"/>
  <c r="P87" i="1"/>
  <c r="Q87" i="1" s="1"/>
  <c r="Q35" i="3" s="1"/>
  <c r="P86" i="1"/>
  <c r="Q86" i="1" s="1"/>
  <c r="Q31" i="3" s="1"/>
  <c r="P83" i="1"/>
  <c r="L96" i="1"/>
  <c r="M96" i="1" s="1"/>
  <c r="L95" i="1"/>
  <c r="L88" i="1"/>
  <c r="M88" i="1" s="1"/>
  <c r="M32" i="3" s="1"/>
  <c r="L94" i="1"/>
  <c r="L93" i="1"/>
  <c r="L92" i="1"/>
  <c r="L91" i="1"/>
  <c r="L89" i="1"/>
  <c r="M89" i="1" s="1"/>
  <c r="N89" i="1" s="1"/>
  <c r="L87" i="1"/>
  <c r="M87" i="1" s="1"/>
  <c r="N87" i="1" s="1"/>
  <c r="N35" i="3" s="1"/>
  <c r="L86" i="1"/>
  <c r="M86" i="1" s="1"/>
  <c r="N86" i="1" s="1"/>
  <c r="N31" i="3" s="1"/>
  <c r="L83" i="1"/>
  <c r="M83" i="1" s="1"/>
  <c r="I96" i="1"/>
  <c r="J96" i="1" s="1"/>
  <c r="H96" i="1"/>
  <c r="H95" i="1"/>
  <c r="I95" i="1" s="1"/>
  <c r="H88" i="1"/>
  <c r="I88" i="1" s="1"/>
  <c r="J88" i="1" s="1"/>
  <c r="J32" i="3" s="1"/>
  <c r="H89" i="1"/>
  <c r="I89" i="1" s="1"/>
  <c r="J89" i="1" s="1"/>
  <c r="H90" i="1"/>
  <c r="H87" i="1"/>
  <c r="I87" i="1" s="1"/>
  <c r="J87" i="1" s="1"/>
  <c r="J35" i="3" s="1"/>
  <c r="H86" i="1"/>
  <c r="J107" i="1"/>
  <c r="S107" i="1" s="1"/>
  <c r="H83" i="1"/>
  <c r="I83" i="1" s="1"/>
  <c r="J83" i="1" s="1"/>
  <c r="N21" i="1"/>
  <c r="T21" i="1" s="1"/>
  <c r="N22" i="1"/>
  <c r="T22" i="1" s="1"/>
  <c r="N23" i="1"/>
  <c r="T23" i="1" s="1"/>
  <c r="N24" i="1"/>
  <c r="T24" i="1" s="1"/>
  <c r="N25" i="1"/>
  <c r="T25" i="1" s="1"/>
  <c r="N20" i="1"/>
  <c r="T20" i="1" s="1"/>
  <c r="N26" i="1"/>
  <c r="T26" i="1" s="1"/>
  <c r="N27" i="1"/>
  <c r="T27" i="1" s="1"/>
  <c r="N19" i="1"/>
  <c r="N18" i="3" s="1"/>
  <c r="J21" i="1"/>
  <c r="S21" i="1" s="1"/>
  <c r="J22" i="1"/>
  <c r="S22" i="1" s="1"/>
  <c r="J23" i="1"/>
  <c r="S23" i="1" s="1"/>
  <c r="J24" i="1"/>
  <c r="S24" i="1" s="1"/>
  <c r="J25" i="1"/>
  <c r="S25" i="1" s="1"/>
  <c r="J20" i="1"/>
  <c r="S20" i="1" s="1"/>
  <c r="J26" i="1"/>
  <c r="S26" i="1" s="1"/>
  <c r="J27" i="1"/>
  <c r="S27" i="1" s="1"/>
  <c r="J19" i="1"/>
  <c r="J18" i="3" s="1"/>
  <c r="Q15" i="1"/>
  <c r="P15" i="1"/>
  <c r="O15" i="1"/>
  <c r="M15" i="1"/>
  <c r="L15" i="1"/>
  <c r="K15" i="1"/>
  <c r="I15" i="1"/>
  <c r="H15" i="1"/>
  <c r="G15" i="1"/>
  <c r="E15" i="1"/>
  <c r="D15" i="1"/>
  <c r="N14" i="1"/>
  <c r="N14" i="3" s="1"/>
  <c r="N13" i="1"/>
  <c r="N13" i="3" s="1"/>
  <c r="N10" i="1"/>
  <c r="T10" i="1" s="1"/>
  <c r="J14" i="1"/>
  <c r="J14" i="3" s="1"/>
  <c r="J13" i="1"/>
  <c r="J13" i="3" s="1"/>
  <c r="J10" i="1"/>
  <c r="S10" i="1" s="1"/>
  <c r="H22" i="4" l="1"/>
  <c r="I22" i="4"/>
  <c r="K18" i="4"/>
  <c r="L18" i="4" s="1"/>
  <c r="M18" i="4" s="1"/>
  <c r="O18" i="4"/>
  <c r="P18" i="4" s="1"/>
  <c r="Q18" i="4" s="1"/>
  <c r="G18" i="4"/>
  <c r="H18" i="4" s="1"/>
  <c r="I18" i="4" s="1"/>
  <c r="D11" i="3"/>
  <c r="S53" i="3"/>
  <c r="T56" i="3"/>
  <c r="S60" i="3"/>
  <c r="T64" i="3"/>
  <c r="T63" i="3"/>
  <c r="L15" i="3"/>
  <c r="T62" i="3"/>
  <c r="M11" i="3"/>
  <c r="E11" i="3"/>
  <c r="P11" i="3"/>
  <c r="S54" i="3"/>
  <c r="S59" i="3"/>
  <c r="T57" i="3"/>
  <c r="S51" i="3"/>
  <c r="S67" i="3"/>
  <c r="H11" i="3"/>
  <c r="C15" i="3"/>
  <c r="K15" i="3"/>
  <c r="P15" i="3"/>
  <c r="T58" i="3"/>
  <c r="S61" i="3"/>
  <c r="S62" i="3"/>
  <c r="T52" i="3"/>
  <c r="T53" i="3"/>
  <c r="Q15" i="3"/>
  <c r="S58" i="3"/>
  <c r="D15" i="3"/>
  <c r="M15" i="3"/>
  <c r="T61" i="3"/>
  <c r="T67" i="3"/>
  <c r="O15" i="3"/>
  <c r="I15" i="3"/>
  <c r="S56" i="3"/>
  <c r="S57" i="3"/>
  <c r="T60" i="3"/>
  <c r="S64" i="3"/>
  <c r="T51" i="3"/>
  <c r="L11" i="3"/>
  <c r="T54" i="3"/>
  <c r="T59" i="3"/>
  <c r="S63" i="3"/>
  <c r="G15" i="3"/>
  <c r="H15" i="3"/>
  <c r="S120" i="1"/>
  <c r="S103" i="1"/>
  <c r="T106" i="1"/>
  <c r="P35" i="3"/>
  <c r="J21" i="3"/>
  <c r="S21" i="3" s="1"/>
  <c r="J25" i="3"/>
  <c r="S25" i="3" s="1"/>
  <c r="N120" i="1"/>
  <c r="P32" i="3"/>
  <c r="H32" i="3"/>
  <c r="H33" i="3" s="1"/>
  <c r="I32" i="3"/>
  <c r="H35" i="3"/>
  <c r="J20" i="3"/>
  <c r="N22" i="3"/>
  <c r="T22" i="3" s="1"/>
  <c r="J24" i="3"/>
  <c r="S24" i="3" s="1"/>
  <c r="N26" i="3"/>
  <c r="T26" i="3" s="1"/>
  <c r="P31" i="3"/>
  <c r="T31" i="3" s="1"/>
  <c r="T89" i="1"/>
  <c r="M95" i="1"/>
  <c r="L35" i="3"/>
  <c r="S83" i="1"/>
  <c r="M94" i="1"/>
  <c r="V99" i="1"/>
  <c r="N21" i="3"/>
  <c r="T21" i="3" s="1"/>
  <c r="J23" i="3"/>
  <c r="S23" i="3" s="1"/>
  <c r="N25" i="3"/>
  <c r="T25" i="3" s="1"/>
  <c r="J19" i="3"/>
  <c r="S19" i="3" s="1"/>
  <c r="L32" i="3"/>
  <c r="S32" i="3" s="1"/>
  <c r="M35" i="3"/>
  <c r="N23" i="3"/>
  <c r="T23" i="3" s="1"/>
  <c r="T86" i="1"/>
  <c r="T104" i="1"/>
  <c r="Q105" i="1"/>
  <c r="S112" i="1"/>
  <c r="L31" i="3"/>
  <c r="I35" i="3"/>
  <c r="S96" i="1"/>
  <c r="T105" i="1"/>
  <c r="V98" i="1"/>
  <c r="V127" i="1"/>
  <c r="N20" i="3"/>
  <c r="J22" i="3"/>
  <c r="S22" i="3" s="1"/>
  <c r="N24" i="3"/>
  <c r="T24" i="3" s="1"/>
  <c r="J26" i="3"/>
  <c r="S26" i="3" s="1"/>
  <c r="M31" i="3"/>
  <c r="M33" i="3" s="1"/>
  <c r="S18" i="3"/>
  <c r="T18" i="3"/>
  <c r="T19" i="3"/>
  <c r="D33" i="3"/>
  <c r="D36" i="3" s="1"/>
  <c r="G33" i="3"/>
  <c r="G36" i="3" s="1"/>
  <c r="O33" i="3"/>
  <c r="O36" i="3" s="1"/>
  <c r="Q33" i="3"/>
  <c r="Q36" i="3" s="1"/>
  <c r="E33" i="3"/>
  <c r="K33" i="3"/>
  <c r="S105" i="1"/>
  <c r="J95" i="1"/>
  <c r="J106" i="1"/>
  <c r="V107" i="1"/>
  <c r="J111" i="1"/>
  <c r="J114" i="1" s="1"/>
  <c r="P114" i="1"/>
  <c r="S87" i="1"/>
  <c r="S94" i="1"/>
  <c r="V97" i="1"/>
  <c r="N122" i="1"/>
  <c r="T122" i="1" s="1"/>
  <c r="V122" i="1" s="1"/>
  <c r="T121" i="1"/>
  <c r="V121" i="1" s="1"/>
  <c r="N88" i="1"/>
  <c r="N32" i="3" s="1"/>
  <c r="S89" i="1"/>
  <c r="V89" i="1" s="1"/>
  <c r="V100" i="1"/>
  <c r="N111" i="1"/>
  <c r="T111" i="1" s="1"/>
  <c r="H114" i="1"/>
  <c r="S88" i="1"/>
  <c r="T87" i="1"/>
  <c r="N103" i="1"/>
  <c r="T118" i="1"/>
  <c r="V118" i="1" s="1"/>
  <c r="V23" i="1"/>
  <c r="T120" i="1"/>
  <c r="V120" i="1" s="1"/>
  <c r="V105" i="1"/>
  <c r="I114" i="1"/>
  <c r="V123" i="1"/>
  <c r="V128" i="1"/>
  <c r="M114" i="1"/>
  <c r="N112" i="1"/>
  <c r="I90" i="1"/>
  <c r="M93" i="1"/>
  <c r="Q83" i="1"/>
  <c r="T83" i="1" s="1"/>
  <c r="I102" i="1"/>
  <c r="M119" i="1"/>
  <c r="S119" i="1" s="1"/>
  <c r="N131" i="1"/>
  <c r="M136" i="1"/>
  <c r="N136" i="1" s="1"/>
  <c r="M139" i="1"/>
  <c r="N139" i="1" s="1"/>
  <c r="J10" i="3"/>
  <c r="J15" i="3" s="1"/>
  <c r="M91" i="1"/>
  <c r="M102" i="1"/>
  <c r="I124" i="1"/>
  <c r="J124" i="1" s="1"/>
  <c r="S124" i="1" s="1"/>
  <c r="M126" i="1"/>
  <c r="N126" i="1" s="1"/>
  <c r="T126" i="1" s="1"/>
  <c r="N124" i="1"/>
  <c r="T124" i="1" s="1"/>
  <c r="M92" i="1"/>
  <c r="M125" i="1"/>
  <c r="S125" i="1" s="1"/>
  <c r="I86" i="1"/>
  <c r="N93" i="1"/>
  <c r="N96" i="1"/>
  <c r="J104" i="1"/>
  <c r="N94" i="1"/>
  <c r="N10" i="3"/>
  <c r="L114" i="1"/>
  <c r="J136" i="1"/>
  <c r="V113" i="1"/>
  <c r="S111" i="1"/>
  <c r="J15" i="1"/>
  <c r="V22" i="1"/>
  <c r="V20" i="1"/>
  <c r="V25" i="1"/>
  <c r="V21" i="1"/>
  <c r="V27" i="1"/>
  <c r="V24" i="1"/>
  <c r="N15" i="1"/>
  <c r="N72" i="1"/>
  <c r="N73" i="1"/>
  <c r="N74" i="1"/>
  <c r="T74" i="1" s="1"/>
  <c r="J72" i="1"/>
  <c r="J73" i="1"/>
  <c r="J74" i="1"/>
  <c r="S74" i="1" s="1"/>
  <c r="N68" i="1"/>
  <c r="T68" i="1" s="1"/>
  <c r="N67" i="1"/>
  <c r="T67" i="1" s="1"/>
  <c r="N66" i="1"/>
  <c r="T66" i="1" s="1"/>
  <c r="N65" i="1"/>
  <c r="T65" i="1" s="1"/>
  <c r="N64" i="1"/>
  <c r="T64" i="1" s="1"/>
  <c r="N63" i="1"/>
  <c r="T63" i="1" s="1"/>
  <c r="N62" i="1"/>
  <c r="T62" i="1" s="1"/>
  <c r="N61" i="1"/>
  <c r="T61" i="1" s="1"/>
  <c r="J68" i="1"/>
  <c r="S68" i="1" s="1"/>
  <c r="J67" i="1"/>
  <c r="S67" i="1" s="1"/>
  <c r="J66" i="1"/>
  <c r="S66" i="1" s="1"/>
  <c r="J65" i="1"/>
  <c r="S65" i="1" s="1"/>
  <c r="J64" i="1"/>
  <c r="S64" i="1" s="1"/>
  <c r="J63" i="1"/>
  <c r="S63" i="1" s="1"/>
  <c r="J62" i="1"/>
  <c r="S62" i="1" s="1"/>
  <c r="J61" i="1"/>
  <c r="S61" i="1" s="1"/>
  <c r="N57" i="1"/>
  <c r="T57" i="1" s="1"/>
  <c r="N56" i="1"/>
  <c r="T56" i="1" s="1"/>
  <c r="N55" i="1"/>
  <c r="T55" i="1" s="1"/>
  <c r="N54" i="1"/>
  <c r="T54" i="1" s="1"/>
  <c r="N53" i="1"/>
  <c r="T53" i="1" s="1"/>
  <c r="N52" i="1"/>
  <c r="J57" i="1"/>
  <c r="S57" i="1" s="1"/>
  <c r="J53" i="1"/>
  <c r="S53" i="1" s="1"/>
  <c r="J54" i="1"/>
  <c r="S54" i="1" s="1"/>
  <c r="J55" i="1"/>
  <c r="S55" i="1" s="1"/>
  <c r="J56" i="1"/>
  <c r="S56" i="1" s="1"/>
  <c r="J52" i="1"/>
  <c r="S52" i="1" s="1"/>
  <c r="N48" i="1"/>
  <c r="T48" i="1" s="1"/>
  <c r="N47" i="1"/>
  <c r="T47" i="1" s="1"/>
  <c r="N46" i="1"/>
  <c r="T46" i="1" s="1"/>
  <c r="N45" i="1"/>
  <c r="T45" i="1" s="1"/>
  <c r="J48" i="1"/>
  <c r="S48" i="1" s="1"/>
  <c r="J47" i="1"/>
  <c r="S47" i="1" s="1"/>
  <c r="J46" i="1"/>
  <c r="S46" i="1" s="1"/>
  <c r="J45" i="1"/>
  <c r="S45" i="1" s="1"/>
  <c r="N38" i="1"/>
  <c r="T38" i="1" s="1"/>
  <c r="N39" i="1"/>
  <c r="T39" i="1" s="1"/>
  <c r="N40" i="1"/>
  <c r="T40" i="1" s="1"/>
  <c r="N41" i="1"/>
  <c r="T41" i="1" s="1"/>
  <c r="J38" i="1"/>
  <c r="J39" i="1"/>
  <c r="S39" i="1" s="1"/>
  <c r="J40" i="1"/>
  <c r="S40" i="1" s="1"/>
  <c r="J41" i="1"/>
  <c r="S41" i="1" s="1"/>
  <c r="Q42" i="1"/>
  <c r="Q49" i="1" s="1"/>
  <c r="P42" i="1"/>
  <c r="P49" i="1" s="1"/>
  <c r="O42" i="1"/>
  <c r="O49" i="1" s="1"/>
  <c r="M42" i="1"/>
  <c r="M49" i="1" s="1"/>
  <c r="L42" i="1"/>
  <c r="L49" i="1" s="1"/>
  <c r="K42" i="1"/>
  <c r="K49" i="1" s="1"/>
  <c r="I42" i="1"/>
  <c r="I49" i="1" s="1"/>
  <c r="H42" i="1"/>
  <c r="H49" i="1" s="1"/>
  <c r="G42" i="1"/>
  <c r="G49" i="1" s="1"/>
  <c r="E42" i="1"/>
  <c r="E49" i="1" s="1"/>
  <c r="D42" i="1"/>
  <c r="D49" i="1" s="1"/>
  <c r="C42" i="1"/>
  <c r="C49" i="1" s="1"/>
  <c r="C15" i="1"/>
  <c r="C28" i="1" s="1"/>
  <c r="T17" i="4"/>
  <c r="S17" i="4"/>
  <c r="T16" i="4"/>
  <c r="S16" i="4"/>
  <c r="Q13" i="4"/>
  <c r="P13" i="4"/>
  <c r="O13" i="4"/>
  <c r="M13" i="4"/>
  <c r="L13" i="4"/>
  <c r="K13" i="4"/>
  <c r="I13" i="4"/>
  <c r="H13" i="4"/>
  <c r="G13" i="4"/>
  <c r="E13" i="4"/>
  <c r="D13" i="4"/>
  <c r="C13" i="4"/>
  <c r="T7" i="4"/>
  <c r="S7" i="4"/>
  <c r="T7" i="3"/>
  <c r="S7" i="3"/>
  <c r="T19" i="1"/>
  <c r="Q28" i="1"/>
  <c r="P28" i="1"/>
  <c r="O28" i="1"/>
  <c r="M28" i="1"/>
  <c r="L28" i="1"/>
  <c r="K28" i="1"/>
  <c r="I28" i="1"/>
  <c r="H28" i="1"/>
  <c r="G28" i="1"/>
  <c r="E28" i="1"/>
  <c r="D28" i="1"/>
  <c r="S19" i="1"/>
  <c r="O129" i="1"/>
  <c r="K129" i="1"/>
  <c r="G129" i="1"/>
  <c r="E129" i="1"/>
  <c r="D129" i="1"/>
  <c r="C129" i="1"/>
  <c r="O108" i="1"/>
  <c r="K108" i="1"/>
  <c r="G108" i="1"/>
  <c r="E108" i="1"/>
  <c r="D108" i="1"/>
  <c r="Q58" i="1"/>
  <c r="Q69" i="1" s="1"/>
  <c r="Q77" i="1" s="1"/>
  <c r="P58" i="1"/>
  <c r="P69" i="1" s="1"/>
  <c r="P77" i="1" s="1"/>
  <c r="O58" i="1"/>
  <c r="O69" i="1" s="1"/>
  <c r="O77" i="1" s="1"/>
  <c r="M58" i="1"/>
  <c r="M69" i="1" s="1"/>
  <c r="M77" i="1" s="1"/>
  <c r="L58" i="1"/>
  <c r="L69" i="1" s="1"/>
  <c r="L77" i="1" s="1"/>
  <c r="K58" i="1"/>
  <c r="K69" i="1" s="1"/>
  <c r="K77" i="1" s="1"/>
  <c r="I58" i="1"/>
  <c r="I69" i="1" s="1"/>
  <c r="I77" i="1" s="1"/>
  <c r="H58" i="1"/>
  <c r="H69" i="1" s="1"/>
  <c r="H77" i="1" s="1"/>
  <c r="G58" i="1"/>
  <c r="G69" i="1" s="1"/>
  <c r="G77" i="1" s="1"/>
  <c r="E58" i="1"/>
  <c r="E69" i="1" s="1"/>
  <c r="E77" i="1" s="1"/>
  <c r="D58" i="1"/>
  <c r="D69" i="1" s="1"/>
  <c r="D77" i="1" s="1"/>
  <c r="C58" i="1"/>
  <c r="C69" i="1" s="1"/>
  <c r="C77" i="1" s="1"/>
  <c r="T7" i="1"/>
  <c r="S7" i="1"/>
  <c r="Q23" i="4" l="1"/>
  <c r="M23" i="4"/>
  <c r="P23" i="4"/>
  <c r="D23" i="4"/>
  <c r="L23" i="4"/>
  <c r="E23" i="4"/>
  <c r="H23" i="4"/>
  <c r="I23" i="4"/>
  <c r="T32" i="3"/>
  <c r="O11" i="3"/>
  <c r="N11" i="3"/>
  <c r="T10" i="3"/>
  <c r="N15" i="3"/>
  <c r="S10" i="3"/>
  <c r="J11" i="3"/>
  <c r="K11" i="3"/>
  <c r="L33" i="3"/>
  <c r="L36" i="3" s="1"/>
  <c r="V83" i="1"/>
  <c r="M36" i="3"/>
  <c r="T88" i="1"/>
  <c r="T44" i="3"/>
  <c r="P33" i="3"/>
  <c r="P36" i="3" s="1"/>
  <c r="P37" i="3" s="1"/>
  <c r="N33" i="3"/>
  <c r="O34" i="3" s="1"/>
  <c r="V87" i="1"/>
  <c r="S43" i="3"/>
  <c r="S92" i="1"/>
  <c r="T94" i="1"/>
  <c r="V94" i="1" s="1"/>
  <c r="S104" i="1"/>
  <c r="V104" i="1" s="1"/>
  <c r="S44" i="3"/>
  <c r="J102" i="1"/>
  <c r="S42" i="3" s="1"/>
  <c r="T96" i="1"/>
  <c r="V96" i="1" s="1"/>
  <c r="N102" i="1"/>
  <c r="T93" i="1"/>
  <c r="N91" i="1"/>
  <c r="S93" i="1"/>
  <c r="J86" i="1"/>
  <c r="I31" i="3"/>
  <c r="I33" i="3" s="1"/>
  <c r="I36" i="3" s="1"/>
  <c r="J90" i="1"/>
  <c r="T103" i="1"/>
  <c r="V103" i="1" s="1"/>
  <c r="T43" i="3"/>
  <c r="S95" i="1"/>
  <c r="S106" i="1"/>
  <c r="V106" i="1" s="1"/>
  <c r="N95" i="1"/>
  <c r="H34" i="3"/>
  <c r="H36" i="3"/>
  <c r="K36" i="3"/>
  <c r="E34" i="3"/>
  <c r="E36" i="3"/>
  <c r="M34" i="3"/>
  <c r="N119" i="1"/>
  <c r="T119" i="1" s="1"/>
  <c r="V119" i="1" s="1"/>
  <c r="S126" i="1"/>
  <c r="V126" i="1" s="1"/>
  <c r="V111" i="1"/>
  <c r="S114" i="1"/>
  <c r="N92" i="1"/>
  <c r="V93" i="1"/>
  <c r="N125" i="1"/>
  <c r="T125" i="1" s="1"/>
  <c r="V125" i="1" s="1"/>
  <c r="T112" i="1"/>
  <c r="N114" i="1"/>
  <c r="S91" i="1"/>
  <c r="J75" i="1"/>
  <c r="V124" i="1"/>
  <c r="N75" i="1"/>
  <c r="T42" i="1"/>
  <c r="J42" i="1"/>
  <c r="J49" i="1" s="1"/>
  <c r="S49" i="1" s="1"/>
  <c r="N42" i="1"/>
  <c r="N49" i="1" s="1"/>
  <c r="T49" i="1" s="1"/>
  <c r="H129" i="1"/>
  <c r="L14" i="4"/>
  <c r="E14" i="4"/>
  <c r="I14" i="4"/>
  <c r="S11" i="4"/>
  <c r="S13" i="4" s="1"/>
  <c r="E18" i="4"/>
  <c r="N18" i="4" s="1"/>
  <c r="M14" i="4"/>
  <c r="P14" i="4"/>
  <c r="Q14" i="4"/>
  <c r="H14" i="4"/>
  <c r="D14" i="4"/>
  <c r="J13" i="4"/>
  <c r="S18" i="4"/>
  <c r="T11" i="4"/>
  <c r="T13" i="4" s="1"/>
  <c r="D18" i="4"/>
  <c r="J18" i="4" s="1"/>
  <c r="T18" i="4"/>
  <c r="C18" i="4"/>
  <c r="P129" i="1"/>
  <c r="O27" i="3"/>
  <c r="O48" i="3" s="1"/>
  <c r="O65" i="3" s="1"/>
  <c r="O68" i="3" s="1"/>
  <c r="P27" i="3"/>
  <c r="P48" i="3" s="1"/>
  <c r="P65" i="3" s="1"/>
  <c r="P68" i="3" s="1"/>
  <c r="Q29" i="1"/>
  <c r="H27" i="3"/>
  <c r="H48" i="3" s="1"/>
  <c r="H65" i="3" s="1"/>
  <c r="H68" i="3" s="1"/>
  <c r="I29" i="1"/>
  <c r="V19" i="1"/>
  <c r="E15" i="3"/>
  <c r="E27" i="3" s="1"/>
  <c r="E48" i="3" s="1"/>
  <c r="E65" i="3" s="1"/>
  <c r="E68" i="3" s="1"/>
  <c r="M27" i="3"/>
  <c r="M48" i="3" s="1"/>
  <c r="K27" i="3"/>
  <c r="K48" i="3" s="1"/>
  <c r="K65" i="3" s="1"/>
  <c r="K68" i="3" s="1"/>
  <c r="S20" i="3"/>
  <c r="T20" i="3"/>
  <c r="P29" i="1"/>
  <c r="L27" i="3"/>
  <c r="L48" i="3" s="1"/>
  <c r="H29" i="1"/>
  <c r="C27" i="3"/>
  <c r="C48" i="3" s="1"/>
  <c r="C65" i="3" s="1"/>
  <c r="C68" i="3" s="1"/>
  <c r="Q27" i="3"/>
  <c r="Q48" i="3" s="1"/>
  <c r="Q65" i="3" s="1"/>
  <c r="Q68" i="3" s="1"/>
  <c r="I27" i="3"/>
  <c r="M29" i="1"/>
  <c r="L29" i="1"/>
  <c r="D29" i="1"/>
  <c r="E29" i="1"/>
  <c r="S13" i="3"/>
  <c r="G27" i="3"/>
  <c r="G48" i="3" s="1"/>
  <c r="G65" i="3" s="1"/>
  <c r="G68" i="3" s="1"/>
  <c r="J27" i="3"/>
  <c r="T13" i="3"/>
  <c r="D27" i="3"/>
  <c r="D48" i="3" s="1"/>
  <c r="D65" i="3" s="1"/>
  <c r="D68" i="3" s="1"/>
  <c r="D69" i="3" s="1"/>
  <c r="S14" i="3"/>
  <c r="T14" i="3"/>
  <c r="S14" i="1"/>
  <c r="E16" i="1"/>
  <c r="D16" i="1"/>
  <c r="T14" i="1"/>
  <c r="V61" i="1"/>
  <c r="S75" i="1"/>
  <c r="J58" i="1"/>
  <c r="J69" i="1" s="1"/>
  <c r="H16" i="1"/>
  <c r="V48" i="1"/>
  <c r="V56" i="1"/>
  <c r="T13" i="1"/>
  <c r="I16" i="1"/>
  <c r="V55" i="1"/>
  <c r="P16" i="1"/>
  <c r="M16" i="1"/>
  <c r="Q16" i="1"/>
  <c r="N58" i="1"/>
  <c r="N69" i="1" s="1"/>
  <c r="T52" i="1"/>
  <c r="L129" i="1"/>
  <c r="V57" i="1"/>
  <c r="H108" i="1"/>
  <c r="V39" i="1"/>
  <c r="P108" i="1"/>
  <c r="V45" i="1"/>
  <c r="L16" i="1"/>
  <c r="S38" i="1"/>
  <c r="S42" i="1" s="1"/>
  <c r="S13" i="1"/>
  <c r="J14" i="4" l="1"/>
  <c r="P69" i="3"/>
  <c r="Q69" i="3"/>
  <c r="S11" i="3"/>
  <c r="T11" i="3"/>
  <c r="E69" i="3"/>
  <c r="M37" i="3"/>
  <c r="H69" i="3"/>
  <c r="Q34" i="3"/>
  <c r="L34" i="3"/>
  <c r="Q37" i="3"/>
  <c r="P34" i="3"/>
  <c r="N34" i="3"/>
  <c r="N36" i="3"/>
  <c r="N37" i="3" s="1"/>
  <c r="I48" i="3"/>
  <c r="I65" i="3" s="1"/>
  <c r="I68" i="3" s="1"/>
  <c r="I69" i="3" s="1"/>
  <c r="I34" i="3"/>
  <c r="T95" i="1"/>
  <c r="V95" i="1" s="1"/>
  <c r="J48" i="3"/>
  <c r="J65" i="3" s="1"/>
  <c r="J68" i="3" s="1"/>
  <c r="K69" i="3" s="1"/>
  <c r="T92" i="1"/>
  <c r="V92" i="1" s="1"/>
  <c r="T102" i="1"/>
  <c r="V102" i="1" s="1"/>
  <c r="T42" i="3"/>
  <c r="S86" i="1"/>
  <c r="V86" i="1" s="1"/>
  <c r="J31" i="3"/>
  <c r="T91" i="1"/>
  <c r="V91" i="1" s="1"/>
  <c r="S102" i="1"/>
  <c r="E37" i="3"/>
  <c r="H37" i="3"/>
  <c r="I37" i="3"/>
  <c r="L37" i="3"/>
  <c r="C33" i="3"/>
  <c r="N77" i="1"/>
  <c r="V112" i="1"/>
  <c r="T114" i="1"/>
  <c r="J77" i="1"/>
  <c r="J19" i="4"/>
  <c r="P19" i="4"/>
  <c r="M19" i="4"/>
  <c r="E19" i="4"/>
  <c r="L19" i="4"/>
  <c r="T35" i="3"/>
  <c r="H19" i="4"/>
  <c r="I129" i="1"/>
  <c r="T45" i="3"/>
  <c r="Q19" i="4"/>
  <c r="Q129" i="1"/>
  <c r="S35" i="3"/>
  <c r="T46" i="3"/>
  <c r="K14" i="4"/>
  <c r="N13" i="4"/>
  <c r="I19" i="4"/>
  <c r="D19" i="4"/>
  <c r="O19" i="4"/>
  <c r="T19" i="4"/>
  <c r="T14" i="4"/>
  <c r="P28" i="3"/>
  <c r="P16" i="3"/>
  <c r="Q28" i="3"/>
  <c r="E16" i="3"/>
  <c r="I28" i="3"/>
  <c r="S15" i="3"/>
  <c r="S33" i="3" s="1"/>
  <c r="I16" i="3"/>
  <c r="L28" i="3"/>
  <c r="L16" i="3"/>
  <c r="M28" i="3"/>
  <c r="Q16" i="3"/>
  <c r="M16" i="3"/>
  <c r="J16" i="1"/>
  <c r="J28" i="1"/>
  <c r="D16" i="3"/>
  <c r="N16" i="1"/>
  <c r="N28" i="1"/>
  <c r="J16" i="3"/>
  <c r="H16" i="3"/>
  <c r="T15" i="3"/>
  <c r="K16" i="3"/>
  <c r="N27" i="3"/>
  <c r="T15" i="1"/>
  <c r="T28" i="1" s="1"/>
  <c r="V14" i="1"/>
  <c r="S15" i="1"/>
  <c r="S28" i="1" s="1"/>
  <c r="O16" i="1"/>
  <c r="V42" i="1"/>
  <c r="S58" i="1"/>
  <c r="S69" i="1" s="1"/>
  <c r="S77" i="1" s="1"/>
  <c r="I108" i="1"/>
  <c r="Q108" i="1"/>
  <c r="K16" i="1"/>
  <c r="V49" i="1"/>
  <c r="T58" i="1"/>
  <c r="V52" i="1"/>
  <c r="V13" i="1"/>
  <c r="V38" i="1"/>
  <c r="T75" i="1"/>
  <c r="M129" i="1"/>
  <c r="N23" i="4" l="1"/>
  <c r="O23" i="4"/>
  <c r="J23" i="4"/>
  <c r="K23" i="4"/>
  <c r="J69" i="3"/>
  <c r="O37" i="3"/>
  <c r="N48" i="3"/>
  <c r="S31" i="3"/>
  <c r="J33" i="3"/>
  <c r="S36" i="3"/>
  <c r="D34" i="3"/>
  <c r="C36" i="3"/>
  <c r="K19" i="4"/>
  <c r="N19" i="4"/>
  <c r="S46" i="3"/>
  <c r="S45" i="3"/>
  <c r="N28" i="3"/>
  <c r="H28" i="3"/>
  <c r="S27" i="3"/>
  <c r="N14" i="4"/>
  <c r="O14" i="4"/>
  <c r="J28" i="3"/>
  <c r="T16" i="3"/>
  <c r="T33" i="3" s="1"/>
  <c r="T27" i="3"/>
  <c r="N29" i="1"/>
  <c r="O29" i="1"/>
  <c r="K28" i="3"/>
  <c r="O28" i="3"/>
  <c r="E28" i="3"/>
  <c r="D28" i="3"/>
  <c r="J29" i="1"/>
  <c r="K29" i="1"/>
  <c r="O16" i="3"/>
  <c r="N16" i="3"/>
  <c r="V28" i="1"/>
  <c r="V15" i="1"/>
  <c r="T29" i="1"/>
  <c r="T16" i="1"/>
  <c r="V114" i="1"/>
  <c r="J108" i="1"/>
  <c r="N129" i="1"/>
  <c r="T117" i="1"/>
  <c r="T129" i="1" s="1"/>
  <c r="J129" i="1"/>
  <c r="S117" i="1"/>
  <c r="S129" i="1" s="1"/>
  <c r="V75" i="1"/>
  <c r="T69" i="1"/>
  <c r="V69" i="1" s="1"/>
  <c r="V58" i="1"/>
  <c r="J36" i="3" l="1"/>
  <c r="J34" i="3"/>
  <c r="K34" i="3"/>
  <c r="T36" i="3"/>
  <c r="T34" i="3"/>
  <c r="D37" i="3"/>
  <c r="V129" i="1"/>
  <c r="T28" i="3"/>
  <c r="V117" i="1"/>
  <c r="T77" i="1"/>
  <c r="V77" i="1" s="1"/>
  <c r="J37" i="3" l="1"/>
  <c r="K37" i="3"/>
  <c r="T37" i="3"/>
  <c r="T47" i="3" l="1"/>
  <c r="T48" i="3" s="1"/>
  <c r="S47" i="3"/>
  <c r="S48" i="3" s="1"/>
  <c r="T49" i="3" l="1"/>
  <c r="S68" i="3"/>
  <c r="S65" i="3"/>
  <c r="S55" i="3"/>
  <c r="V55" i="3"/>
  <c r="V108" i="1"/>
  <c r="T108" i="1"/>
  <c r="N69" i="3"/>
  <c r="N65" i="3"/>
  <c r="N68" i="3"/>
  <c r="O69" i="3"/>
  <c r="V65" i="3"/>
  <c r="T90" i="1"/>
  <c r="V90" i="1"/>
  <c r="M69" i="3"/>
  <c r="M68" i="3"/>
  <c r="M65" i="3"/>
  <c r="M55" i="3"/>
  <c r="M90" i="1"/>
  <c r="M108" i="1"/>
  <c r="S108" i="1"/>
  <c r="S90" i="1"/>
  <c r="N108" i="1"/>
  <c r="L55" i="3"/>
  <c r="L65" i="3"/>
  <c r="L68" i="3"/>
  <c r="L69" i="3"/>
  <c r="L108" i="1"/>
  <c r="T69" i="3"/>
  <c r="V68" i="3"/>
  <c r="L90" i="1"/>
  <c r="N90" i="1"/>
  <c r="N55" i="3"/>
  <c r="T55" i="3"/>
  <c r="T65" i="3"/>
  <c r="T68" i="3"/>
  <c r="C2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<sst xmlns="http://schemas.openxmlformats.org/spreadsheetml/2006/main" count="316" uniqueCount="188">
  <si>
    <t>(In Millions)</t>
  </si>
  <si>
    <t>FYE</t>
  </si>
  <si>
    <t>Quarterly</t>
  </si>
  <si>
    <t>LTM</t>
  </si>
  <si>
    <t>LTM VAR</t>
  </si>
  <si>
    <t>X</t>
  </si>
  <si>
    <t xml:space="preserve">Income Statement </t>
  </si>
  <si>
    <t>FY2021</t>
  </si>
  <si>
    <t>FY2022</t>
  </si>
  <si>
    <t>FY2023</t>
  </si>
  <si>
    <t>1Q22</t>
  </si>
  <si>
    <t>2Q22</t>
  </si>
  <si>
    <t>3Q22</t>
  </si>
  <si>
    <t>4Q22</t>
  </si>
  <si>
    <t>1Q23</t>
  </si>
  <si>
    <t>2Q23</t>
  </si>
  <si>
    <t>3Q23</t>
  </si>
  <si>
    <t>4Q23</t>
  </si>
  <si>
    <t>1Q24</t>
  </si>
  <si>
    <t>2Q24</t>
  </si>
  <si>
    <t>3Q24</t>
  </si>
  <si>
    <t>VAR</t>
  </si>
  <si>
    <t>General and administrative</t>
  </si>
  <si>
    <t>Y/Y Growth, Q/Q Growth</t>
  </si>
  <si>
    <t>Interest income</t>
  </si>
  <si>
    <t>Net loss</t>
  </si>
  <si>
    <t xml:space="preserve">Balance Sheet Statement </t>
  </si>
  <si>
    <t>Current Assets</t>
  </si>
  <si>
    <t>Cash and cash equivalents</t>
  </si>
  <si>
    <t>Prepaid expenses and other current assets</t>
  </si>
  <si>
    <t>Long-Term Assets</t>
  </si>
  <si>
    <t>Property and equipment, net</t>
  </si>
  <si>
    <t>Current Liabilities</t>
  </si>
  <si>
    <t>Total current liabilities</t>
  </si>
  <si>
    <t>Long-Term Liabilities</t>
  </si>
  <si>
    <t>Additional paid-in capital</t>
  </si>
  <si>
    <t>Accumulated deficit</t>
  </si>
  <si>
    <t>Total stockholders' equity</t>
  </si>
  <si>
    <t>Total liabilities and stockholders' equity</t>
  </si>
  <si>
    <t>Cash-Flows Statement</t>
  </si>
  <si>
    <t>Cash and cash equivalents at beginning of period</t>
  </si>
  <si>
    <t>Cash and cash equivalents at end of period</t>
  </si>
  <si>
    <t>V</t>
  </si>
  <si>
    <t>Consolidated Statements of Income - USD ($) shares in Thousands</t>
  </si>
  <si>
    <t>Galectin Therapeutics Inc (NASDAQ: GALT)</t>
  </si>
  <si>
    <t>Research and development</t>
  </si>
  <si>
    <t>Total operating loss</t>
  </si>
  <si>
    <t>Other income (expense):</t>
  </si>
  <si>
    <t>Interest expense</t>
  </si>
  <si>
    <t>Company Name</t>
  </si>
  <si>
    <t xml:space="preserve">Ticker </t>
  </si>
  <si>
    <t>Pipeline</t>
  </si>
  <si>
    <t xml:space="preserve">Target </t>
  </si>
  <si>
    <t xml:space="preserve">Drug </t>
  </si>
  <si>
    <t>Indication</t>
  </si>
  <si>
    <t>Stage</t>
  </si>
  <si>
    <t>Data Release</t>
  </si>
  <si>
    <t xml:space="preserve">Snapshot </t>
  </si>
  <si>
    <t>Equity Value</t>
  </si>
  <si>
    <t>Total Debt</t>
  </si>
  <si>
    <t xml:space="preserve">Enterprise Value </t>
  </si>
  <si>
    <t>LTM Adjusted EBITDA</t>
  </si>
  <si>
    <t>Accounts payable</t>
  </si>
  <si>
    <t>Accrued expenses</t>
  </si>
  <si>
    <t>Total Liabilities</t>
  </si>
  <si>
    <t>Stock-based compensation expense</t>
  </si>
  <si>
    <t>Non-cash interest expense</t>
  </si>
  <si>
    <t>Adjusted EBITDA</t>
  </si>
  <si>
    <t>FCF After NWC Changes</t>
  </si>
  <si>
    <t>FCF Analysis</t>
  </si>
  <si>
    <t xml:space="preserve">Leverage &amp; Liquidity </t>
  </si>
  <si>
    <t xml:space="preserve">Total Liquidity </t>
  </si>
  <si>
    <t xml:space="preserve">Net Change in Cash Position </t>
  </si>
  <si>
    <t xml:space="preserve">Cash Per Share </t>
  </si>
  <si>
    <t>LTM Cash Position</t>
  </si>
  <si>
    <t>Grant Revenue</t>
  </si>
  <si>
    <t>Operating Expenses</t>
  </si>
  <si>
    <t>Humacyte Inc (NASDAQ: HUMA)</t>
  </si>
  <si>
    <t>Change in fair value of Contingent Earnout Liability</t>
  </si>
  <si>
    <t>Change in fair value of common stock warrant liabilities</t>
  </si>
  <si>
    <t>Gain on PPP loan forgiveness</t>
  </si>
  <si>
    <t>Employee retention credit</t>
  </si>
  <si>
    <t>Loss on extinguishment of debt</t>
  </si>
  <si>
    <t>Transaction costs expensed</t>
  </si>
  <si>
    <t>Change in fair value of derivative liabilities</t>
  </si>
  <si>
    <t>Net loss per share attributable to common stockholders, basic and diluted</t>
  </si>
  <si>
    <t>Weighted-average shares outstanding used in computing net loss per share attributable to common stockholders, basic and diluted</t>
  </si>
  <si>
    <t>Short-term investments</t>
  </si>
  <si>
    <t>Accounts receivable</t>
  </si>
  <si>
    <t>Restricted cash</t>
  </si>
  <si>
    <t>Finance lease right-of-use assets, net</t>
  </si>
  <si>
    <t>Other long-term assets</t>
  </si>
  <si>
    <t>Finance lease obligation, current portion</t>
  </si>
  <si>
    <t>Operating lease obligation, current portion</t>
  </si>
  <si>
    <t>Deferred payroll tax</t>
  </si>
  <si>
    <t>SVB loan payable, current portion</t>
  </si>
  <si>
    <t>Revenue interest liability</t>
  </si>
  <si>
    <t>Contingent Earnout Liability</t>
  </si>
  <si>
    <t>Finance lease obligation, net of current portion</t>
  </si>
  <si>
    <t>Operating lease obligation, net of current portion</t>
  </si>
  <si>
    <t>Common stock warrant liabilities</t>
  </si>
  <si>
    <t>Contingent derivative liability</t>
  </si>
  <si>
    <t>Other long-term liabilities</t>
  </si>
  <si>
    <t>SVB loan payable, net of current portion</t>
  </si>
  <si>
    <t>Stockholders’ Equity</t>
  </si>
  <si>
    <t>Depreciation expense</t>
  </si>
  <si>
    <t>Loss on disposal of property and equipment</t>
  </si>
  <si>
    <t>Amortization expense</t>
  </si>
  <si>
    <t>Non-cash operating lease costs</t>
  </si>
  <si>
    <t>Amortization of SVB debt discount</t>
  </si>
  <si>
    <t>Accrued interest on PPP loan obligation</t>
  </si>
  <si>
    <t>Payment of liabilities assumed in Merger</t>
  </si>
  <si>
    <t>Operating lease obligation</t>
  </si>
  <si>
    <t>Deferred payroll taxes</t>
  </si>
  <si>
    <t>Proceeds from maturity of short-term investments (certificates of deposit)</t>
  </si>
  <si>
    <t>Purchase of property and equipment</t>
  </si>
  <si>
    <t>Purchase of short-term investments (certificates of deposit)</t>
  </si>
  <si>
    <t>Proceeds from issuance of stock in public offering, net of underwriting fees</t>
  </si>
  <si>
    <t>Payments of costs related to public offering</t>
  </si>
  <si>
    <t>Proceeds from revenue interest purchase agreement, net of issuance costs</t>
  </si>
  <si>
    <t>Payments of transaction costs related to revenue interest purchase agreement</t>
  </si>
  <si>
    <t>Proceeds from sale of common stock under Common Stock Purchase Agreement</t>
  </si>
  <si>
    <t>Principal payments on SVB loan</t>
  </si>
  <si>
    <t>Payments for debt prepayment and extinguishment costs</t>
  </si>
  <si>
    <t>Proceeds from the exercise of stock options</t>
  </si>
  <si>
    <t>Proceeds from JDRF Agreement</t>
  </si>
  <si>
    <t>Payments of finance lease principal</t>
  </si>
  <si>
    <t>Proceeds from Merger and PIPE financing, net of offering costs paid</t>
  </si>
  <si>
    <t>Payment of transaction costs related to Merger</t>
  </si>
  <si>
    <t>Net decrease in cash, cash equivalents and restricted cash</t>
  </si>
  <si>
    <t>Cash, cash equivalents and restricted cash at the beginning of the period</t>
  </si>
  <si>
    <t>Cash, cash equivalents and restricted cash at the end of the period</t>
  </si>
  <si>
    <t>Supplemental disclosure:</t>
  </si>
  <si>
    <t>Cash paid for interest on SVB loan</t>
  </si>
  <si>
    <t>Supplemental disclosure of noncash activities:</t>
  </si>
  <si>
    <t>Purchase of property and equipment in accounts payable and accrued expenses</t>
  </si>
  <si>
    <t>Initial fair value of contingent derivative liability related to revenue interest liability</t>
  </si>
  <si>
    <t>Issuance of warrants in conjunction with debt</t>
  </si>
  <si>
    <t>Unpaid liabilities assumed in connection with Merger</t>
  </si>
  <si>
    <t>Debt discount from embedded contingent derivative liability</t>
  </si>
  <si>
    <t>Issuance of commitment shares pursuant to Common Stock Purchase Agreement</t>
  </si>
  <si>
    <t>Unpaid issuance costs in connection with public offering</t>
  </si>
  <si>
    <t>Unpaid transaction costs related to revenue interest purchase agreement</t>
  </si>
  <si>
    <t>Contingent derivative liability related to revenue interest liability</t>
  </si>
  <si>
    <t>Conversion of redeemable convertible preferred stock into common stock in connection with the reverse capitalization</t>
  </si>
  <si>
    <t>Contingent Earnout Liability recognized upon the closing of the reverse recapitalization</t>
  </si>
  <si>
    <t>Common Stock</t>
  </si>
  <si>
    <t>Changes in Operating Assets and Liabilities</t>
  </si>
  <si>
    <t>Adjustments to reconcile net loss to net cash from operating activities</t>
  </si>
  <si>
    <t>Total Assets</t>
  </si>
  <si>
    <t>Total Current Assets</t>
  </si>
  <si>
    <t>Cash flows from Investing Activities</t>
  </si>
  <si>
    <t>Cash flows from Financing Activities</t>
  </si>
  <si>
    <t>Net Cash Provided by Financing Activities</t>
  </si>
  <si>
    <t>Net Cash Used in Investing Activities</t>
  </si>
  <si>
    <t>Net Cash Used in Operating Activities</t>
  </si>
  <si>
    <t>HUMA</t>
  </si>
  <si>
    <t>ACELLULAR TISSUE ENGINEERED VESSELS:</t>
  </si>
  <si>
    <t>DIALYSIS (AV ACCESS)</t>
  </si>
  <si>
    <t>PERIPHERAL ARTERY DISEASE (PAD)</t>
  </si>
  <si>
    <t>CORONARY ARTERY BYPASS GRAFTING (CABG)</t>
  </si>
  <si>
    <t>TRAUMA</t>
  </si>
  <si>
    <t>PEDIATRIC HEART DISEASE</t>
  </si>
  <si>
    <t>N/A</t>
  </si>
  <si>
    <t>ADVANCED ORGAN SYSTEMS:</t>
  </si>
  <si>
    <t>BIOVASCULAR PANCREAS™ (TYPE 1 DIABETES)</t>
  </si>
  <si>
    <t>PRECLINICAL</t>
  </si>
  <si>
    <t>LUNG</t>
  </si>
  <si>
    <t>ADVANCED TISSUE CONSTRUCTS:</t>
  </si>
  <si>
    <t>TRACHEAL REPLACEMENT</t>
  </si>
  <si>
    <t>ESOPHAGEAL REPLACEMENT</t>
  </si>
  <si>
    <t>URINARY CONDUIT</t>
  </si>
  <si>
    <t>Total Operating Loss</t>
  </si>
  <si>
    <t>EBITDA</t>
  </si>
  <si>
    <t xml:space="preserve">Free-Cash-Flow </t>
  </si>
  <si>
    <t xml:space="preserve">FCF After Other Operating Changes </t>
  </si>
  <si>
    <t>Free-Cash Flow</t>
  </si>
  <si>
    <t>Free-Cash Flow After NWC Changes</t>
  </si>
  <si>
    <t>EBITDA Add-Back Items</t>
  </si>
  <si>
    <t>(In Thousands)</t>
  </si>
  <si>
    <t>Cash flows from Operating Activities</t>
  </si>
  <si>
    <t xml:space="preserve">Weighted-average shares outstanding </t>
  </si>
  <si>
    <t>Liquidity Profile</t>
  </si>
  <si>
    <t>Cash Position Profile</t>
  </si>
  <si>
    <t>Cash Per Share Computation</t>
  </si>
  <si>
    <t>LTM Free-Cash Flow</t>
  </si>
  <si>
    <t xml:space="preserve">Shares Outstanding </t>
  </si>
  <si>
    <t>Share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</si>
</sst>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quot;$ &quot;#,##0_);_(&quot;$ &quot;\(#,##0\)"/>
    <numFmt numFmtId="165" formatCode="&quot;$&quot;#,##0"/>
    <numFmt numFmtId="166" formatCode="_(* #,##0_);_(* \(#,##0\);_(* &quot;-&quot;??_);_(@_)"/>
    <numFmt numFmtId="177" formatCode="_([$$-409]* #,##0.00_);_([$$-409]* \(#,##0.00\);_([$$-409]* &quot;-&quot;??_);_(@_)"/>
  </numFmts>
  <fonts count="3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0"/>
      <name val="Calibri"/>
      <family val="2"/>
      <scheme val="minor"/>
    </font>
    <font>
      <b/>
      <sz val="12"/>
      <color theme="0"/>
      <name val="Calibri"/>
      <family val="2"/>
      <scheme val="minor"/>
    </font>
    <font>
      <i/>
      <sz val="11"/>
      <color theme="0"/>
      <name val="Calibri"/>
      <family val="2"/>
    </font>
    <font>
      <b/>
      <sz val="11"/>
      <name val="Calibri"/>
      <family val="2"/>
    </font>
    <font>
      <b/>
      <sz val="11"/>
      <name val="Calibri"/>
      <family val="2"/>
      <scheme val="minor"/>
    </font>
    <font>
      <sz val="10"/>
      <name val="Calibri"/>
      <family val="2"/>
    </font>
    <font>
      <sz val="11"/>
      <name val="Calibri"/>
      <family val="2"/>
    </font>
    <font>
      <sz val="11"/>
      <color rgb="FF0000CC"/>
      <name val="Calibri"/>
      <family val="2"/>
    </font>
    <font>
      <sz val="11"/>
      <color theme="1"/>
      <name val="Calibri"/>
      <family val="2"/>
    </font>
    <font>
      <i/>
      <sz val="9"/>
      <color theme="1"/>
      <name val="Calibri"/>
      <family val="2"/>
      <scheme val="minor"/>
    </font>
    <font>
      <b/>
      <sz val="11"/>
      <color theme="1"/>
      <name val="Calibri"/>
      <family val="2"/>
    </font>
    <font>
      <b/>
      <i/>
      <sz val="9"/>
      <color theme="1"/>
      <name val="Calibri"/>
      <family val="2"/>
      <scheme val="minor"/>
    </font>
    <font>
      <i/>
      <sz val="10"/>
      <name val="Calibri"/>
      <family val="2"/>
    </font>
    <font>
      <b/>
      <sz val="11"/>
      <color theme="0"/>
      <name val="Calibri"/>
      <family val="2"/>
    </font>
    <font>
      <sz val="11"/>
      <color theme="9" tint="-0.249977111117893"/>
      <name val="Calibri"/>
      <family val="2"/>
    </font>
    <font>
      <b/>
      <sz val="12"/>
      <color theme="1"/>
      <name val="Calibri"/>
      <family val="2"/>
      <scheme val="minor"/>
    </font>
    <font>
      <sz val="11"/>
      <color rgb="FF0000E1"/>
      <name val="Calibri"/>
      <family val="2"/>
      <scheme val="minor"/>
    </font>
    <font>
      <sz val="11"/>
      <color rgb="FF0000E1"/>
      <name val="Calibri"/>
      <family val="2"/>
    </font>
    <font>
      <b/>
      <sz val="12"/>
      <name val="Calibri"/>
      <family val="2"/>
      <scheme val="minor"/>
    </font>
    <font>
      <b/>
      <sz val="11"/>
      <color rgb="FF0000CC"/>
      <name val="Calibri"/>
      <family val="2"/>
    </font>
    <font>
      <sz val="11"/>
      <color rgb="FF0000CC"/>
      <name val="Calibri"/>
      <family val="2"/>
      <scheme val="minor"/>
    </font>
    <font>
      <i/>
      <sz val="11"/>
      <color theme="1"/>
      <name val="Calibri"/>
      <family val="2"/>
      <scheme val="minor"/>
    </font>
    <font>
      <sz val="12"/>
      <color theme="1"/>
      <name val="Calibri"/>
      <family val="2"/>
      <scheme val="minor"/>
    </font>
    <font>
      <b/>
      <sz val="11"/>
      <color indexed="8"/>
      <name val="Calibri"/>
      <family val="2"/>
    </font>
    <font>
      <sz val="11"/>
      <color indexed="8"/>
      <name val="Calibri"/>
      <family val="2"/>
    </font>
    <font>
      <sz val="9"/>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s>
  <borders count="12">
    <border>
      <left/>
      <right/>
      <top/>
      <bottom/>
      <diagonal/>
    </border>
    <border>
      <left/>
      <right/>
      <top/>
      <bottom style="medium">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01">
    <xf numFmtId="0" fontId="0" fillId="0" borderId="0" xfId="0"/>
    <xf numFmtId="0" fontId="7" fillId="2" borderId="0" xfId="0" applyFont="1" applyFill="1" applyAlignment="1">
      <alignment vertical="center"/>
    </xf>
    <xf numFmtId="165" fontId="8" fillId="0" borderId="2" xfId="0" applyNumberFormat="1" applyFont="1" applyBorder="1" applyAlignment="1">
      <alignment vertical="top" wrapText="1"/>
    </xf>
    <xf numFmtId="165" fontId="8" fillId="0" borderId="0" xfId="0" applyNumberFormat="1" applyFont="1" applyAlignment="1">
      <alignment vertical="top" wrapText="1"/>
    </xf>
    <xf numFmtId="0" fontId="11" fillId="0" borderId="0" xfId="0" applyFont="1" applyAlignment="1">
      <alignment vertical="top" wrapText="1"/>
    </xf>
    <xf numFmtId="0" fontId="0" fillId="0" borderId="0" xfId="0" applyAlignment="1">
      <alignment wrapText="1"/>
    </xf>
    <xf numFmtId="0" fontId="2" fillId="2" borderId="0" xfId="0" applyFont="1" applyFill="1" applyAlignment="1">
      <alignment wrapText="1"/>
    </xf>
    <xf numFmtId="0" fontId="0" fillId="2" borderId="0" xfId="0" applyFill="1" applyAlignment="1">
      <alignment wrapText="1"/>
    </xf>
    <xf numFmtId="0" fontId="5" fillId="0" borderId="0" xfId="0" applyFont="1" applyAlignment="1">
      <alignment wrapText="1"/>
    </xf>
    <xf numFmtId="0" fontId="3" fillId="0" borderId="1" xfId="0" applyFont="1" applyBorder="1" applyAlignment="1">
      <alignment horizontal="centerContinuous" wrapText="1"/>
    </xf>
    <xf numFmtId="0" fontId="3" fillId="0" borderId="0" xfId="0" applyFont="1" applyAlignment="1">
      <alignment horizontal="centerContinuous" wrapText="1"/>
    </xf>
    <xf numFmtId="0" fontId="2" fillId="2" borderId="0" xfId="0" applyFont="1" applyFill="1" applyAlignment="1">
      <alignment horizontal="center" wrapText="1"/>
    </xf>
    <xf numFmtId="0" fontId="2" fillId="0" borderId="0" xfId="0" applyFont="1" applyAlignment="1">
      <alignment horizontal="center" wrapText="1"/>
    </xf>
    <xf numFmtId="14" fontId="5" fillId="2" borderId="0" xfId="0" applyNumberFormat="1" applyFont="1" applyFill="1" applyAlignment="1">
      <alignment horizontal="center" wrapText="1"/>
    </xf>
    <xf numFmtId="14" fontId="4" fillId="2" borderId="0" xfId="0" applyNumberFormat="1" applyFont="1" applyFill="1" applyAlignment="1">
      <alignment horizontal="center" wrapText="1"/>
    </xf>
    <xf numFmtId="14" fontId="5" fillId="0" borderId="0" xfId="0" applyNumberFormat="1" applyFont="1" applyAlignment="1">
      <alignment horizontal="center" wrapText="1"/>
    </xf>
    <xf numFmtId="0" fontId="7" fillId="0" borderId="0" xfId="0" applyFont="1" applyAlignment="1">
      <alignment vertical="center" wrapText="1"/>
    </xf>
    <xf numFmtId="14" fontId="2" fillId="0" borderId="0" xfId="0" applyNumberFormat="1" applyFont="1" applyAlignment="1">
      <alignment horizontal="center" wrapText="1"/>
    </xf>
    <xf numFmtId="0" fontId="8" fillId="0" borderId="0" xfId="0" applyFont="1" applyAlignment="1">
      <alignment vertical="center" wrapText="1"/>
    </xf>
    <xf numFmtId="10" fontId="9" fillId="0" borderId="0" xfId="0" applyNumberFormat="1" applyFont="1" applyAlignment="1">
      <alignment horizontal="center" wrapText="1"/>
    </xf>
    <xf numFmtId="9" fontId="10" fillId="0" borderId="0" xfId="2" applyFont="1" applyBorder="1" applyAlignment="1">
      <alignment horizontal="right" vertical="center" wrapText="1"/>
    </xf>
    <xf numFmtId="37" fontId="13" fillId="0" borderId="0" xfId="0" applyNumberFormat="1" applyFont="1" applyAlignment="1">
      <alignment wrapText="1"/>
    </xf>
    <xf numFmtId="164" fontId="13" fillId="0" borderId="0" xfId="0" applyNumberFormat="1" applyFont="1" applyAlignment="1">
      <alignment wrapText="1"/>
    </xf>
    <xf numFmtId="10" fontId="14" fillId="3" borderId="0" xfId="2" applyNumberFormat="1" applyFont="1" applyFill="1" applyAlignment="1">
      <alignment horizontal="center" wrapText="1"/>
    </xf>
    <xf numFmtId="37" fontId="12" fillId="0" borderId="0" xfId="0" applyNumberFormat="1" applyFont="1" applyAlignment="1">
      <alignment horizontal="right" vertical="top" wrapText="1"/>
    </xf>
    <xf numFmtId="37" fontId="11" fillId="0" borderId="0" xfId="0" applyNumberFormat="1" applyFont="1" applyAlignment="1">
      <alignment horizontal="right" vertical="top" wrapText="1"/>
    </xf>
    <xf numFmtId="165" fontId="8" fillId="0" borderId="2" xfId="0" applyNumberFormat="1" applyFont="1" applyBorder="1" applyAlignment="1">
      <alignment horizontal="right" vertical="top" wrapText="1"/>
    </xf>
    <xf numFmtId="164" fontId="15" fillId="0" borderId="0" xfId="0" applyNumberFormat="1" applyFont="1" applyAlignment="1">
      <alignment wrapText="1"/>
    </xf>
    <xf numFmtId="10" fontId="16" fillId="3" borderId="0" xfId="2" applyNumberFormat="1" applyFont="1" applyFill="1" applyAlignment="1">
      <alignment horizontal="center" wrapText="1"/>
    </xf>
    <xf numFmtId="0" fontId="17" fillId="0" borderId="0" xfId="0" applyFont="1" applyAlignment="1">
      <alignment horizontal="right" vertical="center" wrapText="1"/>
    </xf>
    <xf numFmtId="165" fontId="8" fillId="0" borderId="0" xfId="0" applyNumberFormat="1" applyFont="1" applyAlignment="1">
      <alignment horizontal="right" vertical="top" wrapText="1"/>
    </xf>
    <xf numFmtId="10" fontId="16" fillId="0" borderId="0" xfId="2" applyNumberFormat="1" applyFont="1" applyFill="1" applyAlignment="1">
      <alignment horizontal="center" wrapText="1"/>
    </xf>
    <xf numFmtId="0" fontId="13" fillId="0" borderId="0" xfId="0" applyFont="1" applyAlignment="1">
      <alignment wrapText="1"/>
    </xf>
    <xf numFmtId="0" fontId="0" fillId="3" borderId="0" xfId="0" applyFill="1" applyAlignment="1">
      <alignment horizontal="center" wrapText="1"/>
    </xf>
    <xf numFmtId="0" fontId="8" fillId="0" borderId="2" xfId="0" applyFont="1" applyBorder="1" applyAlignment="1">
      <alignment vertical="top" wrapText="1"/>
    </xf>
    <xf numFmtId="37" fontId="8" fillId="0" borderId="2" xfId="0" applyNumberFormat="1" applyFont="1" applyBorder="1" applyAlignment="1">
      <alignment horizontal="right" vertical="top" wrapText="1"/>
    </xf>
    <xf numFmtId="39" fontId="10" fillId="0" borderId="0" xfId="0" applyNumberFormat="1" applyFont="1" applyAlignment="1">
      <alignment horizontal="right" vertical="center" wrapText="1"/>
    </xf>
    <xf numFmtId="9" fontId="10" fillId="0" borderId="0" xfId="2" applyFont="1" applyFill="1" applyBorder="1" applyAlignment="1">
      <alignment horizontal="right" vertical="center" wrapText="1"/>
    </xf>
    <xf numFmtId="10" fontId="14" fillId="0" borderId="0" xfId="2" applyNumberFormat="1" applyFont="1" applyFill="1" applyAlignment="1">
      <alignment horizontal="center" wrapText="1"/>
    </xf>
    <xf numFmtId="0" fontId="18" fillId="2" borderId="0" xfId="0" applyFont="1" applyFill="1" applyAlignment="1">
      <alignment horizontal="center" vertical="center" wrapText="1"/>
    </xf>
    <xf numFmtId="0" fontId="7" fillId="2" borderId="0" xfId="0" applyFont="1" applyFill="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vertical="top" wrapText="1"/>
    </xf>
    <xf numFmtId="37" fontId="19" fillId="0" borderId="0" xfId="0" applyNumberFormat="1" applyFont="1" applyAlignment="1">
      <alignment horizontal="right" vertical="top" wrapText="1"/>
    </xf>
    <xf numFmtId="37" fontId="21" fillId="0" borderId="0" xfId="0" applyNumberFormat="1" applyFont="1" applyAlignment="1">
      <alignment wrapText="1"/>
    </xf>
    <xf numFmtId="37" fontId="22" fillId="0" borderId="0" xfId="0" applyNumberFormat="1" applyFont="1" applyAlignment="1">
      <alignment horizontal="right" vertical="top" wrapText="1"/>
    </xf>
    <xf numFmtId="37" fontId="24" fillId="0" borderId="0" xfId="0" applyNumberFormat="1" applyFont="1" applyAlignment="1">
      <alignment horizontal="right" vertical="top" wrapText="1"/>
    </xf>
    <xf numFmtId="0" fontId="20" fillId="0" borderId="0" xfId="0" applyFont="1" applyAlignment="1">
      <alignment wrapText="1"/>
    </xf>
    <xf numFmtId="37" fontId="0" fillId="0" borderId="0" xfId="0" applyNumberFormat="1" applyAlignment="1">
      <alignment wrapText="1"/>
    </xf>
    <xf numFmtId="0" fontId="22" fillId="0" borderId="0" xfId="0" applyFont="1" applyAlignment="1">
      <alignment wrapText="1"/>
    </xf>
    <xf numFmtId="37" fontId="22" fillId="0" borderId="0" xfId="0" applyNumberFormat="1" applyFont="1" applyAlignment="1">
      <alignment wrapText="1"/>
    </xf>
    <xf numFmtId="37" fontId="11" fillId="0" borderId="0" xfId="0" applyNumberFormat="1" applyFont="1" applyAlignment="1">
      <alignment wrapText="1"/>
    </xf>
    <xf numFmtId="0" fontId="3" fillId="0" borderId="0" xfId="0" applyFont="1" applyAlignment="1">
      <alignment wrapText="1"/>
    </xf>
    <xf numFmtId="166" fontId="0" fillId="0" borderId="0" xfId="1" applyNumberFormat="1" applyFont="1" applyBorder="1" applyAlignment="1">
      <alignment wrapText="1"/>
    </xf>
    <xf numFmtId="37" fontId="12" fillId="0" borderId="0" xfId="1" applyNumberFormat="1" applyFont="1" applyBorder="1" applyAlignment="1">
      <alignment wrapText="1"/>
    </xf>
    <xf numFmtId="37" fontId="11" fillId="0" borderId="0" xfId="1" applyNumberFormat="1" applyFont="1" applyBorder="1" applyAlignment="1">
      <alignment wrapText="1"/>
    </xf>
    <xf numFmtId="37" fontId="12" fillId="0" borderId="0" xfId="1" applyNumberFormat="1" applyFont="1" applyFill="1" applyBorder="1" applyAlignment="1">
      <alignment wrapText="1"/>
    </xf>
    <xf numFmtId="37" fontId="8" fillId="0" borderId="2" xfId="1" applyNumberFormat="1" applyFont="1" applyBorder="1" applyAlignment="1">
      <alignment wrapText="1"/>
    </xf>
    <xf numFmtId="37" fontId="8" fillId="0" borderId="0" xfId="1" applyNumberFormat="1" applyFont="1" applyBorder="1" applyAlignment="1">
      <alignment wrapText="1"/>
    </xf>
    <xf numFmtId="37" fontId="15" fillId="0" borderId="0" xfId="1" applyNumberFormat="1" applyFont="1" applyBorder="1" applyAlignment="1">
      <alignment wrapText="1"/>
    </xf>
    <xf numFmtId="37" fontId="15" fillId="0" borderId="0" xfId="1" applyNumberFormat="1" applyFont="1" applyFill="1" applyBorder="1" applyAlignment="1">
      <alignment wrapText="1"/>
    </xf>
    <xf numFmtId="37" fontId="22" fillId="0" borderId="0" xfId="1" applyNumberFormat="1" applyFont="1" applyBorder="1" applyAlignment="1">
      <alignment wrapText="1"/>
    </xf>
    <xf numFmtId="37" fontId="22" fillId="0" borderId="0" xfId="1" applyNumberFormat="1" applyFont="1" applyFill="1" applyBorder="1" applyAlignment="1">
      <alignment wrapText="1"/>
    </xf>
    <xf numFmtId="37" fontId="11" fillId="0" borderId="0" xfId="1" applyNumberFormat="1" applyFont="1" applyFill="1" applyBorder="1" applyAlignment="1">
      <alignment wrapText="1"/>
    </xf>
    <xf numFmtId="166" fontId="3" fillId="0" borderId="0" xfId="1" applyNumberFormat="1" applyFont="1" applyBorder="1" applyAlignment="1">
      <alignment wrapText="1"/>
    </xf>
    <xf numFmtId="0" fontId="2" fillId="2" borderId="3" xfId="0" applyFont="1" applyFill="1" applyBorder="1"/>
    <xf numFmtId="0" fontId="2" fillId="2" borderId="4" xfId="0" applyFont="1" applyFill="1" applyBorder="1"/>
    <xf numFmtId="0" fontId="0" fillId="0" borderId="5" xfId="0" applyBorder="1"/>
    <xf numFmtId="0" fontId="0" fillId="0" borderId="6" xfId="0" applyBorder="1"/>
    <xf numFmtId="0" fontId="2" fillId="2" borderId="7" xfId="0" applyFont="1" applyFill="1" applyBorder="1"/>
    <xf numFmtId="0" fontId="4" fillId="2" borderId="8" xfId="0" applyFont="1" applyFill="1" applyBorder="1"/>
    <xf numFmtId="0" fontId="4" fillId="2" borderId="9" xfId="0" applyFont="1" applyFill="1" applyBorder="1"/>
    <xf numFmtId="0" fontId="3" fillId="0" borderId="7" xfId="0" applyFont="1" applyBorder="1"/>
    <xf numFmtId="0" fontId="0" fillId="0" borderId="11" xfId="0" applyBorder="1"/>
    <xf numFmtId="0" fontId="0" fillId="0" borderId="1" xfId="0" applyBorder="1"/>
    <xf numFmtId="0" fontId="0" fillId="0" borderId="10" xfId="0" applyBorder="1"/>
    <xf numFmtId="0" fontId="2" fillId="2" borderId="0" xfId="0" applyFont="1" applyFill="1"/>
    <xf numFmtId="0" fontId="5" fillId="2" borderId="0" xfId="0" applyFont="1" applyFill="1"/>
    <xf numFmtId="0" fontId="2" fillId="2" borderId="0" xfId="0" applyFont="1" applyFill="1" applyAlignment="1">
      <alignment horizontal="center"/>
    </xf>
    <xf numFmtId="14" fontId="5" fillId="2" borderId="0" xfId="0" applyNumberFormat="1" applyFont="1" applyFill="1" applyAlignment="1">
      <alignment horizontal="center"/>
    </xf>
    <xf numFmtId="0" fontId="3" fillId="0" borderId="0" xfId="0" applyFont="1"/>
    <xf numFmtId="0" fontId="0" fillId="0" borderId="0" xfId="0" applyAlignment="1">
      <alignment vertical="center"/>
    </xf>
    <xf numFmtId="0" fontId="3" fillId="0" borderId="2" xfId="0" applyFont="1" applyBorder="1"/>
    <xf numFmtId="37" fontId="3" fillId="0" borderId="2" xfId="0" applyNumberFormat="1" applyFont="1" applyBorder="1"/>
    <xf numFmtId="37" fontId="22" fillId="0" borderId="0" xfId="0" applyNumberFormat="1" applyFont="1" applyAlignment="1">
      <alignment horizontal="right" vertical="center"/>
    </xf>
    <xf numFmtId="37" fontId="22" fillId="0" borderId="0" xfId="2" applyNumberFormat="1" applyFont="1" applyBorder="1" applyAlignment="1">
      <alignment horizontal="right" vertical="center"/>
    </xf>
    <xf numFmtId="9" fontId="11" fillId="0" borderId="0" xfId="2" applyFont="1" applyBorder="1" applyAlignment="1">
      <alignment horizontal="right" vertical="center"/>
    </xf>
    <xf numFmtId="39" fontId="22" fillId="0" borderId="0" xfId="0" applyNumberFormat="1" applyFont="1" applyAlignment="1">
      <alignment horizontal="right" vertical="center"/>
    </xf>
    <xf numFmtId="39" fontId="22" fillId="0" borderId="0" xfId="2" applyNumberFormat="1" applyFont="1" applyBorder="1" applyAlignment="1">
      <alignment horizontal="right" vertical="center"/>
    </xf>
    <xf numFmtId="37" fontId="21" fillId="0" borderId="0" xfId="0" applyNumberFormat="1" applyFont="1" applyAlignment="1">
      <alignment horizontal="right"/>
    </xf>
    <xf numFmtId="39" fontId="21" fillId="0" borderId="0" xfId="0" applyNumberFormat="1" applyFont="1" applyAlignment="1">
      <alignment horizontal="right"/>
    </xf>
    <xf numFmtId="2" fontId="3" fillId="0" borderId="2" xfId="0" applyNumberFormat="1" applyFont="1" applyBorder="1"/>
    <xf numFmtId="0" fontId="6" fillId="2" borderId="0" xfId="0" applyFont="1" applyFill="1" applyAlignment="1">
      <alignment horizontal="center" vertical="center" wrapText="1"/>
    </xf>
    <xf numFmtId="0" fontId="20" fillId="0" borderId="0" xfId="0" applyFont="1" applyAlignment="1"/>
    <xf numFmtId="0" fontId="27" fillId="0" borderId="0" xfId="0" applyFont="1" applyAlignment="1"/>
    <xf numFmtId="37" fontId="12" fillId="0" borderId="0" xfId="1" applyNumberFormat="1" applyFont="1" applyBorder="1" applyAlignment="1"/>
    <xf numFmtId="37" fontId="11" fillId="0" borderId="0" xfId="1" applyNumberFormat="1" applyFont="1" applyBorder="1" applyAlignment="1"/>
    <xf numFmtId="0" fontId="0" fillId="0" borderId="0" xfId="0" applyAlignment="1"/>
    <xf numFmtId="0" fontId="20" fillId="0" borderId="2" xfId="0" applyFont="1" applyBorder="1" applyAlignment="1"/>
    <xf numFmtId="37" fontId="22" fillId="0" borderId="0" xfId="1" applyNumberFormat="1" applyFont="1" applyBorder="1" applyAlignment="1"/>
    <xf numFmtId="37" fontId="12" fillId="0" borderId="0" xfId="0" applyNumberFormat="1" applyFont="1" applyAlignment="1">
      <alignment horizontal="right" vertical="top"/>
    </xf>
    <xf numFmtId="37" fontId="0" fillId="0" borderId="0" xfId="0" applyNumberFormat="1" applyAlignment="1"/>
    <xf numFmtId="37" fontId="13" fillId="0" borderId="0" xfId="0" applyNumberFormat="1" applyFont="1" applyAlignment="1"/>
    <xf numFmtId="0" fontId="8" fillId="0" borderId="2" xfId="0" applyFont="1" applyBorder="1" applyAlignment="1">
      <alignment vertical="top"/>
    </xf>
    <xf numFmtId="37" fontId="8" fillId="0" borderId="2" xfId="0" applyNumberFormat="1" applyFont="1" applyBorder="1" applyAlignment="1">
      <alignment horizontal="right" vertical="top"/>
    </xf>
    <xf numFmtId="0" fontId="17" fillId="0" borderId="0" xfId="0" applyFont="1" applyAlignment="1">
      <alignment horizontal="right" vertical="center"/>
    </xf>
    <xf numFmtId="39" fontId="10" fillId="0" borderId="0" xfId="0" applyNumberFormat="1" applyFont="1" applyAlignment="1">
      <alignment horizontal="right" vertical="center"/>
    </xf>
    <xf numFmtId="9" fontId="10" fillId="0" borderId="0" xfId="2" applyFont="1" applyBorder="1" applyAlignment="1">
      <alignment horizontal="right" vertical="center"/>
    </xf>
    <xf numFmtId="37" fontId="12" fillId="0" borderId="0" xfId="0" applyNumberFormat="1" applyFont="1" applyAlignment="1">
      <alignment horizontal="right" vertical="center"/>
    </xf>
    <xf numFmtId="37" fontId="19" fillId="0" borderId="0" xfId="0" applyNumberFormat="1" applyFont="1" applyAlignment="1">
      <alignment horizontal="right" vertical="center"/>
    </xf>
    <xf numFmtId="37" fontId="13" fillId="0" borderId="0" xfId="0" applyNumberFormat="1" applyFont="1" applyAlignment="1">
      <alignment vertical="center"/>
    </xf>
    <xf numFmtId="37" fontId="3" fillId="0" borderId="2" xfId="0" applyNumberFormat="1" applyFont="1" applyBorder="1" applyAlignment="1">
      <alignment vertical="center"/>
    </xf>
    <xf numFmtId="37" fontId="3" fillId="0" borderId="0" xfId="0" applyNumberFormat="1" applyFont="1" applyAlignment="1">
      <alignment vertical="center"/>
    </xf>
    <xf numFmtId="37" fontId="8" fillId="0" borderId="0" xfId="0" applyNumberFormat="1" applyFont="1" applyAlignment="1">
      <alignment horizontal="right" vertical="center"/>
    </xf>
    <xf numFmtId="164" fontId="15" fillId="0" borderId="0" xfId="0" applyNumberFormat="1" applyFont="1" applyAlignment="1">
      <alignment vertical="center"/>
    </xf>
    <xf numFmtId="37" fontId="21" fillId="0" borderId="0" xfId="0" applyNumberFormat="1" applyFont="1" applyAlignment="1">
      <alignment vertical="center"/>
    </xf>
    <xf numFmtId="37" fontId="9" fillId="0" borderId="2" xfId="0" applyNumberFormat="1" applyFont="1" applyBorder="1" applyAlignment="1">
      <alignment vertical="center"/>
    </xf>
    <xf numFmtId="37" fontId="24" fillId="0" borderId="0" xfId="0" applyNumberFormat="1" applyFont="1" applyAlignment="1">
      <alignment horizontal="right" vertical="center"/>
    </xf>
    <xf numFmtId="37" fontId="9" fillId="0" borderId="0" xfId="0" applyNumberFormat="1" applyFont="1" applyAlignment="1">
      <alignment vertical="center"/>
    </xf>
    <xf numFmtId="37" fontId="0" fillId="0" borderId="0" xfId="0" applyNumberFormat="1" applyAlignment="1">
      <alignment vertical="center"/>
    </xf>
    <xf numFmtId="37" fontId="15" fillId="0" borderId="0" xfId="0" applyNumberFormat="1" applyFont="1" applyAlignment="1">
      <alignment vertical="center"/>
    </xf>
    <xf numFmtId="37" fontId="15" fillId="0" borderId="2" xfId="0" applyNumberFormat="1" applyFont="1" applyBorder="1" applyAlignment="1">
      <alignment vertical="center"/>
    </xf>
    <xf numFmtId="37" fontId="0" fillId="0" borderId="0" xfId="0" applyNumberFormat="1" applyFont="1" applyAlignment="1">
      <alignment vertical="center"/>
    </xf>
    <xf numFmtId="37" fontId="10" fillId="0" borderId="0" xfId="2" applyNumberFormat="1" applyFont="1" applyBorder="1" applyAlignment="1">
      <alignment horizontal="right" vertical="center"/>
    </xf>
    <xf numFmtId="37" fontId="11" fillId="0" borderId="0" xfId="0" applyNumberFormat="1" applyFont="1" applyFill="1" applyAlignment="1">
      <alignment horizontal="right" vertical="center"/>
    </xf>
    <xf numFmtId="37" fontId="12" fillId="0" borderId="0" xfId="0" applyNumberFormat="1" applyFont="1" applyFill="1" applyAlignment="1">
      <alignment horizontal="right" vertical="center"/>
    </xf>
    <xf numFmtId="37" fontId="5" fillId="0" borderId="0" xfId="0" applyNumberFormat="1" applyFont="1" applyAlignment="1">
      <alignment horizontal="center" vertical="center"/>
    </xf>
    <xf numFmtId="37" fontId="2" fillId="0" borderId="0" xfId="0" applyNumberFormat="1" applyFont="1" applyAlignment="1">
      <alignment horizontal="center" vertical="center"/>
    </xf>
    <xf numFmtId="37" fontId="2" fillId="0" borderId="0" xfId="0" applyNumberFormat="1" applyFont="1" applyFill="1" applyAlignment="1">
      <alignment horizontal="center" vertical="center"/>
    </xf>
    <xf numFmtId="37" fontId="9" fillId="0" borderId="0" xfId="0" applyNumberFormat="1" applyFont="1" applyAlignment="1">
      <alignment horizontal="center" vertical="center"/>
    </xf>
    <xf numFmtId="37" fontId="8" fillId="0" borderId="2" xfId="0" applyNumberFormat="1" applyFont="1" applyBorder="1" applyAlignment="1">
      <alignment horizontal="right" vertical="center"/>
    </xf>
    <xf numFmtId="165" fontId="8" fillId="0" borderId="0" xfId="0" applyNumberFormat="1" applyFont="1" applyAlignment="1">
      <alignment horizontal="right" vertical="center"/>
    </xf>
    <xf numFmtId="0" fontId="0"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165" fontId="8" fillId="0" borderId="2" xfId="0" applyNumberFormat="1" applyFont="1" applyBorder="1" applyAlignment="1">
      <alignment vertical="center"/>
    </xf>
    <xf numFmtId="0" fontId="11" fillId="0" borderId="0" xfId="0" applyFont="1" applyAlignment="1">
      <alignment horizontal="left" vertical="center" indent="1"/>
    </xf>
    <xf numFmtId="0" fontId="11" fillId="0" borderId="0" xfId="0" applyFont="1" applyAlignment="1">
      <alignment horizontal="left" vertical="top" indent="1"/>
    </xf>
    <xf numFmtId="0" fontId="0" fillId="0" borderId="0" xfId="0" applyAlignment="1">
      <alignment horizontal="left" vertical="center" indent="1"/>
    </xf>
    <xf numFmtId="0" fontId="11" fillId="0" borderId="0" xfId="0" applyFont="1" applyAlignment="1">
      <alignment horizontal="left" vertical="top" wrapText="1" indent="1"/>
    </xf>
    <xf numFmtId="37" fontId="0" fillId="0" borderId="0" xfId="0" applyNumberFormat="1" applyFont="1" applyAlignment="1"/>
    <xf numFmtId="37" fontId="25" fillId="0" borderId="0" xfId="0" applyNumberFormat="1" applyFont="1" applyAlignment="1">
      <alignment vertical="center"/>
    </xf>
    <xf numFmtId="0" fontId="22" fillId="0" borderId="0" xfId="0" applyFont="1" applyAlignment="1">
      <alignment vertical="center"/>
    </xf>
    <xf numFmtId="37" fontId="8" fillId="0" borderId="2" xfId="0" applyNumberFormat="1" applyFont="1" applyBorder="1" applyAlignment="1">
      <alignment vertical="center"/>
    </xf>
    <xf numFmtId="39" fontId="11" fillId="0" borderId="0" xfId="0" applyNumberFormat="1" applyFont="1" applyFill="1" applyAlignment="1">
      <alignment horizontal="right" vertical="center"/>
    </xf>
    <xf numFmtId="0" fontId="23" fillId="0" borderId="2" xfId="0" applyFont="1" applyBorder="1" applyAlignment="1"/>
    <xf numFmtId="0" fontId="23" fillId="0" borderId="0" xfId="0" applyFont="1" applyAlignment="1"/>
    <xf numFmtId="0" fontId="28" fillId="0" borderId="0" xfId="0" applyFont="1" applyAlignment="1"/>
    <xf numFmtId="0" fontId="29" fillId="0" borderId="0" xfId="0" applyFont="1" applyAlignment="1"/>
    <xf numFmtId="37" fontId="21" fillId="0" borderId="0" xfId="1" applyNumberFormat="1" applyFont="1" applyBorder="1" applyAlignment="1">
      <alignment wrapText="1"/>
    </xf>
    <xf numFmtId="0" fontId="27" fillId="0" borderId="0" xfId="0" applyFont="1" applyAlignment="1">
      <alignment horizontal="left" indent="1"/>
    </xf>
    <xf numFmtId="0" fontId="0" fillId="0" borderId="0" xfId="0" applyAlignment="1">
      <alignment horizontal="left" indent="1"/>
    </xf>
    <xf numFmtId="0" fontId="29" fillId="0" borderId="0" xfId="0" applyFont="1" applyAlignment="1">
      <alignment horizontal="left" indent="1"/>
    </xf>
    <xf numFmtId="37" fontId="12" fillId="0" borderId="0" xfId="1" applyNumberFormat="1" applyFont="1" applyBorder="1" applyAlignment="1">
      <alignment vertical="center"/>
    </xf>
    <xf numFmtId="37" fontId="11" fillId="0" borderId="0" xfId="1" applyNumberFormat="1" applyFont="1" applyBorder="1" applyAlignment="1">
      <alignment vertical="center"/>
    </xf>
    <xf numFmtId="0" fontId="3" fillId="0" borderId="10" xfId="0" applyFont="1" applyBorder="1"/>
    <xf numFmtId="0" fontId="3" fillId="0" borderId="0" xfId="0" applyFont="1" applyBorder="1"/>
    <xf numFmtId="0" fontId="3" fillId="0" borderId="11" xfId="0" applyFont="1" applyBorder="1"/>
    <xf numFmtId="0" fontId="0" fillId="0" borderId="10" xfId="0" applyFont="1" applyBorder="1" applyAlignment="1">
      <alignment horizontal="left" indent="1"/>
    </xf>
    <xf numFmtId="0" fontId="0" fillId="0" borderId="0" xfId="0" applyBorder="1"/>
    <xf numFmtId="0" fontId="0" fillId="0" borderId="5" xfId="0" applyFont="1" applyBorder="1" applyAlignment="1">
      <alignment horizontal="left" inden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0" fillId="0" borderId="0" xfId="0" applyBorder="1" applyAlignment="1">
      <alignment horizontal="center"/>
    </xf>
    <xf numFmtId="37" fontId="22" fillId="0" borderId="0" xfId="0" applyNumberFormat="1" applyFont="1" applyFill="1" applyAlignment="1">
      <alignment wrapText="1"/>
    </xf>
    <xf numFmtId="37" fontId="13" fillId="0" borderId="0" xfId="0" applyNumberFormat="1" applyFont="1" applyFill="1" applyAlignment="1">
      <alignment wrapText="1"/>
    </xf>
    <xf numFmtId="37" fontId="3" fillId="0" borderId="0" xfId="0" applyNumberFormat="1" applyFont="1" applyBorder="1"/>
    <xf numFmtId="37" fontId="8" fillId="0" borderId="0" xfId="0" applyNumberFormat="1" applyFont="1" applyBorder="1" applyAlignment="1">
      <alignment horizontal="right" vertical="top" wrapText="1"/>
    </xf>
    <xf numFmtId="0" fontId="0" fillId="0" borderId="0" xfId="0" applyFont="1" applyBorder="1"/>
    <xf numFmtId="0" fontId="0" fillId="0" borderId="0" xfId="0" applyFont="1"/>
    <xf numFmtId="0" fontId="4" fillId="2" borderId="0" xfId="0" applyFont="1" applyFill="1"/>
    <xf numFmtId="0" fontId="3" fillId="0" borderId="0" xfId="0" applyFont="1" applyAlignment="1">
      <alignment horizontal="center"/>
    </xf>
    <xf numFmtId="0" fontId="3" fillId="0" borderId="0" xfId="0" applyFont="1" applyFill="1" applyAlignment="1">
      <alignment horizontal="center"/>
    </xf>
    <xf numFmtId="0" fontId="2" fillId="0" borderId="0" xfId="0" applyFont="1" applyFill="1"/>
    <xf numFmtId="0" fontId="4" fillId="0" borderId="0" xfId="0" applyFont="1" applyFill="1"/>
    <xf numFmtId="0" fontId="0" fillId="0" borderId="0" xfId="0" applyFill="1"/>
    <xf numFmtId="0" fontId="9" fillId="0" borderId="0" xfId="0" applyFont="1" applyFill="1"/>
    <xf numFmtId="0" fontId="0" fillId="0" borderId="0" xfId="0" applyFont="1" applyAlignment="1">
      <alignment horizontal="left" indent="1"/>
    </xf>
    <xf numFmtId="0" fontId="0" fillId="0" borderId="0" xfId="0" applyFont="1" applyBorder="1" applyAlignment="1">
      <alignment horizontal="left" indent="1"/>
    </xf>
    <xf numFmtId="0" fontId="0" fillId="0" borderId="0" xfId="0" applyBorder="1" applyAlignment="1">
      <alignment wrapText="1"/>
    </xf>
    <xf numFmtId="37" fontId="19" fillId="0" borderId="0" xfId="0" applyNumberFormat="1" applyFont="1" applyBorder="1" applyAlignment="1">
      <alignment horizontal="right" vertical="top" wrapText="1"/>
    </xf>
    <xf numFmtId="37" fontId="0" fillId="0" borderId="0" xfId="0" applyNumberFormat="1" applyBorder="1" applyAlignment="1">
      <alignment wrapText="1"/>
    </xf>
    <xf numFmtId="37" fontId="22" fillId="0" borderId="0" xfId="0" applyNumberFormat="1" applyFont="1" applyBorder="1" applyAlignment="1">
      <alignment horizontal="right" vertical="top" wrapText="1"/>
    </xf>
    <xf numFmtId="37" fontId="19" fillId="0" borderId="0" xfId="0" applyNumberFormat="1" applyFont="1" applyAlignment="1">
      <alignment horizontal="right" vertical="center" wrapText="1"/>
    </xf>
    <xf numFmtId="0" fontId="0" fillId="0" borderId="0" xfId="0" applyFill="1" applyAlignment="1">
      <alignment wrapText="1"/>
    </xf>
    <xf numFmtId="0" fontId="7" fillId="0" borderId="0" xfId="0" applyFont="1" applyFill="1" applyAlignment="1">
      <alignment vertical="center"/>
    </xf>
    <xf numFmtId="14" fontId="5" fillId="0" borderId="0" xfId="0" applyNumberFormat="1" applyFont="1" applyFill="1" applyAlignment="1">
      <alignment horizontal="center"/>
    </xf>
    <xf numFmtId="14" fontId="4" fillId="0" borderId="0" xfId="0" applyNumberFormat="1" applyFont="1" applyFill="1" applyAlignment="1">
      <alignment horizontal="center"/>
    </xf>
    <xf numFmtId="14" fontId="5" fillId="0" borderId="0" xfId="0" applyNumberFormat="1" applyFont="1" applyFill="1" applyAlignment="1">
      <alignment horizontal="center" wrapText="1"/>
    </xf>
    <xf numFmtId="0" fontId="6" fillId="0" borderId="0" xfId="0" applyFont="1" applyFill="1" applyAlignment="1">
      <alignment horizontal="center" vertical="center" wrapText="1"/>
    </xf>
    <xf numFmtId="0" fontId="26" fillId="0" borderId="0" xfId="0" applyFont="1"/>
    <xf numFmtId="0" fontId="0" fillId="0" borderId="0" xfId="0" applyAlignment="1">
      <alignment horizontal="left" wrapText="1" indent="1"/>
    </xf>
    <xf numFmtId="2" fontId="3" fillId="0" borderId="0" xfId="0" applyNumberFormat="1" applyFont="1" applyBorder="1"/>
    <xf numFmtId="37" fontId="0" fillId="0" borderId="11" xfId="0" applyNumberFormat="1" applyBorder="1"/>
    <xf numFmtId="37" fontId="0" fillId="0" borderId="6" xfId="0" applyNumberFormat="1" applyBorder="1"/>
    <xf numFmtId="0" fontId="30" fillId="0" borderId="10" xfId="0" applyFont="1" applyBorder="1" applyAlignment="1">
      <alignment horizontal="right"/>
    </xf>
    <xf numFmtId="177" fontId="0" fillId="0" borderId="11" xfId="0" applyNumberFormat="1" applyBorder="1"/>
    <xf numFmtId="3" fontId="14" fillId="0" borderId="11" xfId="0" applyNumberFormat="1" applyFont="1" applyBorder="1"/>
    <xf numFmtId="177" fontId="14" fillId="0" borderId="11" xfId="0" applyNumberFormat="1" applyFont="1" applyBorder="1"/>
    <xf numFmtId="3" fontId="0" fillId="0" borderId="11" xfId="0" applyNumberFormat="1" applyFont="1" applyBorder="1"/>
  </cellXfs>
  <cellStyles count="3">
    <cellStyle name="Comma" xfId="1" builtinId="3"/>
    <cellStyle name="Normal" xfId="0" builtinId="0"/>
    <cellStyle name="Percent" xfId="2" builtinId="5"/>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https://www.bing.com/financeapi/forcetrigger?t=bwpvpr&amp;q=XNAS%3aHUMA&amp;form=skydnc</v>
    <v>Learn more on Bing</v>
  </rv>
  <rv s="1">
    <v>en-US</v>
    <v>bwpvpr</v>
    <v>268435456</v>
    <v>1</v>
    <v>Powered by Refinitiv</v>
    <v>0</v>
    <v>HUMACYTE, INC (XNAS:HUMA)</v>
    <v>2</v>
    <v>3</v>
    <v>Finance</v>
    <v>4</v>
    <v>9.9700000000000006</v>
    <v>2.48</v>
    <v>1.3835999999999999</v>
    <v>0.24</v>
    <v>-4.6309999999999997E-3</v>
    <v>5.8536999999999999E-2</v>
    <v>-2.01E-2</v>
    <v>USD</v>
    <v>Humacyte, Inc. is engaged in the development and manufacturing of off-the-shelf, universally implantable, bioengineered human tissues. The Company is engaged in developing a portfolio of human acellular vessels (HAVs) with varying diameters and lengths. The HAV cabinet would initially target the vascular repair, reconstruction, and replacement market, including vascular trauma; atrioventricular (AV) access for hemodialysis; peripheral arterial disease (PAD); and coronary artery bypass grafting (CABG). The Company has developed a novel paradigm for manufacturing human tissues that are intended to mimic key aspects of human physiology. It is also engaged in developing its HAVs for pediatric heart surgery and the delivery of cellular therapies, including pancreatic islet cell transplantation to treat Type 1 diabetes. The Company’s scientific technology platform uses primary human aortic vascular cells from a working cell stock, isolated from donor tissues and cryopreserved.</v>
    <v>183</v>
    <v>Nasdaq Stock Market</v>
    <v>XNAS</v>
    <v>XNAS</v>
    <v>2525 East North Carolina Highway 54, DURHAM, NC, 27713 US</v>
    <v>4.3499999999999996</v>
    <v>Biotechnology &amp; Medical Research</v>
    <v>Stock</v>
    <v>45643.038909397656</v>
    <v>0</v>
    <v>4.0750000000000002</v>
    <v>532309246</v>
    <v>HUMACYTE, INC</v>
    <v>HUMACYTE, INC</v>
    <v>4.0999999999999996</v>
    <v>0</v>
    <v>4.0999999999999996</v>
    <v>4.34</v>
    <v>4.3198999999999996</v>
    <v>122651900</v>
    <v>HUMA</v>
    <v>HUMACYTE, INC (XNAS:HUMA)</v>
    <v>1828023</v>
    <v>3040384</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22B6-927C-469C-B57D-F06A26CBF746}">
  <dimension ref="B1:F29"/>
  <sheetViews>
    <sheetView showGridLines="0" zoomScale="160" zoomScaleNormal="160" workbookViewId="0">
      <selection activeCell="D8" sqref="D8"/>
    </sheetView>
  </sheetViews>
  <sheetFormatPr defaultRowHeight="15" outlineLevelRow="1" x14ac:dyDescent="0.25"/>
  <cols>
    <col min="1" max="1" width="3.140625" customWidth="1"/>
    <col min="2" max="2" width="44.85546875" bestFit="1" customWidth="1"/>
    <col min="3" max="3" width="20.5703125" customWidth="1"/>
    <col min="4" max="4" width="29.140625" bestFit="1" customWidth="1"/>
    <col min="5" max="5" width="12.140625" bestFit="1" customWidth="1"/>
    <col min="6" max="6" width="12.42578125" bestFit="1" customWidth="1"/>
  </cols>
  <sheetData>
    <row r="1" spans="2:6" ht="15.75" thickBot="1" x14ac:dyDescent="0.3"/>
    <row r="2" spans="2:6" x14ac:dyDescent="0.25">
      <c r="B2" s="66" t="s">
        <v>49</v>
      </c>
      <c r="C2" s="67" t="s">
        <v>50</v>
      </c>
    </row>
    <row r="3" spans="2:6" ht="15.75" thickBot="1" x14ac:dyDescent="0.3">
      <c r="B3" s="68" t="e" vm="1">
        <v>#VALUE!</v>
      </c>
      <c r="C3" s="69" t="s">
        <v>156</v>
      </c>
    </row>
    <row r="4" spans="2:6" ht="15.75" thickBot="1" x14ac:dyDescent="0.3"/>
    <row r="5" spans="2:6" ht="15.75" thickBot="1" x14ac:dyDescent="0.3">
      <c r="B5" s="70" t="s">
        <v>51</v>
      </c>
      <c r="C5" s="71"/>
      <c r="D5" s="71"/>
      <c r="E5" s="71"/>
      <c r="F5" s="72"/>
    </row>
    <row r="6" spans="2:6" ht="15.75" thickBot="1" x14ac:dyDescent="0.3">
      <c r="B6" s="73" t="s">
        <v>52</v>
      </c>
      <c r="C6" s="162" t="s">
        <v>53</v>
      </c>
      <c r="D6" s="162" t="s">
        <v>54</v>
      </c>
      <c r="E6" s="162" t="s">
        <v>55</v>
      </c>
      <c r="F6" s="163" t="s">
        <v>56</v>
      </c>
    </row>
    <row r="7" spans="2:6" x14ac:dyDescent="0.25">
      <c r="B7" s="156" t="s">
        <v>157</v>
      </c>
      <c r="C7" s="157"/>
      <c r="D7" s="157"/>
      <c r="E7" s="157"/>
      <c r="F7" s="158"/>
    </row>
    <row r="8" spans="2:6" x14ac:dyDescent="0.25">
      <c r="B8" s="159" t="s">
        <v>161</v>
      </c>
      <c r="C8" s="160" t="s">
        <v>163</v>
      </c>
      <c r="D8" s="160"/>
      <c r="E8" s="164">
        <v>3</v>
      </c>
      <c r="F8" s="74"/>
    </row>
    <row r="9" spans="2:6" x14ac:dyDescent="0.25">
      <c r="B9" s="159" t="s">
        <v>158</v>
      </c>
      <c r="C9" s="160" t="s">
        <v>163</v>
      </c>
      <c r="D9" s="160"/>
      <c r="E9" s="164">
        <v>3</v>
      </c>
      <c r="F9" s="74"/>
    </row>
    <row r="10" spans="2:6" x14ac:dyDescent="0.25">
      <c r="B10" s="159" t="s">
        <v>159</v>
      </c>
      <c r="C10" s="160" t="s">
        <v>163</v>
      </c>
      <c r="D10" s="160"/>
      <c r="E10" s="164">
        <v>2</v>
      </c>
      <c r="F10" s="74"/>
    </row>
    <row r="11" spans="2:6" x14ac:dyDescent="0.25">
      <c r="B11" s="159" t="s">
        <v>160</v>
      </c>
      <c r="C11" s="160" t="s">
        <v>163</v>
      </c>
      <c r="D11" s="160"/>
      <c r="E11" s="160" t="s">
        <v>166</v>
      </c>
      <c r="F11" s="74"/>
    </row>
    <row r="12" spans="2:6" x14ac:dyDescent="0.25">
      <c r="B12" s="159" t="s">
        <v>162</v>
      </c>
      <c r="C12" s="160" t="s">
        <v>163</v>
      </c>
      <c r="D12" s="160"/>
      <c r="E12" s="160" t="s">
        <v>166</v>
      </c>
      <c r="F12" s="74"/>
    </row>
    <row r="13" spans="2:6" x14ac:dyDescent="0.25">
      <c r="B13" s="156" t="s">
        <v>164</v>
      </c>
      <c r="C13" s="160"/>
      <c r="D13" s="160"/>
      <c r="E13" s="160"/>
      <c r="F13" s="74"/>
    </row>
    <row r="14" spans="2:6" x14ac:dyDescent="0.25">
      <c r="B14" s="159" t="s">
        <v>165</v>
      </c>
      <c r="C14" s="160" t="s">
        <v>163</v>
      </c>
      <c r="D14" s="160"/>
      <c r="E14" s="160" t="s">
        <v>166</v>
      </c>
      <c r="F14" s="74"/>
    </row>
    <row r="15" spans="2:6" x14ac:dyDescent="0.25">
      <c r="B15" s="159" t="s">
        <v>167</v>
      </c>
      <c r="C15" s="160" t="s">
        <v>163</v>
      </c>
      <c r="D15" s="160"/>
      <c r="E15" s="160" t="s">
        <v>166</v>
      </c>
      <c r="F15" s="74"/>
    </row>
    <row r="16" spans="2:6" x14ac:dyDescent="0.25">
      <c r="B16" s="156" t="s">
        <v>168</v>
      </c>
      <c r="C16" s="160"/>
      <c r="D16" s="160"/>
      <c r="E16" s="160"/>
      <c r="F16" s="74"/>
    </row>
    <row r="17" spans="2:6" x14ac:dyDescent="0.25">
      <c r="B17" s="159" t="s">
        <v>171</v>
      </c>
      <c r="C17" s="160" t="s">
        <v>163</v>
      </c>
      <c r="D17" s="160"/>
      <c r="E17" s="160" t="s">
        <v>166</v>
      </c>
      <c r="F17" s="74"/>
    </row>
    <row r="18" spans="2:6" x14ac:dyDescent="0.25">
      <c r="B18" s="159" t="s">
        <v>169</v>
      </c>
      <c r="C18" s="160" t="s">
        <v>163</v>
      </c>
      <c r="D18" s="160"/>
      <c r="E18" s="160" t="s">
        <v>166</v>
      </c>
      <c r="F18" s="74"/>
    </row>
    <row r="19" spans="2:6" ht="15.75" thickBot="1" x14ac:dyDescent="0.3">
      <c r="B19" s="161" t="s">
        <v>170</v>
      </c>
      <c r="C19" s="75" t="s">
        <v>163</v>
      </c>
      <c r="D19" s="75"/>
      <c r="E19" s="75" t="s">
        <v>166</v>
      </c>
      <c r="F19" s="69"/>
    </row>
    <row r="20" spans="2:6" ht="15.75" thickBot="1" x14ac:dyDescent="0.3"/>
    <row r="21" spans="2:6" x14ac:dyDescent="0.25">
      <c r="B21" s="66" t="s">
        <v>57</v>
      </c>
      <c r="C21" s="67"/>
    </row>
    <row r="22" spans="2:6" x14ac:dyDescent="0.25">
      <c r="B22" s="76" t="s">
        <v>58</v>
      </c>
      <c r="C22" s="200">
        <f>SUM(C23*C24)</f>
        <v>532309246</v>
      </c>
    </row>
    <row r="23" spans="2:6" outlineLevel="1" x14ac:dyDescent="0.25">
      <c r="B23" s="196" t="s">
        <v>186</v>
      </c>
      <c r="C23" s="198" cm="1">
        <f t="array" ref="C23">_FV(B3,"Shares outstanding",TRUE)</f>
        <v>122651900</v>
      </c>
    </row>
    <row r="24" spans="2:6" outlineLevel="1" x14ac:dyDescent="0.25">
      <c r="B24" s="196" t="s">
        <v>187</v>
      </c>
      <c r="C24" s="199" cm="1">
        <f t="array" ref="C24">_FV(B3,"Price")</f>
        <v>4.34</v>
      </c>
    </row>
    <row r="25" spans="2:6" x14ac:dyDescent="0.25">
      <c r="B25" s="76" t="s">
        <v>74</v>
      </c>
      <c r="C25" s="194">
        <f>'Base Financials'!Q38</f>
        <v>20571</v>
      </c>
    </row>
    <row r="26" spans="2:6" x14ac:dyDescent="0.25">
      <c r="B26" s="76" t="s">
        <v>59</v>
      </c>
      <c r="C26" s="74"/>
    </row>
    <row r="27" spans="2:6" x14ac:dyDescent="0.25">
      <c r="B27" s="76" t="s">
        <v>60</v>
      </c>
      <c r="C27" s="197">
        <f>SUM(C22-C25)</f>
        <v>532288675</v>
      </c>
    </row>
    <row r="28" spans="2:6" ht="15.75" thickBot="1" x14ac:dyDescent="0.3">
      <c r="B28" s="76" t="s">
        <v>185</v>
      </c>
      <c r="C28" s="195">
        <f ca="1">'FCF &amp; EBITDA Analysis'!T68</f>
        <v>0</v>
      </c>
    </row>
    <row r="29" spans="2:6" ht="15.75" thickBot="1" x14ac:dyDescent="0.3">
      <c r="B29" s="68" t="s">
        <v>61</v>
      </c>
      <c r="C29" s="195">
        <f>'FCF &amp; EBITDA Analysis'!T36</f>
        <v>-172079.81155776241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D900-3875-4BA8-844E-D33444418489}">
  <dimension ref="A1:V163"/>
  <sheetViews>
    <sheetView showGridLines="0" tabSelected="1" topLeftCell="A10" zoomScale="85" zoomScaleNormal="85" workbookViewId="0">
      <selection activeCell="D48" sqref="D48"/>
    </sheetView>
  </sheetViews>
  <sheetFormatPr defaultRowHeight="15" x14ac:dyDescent="0.25"/>
  <cols>
    <col min="1" max="1" width="2.42578125" style="5" customWidth="1"/>
    <col min="2" max="2" width="43.5703125" style="5" bestFit="1" customWidth="1"/>
    <col min="3" max="3" width="12" style="5" bestFit="1" customWidth="1"/>
    <col min="4" max="5" width="12.85546875" style="5" bestFit="1" customWidth="1"/>
    <col min="6" max="6" width="3.140625" style="5" customWidth="1"/>
    <col min="7" max="9" width="12.85546875" style="5" bestFit="1" customWidth="1"/>
    <col min="10" max="10" width="11.85546875" style="5" bestFit="1" customWidth="1"/>
    <col min="11" max="13" width="12.85546875" style="5" bestFit="1" customWidth="1"/>
    <col min="14" max="14" width="11.85546875" style="5" bestFit="1" customWidth="1"/>
    <col min="15" max="17" width="12.85546875" style="5" bestFit="1" customWidth="1"/>
    <col min="18" max="18" width="0.7109375" style="5" customWidth="1"/>
    <col min="19" max="19" width="12" style="5" bestFit="1" customWidth="1"/>
    <col min="20" max="20" width="11.140625" style="5" bestFit="1" customWidth="1"/>
    <col min="21" max="21" width="1.42578125" style="5" customWidth="1"/>
    <col min="22" max="22" width="11.42578125" style="5" bestFit="1" customWidth="1"/>
    <col min="23" max="23" width="1.5703125" style="5" customWidth="1"/>
    <col min="24" max="16384" width="9.140625" style="5"/>
  </cols>
  <sheetData>
    <row r="1" spans="1:22" ht="6" customHeight="1" x14ac:dyDescent="0.25">
      <c r="A1" s="5" t="s">
        <v>42</v>
      </c>
    </row>
    <row r="2" spans="1:22" x14ac:dyDescent="0.25">
      <c r="B2" s="6" t="s">
        <v>77</v>
      </c>
      <c r="C2" s="7"/>
      <c r="D2" s="7"/>
      <c r="E2" s="7"/>
      <c r="F2" s="7"/>
      <c r="G2" s="7"/>
      <c r="H2" s="7"/>
      <c r="I2" s="7"/>
      <c r="J2" s="7"/>
      <c r="K2" s="7"/>
      <c r="L2" s="7"/>
      <c r="M2" s="7"/>
      <c r="N2" s="7"/>
      <c r="O2" s="7"/>
      <c r="P2" s="7"/>
      <c r="Q2" s="7"/>
      <c r="R2" s="7"/>
      <c r="S2" s="7"/>
      <c r="T2" s="7"/>
    </row>
    <row r="3" spans="1:22" x14ac:dyDescent="0.25">
      <c r="B3" s="78" t="s">
        <v>179</v>
      </c>
      <c r="C3" s="7"/>
      <c r="D3" s="7"/>
      <c r="E3" s="7"/>
      <c r="F3" s="7"/>
      <c r="G3" s="7"/>
      <c r="H3" s="7"/>
      <c r="I3" s="7"/>
      <c r="J3" s="7"/>
      <c r="K3" s="7"/>
      <c r="L3" s="7"/>
      <c r="M3" s="7"/>
      <c r="N3" s="7"/>
      <c r="O3" s="7"/>
      <c r="P3" s="7"/>
      <c r="Q3" s="7"/>
      <c r="R3" s="7"/>
      <c r="S3" s="7"/>
      <c r="T3" s="7"/>
    </row>
    <row r="4" spans="1:22" ht="5.25" customHeight="1" x14ac:dyDescent="0.25">
      <c r="B4" s="8"/>
    </row>
    <row r="5" spans="1:22" ht="15.75" thickBot="1" x14ac:dyDescent="0.3">
      <c r="B5" s="9"/>
      <c r="C5" s="9" t="s">
        <v>1</v>
      </c>
      <c r="D5" s="9"/>
      <c r="E5" s="9"/>
      <c r="G5" s="9" t="s">
        <v>2</v>
      </c>
      <c r="H5" s="9"/>
      <c r="I5" s="9"/>
      <c r="J5" s="9"/>
      <c r="K5" s="9"/>
      <c r="L5" s="9"/>
      <c r="M5" s="9"/>
      <c r="N5" s="9"/>
      <c r="O5" s="9"/>
      <c r="P5" s="9"/>
      <c r="Q5" s="9"/>
      <c r="S5" s="9" t="s">
        <v>3</v>
      </c>
      <c r="T5" s="9"/>
      <c r="U5" s="10"/>
      <c r="V5" s="9" t="s">
        <v>4</v>
      </c>
    </row>
    <row r="6" spans="1:22" ht="4.5" customHeight="1" x14ac:dyDescent="0.25"/>
    <row r="7" spans="1:22" x14ac:dyDescent="0.25">
      <c r="A7" s="5" t="s">
        <v>5</v>
      </c>
      <c r="B7" s="6" t="s">
        <v>6</v>
      </c>
      <c r="C7" s="11" t="s">
        <v>7</v>
      </c>
      <c r="D7" s="11" t="s">
        <v>8</v>
      </c>
      <c r="E7" s="11" t="s">
        <v>9</v>
      </c>
      <c r="G7" s="11" t="s">
        <v>10</v>
      </c>
      <c r="H7" s="11" t="s">
        <v>11</v>
      </c>
      <c r="I7" s="11" t="s">
        <v>12</v>
      </c>
      <c r="J7" s="11" t="s">
        <v>13</v>
      </c>
      <c r="K7" s="11" t="s">
        <v>14</v>
      </c>
      <c r="L7" s="11" t="s">
        <v>15</v>
      </c>
      <c r="M7" s="11" t="s">
        <v>16</v>
      </c>
      <c r="N7" s="11" t="s">
        <v>17</v>
      </c>
      <c r="O7" s="11" t="s">
        <v>18</v>
      </c>
      <c r="P7" s="11" t="s">
        <v>19</v>
      </c>
      <c r="Q7" s="11" t="s">
        <v>20</v>
      </c>
      <c r="S7" s="11" t="str">
        <f>M7</f>
        <v>3Q23</v>
      </c>
      <c r="T7" s="11" t="str">
        <f>Q7</f>
        <v>3Q24</v>
      </c>
      <c r="U7" s="12"/>
      <c r="V7" s="93" t="s">
        <v>21</v>
      </c>
    </row>
    <row r="8" spans="1:22" x14ac:dyDescent="0.25">
      <c r="B8" s="1" t="s">
        <v>43</v>
      </c>
      <c r="C8" s="13">
        <v>44561</v>
      </c>
      <c r="D8" s="13">
        <v>44926</v>
      </c>
      <c r="E8" s="13">
        <v>45291</v>
      </c>
      <c r="G8" s="14">
        <v>44651</v>
      </c>
      <c r="H8" s="14">
        <v>44742</v>
      </c>
      <c r="I8" s="14">
        <v>44834</v>
      </c>
      <c r="J8" s="14">
        <f>D8</f>
        <v>44926</v>
      </c>
      <c r="K8" s="14">
        <v>45016</v>
      </c>
      <c r="L8" s="14">
        <v>45107</v>
      </c>
      <c r="M8" s="14">
        <v>45199</v>
      </c>
      <c r="N8" s="14">
        <f>E8</f>
        <v>45291</v>
      </c>
      <c r="O8" s="14">
        <v>45382</v>
      </c>
      <c r="P8" s="14">
        <v>45473</v>
      </c>
      <c r="Q8" s="14">
        <v>45565</v>
      </c>
      <c r="S8" s="14">
        <f>M8</f>
        <v>45199</v>
      </c>
      <c r="T8" s="14">
        <f>Q8</f>
        <v>45565</v>
      </c>
      <c r="U8" s="15"/>
      <c r="V8" s="93"/>
    </row>
    <row r="9" spans="1:22" ht="3.75" customHeight="1" x14ac:dyDescent="0.25">
      <c r="B9" s="16"/>
      <c r="C9" s="15"/>
      <c r="D9" s="15"/>
      <c r="E9" s="15"/>
      <c r="G9" s="17"/>
      <c r="H9" s="17"/>
      <c r="I9" s="17"/>
      <c r="J9" s="17"/>
      <c r="K9" s="17"/>
      <c r="L9" s="17"/>
      <c r="M9" s="17"/>
      <c r="N9" s="17"/>
      <c r="O9" s="17"/>
      <c r="P9" s="17"/>
      <c r="Q9" s="17"/>
      <c r="S9" s="17"/>
      <c r="T9" s="17"/>
      <c r="U9" s="17"/>
    </row>
    <row r="10" spans="1:22" x14ac:dyDescent="0.25">
      <c r="B10" s="135" t="s">
        <v>75</v>
      </c>
      <c r="C10" s="109">
        <v>1263</v>
      </c>
      <c r="D10" s="109">
        <v>1565</v>
      </c>
      <c r="E10" s="109">
        <v>0</v>
      </c>
      <c r="F10" s="120"/>
      <c r="G10" s="109">
        <v>233</v>
      </c>
      <c r="H10" s="109">
        <v>1301</v>
      </c>
      <c r="I10" s="109">
        <v>31</v>
      </c>
      <c r="J10" s="125">
        <f>SUM(D10-SUM(G10:I10))</f>
        <v>0</v>
      </c>
      <c r="K10" s="126">
        <v>0</v>
      </c>
      <c r="L10" s="126">
        <v>0</v>
      </c>
      <c r="M10" s="126">
        <v>0</v>
      </c>
      <c r="N10" s="125">
        <f>SUM(E10-SUM(K10:M10))</f>
        <v>0</v>
      </c>
      <c r="O10" s="126">
        <v>0</v>
      </c>
      <c r="P10" s="126">
        <v>0</v>
      </c>
      <c r="Q10" s="126">
        <v>0</v>
      </c>
      <c r="S10" s="21">
        <f t="shared" ref="S10" si="0">SUM(J10:M10)</f>
        <v>0</v>
      </c>
      <c r="T10" s="21">
        <f t="shared" ref="T10" si="1">SUM(N10:Q10)</f>
        <v>0</v>
      </c>
      <c r="U10" s="17"/>
    </row>
    <row r="11" spans="1:22" x14ac:dyDescent="0.25">
      <c r="B11" s="134"/>
      <c r="C11" s="127"/>
      <c r="D11" s="127"/>
      <c r="E11" s="127"/>
      <c r="F11" s="120"/>
      <c r="G11" s="128"/>
      <c r="H11" s="128"/>
      <c r="I11" s="128"/>
      <c r="J11" s="128"/>
      <c r="K11" s="128"/>
      <c r="L11" s="128"/>
      <c r="M11" s="128"/>
      <c r="N11" s="128"/>
      <c r="O11" s="128"/>
      <c r="P11" s="128"/>
      <c r="Q11" s="129"/>
      <c r="S11" s="17"/>
      <c r="T11" s="17"/>
      <c r="U11" s="17"/>
    </row>
    <row r="12" spans="1:22" x14ac:dyDescent="0.25">
      <c r="B12" s="135" t="s">
        <v>76</v>
      </c>
      <c r="C12" s="127"/>
      <c r="D12" s="127"/>
      <c r="E12" s="127"/>
      <c r="F12" s="120"/>
      <c r="G12" s="128"/>
      <c r="H12" s="128"/>
      <c r="I12" s="130"/>
      <c r="J12" s="130"/>
      <c r="K12" s="124"/>
      <c r="L12" s="124"/>
      <c r="M12" s="124"/>
      <c r="N12" s="130"/>
      <c r="O12" s="124"/>
      <c r="P12" s="124"/>
      <c r="Q12" s="124"/>
      <c r="S12" s="17"/>
      <c r="T12" s="17"/>
      <c r="U12" s="17"/>
    </row>
    <row r="13" spans="1:22" x14ac:dyDescent="0.25">
      <c r="B13" s="137" t="s">
        <v>45</v>
      </c>
      <c r="C13" s="109">
        <v>-61341</v>
      </c>
      <c r="D13" s="109">
        <v>-63260</v>
      </c>
      <c r="E13" s="109">
        <v>-76550</v>
      </c>
      <c r="F13" s="120"/>
      <c r="G13" s="109">
        <v>-16314</v>
      </c>
      <c r="H13" s="109">
        <v>-14652</v>
      </c>
      <c r="I13" s="109">
        <v>-17337</v>
      </c>
      <c r="J13" s="125">
        <f>SUM(D13-SUM(G13:I13))</f>
        <v>-14957</v>
      </c>
      <c r="K13" s="109">
        <v>-17278</v>
      </c>
      <c r="L13" s="109">
        <v>-20540</v>
      </c>
      <c r="M13" s="109">
        <v>-18552</v>
      </c>
      <c r="N13" s="125">
        <f>SUM(E13-SUM(K13:M13))</f>
        <v>-20180</v>
      </c>
      <c r="O13" s="109">
        <v>-21264</v>
      </c>
      <c r="P13" s="109">
        <v>-23753</v>
      </c>
      <c r="Q13" s="109">
        <v>-22926</v>
      </c>
      <c r="S13" s="21">
        <f t="shared" ref="S13:S14" si="2">SUM(J13:M13)</f>
        <v>-71327</v>
      </c>
      <c r="T13" s="21">
        <f t="shared" ref="T13:T14" si="3">SUM(N13:Q13)</f>
        <v>-88123</v>
      </c>
      <c r="U13" s="22"/>
      <c r="V13" s="23">
        <f>SUM(T13/S13)-1</f>
        <v>0.23547885092601684</v>
      </c>
    </row>
    <row r="14" spans="1:22" x14ac:dyDescent="0.25">
      <c r="B14" s="137" t="s">
        <v>22</v>
      </c>
      <c r="C14" s="109">
        <v>-21130</v>
      </c>
      <c r="D14" s="109">
        <v>-22883</v>
      </c>
      <c r="E14" s="109">
        <v>-23497</v>
      </c>
      <c r="F14" s="120"/>
      <c r="G14" s="109">
        <v>-5682</v>
      </c>
      <c r="H14" s="109">
        <v>-5180</v>
      </c>
      <c r="I14" s="109">
        <v>-6188</v>
      </c>
      <c r="J14" s="125">
        <f>SUM(D14-SUM(G14:I14))</f>
        <v>-5833</v>
      </c>
      <c r="K14" s="109">
        <v>-5234</v>
      </c>
      <c r="L14" s="109">
        <v>-6191</v>
      </c>
      <c r="M14" s="109">
        <v>-6070</v>
      </c>
      <c r="N14" s="125">
        <f>SUM(E14-SUM(K14:M14))</f>
        <v>-6002</v>
      </c>
      <c r="O14" s="109">
        <v>-5314</v>
      </c>
      <c r="P14" s="109">
        <v>-5746</v>
      </c>
      <c r="Q14" s="109">
        <v>-7307</v>
      </c>
      <c r="S14" s="21">
        <f t="shared" si="2"/>
        <v>-23328</v>
      </c>
      <c r="T14" s="21">
        <f t="shared" si="3"/>
        <v>-24369</v>
      </c>
      <c r="U14" s="21"/>
      <c r="V14" s="23">
        <f>SUM(T14/S14)-1</f>
        <v>4.462448559670773E-2</v>
      </c>
    </row>
    <row r="15" spans="1:22" x14ac:dyDescent="0.25">
      <c r="B15" s="136" t="s">
        <v>46</v>
      </c>
      <c r="C15" s="131">
        <f>SUM(C13:C14)+C10</f>
        <v>-81208</v>
      </c>
      <c r="D15" s="131">
        <f t="shared" ref="D15:E15" si="4">SUM(D13:D14)+D10</f>
        <v>-84578</v>
      </c>
      <c r="E15" s="131">
        <f t="shared" si="4"/>
        <v>-100047</v>
      </c>
      <c r="F15" s="120"/>
      <c r="G15" s="131">
        <f t="shared" ref="G15" si="5">SUM(G13:G14)+G10</f>
        <v>-21763</v>
      </c>
      <c r="H15" s="131">
        <f t="shared" ref="H15" si="6">SUM(H13:H14)+H10</f>
        <v>-18531</v>
      </c>
      <c r="I15" s="131">
        <f t="shared" ref="I15" si="7">SUM(I13:I14)+I10</f>
        <v>-23494</v>
      </c>
      <c r="J15" s="131">
        <f t="shared" ref="J15" si="8">SUM(J13:J14)+J10</f>
        <v>-20790</v>
      </c>
      <c r="K15" s="131">
        <f t="shared" ref="K15" si="9">SUM(K13:K14)+K10</f>
        <v>-22512</v>
      </c>
      <c r="L15" s="131">
        <f t="shared" ref="L15" si="10">SUM(L13:L14)+L10</f>
        <v>-26731</v>
      </c>
      <c r="M15" s="131">
        <f t="shared" ref="M15" si="11">SUM(M13:M14)+M10</f>
        <v>-24622</v>
      </c>
      <c r="N15" s="131">
        <f t="shared" ref="N15" si="12">SUM(N13:N14)+N10</f>
        <v>-26182</v>
      </c>
      <c r="O15" s="131">
        <f t="shared" ref="O15" si="13">SUM(O13:O14)+O10</f>
        <v>-26578</v>
      </c>
      <c r="P15" s="131">
        <f t="shared" ref="P15" si="14">SUM(P13:P14)+P10</f>
        <v>-29499</v>
      </c>
      <c r="Q15" s="131">
        <f t="shared" ref="Q15" si="15">SUM(Q13:Q14)+Q10</f>
        <v>-30233</v>
      </c>
      <c r="S15" s="35">
        <f>SUM(S13:S14)</f>
        <v>-94655</v>
      </c>
      <c r="T15" s="35">
        <f>SUM(T13:T14)</f>
        <v>-112492</v>
      </c>
      <c r="U15" s="27"/>
      <c r="V15" s="28">
        <f>SUM(T15/S15)-1</f>
        <v>0.18844223759970413</v>
      </c>
    </row>
    <row r="16" spans="1:22" x14ac:dyDescent="0.25">
      <c r="B16" s="29" t="s">
        <v>23</v>
      </c>
      <c r="C16" s="132"/>
      <c r="D16" s="108">
        <f>D15/C15-1</f>
        <v>4.1498374544379768E-2</v>
      </c>
      <c r="E16" s="108">
        <f>E15/D15-1</f>
        <v>0.18289626143914495</v>
      </c>
      <c r="F16" s="108"/>
      <c r="G16" s="82"/>
      <c r="H16" s="108">
        <f t="shared" ref="H16:Q16" si="16">H15/G15-1</f>
        <v>-0.14850893718696867</v>
      </c>
      <c r="I16" s="108">
        <f t="shared" si="16"/>
        <v>0.26782148831687436</v>
      </c>
      <c r="J16" s="108">
        <f t="shared" si="16"/>
        <v>-0.11509321528900995</v>
      </c>
      <c r="K16" s="108">
        <f t="shared" si="16"/>
        <v>8.2828282828282918E-2</v>
      </c>
      <c r="L16" s="108">
        <f t="shared" si="16"/>
        <v>0.18741115849324808</v>
      </c>
      <c r="M16" s="108">
        <f t="shared" si="16"/>
        <v>-7.8897160600052363E-2</v>
      </c>
      <c r="N16" s="108">
        <f t="shared" si="16"/>
        <v>6.3357972544878516E-2</v>
      </c>
      <c r="O16" s="108">
        <f>O15/N15-1</f>
        <v>1.5124894966007218E-2</v>
      </c>
      <c r="P16" s="108">
        <f t="shared" si="16"/>
        <v>0.10990292723304984</v>
      </c>
      <c r="Q16" s="108">
        <f t="shared" si="16"/>
        <v>2.4882199396589755E-2</v>
      </c>
      <c r="T16" s="20">
        <f>T15/S15-1</f>
        <v>0.18844223759970413</v>
      </c>
      <c r="U16" s="27"/>
      <c r="V16" s="31"/>
    </row>
    <row r="17" spans="2:22" ht="2.25" customHeight="1" x14ac:dyDescent="0.25">
      <c r="B17" s="3" t="s">
        <v>24</v>
      </c>
      <c r="C17" s="30">
        <v>49</v>
      </c>
      <c r="D17" s="30">
        <v>2777</v>
      </c>
      <c r="E17" s="30">
        <v>7833</v>
      </c>
      <c r="G17" s="30"/>
      <c r="H17" s="30"/>
      <c r="I17" s="30"/>
      <c r="J17" s="30"/>
      <c r="K17" s="30"/>
      <c r="L17" s="30">
        <v>-28777</v>
      </c>
      <c r="M17" s="30">
        <v>-27879</v>
      </c>
      <c r="N17" s="30"/>
      <c r="O17" s="30">
        <v>-19934</v>
      </c>
      <c r="P17" s="30">
        <v>-61402</v>
      </c>
      <c r="Q17" s="30"/>
      <c r="S17" s="32"/>
      <c r="T17" s="32"/>
      <c r="U17" s="32"/>
      <c r="V17" s="33"/>
    </row>
    <row r="18" spans="2:22" x14ac:dyDescent="0.25">
      <c r="B18" s="43" t="s">
        <v>47</v>
      </c>
      <c r="C18" s="24"/>
      <c r="D18" s="24"/>
      <c r="E18" s="24"/>
      <c r="G18" s="24"/>
      <c r="H18" s="24"/>
      <c r="I18" s="24"/>
      <c r="J18" s="25"/>
      <c r="K18" s="24"/>
      <c r="L18" s="24"/>
      <c r="M18" s="24"/>
      <c r="N18" s="25"/>
      <c r="O18" s="24"/>
      <c r="P18" s="24"/>
      <c r="Q18" s="24"/>
      <c r="S18" s="21"/>
      <c r="T18" s="21"/>
      <c r="U18" s="21"/>
      <c r="V18" s="23"/>
    </row>
    <row r="19" spans="2:22" x14ac:dyDescent="0.25">
      <c r="B19" s="138" t="s">
        <v>24</v>
      </c>
      <c r="C19" s="101">
        <v>16</v>
      </c>
      <c r="D19" s="101">
        <v>2629</v>
      </c>
      <c r="E19" s="101">
        <v>5467</v>
      </c>
      <c r="F19" s="102"/>
      <c r="G19" s="101">
        <v>31</v>
      </c>
      <c r="H19" s="101">
        <v>301</v>
      </c>
      <c r="I19" s="101">
        <v>883</v>
      </c>
      <c r="J19" s="125">
        <f>SUM(D19-SUM(G19:I19))</f>
        <v>1414</v>
      </c>
      <c r="K19" s="101">
        <v>1475</v>
      </c>
      <c r="L19" s="101">
        <v>1479</v>
      </c>
      <c r="M19" s="101">
        <v>1369</v>
      </c>
      <c r="N19" s="125">
        <f>SUM(E19-SUM(K19:M19))</f>
        <v>1144</v>
      </c>
      <c r="O19" s="101">
        <v>1031</v>
      </c>
      <c r="P19" s="101">
        <v>1310</v>
      </c>
      <c r="Q19" s="101">
        <v>911</v>
      </c>
      <c r="R19" s="102"/>
      <c r="S19" s="103">
        <f t="shared" ref="S19" si="17">SUM(J19:M19)</f>
        <v>5737</v>
      </c>
      <c r="T19" s="103">
        <f t="shared" ref="T19" si="18">SUM(N19:Q19)</f>
        <v>4396</v>
      </c>
      <c r="U19" s="21"/>
      <c r="V19" s="23">
        <f t="shared" ref="V19:V27" si="19">SUM(T19/S19)-1</f>
        <v>-0.23374586020568244</v>
      </c>
    </row>
    <row r="20" spans="2:22" x14ac:dyDescent="0.25">
      <c r="B20" s="138" t="s">
        <v>48</v>
      </c>
      <c r="C20" s="101">
        <v>-4348</v>
      </c>
      <c r="D20" s="101">
        <v>-6200</v>
      </c>
      <c r="E20" s="101">
        <v>-6599</v>
      </c>
      <c r="F20" s="102"/>
      <c r="G20" s="101">
        <v>-1432</v>
      </c>
      <c r="H20" s="101">
        <v>-1488</v>
      </c>
      <c r="I20" s="101">
        <v>-1641</v>
      </c>
      <c r="J20" s="125">
        <f>SUM(D20-SUM(G20:I20))</f>
        <v>-1639</v>
      </c>
      <c r="K20" s="101">
        <v>-1699</v>
      </c>
      <c r="L20" s="101">
        <v>-1710</v>
      </c>
      <c r="M20" s="101">
        <v>-1463</v>
      </c>
      <c r="N20" s="125">
        <f>SUM(E20-SUM(K20:M20))</f>
        <v>-1727</v>
      </c>
      <c r="O20" s="101">
        <v>-1816</v>
      </c>
      <c r="P20" s="101">
        <v>-2515</v>
      </c>
      <c r="Q20" s="101">
        <v>-2438</v>
      </c>
      <c r="R20" s="102"/>
      <c r="S20" s="103">
        <f>SUM(J20:M20)</f>
        <v>-6511</v>
      </c>
      <c r="T20" s="103">
        <f>SUM(N20:Q20)</f>
        <v>-8496</v>
      </c>
      <c r="U20" s="21"/>
      <c r="V20" s="23">
        <f>SUM(T20/S20)-1</f>
        <v>0.30486868376593468</v>
      </c>
    </row>
    <row r="21" spans="2:22" x14ac:dyDescent="0.25">
      <c r="B21" s="138" t="s">
        <v>78</v>
      </c>
      <c r="C21" s="101">
        <v>55772</v>
      </c>
      <c r="D21" s="101">
        <v>75767</v>
      </c>
      <c r="E21" s="101">
        <v>-10023</v>
      </c>
      <c r="F21" s="102"/>
      <c r="G21" s="101">
        <v>3258</v>
      </c>
      <c r="H21" s="101">
        <v>56353</v>
      </c>
      <c r="I21" s="101">
        <v>-962</v>
      </c>
      <c r="J21" s="125">
        <f t="shared" ref="J21:J27" si="20">SUM(D21-SUM(G21:I21))</f>
        <v>17118</v>
      </c>
      <c r="K21" s="101">
        <v>-14191</v>
      </c>
      <c r="L21" s="101">
        <v>3627</v>
      </c>
      <c r="M21" s="101">
        <v>-1144</v>
      </c>
      <c r="N21" s="125">
        <f t="shared" ref="N21:N27" si="21">SUM(E21-SUM(K21:M21))</f>
        <v>1685</v>
      </c>
      <c r="O21" s="101">
        <v>-4593</v>
      </c>
      <c r="P21" s="101">
        <v>-25571</v>
      </c>
      <c r="Q21" s="101">
        <v>-8489</v>
      </c>
      <c r="R21" s="102"/>
      <c r="S21" s="103">
        <f t="shared" ref="S21:S27" si="22">SUM(J21:M21)</f>
        <v>5410</v>
      </c>
      <c r="T21" s="103">
        <f t="shared" ref="T21:T27" si="23">SUM(N21:Q21)</f>
        <v>-36968</v>
      </c>
      <c r="U21" s="21"/>
      <c r="V21" s="23">
        <f t="shared" si="19"/>
        <v>-7.8332717190388168</v>
      </c>
    </row>
    <row r="22" spans="2:22" x14ac:dyDescent="0.25">
      <c r="B22" s="138" t="s">
        <v>79</v>
      </c>
      <c r="C22" s="101">
        <v>56</v>
      </c>
      <c r="D22" s="101"/>
      <c r="E22" s="101"/>
      <c r="F22" s="102"/>
      <c r="G22" s="101">
        <v>74</v>
      </c>
      <c r="H22" s="101">
        <v>233</v>
      </c>
      <c r="I22" s="101">
        <v>-67</v>
      </c>
      <c r="J22" s="125">
        <f t="shared" si="20"/>
        <v>-240</v>
      </c>
      <c r="K22" s="101">
        <v>-42</v>
      </c>
      <c r="L22" s="101"/>
      <c r="M22" s="101"/>
      <c r="N22" s="125">
        <f t="shared" si="21"/>
        <v>42</v>
      </c>
      <c r="O22" s="101"/>
      <c r="P22" s="101"/>
      <c r="Q22" s="101"/>
      <c r="R22" s="102"/>
      <c r="S22" s="103">
        <f t="shared" si="22"/>
        <v>-282</v>
      </c>
      <c r="T22" s="103">
        <f t="shared" si="23"/>
        <v>42</v>
      </c>
      <c r="U22" s="21"/>
      <c r="V22" s="23">
        <f t="shared" si="19"/>
        <v>-1.1489361702127661</v>
      </c>
    </row>
    <row r="23" spans="2:22" x14ac:dyDescent="0.25">
      <c r="B23" s="138" t="s">
        <v>80</v>
      </c>
      <c r="C23" s="101">
        <v>3284</v>
      </c>
      <c r="D23" s="101"/>
      <c r="E23" s="101"/>
      <c r="F23" s="102"/>
      <c r="G23" s="101"/>
      <c r="H23" s="101"/>
      <c r="I23" s="101"/>
      <c r="J23" s="125">
        <f t="shared" si="20"/>
        <v>0</v>
      </c>
      <c r="K23" s="101"/>
      <c r="L23" s="101"/>
      <c r="M23" s="101"/>
      <c r="N23" s="125">
        <f t="shared" si="21"/>
        <v>0</v>
      </c>
      <c r="O23" s="101"/>
      <c r="P23" s="101"/>
      <c r="Q23" s="101"/>
      <c r="R23" s="102"/>
      <c r="S23" s="103">
        <f t="shared" si="22"/>
        <v>0</v>
      </c>
      <c r="T23" s="103">
        <f t="shared" si="23"/>
        <v>0</v>
      </c>
      <c r="U23" s="21"/>
      <c r="V23" s="23" t="e">
        <f t="shared" si="19"/>
        <v>#DIV/0!</v>
      </c>
    </row>
    <row r="24" spans="2:22" x14ac:dyDescent="0.25">
      <c r="B24" s="138" t="s">
        <v>81</v>
      </c>
      <c r="C24" s="101"/>
      <c r="D24" s="101">
        <v>0</v>
      </c>
      <c r="E24" s="101">
        <v>3107</v>
      </c>
      <c r="F24" s="102"/>
      <c r="G24" s="101"/>
      <c r="H24" s="101"/>
      <c r="I24" s="101"/>
      <c r="J24" s="125">
        <f t="shared" si="20"/>
        <v>0</v>
      </c>
      <c r="K24" s="101"/>
      <c r="L24" s="101">
        <v>3107</v>
      </c>
      <c r="M24" s="101"/>
      <c r="N24" s="125">
        <f t="shared" si="21"/>
        <v>0</v>
      </c>
      <c r="O24" s="101"/>
      <c r="P24" s="101"/>
      <c r="Q24" s="101"/>
      <c r="R24" s="102"/>
      <c r="S24" s="103">
        <f t="shared" si="22"/>
        <v>3107</v>
      </c>
      <c r="T24" s="103">
        <f t="shared" si="23"/>
        <v>0</v>
      </c>
      <c r="U24" s="21"/>
      <c r="V24" s="23">
        <f t="shared" si="19"/>
        <v>-1</v>
      </c>
    </row>
    <row r="25" spans="2:22" x14ac:dyDescent="0.25">
      <c r="B25" s="138" t="s">
        <v>82</v>
      </c>
      <c r="C25" s="101"/>
      <c r="D25" s="101">
        <v>0</v>
      </c>
      <c r="E25" s="101">
        <v>-2421</v>
      </c>
      <c r="F25" s="102"/>
      <c r="G25" s="101"/>
      <c r="H25" s="101"/>
      <c r="I25" s="101"/>
      <c r="J25" s="125">
        <f t="shared" si="20"/>
        <v>0</v>
      </c>
      <c r="K25" s="101"/>
      <c r="L25" s="101">
        <v>-2421</v>
      </c>
      <c r="M25" s="101"/>
      <c r="N25" s="125">
        <f t="shared" si="21"/>
        <v>0</v>
      </c>
      <c r="O25" s="101"/>
      <c r="P25" s="101"/>
      <c r="Q25" s="101"/>
      <c r="R25" s="102"/>
      <c r="S25" s="103">
        <f t="shared" si="22"/>
        <v>-2421</v>
      </c>
      <c r="T25" s="103">
        <f t="shared" si="23"/>
        <v>0</v>
      </c>
      <c r="U25" s="21"/>
      <c r="V25" s="23">
        <f t="shared" si="19"/>
        <v>-1</v>
      </c>
    </row>
    <row r="26" spans="2:22" x14ac:dyDescent="0.25">
      <c r="B26" s="138" t="s">
        <v>83</v>
      </c>
      <c r="C26" s="101">
        <v>-49</v>
      </c>
      <c r="D26" s="101"/>
      <c r="E26" s="101"/>
      <c r="F26" s="102"/>
      <c r="G26" s="101"/>
      <c r="H26" s="101"/>
      <c r="I26" s="101"/>
      <c r="J26" s="125">
        <f t="shared" si="20"/>
        <v>0</v>
      </c>
      <c r="K26" s="101"/>
      <c r="L26" s="101"/>
      <c r="M26" s="101"/>
      <c r="N26" s="125">
        <f t="shared" si="21"/>
        <v>0</v>
      </c>
      <c r="O26" s="101"/>
      <c r="P26" s="101"/>
      <c r="Q26" s="101"/>
      <c r="R26" s="102"/>
      <c r="S26" s="103">
        <f t="shared" si="22"/>
        <v>0</v>
      </c>
      <c r="T26" s="103">
        <f t="shared" si="23"/>
        <v>0</v>
      </c>
      <c r="U26" s="21"/>
      <c r="V26" s="23"/>
    </row>
    <row r="27" spans="2:22" x14ac:dyDescent="0.25">
      <c r="B27" s="138" t="s">
        <v>84</v>
      </c>
      <c r="C27" s="101"/>
      <c r="D27" s="101">
        <v>417</v>
      </c>
      <c r="E27" s="101">
        <v>-260</v>
      </c>
      <c r="F27" s="102"/>
      <c r="G27" s="101"/>
      <c r="H27" s="101"/>
      <c r="I27" s="101"/>
      <c r="J27" s="125">
        <f t="shared" si="20"/>
        <v>417</v>
      </c>
      <c r="K27" s="101"/>
      <c r="L27" s="101">
        <v>-57</v>
      </c>
      <c r="M27" s="101">
        <v>-135</v>
      </c>
      <c r="N27" s="125">
        <f t="shared" si="21"/>
        <v>-68</v>
      </c>
      <c r="O27" s="101">
        <v>60</v>
      </c>
      <c r="P27" s="101">
        <v>-388</v>
      </c>
      <c r="Q27" s="101">
        <v>1047</v>
      </c>
      <c r="R27" s="102"/>
      <c r="S27" s="103">
        <f t="shared" si="22"/>
        <v>225</v>
      </c>
      <c r="T27" s="103">
        <f t="shared" si="23"/>
        <v>651</v>
      </c>
      <c r="U27" s="21"/>
      <c r="V27" s="23">
        <f t="shared" si="19"/>
        <v>1.8933333333333335</v>
      </c>
    </row>
    <row r="28" spans="2:22" x14ac:dyDescent="0.25">
      <c r="B28" s="104" t="s">
        <v>25</v>
      </c>
      <c r="C28" s="105">
        <f>SUM(C15+SUM(C19:C27))</f>
        <v>-26477</v>
      </c>
      <c r="D28" s="105">
        <f>SUM(D15+SUM(D19:D27))</f>
        <v>-11965</v>
      </c>
      <c r="E28" s="105">
        <f>SUM(E15+SUM(E19:E27))</f>
        <v>-110776</v>
      </c>
      <c r="F28" s="98"/>
      <c r="G28" s="105">
        <f>SUM(G15+SUM(G19:G27))</f>
        <v>-19832</v>
      </c>
      <c r="H28" s="105">
        <f>SUM(H15+SUM(H19:H27))</f>
        <v>36868</v>
      </c>
      <c r="I28" s="105">
        <f>SUM(I15+SUM(I19:I27))</f>
        <v>-25281</v>
      </c>
      <c r="J28" s="105">
        <f>SUM(J15+SUM(J19:J27))</f>
        <v>-3720</v>
      </c>
      <c r="K28" s="105">
        <f>SUM(K15+SUM(K19:K27))</f>
        <v>-36969</v>
      </c>
      <c r="L28" s="105">
        <f>SUM(L15+SUM(L19:L27))</f>
        <v>-22706</v>
      </c>
      <c r="M28" s="105">
        <f>SUM(M15+SUM(M19:M27))</f>
        <v>-25995</v>
      </c>
      <c r="N28" s="105">
        <f>SUM(N15+SUM(N19:N27))</f>
        <v>-25106</v>
      </c>
      <c r="O28" s="105">
        <f>SUM(O15+SUM(O19:O27))</f>
        <v>-31896</v>
      </c>
      <c r="P28" s="105">
        <f>SUM(P15+SUM(P19:P27))</f>
        <v>-56663</v>
      </c>
      <c r="Q28" s="105">
        <f>SUM(Q15+SUM(Q19:Q27))</f>
        <v>-39202</v>
      </c>
      <c r="R28" s="98"/>
      <c r="S28" s="105">
        <f>SUM(S18:S27)-S15</f>
        <v>99920</v>
      </c>
      <c r="T28" s="35">
        <f>SUM(T18:T27)-T15</f>
        <v>72117</v>
      </c>
      <c r="U28" s="27"/>
      <c r="V28" s="28">
        <f>SUM(T28/S28)-1</f>
        <v>-0.27825260208166536</v>
      </c>
    </row>
    <row r="29" spans="2:22" x14ac:dyDescent="0.25">
      <c r="B29" s="106" t="s">
        <v>23</v>
      </c>
      <c r="C29" s="107"/>
      <c r="D29" s="108">
        <f>D28/C28-1</f>
        <v>-0.5480983495108962</v>
      </c>
      <c r="E29" s="108">
        <f>E28/D28-1</f>
        <v>8.2583368157124948</v>
      </c>
      <c r="F29" s="108"/>
      <c r="G29" s="98"/>
      <c r="H29" s="108">
        <f t="shared" ref="H29:Q29" si="24">H28/G28-1</f>
        <v>-2.8590157321500604</v>
      </c>
      <c r="I29" s="108">
        <f t="shared" si="24"/>
        <v>-1.6857166106108279</v>
      </c>
      <c r="J29" s="108">
        <f t="shared" si="24"/>
        <v>-0.85285392191764564</v>
      </c>
      <c r="K29" s="108">
        <f t="shared" si="24"/>
        <v>8.9379032258064512</v>
      </c>
      <c r="L29" s="108">
        <f t="shared" si="24"/>
        <v>-0.38580973247856309</v>
      </c>
      <c r="M29" s="108">
        <f t="shared" si="24"/>
        <v>0.14485158107989071</v>
      </c>
      <c r="N29" s="108">
        <f t="shared" si="24"/>
        <v>-3.4198884400846286E-2</v>
      </c>
      <c r="O29" s="108">
        <f t="shared" si="24"/>
        <v>0.2704532781008524</v>
      </c>
      <c r="P29" s="108">
        <f t="shared" si="24"/>
        <v>0.77649235013794837</v>
      </c>
      <c r="Q29" s="108">
        <f t="shared" si="24"/>
        <v>-0.30815523357393715</v>
      </c>
      <c r="R29" s="98"/>
      <c r="S29" s="98"/>
      <c r="T29" s="20">
        <f>T28/S28-1</f>
        <v>-0.27825260208166536</v>
      </c>
      <c r="U29" s="37"/>
      <c r="V29" s="38"/>
    </row>
    <row r="30" spans="2:22" x14ac:dyDescent="0.25">
      <c r="B30" s="106"/>
      <c r="C30" s="107"/>
      <c r="D30" s="108"/>
      <c r="E30" s="108"/>
      <c r="F30" s="108"/>
      <c r="G30" s="98"/>
      <c r="H30" s="108"/>
      <c r="I30" s="108"/>
      <c r="J30" s="108"/>
      <c r="K30" s="108"/>
      <c r="L30" s="108"/>
      <c r="M30" s="108"/>
      <c r="N30" s="108"/>
      <c r="O30" s="108"/>
      <c r="P30" s="108"/>
      <c r="Q30" s="108"/>
      <c r="R30" s="98"/>
      <c r="S30" s="98"/>
      <c r="T30" s="20"/>
      <c r="U30" s="37"/>
      <c r="V30" s="38"/>
    </row>
    <row r="31" spans="2:22" x14ac:dyDescent="0.25">
      <c r="B31" s="98" t="s">
        <v>85</v>
      </c>
      <c r="C31" s="88">
        <v>-0.66</v>
      </c>
      <c r="D31" s="89">
        <v>-0.12</v>
      </c>
      <c r="E31" s="89">
        <v>-1.07</v>
      </c>
      <c r="F31" s="87"/>
      <c r="G31" s="91">
        <v>-0.19</v>
      </c>
      <c r="H31" s="89">
        <v>0.35</v>
      </c>
      <c r="I31" s="89">
        <v>-0.25</v>
      </c>
      <c r="J31" s="145">
        <f>SUM(D31-SUM(G31:I31))</f>
        <v>-2.9999999999999971E-2</v>
      </c>
      <c r="K31" s="89">
        <v>-0.36</v>
      </c>
      <c r="L31" s="89">
        <v>-0.22</v>
      </c>
      <c r="M31" s="89">
        <v>-0.25</v>
      </c>
      <c r="N31" s="145">
        <f>SUM(E31-SUM(K31:M31))</f>
        <v>-0.2400000000000001</v>
      </c>
      <c r="O31" s="89">
        <v>-0.28999999999999998</v>
      </c>
      <c r="P31" s="89">
        <v>-0.48</v>
      </c>
      <c r="Q31" s="89">
        <v>-0.33</v>
      </c>
      <c r="R31" s="98"/>
      <c r="S31" s="98"/>
      <c r="T31" s="20"/>
      <c r="U31" s="37"/>
      <c r="V31" s="38"/>
    </row>
    <row r="32" spans="2:22" x14ac:dyDescent="0.25">
      <c r="B32" s="98" t="s">
        <v>86</v>
      </c>
      <c r="C32" s="85">
        <v>39970.398000000001</v>
      </c>
      <c r="D32" s="86">
        <v>103051.36599999999</v>
      </c>
      <c r="E32" s="86">
        <v>103420.238</v>
      </c>
      <c r="F32" s="87"/>
      <c r="G32" s="90">
        <v>103004.088</v>
      </c>
      <c r="H32" s="86">
        <v>103908.44</v>
      </c>
      <c r="I32" s="86">
        <v>103031.98</v>
      </c>
      <c r="J32" s="110">
        <f t="shared" ref="J32" si="25">D32</f>
        <v>103051.36599999999</v>
      </c>
      <c r="K32" s="86">
        <v>103263.52800000001</v>
      </c>
      <c r="L32" s="86">
        <v>103361.501</v>
      </c>
      <c r="M32" s="86">
        <v>103444.246</v>
      </c>
      <c r="N32" s="110">
        <f t="shared" ref="N32" si="26">E32</f>
        <v>103420.238</v>
      </c>
      <c r="O32" s="86">
        <v>108246.008</v>
      </c>
      <c r="P32" s="86">
        <v>119174.681</v>
      </c>
      <c r="Q32" s="86">
        <v>119408.565</v>
      </c>
      <c r="R32" s="98"/>
      <c r="S32" s="98"/>
      <c r="T32" s="20"/>
      <c r="U32" s="37"/>
      <c r="V32" s="38"/>
    </row>
    <row r="33" spans="1:22" x14ac:dyDescent="0.25">
      <c r="B33" s="29"/>
      <c r="C33" s="36"/>
      <c r="D33" s="20"/>
      <c r="E33" s="20"/>
      <c r="F33" s="20"/>
      <c r="H33" s="20"/>
      <c r="I33" s="20"/>
      <c r="J33" s="20"/>
      <c r="K33" s="20"/>
      <c r="L33" s="20"/>
      <c r="M33" s="20"/>
      <c r="N33" s="20"/>
      <c r="O33" s="20"/>
      <c r="P33" s="20"/>
      <c r="Q33" s="20"/>
      <c r="T33" s="20"/>
      <c r="U33" s="37"/>
      <c r="V33" s="38"/>
    </row>
    <row r="34" spans="1:22" x14ac:dyDescent="0.25">
      <c r="A34" s="5" t="s">
        <v>5</v>
      </c>
      <c r="B34" s="6" t="s">
        <v>26</v>
      </c>
      <c r="C34" s="39"/>
      <c r="D34" s="39"/>
      <c r="E34" s="39"/>
      <c r="F34" s="7"/>
      <c r="G34" s="7"/>
      <c r="H34" s="7"/>
      <c r="I34" s="7"/>
      <c r="J34" s="7"/>
      <c r="K34" s="7"/>
      <c r="L34" s="7"/>
      <c r="M34" s="7"/>
      <c r="N34" s="7"/>
      <c r="O34" s="7"/>
      <c r="P34" s="7"/>
      <c r="Q34" s="7"/>
      <c r="R34" s="7"/>
      <c r="S34" s="7"/>
      <c r="T34" s="7"/>
    </row>
    <row r="35" spans="1:22" x14ac:dyDescent="0.25">
      <c r="B35" s="1" t="s">
        <v>43</v>
      </c>
      <c r="C35" s="40"/>
      <c r="D35" s="40"/>
      <c r="E35" s="40"/>
      <c r="F35" s="7"/>
      <c r="G35" s="7"/>
      <c r="H35" s="7"/>
      <c r="I35" s="7"/>
      <c r="J35" s="7"/>
      <c r="K35" s="7"/>
      <c r="L35" s="7"/>
      <c r="M35" s="7"/>
      <c r="N35" s="7"/>
      <c r="O35" s="7"/>
      <c r="P35" s="7"/>
      <c r="Q35" s="7"/>
      <c r="R35" s="7"/>
      <c r="S35" s="7"/>
      <c r="T35" s="7"/>
    </row>
    <row r="36" spans="1:22" ht="3.75" customHeight="1" x14ac:dyDescent="0.25">
      <c r="B36" s="41"/>
      <c r="C36" s="42"/>
      <c r="D36" s="42"/>
      <c r="E36" s="42"/>
    </row>
    <row r="37" spans="1:22" x14ac:dyDescent="0.25">
      <c r="B37" s="43" t="s">
        <v>27</v>
      </c>
      <c r="D37" s="24"/>
      <c r="E37" s="24"/>
    </row>
    <row r="38" spans="1:22" x14ac:dyDescent="0.25">
      <c r="B38" s="137" t="s">
        <v>28</v>
      </c>
      <c r="C38" s="116">
        <v>39648</v>
      </c>
      <c r="D38" s="116">
        <v>18592</v>
      </c>
      <c r="E38" s="109">
        <v>25660</v>
      </c>
      <c r="F38" s="123"/>
      <c r="G38" s="109">
        <v>198222</v>
      </c>
      <c r="H38" s="109">
        <v>181035</v>
      </c>
      <c r="I38" s="109">
        <v>163731</v>
      </c>
      <c r="J38" s="110">
        <f t="shared" ref="J38:J48" si="27">D38</f>
        <v>18592</v>
      </c>
      <c r="K38" s="109">
        <v>129570</v>
      </c>
      <c r="L38" s="109">
        <v>114604</v>
      </c>
      <c r="M38" s="109">
        <v>99986</v>
      </c>
      <c r="N38" s="110">
        <f t="shared" ref="N38:N40" si="28">E38</f>
        <v>25660</v>
      </c>
      <c r="O38" s="109">
        <v>115505</v>
      </c>
      <c r="P38" s="109">
        <v>93563</v>
      </c>
      <c r="Q38" s="109">
        <v>20571</v>
      </c>
      <c r="R38" s="123"/>
      <c r="S38" s="111">
        <f>SUM(J38:M38)</f>
        <v>362752</v>
      </c>
      <c r="T38" s="111">
        <f>SUM(N38:Q38)</f>
        <v>255299</v>
      </c>
      <c r="U38" s="21"/>
      <c r="V38" s="23">
        <f t="shared" ref="V38:V49" si="29">SUM(T38/S38)-1</f>
        <v>-0.29621614767113624</v>
      </c>
    </row>
    <row r="39" spans="1:22" x14ac:dyDescent="0.25">
      <c r="B39" s="139" t="s">
        <v>29</v>
      </c>
      <c r="C39" s="116">
        <v>2172</v>
      </c>
      <c r="D39" s="116">
        <v>1960</v>
      </c>
      <c r="E39" s="109">
        <v>2050</v>
      </c>
      <c r="F39" s="123"/>
      <c r="G39" s="109">
        <v>2840</v>
      </c>
      <c r="H39" s="109">
        <v>2694</v>
      </c>
      <c r="I39" s="109">
        <v>2850</v>
      </c>
      <c r="J39" s="110">
        <f t="shared" si="27"/>
        <v>1960</v>
      </c>
      <c r="K39" s="109">
        <v>2178</v>
      </c>
      <c r="L39" s="109">
        <v>5958</v>
      </c>
      <c r="M39" s="109">
        <v>2865</v>
      </c>
      <c r="N39" s="110">
        <f t="shared" si="28"/>
        <v>2050</v>
      </c>
      <c r="O39" s="109">
        <v>2421</v>
      </c>
      <c r="P39" s="109">
        <v>2547</v>
      </c>
      <c r="Q39" s="109">
        <v>2434</v>
      </c>
      <c r="R39" s="123"/>
      <c r="S39" s="111">
        <f>SUM(J39:M39)</f>
        <v>12961</v>
      </c>
      <c r="T39" s="111">
        <f>SUM(N39:Q39)</f>
        <v>9452</v>
      </c>
      <c r="U39" s="21"/>
      <c r="V39" s="23">
        <f t="shared" si="29"/>
        <v>-0.27073528277139114</v>
      </c>
    </row>
    <row r="40" spans="1:22" x14ac:dyDescent="0.25">
      <c r="B40" s="139" t="s">
        <v>87</v>
      </c>
      <c r="C40" s="116">
        <v>8000</v>
      </c>
      <c r="D40" s="116">
        <v>2107</v>
      </c>
      <c r="E40" s="109">
        <v>0</v>
      </c>
      <c r="F40" s="123"/>
      <c r="G40" s="109">
        <v>8000</v>
      </c>
      <c r="H40" s="109">
        <v>8000</v>
      </c>
      <c r="I40" s="109">
        <v>8000</v>
      </c>
      <c r="J40" s="110">
        <f t="shared" si="27"/>
        <v>2107</v>
      </c>
      <c r="K40" s="109">
        <v>2107</v>
      </c>
      <c r="L40" s="109"/>
      <c r="M40" s="109"/>
      <c r="N40" s="110">
        <f t="shared" si="28"/>
        <v>0</v>
      </c>
      <c r="O40" s="109"/>
      <c r="P40" s="109"/>
      <c r="Q40" s="109"/>
      <c r="R40" s="123"/>
      <c r="S40" s="111">
        <f>SUM(J40:M40)</f>
        <v>4214</v>
      </c>
      <c r="T40" s="111">
        <f>SUM(N40:Q40)</f>
        <v>0</v>
      </c>
      <c r="U40" s="21"/>
      <c r="V40" s="23"/>
    </row>
    <row r="41" spans="1:22" x14ac:dyDescent="0.25">
      <c r="B41" s="139" t="s">
        <v>88</v>
      </c>
      <c r="C41" s="116">
        <v>176</v>
      </c>
      <c r="D41" s="116">
        <v>31</v>
      </c>
      <c r="E41" s="109">
        <v>0</v>
      </c>
      <c r="F41" s="123"/>
      <c r="G41" s="109">
        <v>233</v>
      </c>
      <c r="H41" s="109">
        <v>1301</v>
      </c>
      <c r="I41" s="109">
        <v>31</v>
      </c>
      <c r="J41" s="110">
        <f t="shared" si="27"/>
        <v>31</v>
      </c>
      <c r="K41" s="109">
        <v>0</v>
      </c>
      <c r="L41" s="109"/>
      <c r="M41" s="109"/>
      <c r="N41" s="110">
        <f>E41</f>
        <v>0</v>
      </c>
      <c r="O41" s="109"/>
      <c r="P41" s="109"/>
      <c r="Q41" s="109"/>
      <c r="R41" s="123"/>
      <c r="S41" s="111">
        <f>SUM(J41:M41)</f>
        <v>31</v>
      </c>
      <c r="T41" s="111">
        <f>SUM(N41:Q41)</f>
        <v>0</v>
      </c>
      <c r="U41" s="21"/>
      <c r="V41" s="23"/>
    </row>
    <row r="42" spans="1:22" x14ac:dyDescent="0.25">
      <c r="B42" s="34" t="s">
        <v>150</v>
      </c>
      <c r="C42" s="112">
        <f>SUM(C38:C41)</f>
        <v>49996</v>
      </c>
      <c r="D42" s="112">
        <f t="shared" ref="D42:E42" si="30">SUM(D38:D41)</f>
        <v>22690</v>
      </c>
      <c r="E42" s="112">
        <f t="shared" si="30"/>
        <v>27710</v>
      </c>
      <c r="F42" s="123"/>
      <c r="G42" s="112">
        <f t="shared" ref="G42" si="31">SUM(G38:G41)</f>
        <v>209295</v>
      </c>
      <c r="H42" s="112">
        <f t="shared" ref="H42" si="32">SUM(H38:H41)</f>
        <v>193030</v>
      </c>
      <c r="I42" s="112">
        <f t="shared" ref="I42" si="33">SUM(I38:I41)</f>
        <v>174612</v>
      </c>
      <c r="J42" s="112">
        <f t="shared" ref="J42" si="34">SUM(J38:J41)</f>
        <v>22690</v>
      </c>
      <c r="K42" s="112">
        <f t="shared" ref="K42" si="35">SUM(K38:K41)</f>
        <v>133855</v>
      </c>
      <c r="L42" s="112">
        <f t="shared" ref="L42" si="36">SUM(L38:L41)</f>
        <v>120562</v>
      </c>
      <c r="M42" s="112">
        <f t="shared" ref="M42" si="37">SUM(M38:M41)</f>
        <v>102851</v>
      </c>
      <c r="N42" s="112">
        <f t="shared" ref="N42" si="38">SUM(N38:N41)</f>
        <v>27710</v>
      </c>
      <c r="O42" s="112">
        <f t="shared" ref="O42" si="39">SUM(O38:O41)</f>
        <v>117926</v>
      </c>
      <c r="P42" s="112">
        <f t="shared" ref="P42" si="40">SUM(P38:P41)</f>
        <v>96110</v>
      </c>
      <c r="Q42" s="112">
        <f t="shared" ref="Q42" si="41">SUM(Q38:Q41)</f>
        <v>23005</v>
      </c>
      <c r="R42" s="123"/>
      <c r="S42" s="112">
        <f>SUM(S38:S41)</f>
        <v>379958</v>
      </c>
      <c r="T42" s="112">
        <f t="shared" ref="T42" si="42">SUM(T38:T41)</f>
        <v>264751</v>
      </c>
      <c r="U42" s="27"/>
      <c r="V42" s="28">
        <f t="shared" si="29"/>
        <v>-0.303209828454724</v>
      </c>
    </row>
    <row r="43" spans="1:22" x14ac:dyDescent="0.25">
      <c r="B43" s="43"/>
      <c r="C43" s="113"/>
      <c r="D43" s="113"/>
      <c r="E43" s="114"/>
      <c r="F43" s="123"/>
      <c r="G43" s="114"/>
      <c r="H43" s="114"/>
      <c r="I43" s="114"/>
      <c r="J43" s="114"/>
      <c r="K43" s="114"/>
      <c r="L43" s="114"/>
      <c r="M43" s="114"/>
      <c r="N43" s="114"/>
      <c r="O43" s="114"/>
      <c r="P43" s="114"/>
      <c r="Q43" s="114"/>
      <c r="R43" s="123"/>
      <c r="S43" s="121"/>
      <c r="T43" s="121"/>
      <c r="U43" s="27"/>
      <c r="V43" s="31"/>
    </row>
    <row r="44" spans="1:22" x14ac:dyDescent="0.25">
      <c r="B44" s="43" t="s">
        <v>30</v>
      </c>
      <c r="C44" s="113"/>
      <c r="D44" s="113"/>
      <c r="E44" s="114"/>
      <c r="F44" s="123"/>
      <c r="G44" s="114"/>
      <c r="H44" s="114"/>
      <c r="I44" s="114"/>
      <c r="J44" s="114"/>
      <c r="K44" s="114"/>
      <c r="L44" s="114"/>
      <c r="M44" s="114"/>
      <c r="N44" s="114"/>
      <c r="O44" s="114"/>
      <c r="P44" s="114"/>
      <c r="Q44" s="114"/>
      <c r="R44" s="123"/>
      <c r="S44" s="121"/>
      <c r="T44" s="121"/>
      <c r="U44" s="27"/>
      <c r="V44" s="28"/>
    </row>
    <row r="45" spans="1:22" x14ac:dyDescent="0.25">
      <c r="B45" s="138" t="s">
        <v>89</v>
      </c>
      <c r="C45" s="116"/>
      <c r="D45" s="116"/>
      <c r="E45" s="85"/>
      <c r="F45" s="123"/>
      <c r="G45" s="85"/>
      <c r="H45" s="85"/>
      <c r="I45" s="85"/>
      <c r="J45" s="110">
        <f t="shared" si="27"/>
        <v>0</v>
      </c>
      <c r="K45" s="85"/>
      <c r="L45" s="85"/>
      <c r="M45" s="85"/>
      <c r="N45" s="110">
        <f t="shared" ref="N45:N48" si="43">E45</f>
        <v>0</v>
      </c>
      <c r="O45" s="85"/>
      <c r="P45" s="85"/>
      <c r="Q45" s="85">
        <v>50209</v>
      </c>
      <c r="R45" s="123"/>
      <c r="S45" s="111">
        <f>SUM(J45:M45)</f>
        <v>0</v>
      </c>
      <c r="T45" s="111">
        <f>SUM(N45:Q45)</f>
        <v>50209</v>
      </c>
      <c r="U45" s="21"/>
      <c r="V45" s="23" t="e">
        <f t="shared" si="29"/>
        <v>#DIV/0!</v>
      </c>
    </row>
    <row r="46" spans="1:22" x14ac:dyDescent="0.25">
      <c r="B46" s="138" t="s">
        <v>31</v>
      </c>
      <c r="C46" s="116">
        <v>35034</v>
      </c>
      <c r="D46" s="116">
        <v>30039</v>
      </c>
      <c r="E46" s="85">
        <v>26791</v>
      </c>
      <c r="F46" s="123"/>
      <c r="G46" s="85">
        <v>33540</v>
      </c>
      <c r="H46" s="85">
        <v>32227</v>
      </c>
      <c r="I46" s="85">
        <v>31026</v>
      </c>
      <c r="J46" s="110">
        <f t="shared" si="27"/>
        <v>30039</v>
      </c>
      <c r="K46" s="85">
        <v>29593</v>
      </c>
      <c r="L46" s="85">
        <v>28543</v>
      </c>
      <c r="M46" s="85">
        <v>27851</v>
      </c>
      <c r="N46" s="110">
        <f t="shared" si="43"/>
        <v>26791</v>
      </c>
      <c r="O46" s="85">
        <v>25653</v>
      </c>
      <c r="P46" s="85">
        <v>24820</v>
      </c>
      <c r="Q46" s="85">
        <v>24250</v>
      </c>
      <c r="R46" s="123"/>
      <c r="S46" s="111">
        <f t="shared" ref="S46:S48" si="44">SUM(J46:M46)</f>
        <v>116026</v>
      </c>
      <c r="T46" s="111">
        <f t="shared" ref="T46:T48" si="45">SUM(N46:Q46)</f>
        <v>101514</v>
      </c>
      <c r="U46" s="21"/>
      <c r="V46" s="23"/>
    </row>
    <row r="47" spans="1:22" x14ac:dyDescent="0.25">
      <c r="B47" s="138" t="s">
        <v>90</v>
      </c>
      <c r="C47" s="116">
        <v>21432</v>
      </c>
      <c r="D47" s="116">
        <v>19373</v>
      </c>
      <c r="E47" s="85">
        <v>17313</v>
      </c>
      <c r="F47" s="123"/>
      <c r="G47" s="85">
        <v>20917</v>
      </c>
      <c r="H47" s="85">
        <v>20403</v>
      </c>
      <c r="I47" s="85">
        <v>19888</v>
      </c>
      <c r="J47" s="110">
        <f t="shared" si="27"/>
        <v>19373</v>
      </c>
      <c r="K47" s="85">
        <v>18858</v>
      </c>
      <c r="L47" s="85">
        <v>18343</v>
      </c>
      <c r="M47" s="85">
        <v>17828</v>
      </c>
      <c r="N47" s="110">
        <f t="shared" si="43"/>
        <v>17313</v>
      </c>
      <c r="O47" s="85">
        <v>17059</v>
      </c>
      <c r="P47" s="85">
        <v>16536</v>
      </c>
      <c r="Q47" s="85">
        <v>16013</v>
      </c>
      <c r="R47" s="123"/>
      <c r="S47" s="111">
        <f t="shared" si="44"/>
        <v>74402</v>
      </c>
      <c r="T47" s="111">
        <f t="shared" si="45"/>
        <v>66921</v>
      </c>
      <c r="U47" s="21"/>
      <c r="V47" s="23"/>
    </row>
    <row r="48" spans="1:22" x14ac:dyDescent="0.25">
      <c r="B48" s="138" t="s">
        <v>91</v>
      </c>
      <c r="C48" s="116">
        <v>727</v>
      </c>
      <c r="D48" s="116">
        <v>682</v>
      </c>
      <c r="E48" s="85">
        <v>841</v>
      </c>
      <c r="F48" s="123"/>
      <c r="G48" s="85">
        <v>716</v>
      </c>
      <c r="H48" s="85">
        <v>705</v>
      </c>
      <c r="I48" s="85">
        <v>693</v>
      </c>
      <c r="J48" s="110">
        <f t="shared" si="27"/>
        <v>682</v>
      </c>
      <c r="K48" s="85">
        <v>670</v>
      </c>
      <c r="L48" s="85">
        <v>658</v>
      </c>
      <c r="M48" s="85">
        <v>855</v>
      </c>
      <c r="N48" s="110">
        <f t="shared" si="43"/>
        <v>841</v>
      </c>
      <c r="O48" s="85">
        <v>828</v>
      </c>
      <c r="P48" s="85">
        <v>815</v>
      </c>
      <c r="Q48" s="85">
        <v>1287</v>
      </c>
      <c r="R48" s="123"/>
      <c r="S48" s="111">
        <f t="shared" si="44"/>
        <v>2865</v>
      </c>
      <c r="T48" s="111">
        <f t="shared" si="45"/>
        <v>3771</v>
      </c>
      <c r="U48" s="21"/>
      <c r="V48" s="23">
        <f t="shared" si="29"/>
        <v>0.31623036649214664</v>
      </c>
    </row>
    <row r="49" spans="2:22" x14ac:dyDescent="0.25">
      <c r="B49" s="34" t="s">
        <v>149</v>
      </c>
      <c r="C49" s="117">
        <f>SUM(C45:C48)+C42</f>
        <v>107189</v>
      </c>
      <c r="D49" s="117">
        <f>SUM(D45:D48)+D42</f>
        <v>72784</v>
      </c>
      <c r="E49" s="117">
        <f>SUM(E45:E48)+E42</f>
        <v>72655</v>
      </c>
      <c r="F49" s="123"/>
      <c r="G49" s="117">
        <f t="shared" ref="G49:Q49" si="46">SUM(G45:G48)+G42</f>
        <v>264468</v>
      </c>
      <c r="H49" s="117">
        <f t="shared" si="46"/>
        <v>246365</v>
      </c>
      <c r="I49" s="117">
        <f t="shared" si="46"/>
        <v>226219</v>
      </c>
      <c r="J49" s="117">
        <f t="shared" si="46"/>
        <v>72784</v>
      </c>
      <c r="K49" s="117">
        <f t="shared" si="46"/>
        <v>182976</v>
      </c>
      <c r="L49" s="117">
        <f t="shared" si="46"/>
        <v>168106</v>
      </c>
      <c r="M49" s="117">
        <f t="shared" si="46"/>
        <v>149385</v>
      </c>
      <c r="N49" s="117">
        <f t="shared" si="46"/>
        <v>72655</v>
      </c>
      <c r="O49" s="117">
        <f t="shared" si="46"/>
        <v>161466</v>
      </c>
      <c r="P49" s="117">
        <f t="shared" si="46"/>
        <v>138281</v>
      </c>
      <c r="Q49" s="117">
        <f t="shared" si="46"/>
        <v>114764</v>
      </c>
      <c r="R49" s="123"/>
      <c r="S49" s="122">
        <f>SUM(I49:L49)</f>
        <v>650085</v>
      </c>
      <c r="T49" s="122">
        <f>SUM(M49:P49)</f>
        <v>521787</v>
      </c>
      <c r="U49" s="27"/>
      <c r="V49" s="28">
        <f t="shared" si="29"/>
        <v>-0.19735573040448562</v>
      </c>
    </row>
    <row r="50" spans="2:22" x14ac:dyDescent="0.25">
      <c r="B50" s="43"/>
      <c r="C50" s="119"/>
      <c r="D50" s="119"/>
      <c r="E50" s="114"/>
      <c r="F50" s="123"/>
      <c r="G50" s="114"/>
      <c r="H50" s="114"/>
      <c r="I50" s="114"/>
      <c r="J50" s="114"/>
      <c r="K50" s="114"/>
      <c r="L50" s="114"/>
      <c r="M50" s="114"/>
      <c r="N50" s="114"/>
      <c r="O50" s="114"/>
      <c r="P50" s="114"/>
      <c r="Q50" s="114"/>
      <c r="R50" s="123"/>
      <c r="S50" s="121"/>
      <c r="T50" s="121"/>
      <c r="U50" s="27"/>
      <c r="V50" s="28"/>
    </row>
    <row r="51" spans="2:22" s="48" customFormat="1" ht="15.75" x14ac:dyDescent="0.25">
      <c r="B51" s="43" t="s">
        <v>32</v>
      </c>
      <c r="C51" s="113"/>
      <c r="D51" s="113"/>
      <c r="E51" s="118"/>
      <c r="F51" s="113"/>
      <c r="G51" s="118"/>
      <c r="H51" s="118"/>
      <c r="I51" s="118"/>
      <c r="J51" s="118"/>
      <c r="K51" s="118"/>
      <c r="L51" s="118"/>
      <c r="M51" s="118"/>
      <c r="N51" s="118"/>
      <c r="O51" s="118"/>
      <c r="P51" s="118"/>
      <c r="Q51" s="118"/>
      <c r="R51" s="113"/>
      <c r="S51" s="118"/>
      <c r="T51" s="118"/>
      <c r="U51" s="47"/>
    </row>
    <row r="52" spans="2:22" x14ac:dyDescent="0.25">
      <c r="B52" s="137" t="s">
        <v>62</v>
      </c>
      <c r="C52" s="116">
        <v>2094</v>
      </c>
      <c r="D52" s="116">
        <v>1595</v>
      </c>
      <c r="E52" s="85">
        <v>6490</v>
      </c>
      <c r="F52" s="123"/>
      <c r="G52" s="85">
        <v>3037</v>
      </c>
      <c r="H52" s="85">
        <v>2537</v>
      </c>
      <c r="I52" s="85">
        <v>3255</v>
      </c>
      <c r="J52" s="110">
        <f t="shared" ref="J52:J57" si="47">D52</f>
        <v>1595</v>
      </c>
      <c r="K52" s="85">
        <v>1954</v>
      </c>
      <c r="L52" s="85">
        <v>2362</v>
      </c>
      <c r="M52" s="85">
        <v>3018</v>
      </c>
      <c r="N52" s="110">
        <f t="shared" ref="N52:N57" si="48">E52</f>
        <v>6490</v>
      </c>
      <c r="O52" s="85">
        <v>3452</v>
      </c>
      <c r="P52" s="85">
        <v>6005</v>
      </c>
      <c r="Q52" s="85">
        <v>6903</v>
      </c>
      <c r="R52" s="123"/>
      <c r="S52" s="111">
        <f t="shared" ref="S52" si="49">SUM(J52:M52)</f>
        <v>8929</v>
      </c>
      <c r="T52" s="111">
        <f t="shared" ref="T52" si="50">SUM(N52:Q52)</f>
        <v>22850</v>
      </c>
      <c r="U52" s="21"/>
      <c r="V52" s="23">
        <f t="shared" ref="V52:V57" si="51">SUM(T52/S52)-1</f>
        <v>1.5590771642961139</v>
      </c>
    </row>
    <row r="53" spans="2:22" x14ac:dyDescent="0.25">
      <c r="B53" s="137" t="s">
        <v>63</v>
      </c>
      <c r="C53" s="116">
        <v>6757</v>
      </c>
      <c r="D53" s="116">
        <v>7108</v>
      </c>
      <c r="E53" s="85">
        <v>9340</v>
      </c>
      <c r="F53" s="123"/>
      <c r="G53" s="85">
        <v>5460</v>
      </c>
      <c r="H53" s="85">
        <v>6186</v>
      </c>
      <c r="I53" s="85">
        <v>7959</v>
      </c>
      <c r="J53" s="110">
        <f t="shared" si="47"/>
        <v>7108</v>
      </c>
      <c r="K53" s="85">
        <v>6411</v>
      </c>
      <c r="L53" s="85">
        <v>6571</v>
      </c>
      <c r="M53" s="85">
        <v>9586</v>
      </c>
      <c r="N53" s="110">
        <f t="shared" si="48"/>
        <v>9340</v>
      </c>
      <c r="O53" s="85">
        <v>7917</v>
      </c>
      <c r="P53" s="85">
        <v>8950</v>
      </c>
      <c r="Q53" s="85">
        <v>11151</v>
      </c>
      <c r="R53" s="123"/>
      <c r="S53" s="111">
        <f t="shared" ref="S53:S57" si="52">SUM(J53:M53)</f>
        <v>29676</v>
      </c>
      <c r="T53" s="111">
        <f t="shared" ref="T53:T57" si="53">SUM(N53:Q53)</f>
        <v>37358</v>
      </c>
      <c r="U53" s="21"/>
      <c r="V53" s="23"/>
    </row>
    <row r="54" spans="2:22" x14ac:dyDescent="0.25">
      <c r="B54" s="137" t="s">
        <v>92</v>
      </c>
      <c r="C54" s="116">
        <v>1981</v>
      </c>
      <c r="D54" s="116">
        <v>2256</v>
      </c>
      <c r="E54" s="85">
        <v>2560</v>
      </c>
      <c r="F54" s="123"/>
      <c r="G54" s="85">
        <v>2047</v>
      </c>
      <c r="H54" s="85">
        <v>2115</v>
      </c>
      <c r="I54" s="85">
        <v>2185</v>
      </c>
      <c r="J54" s="110">
        <f t="shared" si="47"/>
        <v>2256</v>
      </c>
      <c r="K54" s="85">
        <v>2329</v>
      </c>
      <c r="L54" s="85">
        <v>2404</v>
      </c>
      <c r="M54" s="85">
        <v>2481</v>
      </c>
      <c r="N54" s="110">
        <f t="shared" si="48"/>
        <v>2560</v>
      </c>
      <c r="O54" s="85">
        <v>2663</v>
      </c>
      <c r="P54" s="85">
        <v>2746</v>
      </c>
      <c r="Q54" s="85">
        <v>2831</v>
      </c>
      <c r="R54" s="123"/>
      <c r="S54" s="111">
        <f t="shared" si="52"/>
        <v>9470</v>
      </c>
      <c r="T54" s="111">
        <f t="shared" si="53"/>
        <v>10800</v>
      </c>
      <c r="U54" s="21"/>
      <c r="V54" s="23"/>
    </row>
    <row r="55" spans="2:22" x14ac:dyDescent="0.25">
      <c r="B55" s="137" t="s">
        <v>93</v>
      </c>
      <c r="C55" s="116">
        <v>45</v>
      </c>
      <c r="D55" s="116">
        <v>50</v>
      </c>
      <c r="E55" s="85">
        <v>53</v>
      </c>
      <c r="F55" s="123"/>
      <c r="G55" s="85">
        <v>46</v>
      </c>
      <c r="H55" s="85">
        <v>47</v>
      </c>
      <c r="I55" s="85">
        <v>48</v>
      </c>
      <c r="J55" s="110">
        <f t="shared" si="47"/>
        <v>50</v>
      </c>
      <c r="K55" s="85">
        <v>50</v>
      </c>
      <c r="L55" s="85">
        <v>51</v>
      </c>
      <c r="M55" s="85">
        <v>52</v>
      </c>
      <c r="N55" s="110">
        <f t="shared" si="48"/>
        <v>53</v>
      </c>
      <c r="O55" s="85">
        <v>55</v>
      </c>
      <c r="P55" s="85">
        <v>56</v>
      </c>
      <c r="Q55" s="85">
        <v>57</v>
      </c>
      <c r="R55" s="123"/>
      <c r="S55" s="111">
        <f t="shared" si="52"/>
        <v>203</v>
      </c>
      <c r="T55" s="111">
        <f t="shared" si="53"/>
        <v>221</v>
      </c>
      <c r="U55" s="21"/>
      <c r="V55" s="23">
        <f t="shared" si="51"/>
        <v>8.8669950738916148E-2</v>
      </c>
    </row>
    <row r="56" spans="2:22" x14ac:dyDescent="0.25">
      <c r="B56" s="137" t="s">
        <v>94</v>
      </c>
      <c r="C56" s="116">
        <v>173</v>
      </c>
      <c r="D56" s="116"/>
      <c r="E56" s="85"/>
      <c r="F56" s="123"/>
      <c r="G56" s="85">
        <v>173</v>
      </c>
      <c r="H56" s="85">
        <v>173</v>
      </c>
      <c r="I56" s="85">
        <v>173</v>
      </c>
      <c r="J56" s="110">
        <f t="shared" si="47"/>
        <v>0</v>
      </c>
      <c r="K56" s="85"/>
      <c r="L56" s="85"/>
      <c r="M56" s="85"/>
      <c r="N56" s="110">
        <f t="shared" si="48"/>
        <v>0</v>
      </c>
      <c r="O56" s="85"/>
      <c r="P56" s="85"/>
      <c r="Q56" s="85"/>
      <c r="R56" s="123"/>
      <c r="S56" s="111">
        <f t="shared" si="52"/>
        <v>0</v>
      </c>
      <c r="T56" s="111">
        <f t="shared" si="53"/>
        <v>0</v>
      </c>
      <c r="U56" s="21"/>
      <c r="V56" s="23" t="e">
        <f t="shared" si="51"/>
        <v>#DIV/0!</v>
      </c>
    </row>
    <row r="57" spans="2:22" x14ac:dyDescent="0.25">
      <c r="B57" s="137" t="s">
        <v>95</v>
      </c>
      <c r="C57" s="116">
        <v>0</v>
      </c>
      <c r="D57" s="116">
        <v>8571</v>
      </c>
      <c r="E57" s="85">
        <v>0</v>
      </c>
      <c r="F57" s="123"/>
      <c r="G57" s="85"/>
      <c r="H57" s="85"/>
      <c r="I57" s="85">
        <v>4286</v>
      </c>
      <c r="J57" s="110">
        <f t="shared" si="47"/>
        <v>8571</v>
      </c>
      <c r="K57" s="85">
        <v>12857</v>
      </c>
      <c r="L57" s="85"/>
      <c r="M57" s="85"/>
      <c r="N57" s="110">
        <f t="shared" si="48"/>
        <v>0</v>
      </c>
      <c r="O57" s="85"/>
      <c r="P57" s="85"/>
      <c r="Q57" s="85"/>
      <c r="R57" s="123"/>
      <c r="S57" s="111">
        <f t="shared" si="52"/>
        <v>21428</v>
      </c>
      <c r="T57" s="111">
        <f t="shared" si="53"/>
        <v>0</v>
      </c>
      <c r="U57" s="21"/>
      <c r="V57" s="23">
        <f t="shared" si="51"/>
        <v>-1</v>
      </c>
    </row>
    <row r="58" spans="2:22" x14ac:dyDescent="0.25">
      <c r="B58" s="34" t="s">
        <v>33</v>
      </c>
      <c r="C58" s="117">
        <f>SUM(C52:C57)</f>
        <v>11050</v>
      </c>
      <c r="D58" s="117">
        <f>SUM(D52:D57)</f>
        <v>19580</v>
      </c>
      <c r="E58" s="117">
        <f>SUM(E52:E57)</f>
        <v>18443</v>
      </c>
      <c r="F58" s="123"/>
      <c r="G58" s="117">
        <f>SUM(G52:G57)</f>
        <v>10763</v>
      </c>
      <c r="H58" s="117">
        <f>SUM(H52:H57)</f>
        <v>11058</v>
      </c>
      <c r="I58" s="117">
        <f>SUM(I52:I57)</f>
        <v>17906</v>
      </c>
      <c r="J58" s="117">
        <f>SUM(J52:J57)</f>
        <v>19580</v>
      </c>
      <c r="K58" s="117">
        <f>SUM(K52:K57)</f>
        <v>23601</v>
      </c>
      <c r="L58" s="117">
        <f>SUM(L52:L57)</f>
        <v>11388</v>
      </c>
      <c r="M58" s="117">
        <f>SUM(M52:M57)</f>
        <v>15137</v>
      </c>
      <c r="N58" s="117">
        <f>SUM(N52:N57)</f>
        <v>18443</v>
      </c>
      <c r="O58" s="117">
        <f>SUM(O52:O57)</f>
        <v>14087</v>
      </c>
      <c r="P58" s="117">
        <f>SUM(P52:P57)</f>
        <v>17757</v>
      </c>
      <c r="Q58" s="117">
        <f>SUM(Q52:Q57)</f>
        <v>20942</v>
      </c>
      <c r="R58" s="123"/>
      <c r="S58" s="117">
        <f>SUM(S52:S57)</f>
        <v>69706</v>
      </c>
      <c r="T58" s="117">
        <f>SUM(T52:T57)</f>
        <v>71229</v>
      </c>
      <c r="U58" s="27"/>
      <c r="V58" s="28">
        <f>SUM(T58/S58)-1</f>
        <v>2.1848908271884682E-2</v>
      </c>
    </row>
    <row r="59" spans="2:22" x14ac:dyDescent="0.25">
      <c r="B59" s="43"/>
      <c r="C59" s="119"/>
      <c r="D59" s="119"/>
      <c r="E59" s="114"/>
      <c r="F59" s="123"/>
      <c r="G59" s="114"/>
      <c r="H59" s="114"/>
      <c r="I59" s="114"/>
      <c r="J59" s="114"/>
      <c r="K59" s="114"/>
      <c r="L59" s="114"/>
      <c r="M59" s="114"/>
      <c r="N59" s="114"/>
      <c r="O59" s="114"/>
      <c r="P59" s="114"/>
      <c r="Q59" s="114"/>
      <c r="R59" s="123"/>
      <c r="S59" s="121"/>
      <c r="T59" s="121"/>
      <c r="U59" s="27"/>
      <c r="V59" s="28"/>
    </row>
    <row r="60" spans="2:22" x14ac:dyDescent="0.25">
      <c r="B60" s="43" t="s">
        <v>34</v>
      </c>
      <c r="C60" s="119"/>
      <c r="D60" s="119"/>
      <c r="E60" s="114"/>
      <c r="F60" s="123"/>
      <c r="G60" s="114"/>
      <c r="H60" s="114"/>
      <c r="I60" s="114"/>
      <c r="J60" s="114"/>
      <c r="K60" s="114"/>
      <c r="L60" s="114"/>
      <c r="M60" s="114"/>
      <c r="N60" s="114"/>
      <c r="O60" s="114"/>
      <c r="P60" s="114"/>
      <c r="Q60" s="114"/>
      <c r="R60" s="123"/>
      <c r="S60" s="121"/>
      <c r="T60" s="121"/>
      <c r="U60" s="27"/>
      <c r="V60" s="28"/>
    </row>
    <row r="61" spans="2:22" x14ac:dyDescent="0.25">
      <c r="B61" s="137" t="s">
        <v>96</v>
      </c>
      <c r="C61" s="116"/>
      <c r="D61" s="116">
        <v>0</v>
      </c>
      <c r="E61" s="85">
        <v>38600</v>
      </c>
      <c r="F61" s="123"/>
      <c r="G61" s="85"/>
      <c r="H61" s="85"/>
      <c r="I61" s="85"/>
      <c r="J61" s="110">
        <f t="shared" ref="J61:J68" si="54">D61</f>
        <v>0</v>
      </c>
      <c r="K61" s="85"/>
      <c r="L61" s="85">
        <v>36248</v>
      </c>
      <c r="M61" s="85">
        <v>37286</v>
      </c>
      <c r="N61" s="110">
        <f t="shared" ref="N61:N68" si="55">E61</f>
        <v>38600</v>
      </c>
      <c r="O61" s="85">
        <v>57959</v>
      </c>
      <c r="P61" s="85">
        <v>60078</v>
      </c>
      <c r="Q61" s="85">
        <v>62117</v>
      </c>
      <c r="R61" s="123"/>
      <c r="S61" s="111">
        <f t="shared" ref="S61" si="56">SUM(J61:M61)</f>
        <v>73534</v>
      </c>
      <c r="T61" s="111">
        <f t="shared" ref="T61" si="57">SUM(N61:Q61)</f>
        <v>218754</v>
      </c>
      <c r="U61" s="21"/>
      <c r="V61" s="23">
        <f>SUM(T61/S61)-1</f>
        <v>1.9748687681888648</v>
      </c>
    </row>
    <row r="62" spans="2:22" x14ac:dyDescent="0.25">
      <c r="B62" s="137" t="s">
        <v>97</v>
      </c>
      <c r="C62" s="116">
        <v>103660</v>
      </c>
      <c r="D62" s="116">
        <v>27893</v>
      </c>
      <c r="E62" s="85">
        <v>37916</v>
      </c>
      <c r="F62" s="123"/>
      <c r="G62" s="85">
        <v>100402</v>
      </c>
      <c r="H62" s="85">
        <v>44049</v>
      </c>
      <c r="I62" s="85">
        <v>45011</v>
      </c>
      <c r="J62" s="110">
        <f t="shared" si="54"/>
        <v>27893</v>
      </c>
      <c r="K62" s="85">
        <v>42084</v>
      </c>
      <c r="L62" s="85">
        <v>38457</v>
      </c>
      <c r="M62" s="85">
        <v>39601</v>
      </c>
      <c r="N62" s="110">
        <f t="shared" si="55"/>
        <v>37916</v>
      </c>
      <c r="O62" s="85">
        <v>42509</v>
      </c>
      <c r="P62" s="85">
        <v>68080</v>
      </c>
      <c r="Q62" s="85">
        <v>76569</v>
      </c>
      <c r="R62" s="123"/>
      <c r="S62" s="111">
        <f t="shared" ref="S62:S68" si="58">SUM(J62:M62)</f>
        <v>148035</v>
      </c>
      <c r="T62" s="111">
        <f t="shared" ref="T62:T68" si="59">SUM(N62:Q62)</f>
        <v>225074</v>
      </c>
      <c r="U62" s="21"/>
      <c r="V62" s="23"/>
    </row>
    <row r="63" spans="2:22" x14ac:dyDescent="0.25">
      <c r="B63" s="137" t="s">
        <v>98</v>
      </c>
      <c r="C63" s="116">
        <v>21109</v>
      </c>
      <c r="D63" s="116">
        <v>18853</v>
      </c>
      <c r="E63" s="85">
        <v>16293</v>
      </c>
      <c r="F63" s="123"/>
      <c r="G63" s="85">
        <v>20581</v>
      </c>
      <c r="H63" s="85">
        <v>20018</v>
      </c>
      <c r="I63" s="85">
        <v>19442</v>
      </c>
      <c r="J63" s="110">
        <f t="shared" si="54"/>
        <v>18853</v>
      </c>
      <c r="K63" s="85">
        <v>18252</v>
      </c>
      <c r="L63" s="85">
        <v>17614</v>
      </c>
      <c r="M63" s="85">
        <v>16960</v>
      </c>
      <c r="N63" s="110">
        <f t="shared" si="55"/>
        <v>16293</v>
      </c>
      <c r="O63" s="85">
        <v>15850</v>
      </c>
      <c r="P63" s="85">
        <v>15123</v>
      </c>
      <c r="Q63" s="85">
        <v>14379</v>
      </c>
      <c r="R63" s="123"/>
      <c r="S63" s="111">
        <f t="shared" si="58"/>
        <v>71679</v>
      </c>
      <c r="T63" s="111">
        <f t="shared" si="59"/>
        <v>61645</v>
      </c>
      <c r="U63" s="21"/>
      <c r="V63" s="23"/>
    </row>
    <row r="64" spans="2:22" x14ac:dyDescent="0.25">
      <c r="B64" s="137" t="s">
        <v>99</v>
      </c>
      <c r="C64" s="116"/>
      <c r="D64" s="116"/>
      <c r="E64" s="85"/>
      <c r="F64" s="123"/>
      <c r="G64" s="85">
        <v>670</v>
      </c>
      <c r="H64" s="85">
        <v>658</v>
      </c>
      <c r="I64" s="85">
        <v>645</v>
      </c>
      <c r="J64" s="110">
        <f t="shared" si="54"/>
        <v>0</v>
      </c>
      <c r="K64" s="85">
        <v>620</v>
      </c>
      <c r="L64" s="85"/>
      <c r="M64" s="85"/>
      <c r="N64" s="110">
        <f t="shared" si="55"/>
        <v>0</v>
      </c>
      <c r="O64" s="85"/>
      <c r="P64" s="85"/>
      <c r="Q64" s="85"/>
      <c r="R64" s="123"/>
      <c r="S64" s="111">
        <f t="shared" si="58"/>
        <v>620</v>
      </c>
      <c r="T64" s="111">
        <f t="shared" si="59"/>
        <v>0</v>
      </c>
      <c r="U64" s="21"/>
      <c r="V64" s="23"/>
    </row>
    <row r="65" spans="1:22" x14ac:dyDescent="0.25">
      <c r="B65" s="137" t="s">
        <v>100</v>
      </c>
      <c r="C65" s="116"/>
      <c r="D65" s="116"/>
      <c r="E65" s="85"/>
      <c r="F65" s="123"/>
      <c r="G65" s="85">
        <v>423</v>
      </c>
      <c r="H65" s="85">
        <v>190</v>
      </c>
      <c r="I65" s="85">
        <v>257</v>
      </c>
      <c r="J65" s="110">
        <f t="shared" si="54"/>
        <v>0</v>
      </c>
      <c r="K65" s="85">
        <v>122</v>
      </c>
      <c r="L65" s="85"/>
      <c r="M65" s="85"/>
      <c r="N65" s="110">
        <f t="shared" si="55"/>
        <v>0</v>
      </c>
      <c r="O65" s="85"/>
      <c r="P65" s="85"/>
      <c r="Q65" s="85"/>
      <c r="R65" s="123"/>
      <c r="S65" s="111">
        <f t="shared" si="58"/>
        <v>122</v>
      </c>
      <c r="T65" s="111">
        <f t="shared" si="59"/>
        <v>0</v>
      </c>
      <c r="U65" s="21"/>
      <c r="V65" s="23"/>
    </row>
    <row r="66" spans="1:22" x14ac:dyDescent="0.25">
      <c r="B66" s="137" t="s">
        <v>101</v>
      </c>
      <c r="C66" s="116"/>
      <c r="D66" s="116">
        <v>0</v>
      </c>
      <c r="E66" s="85">
        <v>2636</v>
      </c>
      <c r="F66" s="123"/>
      <c r="G66" s="85"/>
      <c r="H66" s="85"/>
      <c r="I66" s="85"/>
      <c r="J66" s="110">
        <f t="shared" si="54"/>
        <v>0</v>
      </c>
      <c r="K66" s="85"/>
      <c r="L66" s="85">
        <v>2392</v>
      </c>
      <c r="M66" s="85">
        <v>2536</v>
      </c>
      <c r="N66" s="110">
        <f t="shared" si="55"/>
        <v>2636</v>
      </c>
      <c r="O66" s="85">
        <v>4079</v>
      </c>
      <c r="P66" s="85">
        <v>4266</v>
      </c>
      <c r="Q66" s="85">
        <v>3105</v>
      </c>
      <c r="R66" s="123"/>
      <c r="S66" s="111">
        <f t="shared" si="58"/>
        <v>4928</v>
      </c>
      <c r="T66" s="111">
        <f t="shared" si="59"/>
        <v>14086</v>
      </c>
      <c r="U66" s="21"/>
      <c r="V66" s="23"/>
    </row>
    <row r="67" spans="1:22" x14ac:dyDescent="0.25">
      <c r="B67" s="137" t="s">
        <v>102</v>
      </c>
      <c r="C67" s="116">
        <v>1179</v>
      </c>
      <c r="D67" s="116">
        <v>712</v>
      </c>
      <c r="E67" s="85">
        <v>789</v>
      </c>
      <c r="F67" s="123"/>
      <c r="G67" s="85"/>
      <c r="H67" s="85"/>
      <c r="I67" s="85"/>
      <c r="J67" s="110">
        <f t="shared" si="54"/>
        <v>712</v>
      </c>
      <c r="K67" s="85"/>
      <c r="L67" s="85">
        <v>890</v>
      </c>
      <c r="M67" s="85">
        <v>872</v>
      </c>
      <c r="N67" s="110">
        <f t="shared" si="55"/>
        <v>789</v>
      </c>
      <c r="O67" s="85">
        <v>830</v>
      </c>
      <c r="P67" s="85">
        <v>1264</v>
      </c>
      <c r="Q67" s="85">
        <v>1373</v>
      </c>
      <c r="R67" s="123"/>
      <c r="S67" s="111">
        <f t="shared" si="58"/>
        <v>2474</v>
      </c>
      <c r="T67" s="111">
        <f t="shared" si="59"/>
        <v>4256</v>
      </c>
      <c r="U67" s="21"/>
      <c r="V67" s="23"/>
    </row>
    <row r="68" spans="1:22" x14ac:dyDescent="0.25">
      <c r="B68" s="137" t="s">
        <v>103</v>
      </c>
      <c r="C68" s="116">
        <v>27361</v>
      </c>
      <c r="D68" s="116">
        <v>20336</v>
      </c>
      <c r="E68" s="85">
        <v>0</v>
      </c>
      <c r="F68" s="123"/>
      <c r="G68" s="85">
        <v>27739</v>
      </c>
      <c r="H68" s="85">
        <v>28132</v>
      </c>
      <c r="I68" s="85">
        <v>24286</v>
      </c>
      <c r="J68" s="110">
        <f t="shared" si="54"/>
        <v>20336</v>
      </c>
      <c r="K68" s="85">
        <v>16410</v>
      </c>
      <c r="L68" s="85"/>
      <c r="M68" s="85"/>
      <c r="N68" s="110">
        <f t="shared" si="55"/>
        <v>0</v>
      </c>
      <c r="O68" s="85"/>
      <c r="P68" s="85"/>
      <c r="Q68" s="85"/>
      <c r="R68" s="123"/>
      <c r="S68" s="111">
        <f t="shared" si="58"/>
        <v>36746</v>
      </c>
      <c r="T68" s="111">
        <f t="shared" si="59"/>
        <v>0</v>
      </c>
      <c r="U68" s="21"/>
      <c r="V68" s="23"/>
    </row>
    <row r="69" spans="1:22" x14ac:dyDescent="0.25">
      <c r="B69" s="34" t="s">
        <v>64</v>
      </c>
      <c r="C69" s="112">
        <f>SUM(C61:C68)+C58</f>
        <v>164359</v>
      </c>
      <c r="D69" s="112">
        <f>SUM(D61:D68)+D58</f>
        <v>87374</v>
      </c>
      <c r="E69" s="112">
        <f>SUM(E61:E68)+E58</f>
        <v>114677</v>
      </c>
      <c r="F69" s="123"/>
      <c r="G69" s="112">
        <f>SUM(G61:G68)+G58</f>
        <v>160578</v>
      </c>
      <c r="H69" s="112">
        <f>SUM(H61:H68)+H58</f>
        <v>104105</v>
      </c>
      <c r="I69" s="112">
        <f>SUM(I61:I68)+I58</f>
        <v>107547</v>
      </c>
      <c r="J69" s="112">
        <f>SUM(J61:J68)+J58</f>
        <v>87374</v>
      </c>
      <c r="K69" s="112">
        <f>SUM(K61:K68)+K58</f>
        <v>101089</v>
      </c>
      <c r="L69" s="112">
        <f>SUM(L61:L68)+L58</f>
        <v>106989</v>
      </c>
      <c r="M69" s="112">
        <f>SUM(M61:M68)+M58</f>
        <v>112392</v>
      </c>
      <c r="N69" s="112">
        <f>SUM(N61:N68)+N58</f>
        <v>114677</v>
      </c>
      <c r="O69" s="112">
        <f>SUM(O61:O68)+O58</f>
        <v>135314</v>
      </c>
      <c r="P69" s="112">
        <f>SUM(P61:P68)+P58</f>
        <v>166568</v>
      </c>
      <c r="Q69" s="112">
        <f>SUM(Q61:Q68)+Q58</f>
        <v>178485</v>
      </c>
      <c r="R69" s="123"/>
      <c r="S69" s="112">
        <f>SUM(S61:S68)+S58</f>
        <v>407844</v>
      </c>
      <c r="T69" s="112">
        <f>SUM(T61:T68)+T58</f>
        <v>595044</v>
      </c>
      <c r="U69" s="27"/>
      <c r="V69" s="28">
        <f>SUM(T69/S69)-1</f>
        <v>0.45899902904051548</v>
      </c>
    </row>
    <row r="70" spans="1:22" x14ac:dyDescent="0.25">
      <c r="B70" s="43"/>
      <c r="C70" s="113"/>
      <c r="D70" s="113"/>
      <c r="E70" s="114"/>
      <c r="F70" s="133"/>
      <c r="G70" s="114"/>
      <c r="H70" s="114"/>
      <c r="I70" s="114"/>
      <c r="J70" s="114"/>
      <c r="K70" s="114"/>
      <c r="L70" s="114"/>
      <c r="M70" s="114"/>
      <c r="N70" s="114"/>
      <c r="O70" s="114"/>
      <c r="P70" s="114"/>
      <c r="Q70" s="114"/>
      <c r="R70" s="133"/>
      <c r="S70" s="115"/>
      <c r="T70" s="115"/>
      <c r="U70" s="27"/>
      <c r="V70" s="28"/>
    </row>
    <row r="71" spans="1:22" x14ac:dyDescent="0.25">
      <c r="B71" s="43" t="s">
        <v>104</v>
      </c>
      <c r="C71" s="123"/>
      <c r="D71" s="142"/>
      <c r="E71" s="109"/>
      <c r="F71" s="133"/>
      <c r="G71" s="109"/>
      <c r="H71" s="109"/>
      <c r="I71" s="109"/>
      <c r="J71" s="109"/>
      <c r="K71" s="109"/>
      <c r="L71" s="109"/>
      <c r="M71" s="109"/>
      <c r="N71" s="109"/>
      <c r="O71" s="109"/>
      <c r="P71" s="109"/>
      <c r="Q71" s="109"/>
      <c r="R71" s="133"/>
      <c r="S71" s="133"/>
      <c r="T71" s="133"/>
    </row>
    <row r="72" spans="1:22" x14ac:dyDescent="0.25">
      <c r="B72" s="138" t="s">
        <v>146</v>
      </c>
      <c r="C72" s="85">
        <v>10</v>
      </c>
      <c r="D72" s="85">
        <v>10</v>
      </c>
      <c r="E72" s="85">
        <v>10</v>
      </c>
      <c r="F72" s="143"/>
      <c r="G72" s="85">
        <v>10</v>
      </c>
      <c r="H72" s="85">
        <v>10</v>
      </c>
      <c r="I72" s="85">
        <v>10</v>
      </c>
      <c r="J72" s="110">
        <f t="shared" ref="J72:J74" si="60">D72</f>
        <v>10</v>
      </c>
      <c r="K72" s="85">
        <v>10</v>
      </c>
      <c r="L72" s="85">
        <v>10</v>
      </c>
      <c r="M72" s="85">
        <v>10</v>
      </c>
      <c r="N72" s="110">
        <f t="shared" ref="N72:N74" si="61">E72</f>
        <v>10</v>
      </c>
      <c r="O72" s="85">
        <v>12</v>
      </c>
      <c r="P72" s="85">
        <v>12</v>
      </c>
      <c r="Q72" s="85">
        <v>12</v>
      </c>
      <c r="R72" s="133"/>
      <c r="S72" s="111"/>
      <c r="T72" s="111"/>
      <c r="U72" s="21"/>
      <c r="V72" s="23"/>
    </row>
    <row r="73" spans="1:22" x14ac:dyDescent="0.25">
      <c r="B73" s="138" t="s">
        <v>35</v>
      </c>
      <c r="C73" s="85">
        <v>536737</v>
      </c>
      <c r="D73" s="85">
        <v>543456</v>
      </c>
      <c r="E73" s="85">
        <v>550850</v>
      </c>
      <c r="F73" s="143"/>
      <c r="G73" s="85">
        <v>538285</v>
      </c>
      <c r="H73" s="85">
        <v>539787</v>
      </c>
      <c r="I73" s="85">
        <v>541480</v>
      </c>
      <c r="J73" s="110">
        <f t="shared" si="60"/>
        <v>543456</v>
      </c>
      <c r="K73" s="85">
        <v>545384</v>
      </c>
      <c r="L73" s="85">
        <v>547320</v>
      </c>
      <c r="M73" s="85">
        <v>549191</v>
      </c>
      <c r="N73" s="110">
        <f t="shared" si="61"/>
        <v>550850</v>
      </c>
      <c r="O73" s="85">
        <v>595350</v>
      </c>
      <c r="P73" s="85">
        <v>597574</v>
      </c>
      <c r="Q73" s="85">
        <v>601342</v>
      </c>
      <c r="R73" s="133"/>
      <c r="S73" s="111"/>
      <c r="T73" s="111"/>
      <c r="U73" s="21"/>
      <c r="V73" s="23"/>
    </row>
    <row r="74" spans="1:22" x14ac:dyDescent="0.25">
      <c r="B74" s="138" t="s">
        <v>36</v>
      </c>
      <c r="C74" s="85">
        <v>-414573</v>
      </c>
      <c r="D74" s="85">
        <v>-426538</v>
      </c>
      <c r="E74" s="85">
        <v>-537314</v>
      </c>
      <c r="F74" s="143"/>
      <c r="G74" s="85">
        <v>-434405</v>
      </c>
      <c r="H74" s="85">
        <v>-397537</v>
      </c>
      <c r="I74" s="85">
        <v>-422818</v>
      </c>
      <c r="J74" s="110">
        <f t="shared" si="60"/>
        <v>-426538</v>
      </c>
      <c r="K74" s="85">
        <v>-463507</v>
      </c>
      <c r="L74" s="85">
        <v>-486213</v>
      </c>
      <c r="M74" s="85">
        <v>-512208</v>
      </c>
      <c r="N74" s="110">
        <f t="shared" si="61"/>
        <v>-537314</v>
      </c>
      <c r="O74" s="85">
        <v>-569210</v>
      </c>
      <c r="P74" s="85">
        <v>-625873</v>
      </c>
      <c r="Q74" s="85">
        <v>-665075</v>
      </c>
      <c r="R74" s="133"/>
      <c r="S74" s="111">
        <f t="shared" ref="S74" si="62">SUM(J74:M74)</f>
        <v>-1888466</v>
      </c>
      <c r="T74" s="111">
        <f t="shared" ref="T74" si="63">SUM(N74:Q74)</f>
        <v>-2397472</v>
      </c>
      <c r="U74" s="21"/>
      <c r="V74" s="23"/>
    </row>
    <row r="75" spans="1:22" x14ac:dyDescent="0.25">
      <c r="B75" s="34" t="s">
        <v>37</v>
      </c>
      <c r="C75" s="144">
        <f>SUM(C72:C74)</f>
        <v>122174</v>
      </c>
      <c r="D75" s="144">
        <f t="shared" ref="D75:E75" si="64">SUM(D72:D74)</f>
        <v>116928</v>
      </c>
      <c r="E75" s="144">
        <f t="shared" si="64"/>
        <v>13546</v>
      </c>
      <c r="F75" s="135"/>
      <c r="G75" s="144">
        <f t="shared" ref="G75" si="65">SUM(G72:G74)</f>
        <v>103890</v>
      </c>
      <c r="H75" s="144">
        <f t="shared" ref="H75" si="66">SUM(H72:H74)</f>
        <v>142260</v>
      </c>
      <c r="I75" s="144">
        <f t="shared" ref="I75" si="67">SUM(I72:I74)</f>
        <v>118672</v>
      </c>
      <c r="J75" s="144">
        <f t="shared" ref="J75" si="68">SUM(J72:J74)</f>
        <v>116928</v>
      </c>
      <c r="K75" s="144">
        <f t="shared" ref="K75" si="69">SUM(K72:K74)</f>
        <v>81887</v>
      </c>
      <c r="L75" s="144">
        <f t="shared" ref="L75" si="70">SUM(L72:L74)</f>
        <v>61117</v>
      </c>
      <c r="M75" s="144">
        <f t="shared" ref="M75" si="71">SUM(M72:M74)</f>
        <v>36993</v>
      </c>
      <c r="N75" s="144">
        <f t="shared" ref="N75" si="72">SUM(N72:N74)</f>
        <v>13546</v>
      </c>
      <c r="O75" s="144">
        <f t="shared" ref="O75" si="73">SUM(O72:O74)</f>
        <v>26152</v>
      </c>
      <c r="P75" s="144">
        <f t="shared" ref="P75" si="74">SUM(P72:P74)</f>
        <v>-28287</v>
      </c>
      <c r="Q75" s="144">
        <f t="shared" ref="Q75" si="75">SUM(Q72:Q74)</f>
        <v>-63721</v>
      </c>
      <c r="R75" s="133"/>
      <c r="S75" s="144" t="e">
        <f>SUM(#REF!)</f>
        <v>#REF!</v>
      </c>
      <c r="T75" s="144" t="e">
        <f>SUM(#REF!)</f>
        <v>#REF!</v>
      </c>
      <c r="U75" s="27"/>
      <c r="V75" s="23" t="e">
        <f>SUM(T75/S75)-1</f>
        <v>#REF!</v>
      </c>
    </row>
    <row r="76" spans="1:22" ht="6" customHeight="1" x14ac:dyDescent="0.25">
      <c r="B76" s="4"/>
      <c r="C76" s="51"/>
      <c r="D76" s="51"/>
      <c r="E76" s="46"/>
      <c r="F76" s="50"/>
      <c r="J76" s="46"/>
      <c r="K76" s="46"/>
      <c r="L76" s="46"/>
      <c r="M76" s="46"/>
      <c r="N76" s="46"/>
      <c r="O76" s="46"/>
      <c r="P76" s="46"/>
      <c r="Q76" s="46"/>
      <c r="S76" s="46"/>
      <c r="T76" s="46"/>
      <c r="U76" s="46"/>
    </row>
    <row r="77" spans="1:22" x14ac:dyDescent="0.25">
      <c r="B77" s="4" t="s">
        <v>38</v>
      </c>
      <c r="C77" s="52">
        <f>SUM(C75+C69)</f>
        <v>286533</v>
      </c>
      <c r="D77" s="52">
        <f t="shared" ref="D77:Q77" si="76">SUM(D75+D69)</f>
        <v>204302</v>
      </c>
      <c r="E77" s="52">
        <f t="shared" si="76"/>
        <v>128223</v>
      </c>
      <c r="F77" s="50"/>
      <c r="G77" s="52">
        <f t="shared" si="76"/>
        <v>264468</v>
      </c>
      <c r="H77" s="52">
        <f t="shared" si="76"/>
        <v>246365</v>
      </c>
      <c r="I77" s="52">
        <f t="shared" si="76"/>
        <v>226219</v>
      </c>
      <c r="J77" s="52">
        <f t="shared" si="76"/>
        <v>204302</v>
      </c>
      <c r="K77" s="52">
        <f t="shared" si="76"/>
        <v>182976</v>
      </c>
      <c r="L77" s="52">
        <f t="shared" si="76"/>
        <v>168106</v>
      </c>
      <c r="M77" s="52">
        <f t="shared" si="76"/>
        <v>149385</v>
      </c>
      <c r="N77" s="52">
        <f t="shared" si="76"/>
        <v>128223</v>
      </c>
      <c r="O77" s="52">
        <f t="shared" si="76"/>
        <v>161466</v>
      </c>
      <c r="P77" s="52">
        <f t="shared" si="76"/>
        <v>138281</v>
      </c>
      <c r="Q77" s="52">
        <f t="shared" si="76"/>
        <v>114764</v>
      </c>
      <c r="S77" s="52" t="e">
        <f>SUM(S75+S69)</f>
        <v>#REF!</v>
      </c>
      <c r="T77" s="52" t="e">
        <f>SUM(T75+T69)</f>
        <v>#REF!</v>
      </c>
      <c r="U77" s="21"/>
      <c r="V77" s="23" t="e">
        <f>SUM(T77/S77)-1</f>
        <v>#REF!</v>
      </c>
    </row>
    <row r="78" spans="1:22" x14ac:dyDescent="0.25">
      <c r="B78" s="43"/>
      <c r="C78" s="53"/>
      <c r="D78" s="25"/>
      <c r="E78" s="25"/>
      <c r="F78" s="53"/>
    </row>
    <row r="79" spans="1:22" x14ac:dyDescent="0.25">
      <c r="A79" s="5" t="s">
        <v>5</v>
      </c>
      <c r="B79" s="6" t="s">
        <v>39</v>
      </c>
      <c r="C79" s="11"/>
      <c r="D79" s="11"/>
      <c r="E79" s="11"/>
      <c r="F79" s="7"/>
      <c r="G79" s="7"/>
      <c r="H79" s="7"/>
      <c r="I79" s="7"/>
      <c r="J79" s="7"/>
      <c r="K79" s="7"/>
      <c r="L79" s="7"/>
      <c r="M79" s="7"/>
      <c r="N79" s="7"/>
      <c r="O79" s="7"/>
      <c r="P79" s="7"/>
      <c r="Q79" s="7"/>
      <c r="R79" s="7"/>
      <c r="S79" s="7"/>
      <c r="T79" s="7"/>
    </row>
    <row r="80" spans="1:22" x14ac:dyDescent="0.25">
      <c r="B80" s="1" t="s">
        <v>43</v>
      </c>
      <c r="C80" s="40"/>
      <c r="D80" s="40"/>
      <c r="E80" s="40"/>
      <c r="F80" s="7"/>
      <c r="G80" s="7"/>
      <c r="H80" s="7"/>
      <c r="I80" s="7"/>
      <c r="J80" s="7"/>
      <c r="K80" s="7"/>
      <c r="L80" s="7"/>
      <c r="M80" s="7"/>
      <c r="N80" s="7"/>
      <c r="O80" s="7"/>
      <c r="P80" s="7"/>
      <c r="Q80" s="7"/>
      <c r="R80" s="7"/>
      <c r="S80" s="7"/>
      <c r="T80" s="7"/>
    </row>
    <row r="81" spans="2:22" ht="3" customHeight="1" x14ac:dyDescent="0.25">
      <c r="B81" s="8"/>
      <c r="C81" s="42"/>
      <c r="D81" s="42"/>
      <c r="E81" s="42"/>
    </row>
    <row r="82" spans="2:22" ht="15.75" x14ac:dyDescent="0.25">
      <c r="B82" s="94" t="s">
        <v>180</v>
      </c>
      <c r="C82" s="54"/>
      <c r="D82" s="54"/>
      <c r="E82" s="54"/>
    </row>
    <row r="83" spans="2:22" x14ac:dyDescent="0.25">
      <c r="B83" s="98" t="s">
        <v>25</v>
      </c>
      <c r="C83" s="154">
        <v>-26477</v>
      </c>
      <c r="D83" s="154">
        <v>-11965</v>
      </c>
      <c r="E83" s="154">
        <v>-110776</v>
      </c>
      <c r="F83" s="120"/>
      <c r="G83" s="154">
        <v>-19832</v>
      </c>
      <c r="H83" s="154">
        <f>17036-G83</f>
        <v>36868</v>
      </c>
      <c r="I83" s="154">
        <f>-8245-H83-G83</f>
        <v>-25281</v>
      </c>
      <c r="J83" s="125">
        <f>SUM(D83-SUM(G83:I83))</f>
        <v>-3720</v>
      </c>
      <c r="K83" s="154">
        <v>-36969</v>
      </c>
      <c r="L83" s="154">
        <f>-59675-K83</f>
        <v>-22706</v>
      </c>
      <c r="M83" s="154">
        <f>-85670-L83-K83</f>
        <v>-25995</v>
      </c>
      <c r="N83" s="155"/>
      <c r="O83" s="154">
        <v>-31896</v>
      </c>
      <c r="P83" s="154">
        <f>-88559-O83</f>
        <v>-56663</v>
      </c>
      <c r="Q83" s="154">
        <f>-127761-P83-O83</f>
        <v>-39202</v>
      </c>
      <c r="R83" s="82"/>
      <c r="S83" s="111">
        <f t="shared" ref="S83" si="77">SUM(J83:M83)</f>
        <v>-89390</v>
      </c>
      <c r="T83" s="111">
        <f t="shared" ref="T83" si="78">SUM(N83:Q83)</f>
        <v>-127761</v>
      </c>
      <c r="U83" s="21"/>
      <c r="V83" s="23">
        <f t="shared" ref="V83:V101" si="79">SUM(T83/S83)-1</f>
        <v>0.42925383152477914</v>
      </c>
    </row>
    <row r="84" spans="2:22" x14ac:dyDescent="0.25">
      <c r="B84" s="98"/>
      <c r="C84" s="154"/>
      <c r="D84" s="154"/>
      <c r="E84" s="154"/>
      <c r="F84" s="120"/>
      <c r="G84" s="154"/>
      <c r="H84" s="154"/>
      <c r="I84" s="154"/>
      <c r="J84" s="155"/>
      <c r="K84" s="154"/>
      <c r="L84" s="154"/>
      <c r="M84" s="154"/>
      <c r="N84" s="155"/>
      <c r="O84" s="154"/>
      <c r="P84" s="154"/>
      <c r="Q84" s="154"/>
      <c r="R84" s="82"/>
      <c r="S84" s="111"/>
      <c r="T84" s="111"/>
      <c r="U84" s="21"/>
      <c r="V84" s="23" t="e">
        <f t="shared" si="79"/>
        <v>#DIV/0!</v>
      </c>
    </row>
    <row r="85" spans="2:22" ht="31.5" x14ac:dyDescent="0.25">
      <c r="B85" s="48" t="s">
        <v>148</v>
      </c>
      <c r="C85" s="154"/>
      <c r="D85" s="154"/>
      <c r="E85" s="154"/>
      <c r="F85" s="120"/>
      <c r="G85" s="154"/>
      <c r="H85" s="154"/>
      <c r="I85" s="154"/>
      <c r="J85" s="155"/>
      <c r="K85" s="154"/>
      <c r="L85" s="154"/>
      <c r="M85" s="154"/>
      <c r="N85" s="155"/>
      <c r="O85" s="154"/>
      <c r="P85" s="154"/>
      <c r="Q85" s="154"/>
      <c r="R85" s="82"/>
      <c r="S85" s="154"/>
      <c r="T85" s="154"/>
      <c r="U85" s="57"/>
      <c r="V85" s="23" t="e">
        <f t="shared" si="79"/>
        <v>#DIV/0!</v>
      </c>
    </row>
    <row r="86" spans="2:22" ht="15.75" x14ac:dyDescent="0.25">
      <c r="B86" s="151" t="s">
        <v>105</v>
      </c>
      <c r="C86" s="154">
        <v>6181</v>
      </c>
      <c r="D86" s="154">
        <v>6151</v>
      </c>
      <c r="E86" s="154">
        <v>5659</v>
      </c>
      <c r="F86" s="120"/>
      <c r="G86" s="154">
        <v>1525</v>
      </c>
      <c r="H86" s="154">
        <f>3032-G86</f>
        <v>1507</v>
      </c>
      <c r="I86" s="154">
        <f>4552-H86-G86</f>
        <v>1520</v>
      </c>
      <c r="J86" s="125">
        <f t="shared" ref="J86:J90" si="80">SUM(D86-SUM(G86:I86))</f>
        <v>1599</v>
      </c>
      <c r="K86" s="154">
        <v>1558</v>
      </c>
      <c r="L86" s="154">
        <f>3026-K86</f>
        <v>1468</v>
      </c>
      <c r="M86" s="154">
        <f>4341-L86-K86</f>
        <v>1315</v>
      </c>
      <c r="N86" s="125">
        <f>SUM(E86-SUM(K86:M86))</f>
        <v>1318</v>
      </c>
      <c r="O86" s="154">
        <v>1274</v>
      </c>
      <c r="P86" s="154">
        <f>2530-O86</f>
        <v>1256</v>
      </c>
      <c r="Q86" s="154">
        <f>3819-P86-O86</f>
        <v>1289</v>
      </c>
      <c r="R86" s="82"/>
      <c r="S86" s="111">
        <f t="shared" ref="S86" si="81">SUM(J86:M86)</f>
        <v>5940</v>
      </c>
      <c r="T86" s="111">
        <f t="shared" ref="T86" si="82">SUM(N86:Q86)</f>
        <v>5137</v>
      </c>
      <c r="U86" s="57"/>
      <c r="V86" s="23">
        <f t="shared" si="79"/>
        <v>-0.13518518518518519</v>
      </c>
    </row>
    <row r="87" spans="2:22" ht="15.75" x14ac:dyDescent="0.25">
      <c r="B87" s="151" t="s">
        <v>65</v>
      </c>
      <c r="C87" s="154">
        <v>10146</v>
      </c>
      <c r="D87" s="154">
        <v>6184</v>
      </c>
      <c r="E87" s="154">
        <v>6828</v>
      </c>
      <c r="F87" s="120"/>
      <c r="G87" s="154">
        <v>1547</v>
      </c>
      <c r="H87" s="154">
        <f>3038-G87</f>
        <v>1491</v>
      </c>
      <c r="I87" s="154">
        <f>4514-H87-G87</f>
        <v>1476</v>
      </c>
      <c r="J87" s="125">
        <f t="shared" si="80"/>
        <v>1670</v>
      </c>
      <c r="K87" s="154">
        <v>1809</v>
      </c>
      <c r="L87" s="154">
        <f>3650-K87</f>
        <v>1841</v>
      </c>
      <c r="M87" s="154">
        <f>5422-L87-K87</f>
        <v>1772</v>
      </c>
      <c r="N87" s="125">
        <f t="shared" ref="N87:N96" si="83">SUM(E87-SUM(K87:M87))</f>
        <v>1406</v>
      </c>
      <c r="O87" s="154">
        <v>1454</v>
      </c>
      <c r="P87" s="154">
        <f>2891-O87</f>
        <v>1437</v>
      </c>
      <c r="Q87" s="154">
        <f>4443-P87-O87</f>
        <v>1552</v>
      </c>
      <c r="R87" s="82"/>
      <c r="S87" s="111">
        <f t="shared" ref="S87:S107" si="84">SUM(J87:M87)</f>
        <v>7092</v>
      </c>
      <c r="T87" s="111">
        <f t="shared" ref="T87:T107" si="85">SUM(N87:Q87)</f>
        <v>5849</v>
      </c>
      <c r="U87" s="57"/>
      <c r="V87" s="23">
        <f t="shared" si="79"/>
        <v>-0.17526790750141008</v>
      </c>
    </row>
    <row r="88" spans="2:22" ht="15.75" x14ac:dyDescent="0.25">
      <c r="B88" s="151" t="s">
        <v>107</v>
      </c>
      <c r="C88" s="154">
        <v>2060</v>
      </c>
      <c r="D88" s="154">
        <v>2059</v>
      </c>
      <c r="E88" s="154">
        <v>2060</v>
      </c>
      <c r="F88" s="120"/>
      <c r="G88" s="154">
        <v>515</v>
      </c>
      <c r="H88" s="154">
        <f>1029-G88</f>
        <v>514</v>
      </c>
      <c r="I88" s="154">
        <f>1544-H88-G88</f>
        <v>515</v>
      </c>
      <c r="J88" s="125">
        <f>SUM(D88-SUM(G88:I88))</f>
        <v>515</v>
      </c>
      <c r="K88" s="154">
        <v>515</v>
      </c>
      <c r="L88" s="154">
        <f>1030-K88</f>
        <v>515</v>
      </c>
      <c r="M88" s="154">
        <f>1545-L88-K88</f>
        <v>515</v>
      </c>
      <c r="N88" s="125">
        <f>SUM(E88-SUM(K88:M88))</f>
        <v>515</v>
      </c>
      <c r="O88" s="154">
        <v>517</v>
      </c>
      <c r="P88" s="154">
        <f>1040-O88</f>
        <v>523</v>
      </c>
      <c r="Q88" s="154">
        <f>1563-P88-O88</f>
        <v>523</v>
      </c>
      <c r="R88" s="82"/>
      <c r="S88" s="111">
        <f>SUM(J88:M88)</f>
        <v>2060</v>
      </c>
      <c r="T88" s="111">
        <f>SUM(N88:Q88)</f>
        <v>2078</v>
      </c>
      <c r="U88" s="57"/>
      <c r="V88" s="23"/>
    </row>
    <row r="89" spans="2:22" ht="15.75" x14ac:dyDescent="0.25">
      <c r="B89" s="151" t="s">
        <v>78</v>
      </c>
      <c r="C89" s="154">
        <v>-55772</v>
      </c>
      <c r="D89" s="154">
        <v>-75767</v>
      </c>
      <c r="E89" s="154">
        <v>10023</v>
      </c>
      <c r="F89" s="120"/>
      <c r="G89" s="154">
        <v>-3258</v>
      </c>
      <c r="H89" s="154">
        <f>-59611-G89</f>
        <v>-56353</v>
      </c>
      <c r="I89" s="154">
        <f>-58649-H89-G89</f>
        <v>962</v>
      </c>
      <c r="J89" s="125">
        <f t="shared" si="80"/>
        <v>-17118</v>
      </c>
      <c r="K89" s="154">
        <v>14191</v>
      </c>
      <c r="L89" s="154">
        <f>10564-K89</f>
        <v>-3627</v>
      </c>
      <c r="M89" s="154">
        <f>11708-L89-K89</f>
        <v>1144</v>
      </c>
      <c r="N89" s="125">
        <f t="shared" si="83"/>
        <v>-1685</v>
      </c>
      <c r="O89" s="154">
        <v>4593</v>
      </c>
      <c r="P89" s="154">
        <f>30164-O89</f>
        <v>25571</v>
      </c>
      <c r="Q89" s="154">
        <f>38653-P89-O89</f>
        <v>8489</v>
      </c>
      <c r="R89" s="82"/>
      <c r="S89" s="111">
        <f t="shared" si="84"/>
        <v>-5410</v>
      </c>
      <c r="T89" s="111">
        <f t="shared" si="85"/>
        <v>36968</v>
      </c>
      <c r="U89" s="57"/>
      <c r="V89" s="23">
        <f t="shared" si="79"/>
        <v>-7.8332717190388168</v>
      </c>
    </row>
    <row r="90" spans="2:22" ht="15.75" x14ac:dyDescent="0.25">
      <c r="B90" s="151" t="s">
        <v>79</v>
      </c>
      <c r="C90" s="154">
        <v>0</v>
      </c>
      <c r="D90" s="154">
        <v>0</v>
      </c>
      <c r="E90" s="154">
        <v>0</v>
      </c>
      <c r="F90" s="120"/>
      <c r="G90" s="154">
        <v>-74</v>
      </c>
      <c r="H90" s="154">
        <f>-307-G90</f>
        <v>-233</v>
      </c>
      <c r="I90" s="154">
        <f>-240-H90-G90</f>
        <v>67</v>
      </c>
      <c r="J90" s="125">
        <f t="shared" si="80"/>
        <v>240</v>
      </c>
      <c r="K90" s="154">
        <v>42</v>
      </c>
      <c r="L90" s="154">
        <f ca="1">+L90-K90</f>
        <v>0</v>
      </c>
      <c r="M90" s="154">
        <f ca="1">+M90--L90-K90</f>
        <v>0</v>
      </c>
      <c r="N90" s="125">
        <f t="shared" ca="1" si="83"/>
        <v>1318</v>
      </c>
      <c r="O90" s="154"/>
      <c r="P90" s="154"/>
      <c r="Q90" s="154"/>
      <c r="R90" s="82"/>
      <c r="S90" s="111">
        <f t="shared" ca="1" si="84"/>
        <v>5940</v>
      </c>
      <c r="T90" s="111">
        <f t="shared" ca="1" si="85"/>
        <v>5137</v>
      </c>
      <c r="U90" s="57"/>
      <c r="V90" s="23">
        <f t="shared" ca="1" si="79"/>
        <v>-1</v>
      </c>
    </row>
    <row r="91" spans="2:22" ht="15.75" x14ac:dyDescent="0.25">
      <c r="B91" s="151" t="s">
        <v>82</v>
      </c>
      <c r="C91" s="154">
        <v>0</v>
      </c>
      <c r="D91" s="154">
        <v>0</v>
      </c>
      <c r="E91" s="154">
        <v>2421</v>
      </c>
      <c r="F91" s="120"/>
      <c r="G91" s="154"/>
      <c r="H91" s="154"/>
      <c r="I91" s="154"/>
      <c r="J91" s="155"/>
      <c r="K91" s="154"/>
      <c r="L91" s="154">
        <f>2421-K91</f>
        <v>2421</v>
      </c>
      <c r="M91" s="154">
        <f>2421-L91-K91</f>
        <v>0</v>
      </c>
      <c r="N91" s="125">
        <f t="shared" si="83"/>
        <v>0</v>
      </c>
      <c r="O91" s="154"/>
      <c r="P91" s="154"/>
      <c r="Q91" s="154">
        <v>0</v>
      </c>
      <c r="R91" s="82"/>
      <c r="S91" s="111">
        <f t="shared" si="84"/>
        <v>2421</v>
      </c>
      <c r="T91" s="111">
        <f t="shared" si="85"/>
        <v>0</v>
      </c>
      <c r="U91" s="57"/>
      <c r="V91" s="23">
        <f t="shared" si="79"/>
        <v>-1</v>
      </c>
    </row>
    <row r="92" spans="2:22" ht="15.75" x14ac:dyDescent="0.25">
      <c r="B92" s="151" t="s">
        <v>66</v>
      </c>
      <c r="C92" s="154">
        <v>0</v>
      </c>
      <c r="D92" s="154">
        <v>0</v>
      </c>
      <c r="E92" s="154">
        <v>3099</v>
      </c>
      <c r="F92" s="120"/>
      <c r="G92" s="154"/>
      <c r="H92" s="154"/>
      <c r="I92" s="154"/>
      <c r="J92" s="155"/>
      <c r="K92" s="154"/>
      <c r="L92" s="154">
        <f>737-K92</f>
        <v>737</v>
      </c>
      <c r="M92" s="154">
        <f>1780-L92-K92</f>
        <v>1043</v>
      </c>
      <c r="N92" s="125">
        <f t="shared" si="83"/>
        <v>1319</v>
      </c>
      <c r="O92" s="154">
        <v>1418</v>
      </c>
      <c r="P92" s="154">
        <f>3544-O92</f>
        <v>2126</v>
      </c>
      <c r="Q92" s="154">
        <f>5606-P92-O92</f>
        <v>2062</v>
      </c>
      <c r="R92" s="82"/>
      <c r="S92" s="111">
        <f t="shared" si="84"/>
        <v>1780</v>
      </c>
      <c r="T92" s="111">
        <f t="shared" si="85"/>
        <v>6925</v>
      </c>
      <c r="U92" s="57"/>
      <c r="V92" s="23">
        <f t="shared" si="79"/>
        <v>2.8904494382022472</v>
      </c>
    </row>
    <row r="93" spans="2:22" ht="15.75" x14ac:dyDescent="0.25">
      <c r="B93" s="151" t="s">
        <v>84</v>
      </c>
      <c r="C93" s="154">
        <v>-56</v>
      </c>
      <c r="D93" s="154">
        <v>-417</v>
      </c>
      <c r="E93" s="154">
        <v>260</v>
      </c>
      <c r="F93" s="120"/>
      <c r="G93" s="154"/>
      <c r="H93" s="154"/>
      <c r="I93" s="154"/>
      <c r="J93" s="155"/>
      <c r="K93" s="154"/>
      <c r="L93" s="154">
        <f>99-K93</f>
        <v>99</v>
      </c>
      <c r="M93" s="154">
        <f>234-L93-K93</f>
        <v>135</v>
      </c>
      <c r="N93" s="125">
        <f t="shared" si="83"/>
        <v>26</v>
      </c>
      <c r="O93" s="154">
        <v>-60</v>
      </c>
      <c r="P93" s="154">
        <f>328-O93</f>
        <v>388</v>
      </c>
      <c r="Q93" s="154">
        <f>-719-P93-O93</f>
        <v>-1047</v>
      </c>
      <c r="R93" s="82"/>
      <c r="S93" s="111">
        <f t="shared" si="84"/>
        <v>234</v>
      </c>
      <c r="T93" s="111">
        <f t="shared" si="85"/>
        <v>-693</v>
      </c>
      <c r="U93" s="57"/>
      <c r="V93" s="23">
        <f t="shared" si="79"/>
        <v>-3.9615384615384617</v>
      </c>
    </row>
    <row r="94" spans="2:22" ht="15.75" x14ac:dyDescent="0.25">
      <c r="B94" s="151" t="s">
        <v>106</v>
      </c>
      <c r="C94" s="154">
        <v>0</v>
      </c>
      <c r="D94" s="154">
        <v>6</v>
      </c>
      <c r="E94" s="154">
        <v>18</v>
      </c>
      <c r="F94" s="120"/>
      <c r="G94" s="154"/>
      <c r="H94" s="154"/>
      <c r="I94" s="154"/>
      <c r="J94" s="155"/>
      <c r="K94" s="154"/>
      <c r="L94" s="154">
        <f>9-K94</f>
        <v>9</v>
      </c>
      <c r="M94" s="154">
        <f>9-L94-K94</f>
        <v>0</v>
      </c>
      <c r="N94" s="125">
        <f t="shared" si="83"/>
        <v>9</v>
      </c>
      <c r="O94" s="154"/>
      <c r="P94" s="154"/>
      <c r="Q94" s="154">
        <v>0</v>
      </c>
      <c r="R94" s="82"/>
      <c r="S94" s="111">
        <f t="shared" si="84"/>
        <v>9</v>
      </c>
      <c r="T94" s="111">
        <f t="shared" si="85"/>
        <v>9</v>
      </c>
      <c r="U94" s="57"/>
      <c r="V94" s="23">
        <f t="shared" si="79"/>
        <v>0</v>
      </c>
    </row>
    <row r="95" spans="2:22" ht="15.75" x14ac:dyDescent="0.25">
      <c r="B95" s="151" t="s">
        <v>108</v>
      </c>
      <c r="C95" s="154">
        <v>42</v>
      </c>
      <c r="D95" s="154">
        <v>45</v>
      </c>
      <c r="E95" s="154">
        <v>50</v>
      </c>
      <c r="F95" s="120"/>
      <c r="G95" s="154">
        <v>11</v>
      </c>
      <c r="H95" s="154">
        <f>22-G95</f>
        <v>11</v>
      </c>
      <c r="I95" s="154">
        <f>34-H95-G95</f>
        <v>12</v>
      </c>
      <c r="J95" s="125">
        <f t="shared" ref="J95:J96" si="86">SUM(D95-SUM(G95:I95))</f>
        <v>11</v>
      </c>
      <c r="K95" s="154">
        <v>12</v>
      </c>
      <c r="L95" s="154">
        <f>24-K95</f>
        <v>12</v>
      </c>
      <c r="M95" s="154">
        <f>37-L95-K95</f>
        <v>13</v>
      </c>
      <c r="N95" s="125">
        <f t="shared" si="83"/>
        <v>13</v>
      </c>
      <c r="O95" s="154">
        <v>13</v>
      </c>
      <c r="P95" s="154">
        <f>26-O95</f>
        <v>13</v>
      </c>
      <c r="Q95" s="154">
        <f>39-P95-O95</f>
        <v>13</v>
      </c>
      <c r="R95" s="82"/>
      <c r="S95" s="111">
        <f t="shared" si="84"/>
        <v>48</v>
      </c>
      <c r="T95" s="111">
        <f t="shared" si="85"/>
        <v>52</v>
      </c>
      <c r="U95" s="57"/>
      <c r="V95" s="23">
        <f t="shared" si="79"/>
        <v>8.3333333333333259E-2</v>
      </c>
    </row>
    <row r="96" spans="2:22" ht="15.75" x14ac:dyDescent="0.25">
      <c r="B96" s="151" t="s">
        <v>109</v>
      </c>
      <c r="C96" s="154">
        <v>977</v>
      </c>
      <c r="D96" s="154">
        <v>1546</v>
      </c>
      <c r="E96" s="154">
        <v>482</v>
      </c>
      <c r="F96" s="120"/>
      <c r="G96" s="154">
        <v>378</v>
      </c>
      <c r="H96" s="154">
        <f>771-G96</f>
        <v>393</v>
      </c>
      <c r="I96" s="154">
        <f>1211-H96-G96</f>
        <v>440</v>
      </c>
      <c r="J96" s="125">
        <f t="shared" si="86"/>
        <v>335</v>
      </c>
      <c r="K96" s="154">
        <v>360</v>
      </c>
      <c r="L96" s="154">
        <f>482-K96</f>
        <v>122</v>
      </c>
      <c r="M96" s="154">
        <f>482-L96-K96</f>
        <v>0</v>
      </c>
      <c r="N96" s="125">
        <f t="shared" si="83"/>
        <v>0</v>
      </c>
      <c r="O96" s="154"/>
      <c r="P96" s="154"/>
      <c r="Q96" s="154">
        <v>0</v>
      </c>
      <c r="R96" s="82"/>
      <c r="S96" s="111">
        <f t="shared" si="84"/>
        <v>817</v>
      </c>
      <c r="T96" s="111">
        <f t="shared" si="85"/>
        <v>0</v>
      </c>
      <c r="U96" s="57"/>
      <c r="V96" s="23">
        <f t="shared" si="79"/>
        <v>-1</v>
      </c>
    </row>
    <row r="97" spans="2:22" ht="15.75" x14ac:dyDescent="0.25">
      <c r="B97" s="151" t="s">
        <v>110</v>
      </c>
      <c r="C97" s="154">
        <v>11</v>
      </c>
      <c r="D97" s="154">
        <v>0</v>
      </c>
      <c r="E97" s="154">
        <v>0</v>
      </c>
      <c r="F97" s="120"/>
      <c r="G97" s="154"/>
      <c r="H97" s="154"/>
      <c r="I97" s="154"/>
      <c r="J97" s="155"/>
      <c r="K97" s="154"/>
      <c r="L97" s="154"/>
      <c r="M97" s="154"/>
      <c r="N97" s="155"/>
      <c r="O97" s="154"/>
      <c r="P97" s="154"/>
      <c r="Q97" s="154"/>
      <c r="R97" s="82"/>
      <c r="S97" s="111">
        <f t="shared" si="84"/>
        <v>0</v>
      </c>
      <c r="T97" s="111">
        <f t="shared" si="85"/>
        <v>0</v>
      </c>
      <c r="U97" s="57"/>
      <c r="V97" s="23" t="e">
        <f t="shared" si="79"/>
        <v>#DIV/0!</v>
      </c>
    </row>
    <row r="98" spans="2:22" ht="15.75" x14ac:dyDescent="0.25">
      <c r="B98" s="151" t="s">
        <v>80</v>
      </c>
      <c r="C98" s="154">
        <v>-3284</v>
      </c>
      <c r="D98" s="154">
        <v>0</v>
      </c>
      <c r="E98" s="154">
        <v>0</v>
      </c>
      <c r="F98" s="120"/>
      <c r="G98" s="154"/>
      <c r="H98" s="154"/>
      <c r="I98" s="154"/>
      <c r="J98" s="155"/>
      <c r="K98" s="154"/>
      <c r="L98" s="154"/>
      <c r="M98" s="154"/>
      <c r="N98" s="155"/>
      <c r="O98" s="154"/>
      <c r="P98" s="154"/>
      <c r="Q98" s="154"/>
      <c r="R98" s="82"/>
      <c r="S98" s="111">
        <f t="shared" si="84"/>
        <v>0</v>
      </c>
      <c r="T98" s="111">
        <f t="shared" si="85"/>
        <v>0</v>
      </c>
      <c r="U98" s="57"/>
      <c r="V98" s="23" t="e">
        <f t="shared" si="79"/>
        <v>#DIV/0!</v>
      </c>
    </row>
    <row r="99" spans="2:22" ht="15.75" x14ac:dyDescent="0.25">
      <c r="B99" s="151" t="s">
        <v>111</v>
      </c>
      <c r="C99" s="154">
        <v>-14461</v>
      </c>
      <c r="D99" s="154">
        <v>0</v>
      </c>
      <c r="E99" s="154">
        <v>0</v>
      </c>
      <c r="F99" s="120"/>
      <c r="G99" s="154"/>
      <c r="H99" s="154"/>
      <c r="I99" s="154"/>
      <c r="J99" s="155"/>
      <c r="K99" s="154"/>
      <c r="L99" s="154"/>
      <c r="M99" s="154"/>
      <c r="N99" s="155"/>
      <c r="O99" s="154"/>
      <c r="P99" s="154"/>
      <c r="Q99" s="154"/>
      <c r="R99" s="82"/>
      <c r="S99" s="111">
        <f t="shared" si="84"/>
        <v>0</v>
      </c>
      <c r="T99" s="111">
        <f t="shared" si="85"/>
        <v>0</v>
      </c>
      <c r="U99" s="57"/>
      <c r="V99" s="23" t="e">
        <f t="shared" si="79"/>
        <v>#DIV/0!</v>
      </c>
    </row>
    <row r="100" spans="2:22" ht="15.75" x14ac:dyDescent="0.25">
      <c r="B100" s="95"/>
      <c r="C100" s="154"/>
      <c r="D100" s="154"/>
      <c r="E100" s="154"/>
      <c r="F100" s="120"/>
      <c r="G100" s="154"/>
      <c r="H100" s="154"/>
      <c r="I100" s="154"/>
      <c r="J100" s="155"/>
      <c r="K100" s="154"/>
      <c r="L100" s="154"/>
      <c r="M100" s="154"/>
      <c r="N100" s="155"/>
      <c r="O100" s="154"/>
      <c r="P100" s="154"/>
      <c r="Q100" s="154"/>
      <c r="R100" s="82"/>
      <c r="S100" s="111">
        <f t="shared" si="84"/>
        <v>0</v>
      </c>
      <c r="T100" s="111">
        <f t="shared" si="85"/>
        <v>0</v>
      </c>
      <c r="U100" s="57"/>
      <c r="V100" s="23" t="e">
        <f t="shared" si="79"/>
        <v>#DIV/0!</v>
      </c>
    </row>
    <row r="101" spans="2:22" ht="15.75" x14ac:dyDescent="0.25">
      <c r="B101" s="94" t="s">
        <v>147</v>
      </c>
      <c r="C101" s="154"/>
      <c r="D101" s="154"/>
      <c r="E101" s="154"/>
      <c r="F101" s="120"/>
      <c r="G101" s="154"/>
      <c r="H101" s="154"/>
      <c r="I101" s="154"/>
      <c r="J101" s="155"/>
      <c r="K101" s="154"/>
      <c r="L101" s="154"/>
      <c r="M101" s="154"/>
      <c r="N101" s="155"/>
      <c r="O101" s="154"/>
      <c r="P101" s="154"/>
      <c r="Q101" s="154"/>
      <c r="R101" s="82"/>
      <c r="S101" s="111">
        <f t="shared" si="84"/>
        <v>0</v>
      </c>
      <c r="T101" s="111">
        <f t="shared" si="85"/>
        <v>0</v>
      </c>
      <c r="U101" s="57"/>
      <c r="V101" s="23" t="e">
        <f t="shared" si="79"/>
        <v>#DIV/0!</v>
      </c>
    </row>
    <row r="102" spans="2:22" x14ac:dyDescent="0.25">
      <c r="B102" s="152" t="s">
        <v>88</v>
      </c>
      <c r="C102" s="154">
        <v>-63</v>
      </c>
      <c r="D102" s="154">
        <v>145</v>
      </c>
      <c r="E102" s="154">
        <v>31</v>
      </c>
      <c r="F102" s="120"/>
      <c r="G102" s="154">
        <v>-57</v>
      </c>
      <c r="H102" s="154">
        <f>-1125-G102</f>
        <v>-1068</v>
      </c>
      <c r="I102" s="154">
        <f>145-H102-G102</f>
        <v>1270</v>
      </c>
      <c r="J102" s="125">
        <f t="shared" ref="J102:J107" si="87">SUM(D102-SUM(G102:I102))</f>
        <v>0</v>
      </c>
      <c r="K102" s="154">
        <v>31</v>
      </c>
      <c r="L102" s="154">
        <f>31-K102</f>
        <v>0</v>
      </c>
      <c r="M102" s="154">
        <f>31-L102-K102</f>
        <v>0</v>
      </c>
      <c r="N102" s="125">
        <f t="shared" ref="N102:N107" si="88">SUM(E102-SUM(K102:M102))</f>
        <v>0</v>
      </c>
      <c r="O102" s="154">
        <v>0</v>
      </c>
      <c r="P102" s="154">
        <f>0-O102</f>
        <v>0</v>
      </c>
      <c r="Q102" s="154">
        <f>0-P102-O102</f>
        <v>0</v>
      </c>
      <c r="R102" s="82"/>
      <c r="S102" s="111">
        <f t="shared" si="84"/>
        <v>31</v>
      </c>
      <c r="T102" s="111">
        <f t="shared" si="85"/>
        <v>0</v>
      </c>
      <c r="U102" s="21"/>
      <c r="V102" s="23">
        <f>SUM(T102/S102)-1</f>
        <v>-1</v>
      </c>
    </row>
    <row r="103" spans="2:22" x14ac:dyDescent="0.25">
      <c r="B103" s="152" t="s">
        <v>29</v>
      </c>
      <c r="C103" s="154">
        <v>-2174</v>
      </c>
      <c r="D103" s="154">
        <v>1364</v>
      </c>
      <c r="E103" s="154">
        <v>-388</v>
      </c>
      <c r="F103" s="120"/>
      <c r="G103" s="154">
        <v>822</v>
      </c>
      <c r="H103" s="154">
        <f>968-G103</f>
        <v>146</v>
      </c>
      <c r="I103" s="154">
        <f>812-H103-G103</f>
        <v>-156</v>
      </c>
      <c r="J103" s="125">
        <f t="shared" si="87"/>
        <v>552</v>
      </c>
      <c r="K103" s="154">
        <v>120</v>
      </c>
      <c r="L103" s="154">
        <f>-3660-K103</f>
        <v>-3780</v>
      </c>
      <c r="M103" s="154">
        <f>-423-L103-K103</f>
        <v>3237</v>
      </c>
      <c r="N103" s="125">
        <f t="shared" si="88"/>
        <v>35</v>
      </c>
      <c r="O103" s="154">
        <v>409</v>
      </c>
      <c r="P103" s="154">
        <f>283-O103</f>
        <v>-126</v>
      </c>
      <c r="Q103" s="154">
        <f>396-P103-O103</f>
        <v>113</v>
      </c>
      <c r="R103" s="82"/>
      <c r="S103" s="111">
        <f t="shared" si="84"/>
        <v>129</v>
      </c>
      <c r="T103" s="111">
        <f t="shared" si="85"/>
        <v>431</v>
      </c>
      <c r="U103" s="21"/>
      <c r="V103" s="23">
        <f t="shared" ref="V103:V107" si="89">SUM(T103/S103)-1</f>
        <v>2.3410852713178296</v>
      </c>
    </row>
    <row r="104" spans="2:22" x14ac:dyDescent="0.25">
      <c r="B104" s="152" t="s">
        <v>62</v>
      </c>
      <c r="C104" s="154">
        <v>-197</v>
      </c>
      <c r="D104" s="154">
        <v>-509</v>
      </c>
      <c r="E104" s="154">
        <v>4811</v>
      </c>
      <c r="F104" s="120"/>
      <c r="G104" s="154">
        <v>934</v>
      </c>
      <c r="H104" s="154">
        <f>374-G104</f>
        <v>-560</v>
      </c>
      <c r="I104" s="154">
        <f>984-H104-G104</f>
        <v>610</v>
      </c>
      <c r="J104" s="125">
        <f t="shared" si="87"/>
        <v>-1493</v>
      </c>
      <c r="K104" s="154">
        <v>299</v>
      </c>
      <c r="L104" s="154">
        <f>766-K104</f>
        <v>467</v>
      </c>
      <c r="M104" s="154">
        <f>1292-L104-K104</f>
        <v>526</v>
      </c>
      <c r="N104" s="125">
        <f t="shared" si="88"/>
        <v>3519</v>
      </c>
      <c r="O104" s="154">
        <v>-2949</v>
      </c>
      <c r="P104" s="154">
        <f>-638-O104</f>
        <v>2311</v>
      </c>
      <c r="Q104" s="154">
        <f>475-P104-O104</f>
        <v>1113</v>
      </c>
      <c r="R104" s="82"/>
      <c r="S104" s="111">
        <f t="shared" si="84"/>
        <v>-201</v>
      </c>
      <c r="T104" s="111">
        <f t="shared" si="85"/>
        <v>3994</v>
      </c>
      <c r="U104" s="21"/>
      <c r="V104" s="23">
        <f t="shared" si="89"/>
        <v>-20.870646766169155</v>
      </c>
    </row>
    <row r="105" spans="2:22" x14ac:dyDescent="0.25">
      <c r="B105" s="152" t="s">
        <v>63</v>
      </c>
      <c r="C105" s="154">
        <v>2035</v>
      </c>
      <c r="D105" s="154">
        <v>247</v>
      </c>
      <c r="E105" s="154">
        <v>2167</v>
      </c>
      <c r="F105" s="120"/>
      <c r="G105" s="154">
        <v>-1297</v>
      </c>
      <c r="H105" s="154">
        <f>-571-G105</f>
        <v>726</v>
      </c>
      <c r="I105" s="154">
        <f>1202-H105-G105</f>
        <v>1773</v>
      </c>
      <c r="J105" s="125">
        <f t="shared" si="87"/>
        <v>-955</v>
      </c>
      <c r="K105" s="154">
        <v>-597</v>
      </c>
      <c r="L105" s="154">
        <f>-724-K105</f>
        <v>-127</v>
      </c>
      <c r="M105" s="154">
        <f>2577-L105-K105</f>
        <v>3301</v>
      </c>
      <c r="N105" s="125">
        <f t="shared" si="88"/>
        <v>-410</v>
      </c>
      <c r="O105" s="154">
        <v>-2107</v>
      </c>
      <c r="P105" s="154">
        <f>-221-O105</f>
        <v>1886</v>
      </c>
      <c r="Q105" s="154">
        <f>1980-P105-O105</f>
        <v>2201</v>
      </c>
      <c r="R105" s="82"/>
      <c r="S105" s="111">
        <f t="shared" si="84"/>
        <v>1622</v>
      </c>
      <c r="T105" s="111">
        <f t="shared" si="85"/>
        <v>1570</v>
      </c>
      <c r="U105" s="21"/>
      <c r="V105" s="23">
        <f t="shared" si="89"/>
        <v>-3.2059186189889011E-2</v>
      </c>
    </row>
    <row r="106" spans="2:22" x14ac:dyDescent="0.25">
      <c r="B106" s="152" t="s">
        <v>112</v>
      </c>
      <c r="C106" s="154">
        <v>-42</v>
      </c>
      <c r="D106" s="154">
        <v>-45</v>
      </c>
      <c r="E106" s="154">
        <v>-50</v>
      </c>
      <c r="F106" s="120"/>
      <c r="G106" s="154">
        <v>-11</v>
      </c>
      <c r="H106" s="154">
        <f>-22-G106</f>
        <v>-11</v>
      </c>
      <c r="I106" s="154">
        <f>-34-H106-G106</f>
        <v>-12</v>
      </c>
      <c r="J106" s="125">
        <f t="shared" si="87"/>
        <v>-11</v>
      </c>
      <c r="K106" s="154">
        <v>-12</v>
      </c>
      <c r="L106" s="154">
        <f>-24-K106</f>
        <v>-12</v>
      </c>
      <c r="M106" s="154">
        <f>-37-L106-K106</f>
        <v>-13</v>
      </c>
      <c r="N106" s="125">
        <f t="shared" si="88"/>
        <v>-13</v>
      </c>
      <c r="O106" s="154">
        <v>-13</v>
      </c>
      <c r="P106" s="154">
        <f>-26-O106</f>
        <v>-13</v>
      </c>
      <c r="Q106" s="154">
        <f>-39-P106-O106</f>
        <v>-13</v>
      </c>
      <c r="R106" s="82"/>
      <c r="S106" s="111">
        <f t="shared" si="84"/>
        <v>-48</v>
      </c>
      <c r="T106" s="111">
        <f t="shared" si="85"/>
        <v>-52</v>
      </c>
      <c r="U106" s="21"/>
      <c r="V106" s="23">
        <f t="shared" si="89"/>
        <v>8.3333333333333259E-2</v>
      </c>
    </row>
    <row r="107" spans="2:22" x14ac:dyDescent="0.25">
      <c r="B107" s="152" t="s">
        <v>113</v>
      </c>
      <c r="C107" s="154">
        <v>-116</v>
      </c>
      <c r="D107" s="154">
        <v>-173</v>
      </c>
      <c r="E107" s="154">
        <v>0</v>
      </c>
      <c r="F107" s="120"/>
      <c r="G107" s="154"/>
      <c r="H107" s="154"/>
      <c r="I107" s="154"/>
      <c r="J107" s="125">
        <f t="shared" si="87"/>
        <v>-173</v>
      </c>
      <c r="K107" s="154"/>
      <c r="L107" s="154"/>
      <c r="M107" s="154"/>
      <c r="N107" s="125">
        <f t="shared" si="88"/>
        <v>0</v>
      </c>
      <c r="O107" s="154"/>
      <c r="P107" s="154"/>
      <c r="Q107" s="154"/>
      <c r="R107" s="82"/>
      <c r="S107" s="111">
        <f t="shared" si="84"/>
        <v>-173</v>
      </c>
      <c r="T107" s="111">
        <f t="shared" si="85"/>
        <v>0</v>
      </c>
      <c r="U107" s="21"/>
      <c r="V107" s="23">
        <f t="shared" si="89"/>
        <v>-1</v>
      </c>
    </row>
    <row r="108" spans="2:22" ht="15.75" x14ac:dyDescent="0.25">
      <c r="B108" s="99" t="s">
        <v>155</v>
      </c>
      <c r="C108" s="58">
        <f>SUM(C83:C107)</f>
        <v>-81190</v>
      </c>
      <c r="D108" s="58">
        <f>SUM(D83:D107)</f>
        <v>-71129</v>
      </c>
      <c r="E108" s="58">
        <f>SUM(E83:E107)</f>
        <v>-73305</v>
      </c>
      <c r="F108" s="49"/>
      <c r="G108" s="58">
        <f>SUM(G83:G107)</f>
        <v>-18797</v>
      </c>
      <c r="H108" s="58">
        <f>SUM(H83:H107)</f>
        <v>-16569</v>
      </c>
      <c r="I108" s="58">
        <f>SUM(I83:I107)</f>
        <v>-16804</v>
      </c>
      <c r="J108" s="58">
        <f>SUM(J83:J107)</f>
        <v>-18548</v>
      </c>
      <c r="K108" s="58">
        <f>SUM(K83:K107)</f>
        <v>-18641</v>
      </c>
      <c r="L108" s="58">
        <f ca="1">SUM(L83:L107)</f>
        <v>-21833</v>
      </c>
      <c r="M108" s="58">
        <f ca="1">SUM(M83:M107)</f>
        <v>622</v>
      </c>
      <c r="N108" s="58">
        <f ca="1">SUM(N83:N107)</f>
        <v>0</v>
      </c>
      <c r="O108" s="58">
        <f>SUM(O83:O107)</f>
        <v>-27347</v>
      </c>
      <c r="P108" s="58">
        <f>SUM(P83:P107)</f>
        <v>-21291</v>
      </c>
      <c r="Q108" s="58">
        <f>SUM(Q83:Q107)</f>
        <v>-22907</v>
      </c>
      <c r="S108" s="58">
        <f ca="1">SUM(S83:S107)</f>
        <v>-83450</v>
      </c>
      <c r="T108" s="58">
        <f ca="1">SUM(T83:T107)</f>
        <v>-122624</v>
      </c>
      <c r="U108" s="27"/>
      <c r="V108" s="23">
        <f ca="1">SUM(T108/S108)-1</f>
        <v>0.46943079688436185</v>
      </c>
    </row>
    <row r="109" spans="2:22" ht="15.75" x14ac:dyDescent="0.25">
      <c r="B109" s="94"/>
      <c r="C109" s="59"/>
      <c r="D109" s="59"/>
      <c r="E109" s="59"/>
      <c r="F109" s="49"/>
      <c r="G109" s="59"/>
      <c r="H109" s="59"/>
      <c r="I109" s="59"/>
      <c r="J109" s="59"/>
      <c r="K109" s="59"/>
      <c r="L109" s="59"/>
      <c r="M109" s="59"/>
      <c r="N109" s="59"/>
      <c r="O109" s="59"/>
      <c r="P109" s="59"/>
      <c r="Q109" s="59"/>
      <c r="S109" s="27"/>
      <c r="T109" s="27"/>
      <c r="U109" s="27"/>
      <c r="V109" s="38"/>
    </row>
    <row r="110" spans="2:22" ht="15.75" x14ac:dyDescent="0.25">
      <c r="B110" s="94" t="s">
        <v>151</v>
      </c>
      <c r="C110" s="55"/>
      <c r="D110" s="55"/>
      <c r="E110" s="55"/>
      <c r="F110" s="49"/>
      <c r="G110" s="55"/>
      <c r="H110" s="55"/>
      <c r="I110" s="55"/>
      <c r="J110" s="56"/>
      <c r="K110" s="55"/>
      <c r="L110" s="55"/>
      <c r="M110" s="55"/>
      <c r="N110" s="56"/>
      <c r="O110" s="55"/>
      <c r="P110" s="55"/>
      <c r="Q110" s="55"/>
      <c r="S110" s="55"/>
      <c r="T110" s="55"/>
      <c r="U110" s="57"/>
    </row>
    <row r="111" spans="2:22" ht="15.75" x14ac:dyDescent="0.25">
      <c r="B111" s="151" t="s">
        <v>114</v>
      </c>
      <c r="C111" s="96">
        <v>0</v>
      </c>
      <c r="D111" s="96">
        <v>16000</v>
      </c>
      <c r="E111" s="96">
        <v>2107</v>
      </c>
      <c r="F111" s="141"/>
      <c r="G111" s="96">
        <v>0</v>
      </c>
      <c r="H111" s="96">
        <f>8000-G111</f>
        <v>8000</v>
      </c>
      <c r="I111" s="96">
        <f>8000-H111-G111</f>
        <v>0</v>
      </c>
      <c r="J111" s="125">
        <f t="shared" ref="J111:J113" si="90">SUM(D111-SUM(G111:I111))</f>
        <v>8000</v>
      </c>
      <c r="K111" s="96">
        <v>0</v>
      </c>
      <c r="L111" s="96">
        <f>2107-K111</f>
        <v>2107</v>
      </c>
      <c r="M111" s="96">
        <f>2107-L111-K111</f>
        <v>0</v>
      </c>
      <c r="N111" s="125">
        <f t="shared" ref="N111:N113" si="91">SUM(E111-SUM(K111:M111))</f>
        <v>0</v>
      </c>
      <c r="O111" s="96">
        <v>0</v>
      </c>
      <c r="P111" s="96">
        <v>0</v>
      </c>
      <c r="Q111" s="96">
        <v>0</v>
      </c>
      <c r="S111" s="111">
        <f t="shared" ref="S111:S113" si="92">SUM(J111:M111)</f>
        <v>10107</v>
      </c>
      <c r="T111" s="111">
        <f t="shared" ref="T111:T113" si="93">SUM(N111:Q111)</f>
        <v>0</v>
      </c>
      <c r="U111" s="57"/>
      <c r="V111" s="23">
        <f t="shared" ref="V111:V113" si="94">SUM(T111/S111)-1</f>
        <v>-1</v>
      </c>
    </row>
    <row r="112" spans="2:22" ht="15.75" x14ac:dyDescent="0.25">
      <c r="B112" s="151" t="s">
        <v>115</v>
      </c>
      <c r="C112" s="96">
        <v>-220</v>
      </c>
      <c r="D112" s="96">
        <v>-1048</v>
      </c>
      <c r="E112" s="96">
        <v>-2280</v>
      </c>
      <c r="F112" s="141"/>
      <c r="G112" s="96">
        <v>-22</v>
      </c>
      <c r="H112" s="96">
        <f>-156-G112</f>
        <v>-134</v>
      </c>
      <c r="I112" s="96">
        <f>-367-H112-G112</f>
        <v>-211</v>
      </c>
      <c r="J112" s="125">
        <f t="shared" si="90"/>
        <v>-681</v>
      </c>
      <c r="K112" s="96">
        <v>-1152</v>
      </c>
      <c r="L112" s="96">
        <f>-1637-K112</f>
        <v>-485</v>
      </c>
      <c r="M112" s="96">
        <f>-2130-L112-K112</f>
        <v>-493</v>
      </c>
      <c r="N112" s="125">
        <f t="shared" si="91"/>
        <v>-150</v>
      </c>
      <c r="O112" s="96">
        <v>-391</v>
      </c>
      <c r="P112" s="96">
        <f>-575-O112</f>
        <v>-184</v>
      </c>
      <c r="Q112" s="96">
        <f>-1509-P112-O112</f>
        <v>-934</v>
      </c>
      <c r="S112" s="111">
        <f t="shared" si="92"/>
        <v>-2811</v>
      </c>
      <c r="T112" s="111">
        <f t="shared" si="93"/>
        <v>-1659</v>
      </c>
      <c r="U112" s="57"/>
      <c r="V112" s="23">
        <f t="shared" si="94"/>
        <v>-0.40981856990394883</v>
      </c>
    </row>
    <row r="113" spans="2:22" ht="15.75" x14ac:dyDescent="0.25">
      <c r="B113" s="151" t="s">
        <v>116</v>
      </c>
      <c r="C113" s="96">
        <v>-8000</v>
      </c>
      <c r="D113" s="96">
        <v>-10107</v>
      </c>
      <c r="E113" s="96">
        <v>0</v>
      </c>
      <c r="F113" s="141"/>
      <c r="G113" s="96">
        <v>0</v>
      </c>
      <c r="H113" s="96">
        <f>-8000-G113</f>
        <v>-8000</v>
      </c>
      <c r="I113" s="96">
        <f>-8000-H113-G113</f>
        <v>0</v>
      </c>
      <c r="J113" s="125">
        <f t="shared" si="90"/>
        <v>-2107</v>
      </c>
      <c r="K113" s="96">
        <v>0</v>
      </c>
      <c r="L113" s="96">
        <v>0</v>
      </c>
      <c r="M113" s="96">
        <v>0</v>
      </c>
      <c r="N113" s="125">
        <f t="shared" si="91"/>
        <v>0</v>
      </c>
      <c r="O113" s="96">
        <v>0</v>
      </c>
      <c r="P113" s="96">
        <v>0</v>
      </c>
      <c r="Q113" s="96">
        <v>0</v>
      </c>
      <c r="S113" s="111">
        <f t="shared" si="92"/>
        <v>-2107</v>
      </c>
      <c r="T113" s="111">
        <f t="shared" si="93"/>
        <v>0</v>
      </c>
      <c r="U113" s="57"/>
      <c r="V113" s="23">
        <f t="shared" si="94"/>
        <v>-1</v>
      </c>
    </row>
    <row r="114" spans="2:22" ht="15.75" x14ac:dyDescent="0.25">
      <c r="B114" s="146" t="s">
        <v>154</v>
      </c>
      <c r="C114" s="58">
        <f>SUM(C111:C113)</f>
        <v>-8220</v>
      </c>
      <c r="D114" s="58">
        <f t="shared" ref="D114:E114" si="95">SUM(D111:D113)</f>
        <v>4845</v>
      </c>
      <c r="E114" s="58">
        <f t="shared" si="95"/>
        <v>-173</v>
      </c>
      <c r="F114" s="49"/>
      <c r="G114" s="58">
        <f t="shared" ref="G114" si="96">SUM(G111:G113)</f>
        <v>-22</v>
      </c>
      <c r="H114" s="58">
        <f t="shared" ref="H114" si="97">SUM(H111:H113)</f>
        <v>-134</v>
      </c>
      <c r="I114" s="58">
        <f t="shared" ref="I114" si="98">SUM(I111:I113)</f>
        <v>-211</v>
      </c>
      <c r="J114" s="58">
        <f t="shared" ref="J114" si="99">SUM(J111:J113)</f>
        <v>5212</v>
      </c>
      <c r="K114" s="58">
        <f t="shared" ref="K114" si="100">SUM(K111:K113)</f>
        <v>-1152</v>
      </c>
      <c r="L114" s="58">
        <f t="shared" ref="L114" si="101">SUM(L111:L113)</f>
        <v>1622</v>
      </c>
      <c r="M114" s="58">
        <f t="shared" ref="M114" si="102">SUM(M111:M113)</f>
        <v>-493</v>
      </c>
      <c r="N114" s="58">
        <f t="shared" ref="N114" si="103">SUM(N111:N113)</f>
        <v>-150</v>
      </c>
      <c r="O114" s="58">
        <f t="shared" ref="O114" si="104">SUM(O111:O113)</f>
        <v>-391</v>
      </c>
      <c r="P114" s="58">
        <f t="shared" ref="P114" si="105">SUM(P111:P113)</f>
        <v>-184</v>
      </c>
      <c r="Q114" s="58">
        <f t="shared" ref="Q114" si="106">SUM(Q111:Q113)</f>
        <v>-934</v>
      </c>
      <c r="S114" s="58">
        <f t="shared" ref="S114" si="107">SUM(S111:S113)</f>
        <v>5189</v>
      </c>
      <c r="T114" s="58">
        <f t="shared" ref="T114" si="108">SUM(T111:T113)</f>
        <v>-1659</v>
      </c>
      <c r="U114" s="27"/>
      <c r="V114" s="23">
        <f>SUM(T114/S114)-1</f>
        <v>-1.319714781268067</v>
      </c>
    </row>
    <row r="115" spans="2:22" ht="15.75" x14ac:dyDescent="0.25">
      <c r="B115" s="147"/>
      <c r="C115" s="59"/>
      <c r="D115" s="59"/>
      <c r="E115" s="59"/>
      <c r="F115" s="49"/>
      <c r="G115" s="59"/>
      <c r="H115" s="59"/>
      <c r="I115" s="59"/>
      <c r="J115" s="59"/>
      <c r="K115" s="59"/>
      <c r="L115" s="59"/>
      <c r="M115" s="59"/>
      <c r="N115" s="59"/>
      <c r="O115" s="59"/>
      <c r="P115" s="59"/>
      <c r="Q115" s="59"/>
      <c r="S115" s="27"/>
      <c r="T115" s="27"/>
      <c r="U115" s="27"/>
      <c r="V115" s="38"/>
    </row>
    <row r="116" spans="2:22" ht="15.75" x14ac:dyDescent="0.25">
      <c r="B116" s="94" t="s">
        <v>152</v>
      </c>
      <c r="C116" s="60"/>
      <c r="D116" s="60"/>
      <c r="E116" s="60"/>
      <c r="F116" s="49"/>
      <c r="G116" s="60"/>
      <c r="H116" s="60"/>
      <c r="I116" s="60"/>
      <c r="J116" s="60"/>
      <c r="K116" s="60"/>
      <c r="L116" s="60"/>
      <c r="M116" s="60"/>
      <c r="N116" s="60"/>
      <c r="O116" s="60"/>
      <c r="P116" s="60"/>
      <c r="Q116" s="60"/>
      <c r="S116" s="60"/>
      <c r="T116" s="60"/>
      <c r="U116" s="61"/>
    </row>
    <row r="117" spans="2:22" x14ac:dyDescent="0.25">
      <c r="B117" s="152" t="s">
        <v>117</v>
      </c>
      <c r="C117" s="62">
        <v>0</v>
      </c>
      <c r="D117" s="62">
        <v>0</v>
      </c>
      <c r="E117" s="62">
        <v>0</v>
      </c>
      <c r="F117" s="49"/>
      <c r="G117" s="62"/>
      <c r="H117" s="62"/>
      <c r="I117" s="62"/>
      <c r="J117" s="125">
        <f t="shared" ref="J117:J128" si="109">SUM(D117-SUM(G117:I117))</f>
        <v>0</v>
      </c>
      <c r="K117" s="62"/>
      <c r="L117" s="62"/>
      <c r="M117" s="62"/>
      <c r="N117" s="125">
        <f t="shared" ref="N117:N128" si="110">SUM(E117-SUM(K117:M117))</f>
        <v>0</v>
      </c>
      <c r="O117" s="62">
        <v>43396</v>
      </c>
      <c r="P117" s="62">
        <f>43396-O117</f>
        <v>0</v>
      </c>
      <c r="Q117" s="62">
        <f>43396-P117-O117</f>
        <v>0</v>
      </c>
      <c r="S117" s="21">
        <f t="shared" ref="S117" si="111">SUM(J117:M117)</f>
        <v>0</v>
      </c>
      <c r="T117" s="21">
        <f t="shared" ref="T117" si="112">SUM(N117:Q117)</f>
        <v>43396</v>
      </c>
      <c r="U117" s="21"/>
      <c r="V117" s="23" t="e">
        <f>SUM(T117/S117)-1</f>
        <v>#DIV/0!</v>
      </c>
    </row>
    <row r="118" spans="2:22" x14ac:dyDescent="0.25">
      <c r="B118" s="152" t="s">
        <v>118</v>
      </c>
      <c r="C118" s="62">
        <v>0</v>
      </c>
      <c r="D118" s="62">
        <v>0</v>
      </c>
      <c r="E118" s="62">
        <v>0</v>
      </c>
      <c r="F118" s="49"/>
      <c r="G118" s="62"/>
      <c r="H118" s="62"/>
      <c r="I118" s="62"/>
      <c r="J118" s="125">
        <f t="shared" si="109"/>
        <v>0</v>
      </c>
      <c r="K118" s="62"/>
      <c r="L118" s="62"/>
      <c r="M118" s="62"/>
      <c r="N118" s="125">
        <f t="shared" si="110"/>
        <v>0</v>
      </c>
      <c r="O118" s="62"/>
      <c r="P118" s="62">
        <f>-350-O118</f>
        <v>-350</v>
      </c>
      <c r="Q118" s="62">
        <f>-350-P118-O118</f>
        <v>0</v>
      </c>
      <c r="S118" s="21">
        <f t="shared" ref="S118:S128" si="113">SUM(J118:M118)</f>
        <v>0</v>
      </c>
      <c r="T118" s="21">
        <f t="shared" ref="T118:T128" si="114">SUM(N118:Q118)</f>
        <v>-350</v>
      </c>
      <c r="U118" s="21"/>
      <c r="V118" s="23" t="e">
        <f t="shared" ref="V118:V129" si="115">SUM(T118/S118)-1</f>
        <v>#DIV/0!</v>
      </c>
    </row>
    <row r="119" spans="2:22" x14ac:dyDescent="0.25">
      <c r="B119" s="152" t="s">
        <v>119</v>
      </c>
      <c r="C119" s="62">
        <v>0</v>
      </c>
      <c r="D119" s="62">
        <v>0</v>
      </c>
      <c r="E119" s="62">
        <v>39377</v>
      </c>
      <c r="F119" s="49"/>
      <c r="G119" s="62"/>
      <c r="H119" s="62"/>
      <c r="I119" s="62"/>
      <c r="J119" s="125">
        <f t="shared" si="109"/>
        <v>0</v>
      </c>
      <c r="K119" s="62"/>
      <c r="L119" s="62">
        <f>39377-K119</f>
        <v>39377</v>
      </c>
      <c r="M119" s="62">
        <f>39377-L119-K119</f>
        <v>0</v>
      </c>
      <c r="N119" s="125">
        <f t="shared" si="110"/>
        <v>0</v>
      </c>
      <c r="O119" s="62">
        <v>20000</v>
      </c>
      <c r="P119" s="62">
        <f>20000-O119</f>
        <v>0</v>
      </c>
      <c r="Q119" s="62">
        <f>20000-P119-O119</f>
        <v>0</v>
      </c>
      <c r="S119" s="21">
        <f t="shared" si="113"/>
        <v>39377</v>
      </c>
      <c r="T119" s="21">
        <f t="shared" si="114"/>
        <v>20000</v>
      </c>
      <c r="U119" s="21"/>
      <c r="V119" s="23">
        <f t="shared" si="115"/>
        <v>-0.49208929070269447</v>
      </c>
    </row>
    <row r="120" spans="2:22" x14ac:dyDescent="0.25">
      <c r="B120" s="152" t="s">
        <v>120</v>
      </c>
      <c r="C120" s="62">
        <v>0</v>
      </c>
      <c r="D120" s="62">
        <v>0</v>
      </c>
      <c r="E120" s="62">
        <v>-1450</v>
      </c>
      <c r="F120" s="49"/>
      <c r="G120" s="62"/>
      <c r="H120" s="62"/>
      <c r="I120" s="62"/>
      <c r="J120" s="125">
        <f t="shared" si="109"/>
        <v>0</v>
      </c>
      <c r="K120" s="62"/>
      <c r="L120" s="62">
        <f>-1164-K120</f>
        <v>-1164</v>
      </c>
      <c r="M120" s="62">
        <f>-1450-L120-K120</f>
        <v>-286</v>
      </c>
      <c r="N120" s="125">
        <f t="shared" si="110"/>
        <v>0</v>
      </c>
      <c r="O120" s="62"/>
      <c r="P120" s="62">
        <f>-500-O120</f>
        <v>-500</v>
      </c>
      <c r="Q120" s="62">
        <f>-500-P120-O120</f>
        <v>0</v>
      </c>
      <c r="S120" s="21">
        <f t="shared" si="113"/>
        <v>-1450</v>
      </c>
      <c r="T120" s="21">
        <f t="shared" si="114"/>
        <v>-500</v>
      </c>
      <c r="U120" s="21"/>
      <c r="V120" s="23">
        <f t="shared" si="115"/>
        <v>-0.65517241379310343</v>
      </c>
    </row>
    <row r="121" spans="2:22" x14ac:dyDescent="0.25">
      <c r="B121" s="152" t="s">
        <v>121</v>
      </c>
      <c r="C121" s="62">
        <v>0</v>
      </c>
      <c r="D121" s="62">
        <v>0</v>
      </c>
      <c r="E121" s="62">
        <v>0</v>
      </c>
      <c r="F121" s="49"/>
      <c r="G121" s="62"/>
      <c r="H121" s="62"/>
      <c r="I121" s="62"/>
      <c r="J121" s="125">
        <f t="shared" si="109"/>
        <v>0</v>
      </c>
      <c r="K121" s="62"/>
      <c r="L121" s="62"/>
      <c r="M121" s="62"/>
      <c r="N121" s="125">
        <f t="shared" si="110"/>
        <v>0</v>
      </c>
      <c r="O121" s="62"/>
      <c r="P121" s="62"/>
      <c r="Q121" s="62">
        <f>1013-P121-O121</f>
        <v>1013</v>
      </c>
      <c r="S121" s="21">
        <f t="shared" si="113"/>
        <v>0</v>
      </c>
      <c r="T121" s="21">
        <f t="shared" si="114"/>
        <v>1013</v>
      </c>
      <c r="U121" s="21"/>
      <c r="V121" s="23" t="e">
        <f t="shared" si="115"/>
        <v>#DIV/0!</v>
      </c>
    </row>
    <row r="122" spans="2:22" x14ac:dyDescent="0.25">
      <c r="B122" s="152" t="s">
        <v>122</v>
      </c>
      <c r="C122" s="62">
        <v>29659</v>
      </c>
      <c r="D122" s="62">
        <v>0</v>
      </c>
      <c r="E122" s="62">
        <v>-31500</v>
      </c>
      <c r="F122" s="49"/>
      <c r="G122" s="62"/>
      <c r="H122" s="62"/>
      <c r="I122" s="62"/>
      <c r="J122" s="125">
        <f t="shared" si="109"/>
        <v>0</v>
      </c>
      <c r="K122" s="62"/>
      <c r="L122" s="62">
        <f>-31500-K122</f>
        <v>-31500</v>
      </c>
      <c r="M122" s="62">
        <f>-31500-L122-K122</f>
        <v>0</v>
      </c>
      <c r="N122" s="125">
        <f t="shared" si="110"/>
        <v>0</v>
      </c>
      <c r="O122" s="62"/>
      <c r="P122" s="62"/>
      <c r="Q122" s="62"/>
      <c r="S122" s="21">
        <f t="shared" si="113"/>
        <v>-31500</v>
      </c>
      <c r="T122" s="21">
        <f t="shared" si="114"/>
        <v>0</v>
      </c>
      <c r="U122" s="21"/>
      <c r="V122" s="23">
        <f t="shared" si="115"/>
        <v>-1</v>
      </c>
    </row>
    <row r="123" spans="2:22" x14ac:dyDescent="0.25">
      <c r="B123" s="152" t="s">
        <v>123</v>
      </c>
      <c r="C123" s="62">
        <v>0</v>
      </c>
      <c r="D123" s="62">
        <v>0</v>
      </c>
      <c r="E123" s="62">
        <v>-310</v>
      </c>
      <c r="F123" s="49"/>
      <c r="G123" s="62"/>
      <c r="H123" s="62"/>
      <c r="I123" s="62"/>
      <c r="J123" s="125">
        <f t="shared" si="109"/>
        <v>0</v>
      </c>
      <c r="K123" s="62"/>
      <c r="L123" s="62">
        <f>-310--K123</f>
        <v>-310</v>
      </c>
      <c r="M123" s="62">
        <f>-310-L123-K123</f>
        <v>0</v>
      </c>
      <c r="N123" s="125">
        <f t="shared" si="110"/>
        <v>0</v>
      </c>
      <c r="O123" s="62"/>
      <c r="P123" s="62"/>
      <c r="Q123" s="62"/>
      <c r="S123" s="21">
        <f t="shared" si="113"/>
        <v>-310</v>
      </c>
      <c r="T123" s="21">
        <f t="shared" si="114"/>
        <v>0</v>
      </c>
      <c r="U123" s="21"/>
      <c r="V123" s="23">
        <f t="shared" si="115"/>
        <v>-1</v>
      </c>
    </row>
    <row r="124" spans="2:22" x14ac:dyDescent="0.25">
      <c r="B124" s="152" t="s">
        <v>124</v>
      </c>
      <c r="C124" s="62">
        <v>598</v>
      </c>
      <c r="D124" s="62">
        <v>535</v>
      </c>
      <c r="E124" s="62">
        <v>566</v>
      </c>
      <c r="F124" s="49"/>
      <c r="G124" s="62">
        <v>1</v>
      </c>
      <c r="H124" s="62">
        <f>12-G124</f>
        <v>11</v>
      </c>
      <c r="I124" s="62">
        <f>229-H124-G124</f>
        <v>217</v>
      </c>
      <c r="J124" s="125">
        <f t="shared" si="109"/>
        <v>306</v>
      </c>
      <c r="K124" s="62">
        <v>119</v>
      </c>
      <c r="L124" s="62">
        <f>214-K124</f>
        <v>95</v>
      </c>
      <c r="M124" s="62">
        <f>313-L124-K124</f>
        <v>99</v>
      </c>
      <c r="N124" s="125">
        <f t="shared" si="110"/>
        <v>253</v>
      </c>
      <c r="O124" s="62">
        <v>2</v>
      </c>
      <c r="P124" s="62">
        <f>789-O124</f>
        <v>787</v>
      </c>
      <c r="Q124" s="62">
        <f>1284-P124-O124</f>
        <v>495</v>
      </c>
      <c r="S124" s="21">
        <f t="shared" si="113"/>
        <v>619</v>
      </c>
      <c r="T124" s="21">
        <f t="shared" si="114"/>
        <v>1537</v>
      </c>
      <c r="U124" s="21"/>
      <c r="V124" s="23">
        <f t="shared" si="115"/>
        <v>1.4830371567043619</v>
      </c>
    </row>
    <row r="125" spans="2:22" x14ac:dyDescent="0.25">
      <c r="B125" s="152" t="s">
        <v>125</v>
      </c>
      <c r="C125" s="62">
        <v>0</v>
      </c>
      <c r="D125" s="62">
        <v>0</v>
      </c>
      <c r="E125" s="62">
        <v>80</v>
      </c>
      <c r="F125" s="49"/>
      <c r="G125" s="62"/>
      <c r="H125" s="62"/>
      <c r="I125" s="62"/>
      <c r="J125" s="125">
        <f t="shared" si="109"/>
        <v>0</v>
      </c>
      <c r="K125" s="62"/>
      <c r="L125" s="62">
        <f>80-K125</f>
        <v>80</v>
      </c>
      <c r="M125" s="62">
        <f>80-L125-K125</f>
        <v>0</v>
      </c>
      <c r="N125" s="125">
        <f t="shared" si="110"/>
        <v>0</v>
      </c>
      <c r="O125" s="62"/>
      <c r="P125" s="62">
        <f>240-O125</f>
        <v>240</v>
      </c>
      <c r="Q125" s="62">
        <f>240-P125-O1253</f>
        <v>0</v>
      </c>
      <c r="S125" s="21">
        <f t="shared" si="113"/>
        <v>80</v>
      </c>
      <c r="T125" s="21">
        <f t="shared" si="114"/>
        <v>240</v>
      </c>
      <c r="U125" s="21"/>
      <c r="V125" s="23">
        <f t="shared" si="115"/>
        <v>2</v>
      </c>
    </row>
    <row r="126" spans="2:22" x14ac:dyDescent="0.25">
      <c r="B126" s="152" t="s">
        <v>126</v>
      </c>
      <c r="C126" s="62">
        <v>-1729</v>
      </c>
      <c r="D126" s="62">
        <v>-1981</v>
      </c>
      <c r="E126" s="62">
        <v>-2256</v>
      </c>
      <c r="F126" s="49"/>
      <c r="G126" s="62">
        <v>-462</v>
      </c>
      <c r="H126" s="62">
        <f>-957-G126</f>
        <v>-495</v>
      </c>
      <c r="I126" s="62">
        <f>-1463-H126-G126</f>
        <v>-506</v>
      </c>
      <c r="J126" s="125">
        <f t="shared" si="109"/>
        <v>-518</v>
      </c>
      <c r="K126" s="62">
        <v>-528</v>
      </c>
      <c r="L126" s="62">
        <f>-1091-K126</f>
        <v>-563</v>
      </c>
      <c r="M126" s="62">
        <f>-1668-L126-K126</f>
        <v>-577</v>
      </c>
      <c r="N126" s="125">
        <f t="shared" si="110"/>
        <v>-588</v>
      </c>
      <c r="O126" s="62">
        <v>-603</v>
      </c>
      <c r="P126" s="62">
        <f>-1247-O126</f>
        <v>-644</v>
      </c>
      <c r="Q126" s="62">
        <f>-1906-P126-O126</f>
        <v>-659</v>
      </c>
      <c r="S126" s="21">
        <f t="shared" si="113"/>
        <v>-2186</v>
      </c>
      <c r="T126" s="21">
        <f t="shared" si="114"/>
        <v>-2494</v>
      </c>
      <c r="U126" s="21"/>
      <c r="V126" s="23">
        <f t="shared" si="115"/>
        <v>0.14089661482159199</v>
      </c>
    </row>
    <row r="127" spans="2:22" x14ac:dyDescent="0.25">
      <c r="B127" s="152" t="s">
        <v>127</v>
      </c>
      <c r="C127" s="62">
        <v>242400</v>
      </c>
      <c r="D127" s="62">
        <v>0</v>
      </c>
      <c r="E127" s="62">
        <v>0</v>
      </c>
      <c r="F127" s="49"/>
      <c r="G127" s="62"/>
      <c r="H127" s="62"/>
      <c r="I127" s="62"/>
      <c r="J127" s="125">
        <f t="shared" si="109"/>
        <v>0</v>
      </c>
      <c r="K127" s="62"/>
      <c r="L127" s="62"/>
      <c r="M127" s="62"/>
      <c r="N127" s="125">
        <f t="shared" si="110"/>
        <v>0</v>
      </c>
      <c r="O127" s="62"/>
      <c r="P127" s="62"/>
      <c r="Q127" s="62"/>
      <c r="S127" s="21">
        <f t="shared" si="113"/>
        <v>0</v>
      </c>
      <c r="T127" s="21">
        <f t="shared" si="114"/>
        <v>0</v>
      </c>
      <c r="U127" s="21"/>
      <c r="V127" s="23" t="e">
        <f t="shared" si="115"/>
        <v>#DIV/0!</v>
      </c>
    </row>
    <row r="128" spans="2:22" x14ac:dyDescent="0.25">
      <c r="B128" s="152" t="s">
        <v>128</v>
      </c>
      <c r="C128" s="62">
        <v>-3945</v>
      </c>
      <c r="D128" s="62">
        <v>0</v>
      </c>
      <c r="E128" s="62">
        <v>0</v>
      </c>
      <c r="F128" s="49"/>
      <c r="G128" s="62"/>
      <c r="H128" s="62"/>
      <c r="I128" s="62"/>
      <c r="J128" s="125">
        <f t="shared" si="109"/>
        <v>0</v>
      </c>
      <c r="K128" s="62"/>
      <c r="L128" s="62"/>
      <c r="M128" s="62"/>
      <c r="N128" s="125">
        <f t="shared" si="110"/>
        <v>0</v>
      </c>
      <c r="O128" s="62"/>
      <c r="P128" s="62"/>
      <c r="Q128" s="62"/>
      <c r="S128" s="21">
        <f t="shared" si="113"/>
        <v>0</v>
      </c>
      <c r="T128" s="21">
        <f t="shared" si="114"/>
        <v>0</v>
      </c>
      <c r="U128" s="21"/>
      <c r="V128" s="23" t="e">
        <f t="shared" si="115"/>
        <v>#DIV/0!</v>
      </c>
    </row>
    <row r="129" spans="2:22" ht="15.75" x14ac:dyDescent="0.25">
      <c r="B129" s="99" t="s">
        <v>153</v>
      </c>
      <c r="C129" s="58">
        <f>SUM(C117:C128)</f>
        <v>266983</v>
      </c>
      <c r="D129" s="58">
        <f>SUM(D117:D128)</f>
        <v>-1446</v>
      </c>
      <c r="E129" s="58">
        <f>SUM(E117:E128)</f>
        <v>4507</v>
      </c>
      <c r="F129" s="49"/>
      <c r="G129" s="58">
        <f>SUM(G117:G128)</f>
        <v>-461</v>
      </c>
      <c r="H129" s="58">
        <f>SUM(H117:H128)</f>
        <v>-484</v>
      </c>
      <c r="I129" s="58">
        <f>SUM(I117:I128)</f>
        <v>-289</v>
      </c>
      <c r="J129" s="58">
        <f>SUM(J117:J128)</f>
        <v>-212</v>
      </c>
      <c r="K129" s="58">
        <f>SUM(K117:K128)</f>
        <v>-409</v>
      </c>
      <c r="L129" s="58">
        <f>SUM(L117:L128)</f>
        <v>6015</v>
      </c>
      <c r="M129" s="58">
        <f>SUM(M117:M128)</f>
        <v>-764</v>
      </c>
      <c r="N129" s="58">
        <f>SUM(N117:N128)</f>
        <v>-335</v>
      </c>
      <c r="O129" s="58">
        <f>SUM(O117:O128)</f>
        <v>62795</v>
      </c>
      <c r="P129" s="58">
        <f>SUM(P117:P128)</f>
        <v>-467</v>
      </c>
      <c r="Q129" s="58">
        <f>SUM(Q117:Q128)</f>
        <v>849</v>
      </c>
      <c r="S129" s="58">
        <f t="shared" ref="S129:T129" si="116">SUM(S117:S128)</f>
        <v>4630</v>
      </c>
      <c r="T129" s="58">
        <f t="shared" si="116"/>
        <v>62842</v>
      </c>
      <c r="U129" s="27"/>
      <c r="V129" s="23">
        <f t="shared" si="115"/>
        <v>12.572786177105831</v>
      </c>
    </row>
    <row r="130" spans="2:22" ht="15.75" x14ac:dyDescent="0.25">
      <c r="B130" s="94"/>
      <c r="C130" s="59"/>
      <c r="D130" s="59"/>
      <c r="E130" s="59"/>
      <c r="F130" s="49"/>
      <c r="G130" s="59"/>
      <c r="H130" s="59"/>
      <c r="I130" s="59"/>
      <c r="J130" s="59"/>
      <c r="K130" s="59"/>
      <c r="L130" s="59"/>
      <c r="M130" s="59"/>
      <c r="N130" s="59"/>
      <c r="O130" s="59"/>
      <c r="P130" s="59"/>
      <c r="Q130" s="59"/>
      <c r="S130" s="27"/>
      <c r="T130" s="27"/>
      <c r="U130" s="27"/>
      <c r="V130" s="38"/>
    </row>
    <row r="131" spans="2:22" x14ac:dyDescent="0.25">
      <c r="B131" s="98" t="s">
        <v>129</v>
      </c>
      <c r="C131" s="100">
        <v>177573</v>
      </c>
      <c r="D131" s="100">
        <v>-67730</v>
      </c>
      <c r="E131" s="100">
        <v>-68971</v>
      </c>
      <c r="F131" s="102"/>
      <c r="G131" s="100">
        <v>-19280</v>
      </c>
      <c r="H131" s="97">
        <f>-36467-G131</f>
        <v>-17187</v>
      </c>
      <c r="I131" s="97">
        <f>-53771-H131-G131</f>
        <v>-17304</v>
      </c>
      <c r="J131" s="97">
        <f>SUM(G131:I131)-D131</f>
        <v>13959</v>
      </c>
      <c r="K131" s="100">
        <v>-20202</v>
      </c>
      <c r="L131" s="97">
        <f>-35168-K131</f>
        <v>-14966</v>
      </c>
      <c r="M131" s="97">
        <f>-49432-L131-K131</f>
        <v>-14264</v>
      </c>
      <c r="N131" s="97">
        <f>SUM(K131:M131)-E131</f>
        <v>19539</v>
      </c>
      <c r="O131" s="100">
        <v>35057</v>
      </c>
      <c r="P131" s="97">
        <f>13115-O131</f>
        <v>-21942</v>
      </c>
      <c r="Q131" s="97">
        <f>-9877-P131-O131</f>
        <v>-22992</v>
      </c>
      <c r="S131" s="21"/>
      <c r="T131" s="21"/>
      <c r="U131" s="21"/>
      <c r="V131" s="38"/>
    </row>
    <row r="132" spans="2:22" x14ac:dyDescent="0.25">
      <c r="B132" s="98" t="s">
        <v>130</v>
      </c>
      <c r="C132" s="100">
        <v>39929</v>
      </c>
      <c r="D132" s="100">
        <v>217502</v>
      </c>
      <c r="E132" s="100">
        <v>149772</v>
      </c>
      <c r="F132" s="102"/>
      <c r="G132" s="100">
        <v>217502</v>
      </c>
      <c r="H132" s="100">
        <v>217502</v>
      </c>
      <c r="I132" s="100">
        <v>217502</v>
      </c>
      <c r="J132" s="97">
        <f t="shared" ref="J132:J133" si="117">SUM(G132:I132)-D132</f>
        <v>435004</v>
      </c>
      <c r="K132" s="100">
        <v>149772</v>
      </c>
      <c r="L132" s="100">
        <v>149772</v>
      </c>
      <c r="M132" s="100">
        <v>149772</v>
      </c>
      <c r="N132" s="97">
        <f t="shared" ref="N132:N133" si="118">SUM(K132:M132)-E132</f>
        <v>299544</v>
      </c>
      <c r="O132" s="100">
        <v>80801</v>
      </c>
      <c r="P132" s="100">
        <v>80801</v>
      </c>
      <c r="Q132" s="100">
        <v>80801</v>
      </c>
      <c r="S132" s="21"/>
      <c r="T132" s="21"/>
      <c r="U132" s="21"/>
      <c r="V132" s="38"/>
    </row>
    <row r="133" spans="2:22" x14ac:dyDescent="0.25">
      <c r="B133" s="98" t="s">
        <v>131</v>
      </c>
      <c r="C133" s="100">
        <v>217502</v>
      </c>
      <c r="D133" s="100">
        <v>149772</v>
      </c>
      <c r="E133" s="100">
        <v>80801</v>
      </c>
      <c r="F133" s="102"/>
      <c r="G133" s="100">
        <v>198222</v>
      </c>
      <c r="H133" s="100">
        <v>181035</v>
      </c>
      <c r="I133" s="100">
        <v>163731</v>
      </c>
      <c r="J133" s="97">
        <f t="shared" si="117"/>
        <v>393216</v>
      </c>
      <c r="K133" s="100">
        <v>129570</v>
      </c>
      <c r="L133" s="100">
        <v>114604</v>
      </c>
      <c r="M133" s="100">
        <v>100340</v>
      </c>
      <c r="N133" s="97">
        <f t="shared" si="118"/>
        <v>263713</v>
      </c>
      <c r="O133" s="100">
        <v>115858</v>
      </c>
      <c r="P133" s="100">
        <v>93916</v>
      </c>
      <c r="Q133" s="100">
        <v>70924</v>
      </c>
      <c r="S133" s="21"/>
      <c r="T133" s="21"/>
      <c r="U133" s="21"/>
      <c r="V133" s="38"/>
    </row>
    <row r="134" spans="2:22" x14ac:dyDescent="0.25">
      <c r="B134" s="98"/>
      <c r="C134" s="63"/>
      <c r="D134" s="63"/>
      <c r="E134" s="63"/>
      <c r="F134" s="49"/>
      <c r="G134" s="63"/>
      <c r="H134" s="63"/>
      <c r="I134" s="63"/>
      <c r="J134" s="63"/>
      <c r="K134" s="63"/>
      <c r="L134" s="63"/>
      <c r="M134" s="63"/>
      <c r="N134" s="63"/>
      <c r="O134" s="63"/>
      <c r="P134" s="63"/>
      <c r="Q134" s="63"/>
      <c r="S134" s="21"/>
      <c r="T134" s="21"/>
      <c r="U134" s="21"/>
      <c r="V134" s="38"/>
    </row>
    <row r="135" spans="2:22" x14ac:dyDescent="0.25">
      <c r="B135" s="148" t="s">
        <v>132</v>
      </c>
      <c r="C135" s="56"/>
      <c r="D135" s="56"/>
      <c r="E135" s="56"/>
      <c r="F135" s="49"/>
      <c r="G135" s="56"/>
      <c r="H135" s="56"/>
      <c r="I135" s="56"/>
      <c r="J135" s="56"/>
      <c r="K135" s="56"/>
      <c r="L135" s="56"/>
      <c r="M135" s="56"/>
      <c r="N135" s="56"/>
      <c r="O135" s="56"/>
      <c r="P135" s="56"/>
      <c r="Q135" s="56"/>
      <c r="S135" s="56"/>
      <c r="T135" s="56"/>
      <c r="U135" s="64"/>
    </row>
    <row r="136" spans="2:22" x14ac:dyDescent="0.25">
      <c r="B136" s="153" t="s">
        <v>133</v>
      </c>
      <c r="C136" s="62">
        <v>1123</v>
      </c>
      <c r="D136" s="62">
        <v>2668</v>
      </c>
      <c r="E136" s="62">
        <v>1613</v>
      </c>
      <c r="F136" s="45"/>
      <c r="G136" s="62">
        <v>563</v>
      </c>
      <c r="H136" s="62">
        <f>1165-G136</f>
        <v>602</v>
      </c>
      <c r="I136" s="62">
        <f>1867-H136-G136</f>
        <v>702</v>
      </c>
      <c r="J136" s="97">
        <f t="shared" ref="J136" si="119">SUM(G136:I136)-D136</f>
        <v>-801</v>
      </c>
      <c r="K136" s="62">
        <v>881</v>
      </c>
      <c r="L136" s="62">
        <f>1613-K136</f>
        <v>732</v>
      </c>
      <c r="M136" s="62">
        <f>1613-L136-K136</f>
        <v>0</v>
      </c>
      <c r="N136" s="97">
        <f t="shared" ref="N136" si="120">SUM(K136:M136)-E136</f>
        <v>0</v>
      </c>
      <c r="O136" s="62">
        <v>72</v>
      </c>
      <c r="P136" s="62">
        <f>72-O136</f>
        <v>0</v>
      </c>
      <c r="Q136" s="62">
        <f>90-P136-O136</f>
        <v>18</v>
      </c>
      <c r="R136" s="45"/>
      <c r="S136" s="165"/>
      <c r="T136" s="165"/>
      <c r="U136" s="166"/>
      <c r="V136" s="38"/>
    </row>
    <row r="137" spans="2:22" x14ac:dyDescent="0.25">
      <c r="B137" s="149"/>
      <c r="C137" s="62"/>
      <c r="D137" s="62"/>
      <c r="E137" s="62"/>
      <c r="F137" s="45"/>
      <c r="G137" s="62"/>
      <c r="H137" s="62"/>
      <c r="I137" s="62"/>
      <c r="J137" s="62"/>
      <c r="K137" s="62"/>
      <c r="L137" s="62"/>
      <c r="M137" s="62"/>
      <c r="N137" s="62"/>
      <c r="O137" s="62"/>
      <c r="P137" s="62"/>
      <c r="Q137" s="62"/>
      <c r="R137" s="45"/>
      <c r="S137" s="165"/>
      <c r="T137" s="165"/>
      <c r="U137" s="166"/>
      <c r="V137" s="38"/>
    </row>
    <row r="138" spans="2:22" x14ac:dyDescent="0.25">
      <c r="B138" s="148" t="s">
        <v>134</v>
      </c>
      <c r="C138" s="62"/>
      <c r="D138" s="62"/>
      <c r="E138" s="62"/>
      <c r="F138" s="45"/>
      <c r="G138" s="62"/>
      <c r="H138" s="62"/>
      <c r="I138" s="62"/>
      <c r="J138" s="62"/>
      <c r="K138" s="62"/>
      <c r="L138" s="62"/>
      <c r="M138" s="62"/>
      <c r="N138" s="62"/>
      <c r="O138" s="62"/>
      <c r="P138" s="62"/>
      <c r="Q138" s="62"/>
      <c r="R138" s="45"/>
      <c r="S138" s="165"/>
      <c r="T138" s="165"/>
      <c r="U138" s="166"/>
      <c r="V138" s="38"/>
    </row>
    <row r="139" spans="2:22" x14ac:dyDescent="0.25">
      <c r="B139" s="153" t="s">
        <v>135</v>
      </c>
      <c r="C139" s="62">
        <v>21</v>
      </c>
      <c r="D139" s="150">
        <v>135</v>
      </c>
      <c r="E139" s="150">
        <v>284</v>
      </c>
      <c r="F139" s="45"/>
      <c r="G139" s="62">
        <v>30</v>
      </c>
      <c r="H139" s="62">
        <f>90-G139</f>
        <v>60</v>
      </c>
      <c r="I139" s="62">
        <f>198-H139-G139</f>
        <v>108</v>
      </c>
      <c r="J139" s="97">
        <f t="shared" ref="J139:J149" si="121">SUM(G139:I139)-D139</f>
        <v>63</v>
      </c>
      <c r="K139" s="62">
        <v>95</v>
      </c>
      <c r="L139" s="62">
        <f>37-K139</f>
        <v>-58</v>
      </c>
      <c r="M139" s="62">
        <f>167-L139-K139</f>
        <v>130</v>
      </c>
      <c r="N139" s="97">
        <f t="shared" ref="N139:N149" si="122">SUM(K139:M139)-E139</f>
        <v>-117</v>
      </c>
      <c r="O139" s="62"/>
      <c r="P139" s="62"/>
      <c r="Q139" s="62"/>
      <c r="R139" s="45"/>
      <c r="S139" s="165"/>
      <c r="T139" s="165"/>
      <c r="U139" s="166"/>
      <c r="V139" s="38"/>
    </row>
    <row r="140" spans="2:22" x14ac:dyDescent="0.25">
      <c r="B140" s="153" t="s">
        <v>136</v>
      </c>
      <c r="C140" s="62">
        <v>0</v>
      </c>
      <c r="D140" s="62">
        <v>0</v>
      </c>
      <c r="E140" s="62">
        <v>2354</v>
      </c>
      <c r="F140" s="45"/>
      <c r="G140" s="62"/>
      <c r="H140" s="62"/>
      <c r="I140" s="62"/>
      <c r="J140" s="97">
        <f t="shared" si="121"/>
        <v>0</v>
      </c>
      <c r="K140" s="62"/>
      <c r="L140" s="62"/>
      <c r="M140" s="62">
        <f>2354-L140-K140</f>
        <v>2354</v>
      </c>
      <c r="N140" s="97">
        <f t="shared" si="122"/>
        <v>0</v>
      </c>
      <c r="O140" s="62"/>
      <c r="P140" s="62"/>
      <c r="Q140" s="62"/>
      <c r="R140" s="45"/>
      <c r="S140" s="165"/>
      <c r="T140" s="165"/>
      <c r="U140" s="166"/>
      <c r="V140" s="38"/>
    </row>
    <row r="141" spans="2:22" x14ac:dyDescent="0.25">
      <c r="B141" s="153" t="s">
        <v>137</v>
      </c>
      <c r="C141" s="62">
        <v>3275</v>
      </c>
      <c r="D141" s="62"/>
      <c r="E141" s="150"/>
      <c r="F141" s="45"/>
      <c r="G141" s="150"/>
      <c r="H141" s="150"/>
      <c r="I141" s="62"/>
      <c r="J141" s="97">
        <f t="shared" si="121"/>
        <v>0</v>
      </c>
      <c r="K141" s="62"/>
      <c r="L141" s="62"/>
      <c r="M141" s="62"/>
      <c r="N141" s="97">
        <f t="shared" si="122"/>
        <v>0</v>
      </c>
      <c r="O141" s="62"/>
      <c r="P141" s="62"/>
      <c r="Q141" s="62"/>
      <c r="R141" s="45"/>
      <c r="S141" s="165"/>
      <c r="T141" s="165"/>
      <c r="U141" s="166"/>
      <c r="V141" s="38"/>
    </row>
    <row r="142" spans="2:22" x14ac:dyDescent="0.25">
      <c r="B142" s="153" t="s">
        <v>138</v>
      </c>
      <c r="C142" s="150">
        <v>130</v>
      </c>
      <c r="D142" s="150"/>
      <c r="E142" s="150"/>
      <c r="F142" s="45"/>
      <c r="G142" s="150">
        <v>130</v>
      </c>
      <c r="H142" s="150"/>
      <c r="I142" s="45"/>
      <c r="J142" s="97">
        <f t="shared" si="121"/>
        <v>130</v>
      </c>
      <c r="K142" s="45"/>
      <c r="L142" s="45"/>
      <c r="M142" s="45"/>
      <c r="N142" s="97">
        <f t="shared" si="122"/>
        <v>0</v>
      </c>
      <c r="O142" s="45"/>
      <c r="P142" s="45"/>
      <c r="Q142" s="45"/>
      <c r="R142" s="45"/>
      <c r="S142" s="45"/>
      <c r="T142" s="45"/>
      <c r="V142" s="38"/>
    </row>
    <row r="143" spans="2:22" x14ac:dyDescent="0.25">
      <c r="B143" s="153" t="s">
        <v>139</v>
      </c>
      <c r="C143" s="150">
        <v>0</v>
      </c>
      <c r="D143" s="150"/>
      <c r="E143" s="150"/>
      <c r="F143" s="45"/>
      <c r="G143" s="150"/>
      <c r="H143" s="150"/>
      <c r="I143" s="45"/>
      <c r="J143" s="97">
        <f t="shared" si="121"/>
        <v>0</v>
      </c>
      <c r="K143" s="45"/>
      <c r="L143" s="45"/>
      <c r="M143" s="45"/>
      <c r="N143" s="97">
        <f t="shared" si="122"/>
        <v>0</v>
      </c>
      <c r="O143" s="45">
        <v>1552</v>
      </c>
      <c r="P143" s="45">
        <f>1552-O143</f>
        <v>0</v>
      </c>
      <c r="Q143" s="45">
        <f>1552-P143-O143</f>
        <v>0</v>
      </c>
      <c r="R143" s="45"/>
      <c r="S143" s="45"/>
      <c r="T143" s="45"/>
    </row>
    <row r="144" spans="2:22" x14ac:dyDescent="0.25">
      <c r="B144" s="153" t="s">
        <v>140</v>
      </c>
      <c r="C144" s="150">
        <v>0</v>
      </c>
      <c r="D144" s="150"/>
      <c r="E144" s="150"/>
      <c r="F144" s="45"/>
      <c r="G144" s="45"/>
      <c r="H144" s="45"/>
      <c r="I144" s="45"/>
      <c r="J144" s="97">
        <f t="shared" si="121"/>
        <v>0</v>
      </c>
      <c r="K144" s="45"/>
      <c r="L144" s="45"/>
      <c r="M144" s="45"/>
      <c r="N144" s="97">
        <f t="shared" si="122"/>
        <v>0</v>
      </c>
      <c r="O144" s="45"/>
      <c r="P144" s="45"/>
      <c r="Q144" s="45">
        <f>708-P144-O144</f>
        <v>708</v>
      </c>
      <c r="R144" s="45"/>
      <c r="S144" s="45"/>
      <c r="T144" s="45"/>
    </row>
    <row r="145" spans="2:20" x14ac:dyDescent="0.25">
      <c r="B145" s="153" t="s">
        <v>141</v>
      </c>
      <c r="C145" s="150">
        <v>0</v>
      </c>
      <c r="D145" s="150"/>
      <c r="E145" s="150"/>
      <c r="F145" s="45"/>
      <c r="G145" s="45"/>
      <c r="H145" s="45"/>
      <c r="I145" s="45"/>
      <c r="J145" s="97">
        <f t="shared" si="121"/>
        <v>0</v>
      </c>
      <c r="K145" s="45"/>
      <c r="L145" s="45"/>
      <c r="M145" s="45"/>
      <c r="N145" s="97">
        <f t="shared" si="122"/>
        <v>0</v>
      </c>
      <c r="O145" s="45">
        <v>350</v>
      </c>
      <c r="P145" s="45"/>
      <c r="Q145" s="45"/>
      <c r="R145" s="45"/>
      <c r="S145" s="45"/>
      <c r="T145" s="45"/>
    </row>
    <row r="146" spans="2:20" x14ac:dyDescent="0.25">
      <c r="B146" s="153" t="s">
        <v>142</v>
      </c>
      <c r="C146" s="150">
        <v>0</v>
      </c>
      <c r="D146" s="150"/>
      <c r="E146" s="150"/>
      <c r="F146" s="45"/>
      <c r="G146" s="45"/>
      <c r="H146" s="45"/>
      <c r="I146" s="45"/>
      <c r="J146" s="97">
        <f t="shared" si="121"/>
        <v>0</v>
      </c>
      <c r="K146" s="45"/>
      <c r="L146" s="45">
        <f>286-K146</f>
        <v>286</v>
      </c>
      <c r="M146" s="45"/>
      <c r="N146" s="97">
        <f t="shared" si="122"/>
        <v>286</v>
      </c>
      <c r="O146" s="45">
        <v>500</v>
      </c>
      <c r="P146" s="45"/>
      <c r="Q146" s="45"/>
      <c r="R146" s="45"/>
      <c r="S146" s="45"/>
      <c r="T146" s="45"/>
    </row>
    <row r="147" spans="2:20" x14ac:dyDescent="0.25">
      <c r="B147" s="153" t="s">
        <v>143</v>
      </c>
      <c r="C147" s="150">
        <v>0</v>
      </c>
      <c r="D147" s="150"/>
      <c r="E147" s="150"/>
      <c r="F147" s="45"/>
      <c r="G147" s="45"/>
      <c r="H147" s="45"/>
      <c r="I147" s="45"/>
      <c r="J147" s="97">
        <f t="shared" si="121"/>
        <v>0</v>
      </c>
      <c r="K147" s="45"/>
      <c r="L147" s="45">
        <f>2354-K147</f>
        <v>2354</v>
      </c>
      <c r="M147" s="45"/>
      <c r="N147" s="97">
        <f t="shared" si="122"/>
        <v>2354</v>
      </c>
      <c r="O147" s="45"/>
      <c r="P147" s="45"/>
      <c r="Q147" s="45"/>
      <c r="R147" s="45"/>
      <c r="S147" s="45"/>
      <c r="T147" s="45"/>
    </row>
    <row r="148" spans="2:20" x14ac:dyDescent="0.25">
      <c r="B148" s="153" t="s">
        <v>144</v>
      </c>
      <c r="C148" s="150">
        <v>420989</v>
      </c>
      <c r="D148" s="150"/>
      <c r="E148" s="150"/>
      <c r="F148" s="45"/>
      <c r="G148" s="45"/>
      <c r="H148" s="45"/>
      <c r="I148" s="45"/>
      <c r="J148" s="97">
        <f t="shared" si="121"/>
        <v>0</v>
      </c>
      <c r="K148" s="45"/>
      <c r="L148" s="45"/>
      <c r="M148" s="45"/>
      <c r="N148" s="97">
        <f t="shared" si="122"/>
        <v>0</v>
      </c>
      <c r="O148" s="45"/>
      <c r="P148" s="45"/>
      <c r="Q148" s="45"/>
      <c r="R148" s="45"/>
      <c r="S148" s="45"/>
      <c r="T148" s="45"/>
    </row>
    <row r="149" spans="2:20" x14ac:dyDescent="0.25">
      <c r="B149" s="153" t="s">
        <v>145</v>
      </c>
      <c r="C149" s="150">
        <v>159432</v>
      </c>
      <c r="D149" s="150"/>
      <c r="E149" s="150"/>
      <c r="F149" s="45"/>
      <c r="G149" s="45"/>
      <c r="H149" s="45"/>
      <c r="I149" s="45"/>
      <c r="J149" s="97">
        <f t="shared" si="121"/>
        <v>0</v>
      </c>
      <c r="K149" s="45"/>
      <c r="L149" s="45"/>
      <c r="M149" s="45"/>
      <c r="N149" s="97">
        <f t="shared" si="122"/>
        <v>0</v>
      </c>
      <c r="O149" s="45"/>
      <c r="P149" s="45"/>
      <c r="Q149" s="45"/>
      <c r="R149" s="45"/>
      <c r="S149" s="45"/>
      <c r="T149" s="45"/>
    </row>
    <row r="150" spans="2:20" x14ac:dyDescent="0.25">
      <c r="C150" s="54"/>
      <c r="D150" s="54"/>
      <c r="E150" s="54"/>
    </row>
    <row r="151" spans="2:20" x14ac:dyDescent="0.25">
      <c r="C151" s="54"/>
      <c r="D151" s="54"/>
      <c r="E151" s="54"/>
    </row>
    <row r="152" spans="2:20" x14ac:dyDescent="0.25">
      <c r="C152" s="54"/>
      <c r="D152" s="54"/>
      <c r="E152" s="54"/>
    </row>
    <row r="153" spans="2:20" x14ac:dyDescent="0.25">
      <c r="C153" s="54"/>
      <c r="D153" s="54"/>
      <c r="E153" s="54"/>
    </row>
    <row r="154" spans="2:20" x14ac:dyDescent="0.25">
      <c r="C154" s="54"/>
      <c r="D154" s="54"/>
      <c r="E154" s="54"/>
    </row>
    <row r="155" spans="2:20" x14ac:dyDescent="0.25">
      <c r="B155" s="53"/>
      <c r="C155" s="65"/>
      <c r="D155" s="65"/>
      <c r="E155" s="65"/>
    </row>
    <row r="156" spans="2:20" ht="3.75" customHeight="1" x14ac:dyDescent="0.25">
      <c r="B156" s="53"/>
      <c r="C156" s="65"/>
      <c r="D156" s="65"/>
      <c r="E156" s="65"/>
    </row>
    <row r="157" spans="2:20" x14ac:dyDescent="0.25">
      <c r="C157" s="54"/>
      <c r="D157" s="54"/>
      <c r="E157" s="54"/>
    </row>
    <row r="158" spans="2:20" x14ac:dyDescent="0.25">
      <c r="C158" s="54"/>
      <c r="D158" s="54"/>
      <c r="E158" s="54"/>
    </row>
    <row r="159" spans="2:20" x14ac:dyDescent="0.25">
      <c r="C159" s="54"/>
      <c r="D159" s="54"/>
      <c r="E159" s="54"/>
    </row>
    <row r="160" spans="2:20" x14ac:dyDescent="0.25">
      <c r="C160" s="54"/>
      <c r="D160" s="54"/>
      <c r="E160" s="54"/>
    </row>
    <row r="161" spans="3:5" x14ac:dyDescent="0.25">
      <c r="C161" s="54"/>
      <c r="D161" s="54"/>
      <c r="E161" s="54"/>
    </row>
    <row r="162" spans="3:5" x14ac:dyDescent="0.25">
      <c r="C162" s="54"/>
      <c r="D162" s="54"/>
      <c r="E162" s="54"/>
    </row>
    <row r="163" spans="3:5" x14ac:dyDescent="0.25">
      <c r="C163" s="54"/>
      <c r="D163" s="54"/>
      <c r="E163" s="54"/>
    </row>
  </sheetData>
  <mergeCells count="1">
    <mergeCell ref="V7:V8"/>
  </mergeCells>
  <conditionalFormatting sqref="C12:J12 L12:M12 F10 C11:M11 N11:Q12 C8:Q9">
    <cfRule type="timePeriod" dxfId="8" priority="2" timePeriod="lastWeek">
      <formula>AND(TODAY()-ROUNDDOWN(C8,0)&gt;=(WEEKDAY(TODAY())),TODAY()-ROUNDDOWN(C8,0)&lt;(WEEKDAY(TODAY())+7))</formula>
    </cfRule>
  </conditionalFormatting>
  <conditionalFormatting sqref="S8:T8">
    <cfRule type="timePeriod" dxfId="7" priority="1" timePeriod="lastWeek">
      <formula>AND(TODAY()-ROUNDDOWN(S8,0)&gt;=(WEEKDAY(TODAY())),TODAY()-ROUNDDOWN(S8,0)&lt;(WEEKDAY(TODAY())+7))</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F2D67-A19B-47A3-B640-FDE06E34F50E}">
  <dimension ref="A2:V24"/>
  <sheetViews>
    <sheetView showGridLines="0" zoomScale="130" zoomScaleNormal="130" workbookViewId="0">
      <selection activeCell="B23" sqref="B23"/>
    </sheetView>
  </sheetViews>
  <sheetFormatPr defaultRowHeight="15" x14ac:dyDescent="0.25"/>
  <cols>
    <col min="1" max="1" width="2.140625" bestFit="1" customWidth="1"/>
    <col min="2" max="2" width="60.5703125" bestFit="1" customWidth="1"/>
    <col min="3" max="3" width="12" bestFit="1" customWidth="1"/>
    <col min="4" max="5" width="12.42578125" bestFit="1" customWidth="1"/>
    <col min="6" max="6" width="2.5703125" bestFit="1" customWidth="1"/>
    <col min="7" max="17" width="12.42578125" bestFit="1" customWidth="1"/>
    <col min="18" max="18" width="2.28515625" customWidth="1"/>
    <col min="19" max="20" width="10.28515625" bestFit="1" customWidth="1"/>
    <col min="22" max="22" width="8.85546875" bestFit="1" customWidth="1"/>
  </cols>
  <sheetData>
    <row r="2" spans="1:22" s="5" customFormat="1" x14ac:dyDescent="0.25">
      <c r="B2" s="77" t="s">
        <v>44</v>
      </c>
      <c r="C2" s="7"/>
      <c r="D2" s="7"/>
      <c r="E2" s="7"/>
      <c r="F2" s="7"/>
      <c r="G2" s="7"/>
      <c r="H2" s="7"/>
      <c r="I2" s="7"/>
      <c r="J2" s="7"/>
      <c r="K2" s="7"/>
      <c r="L2" s="7"/>
      <c r="M2" s="7"/>
      <c r="N2" s="7"/>
      <c r="O2" s="7"/>
      <c r="P2" s="7"/>
      <c r="Q2" s="7"/>
      <c r="R2" s="7"/>
      <c r="S2" s="7"/>
      <c r="T2" s="7"/>
    </row>
    <row r="3" spans="1:22" s="5" customFormat="1" x14ac:dyDescent="0.25">
      <c r="B3" s="78" t="s">
        <v>0</v>
      </c>
      <c r="C3" s="7"/>
      <c r="D3" s="7"/>
      <c r="E3" s="7"/>
      <c r="F3" s="7"/>
      <c r="G3" s="7"/>
      <c r="H3" s="7"/>
      <c r="I3" s="7"/>
      <c r="J3" s="7"/>
      <c r="K3" s="7"/>
      <c r="L3" s="7"/>
      <c r="M3" s="7"/>
      <c r="N3" s="7"/>
      <c r="O3" s="7"/>
      <c r="P3" s="7"/>
      <c r="Q3" s="7"/>
      <c r="R3" s="7"/>
      <c r="S3" s="7"/>
      <c r="T3" s="7"/>
    </row>
    <row r="4" spans="1:22" s="5" customFormat="1" ht="5.25" customHeight="1" x14ac:dyDescent="0.25">
      <c r="B4" s="8"/>
    </row>
    <row r="5" spans="1:22" s="5" customFormat="1" ht="15.75" thickBot="1" x14ac:dyDescent="0.3">
      <c r="B5" s="9"/>
      <c r="C5" s="9" t="s">
        <v>1</v>
      </c>
      <c r="D5" s="9"/>
      <c r="E5" s="9"/>
      <c r="G5" s="9" t="s">
        <v>2</v>
      </c>
      <c r="H5" s="9"/>
      <c r="I5" s="9"/>
      <c r="J5" s="9"/>
      <c r="K5" s="9"/>
      <c r="L5" s="9"/>
      <c r="M5" s="9"/>
      <c r="N5" s="9"/>
      <c r="O5" s="9"/>
      <c r="P5" s="9"/>
      <c r="Q5" s="9"/>
      <c r="S5" s="9" t="s">
        <v>3</v>
      </c>
      <c r="T5" s="9"/>
      <c r="U5" s="53"/>
      <c r="V5" s="9" t="s">
        <v>4</v>
      </c>
    </row>
    <row r="6" spans="1:22" s="5" customFormat="1" ht="4.5" customHeight="1" x14ac:dyDescent="0.25"/>
    <row r="7" spans="1:22" s="5" customFormat="1" x14ac:dyDescent="0.25">
      <c r="A7" s="5" t="s">
        <v>5</v>
      </c>
      <c r="B7" s="77" t="s">
        <v>70</v>
      </c>
      <c r="C7" s="79" t="s">
        <v>7</v>
      </c>
      <c r="D7" s="79" t="s">
        <v>8</v>
      </c>
      <c r="E7" s="79" t="s">
        <v>9</v>
      </c>
      <c r="F7"/>
      <c r="G7" s="79" t="s">
        <v>10</v>
      </c>
      <c r="H7" s="79" t="s">
        <v>11</v>
      </c>
      <c r="I7" s="79" t="s">
        <v>12</v>
      </c>
      <c r="J7" s="79" t="s">
        <v>13</v>
      </c>
      <c r="K7" s="79" t="s">
        <v>14</v>
      </c>
      <c r="L7" s="79" t="s">
        <v>15</v>
      </c>
      <c r="M7" s="79" t="s">
        <v>16</v>
      </c>
      <c r="N7" s="79" t="s">
        <v>17</v>
      </c>
      <c r="O7" s="79" t="s">
        <v>18</v>
      </c>
      <c r="P7" s="79" t="s">
        <v>19</v>
      </c>
      <c r="Q7" s="79" t="s">
        <v>20</v>
      </c>
      <c r="R7"/>
      <c r="S7" s="79" t="str">
        <f>M7</f>
        <v>3Q23</v>
      </c>
      <c r="T7" s="79" t="str">
        <f>Q7</f>
        <v>3Q24</v>
      </c>
      <c r="U7" s="12"/>
      <c r="V7" s="93" t="s">
        <v>21</v>
      </c>
    </row>
    <row r="8" spans="1:22" s="5" customFormat="1" x14ac:dyDescent="0.25">
      <c r="B8" s="1" t="s">
        <v>43</v>
      </c>
      <c r="C8" s="80">
        <v>44561</v>
      </c>
      <c r="D8" s="80">
        <v>44926</v>
      </c>
      <c r="E8" s="80">
        <v>45291</v>
      </c>
      <c r="F8" s="191"/>
      <c r="G8" s="13">
        <v>44651</v>
      </c>
      <c r="H8" s="13">
        <v>44742</v>
      </c>
      <c r="I8" s="13">
        <v>44834</v>
      </c>
      <c r="J8" s="13">
        <f>D8</f>
        <v>44926</v>
      </c>
      <c r="K8" s="13">
        <v>45016</v>
      </c>
      <c r="L8" s="13">
        <v>45107</v>
      </c>
      <c r="M8" s="13">
        <v>45199</v>
      </c>
      <c r="N8" s="13">
        <f>E8</f>
        <v>45291</v>
      </c>
      <c r="O8" s="13">
        <v>45382</v>
      </c>
      <c r="P8" s="13">
        <v>45473</v>
      </c>
      <c r="Q8" s="13">
        <v>45565</v>
      </c>
      <c r="R8" s="191"/>
      <c r="S8" s="13">
        <f>M8</f>
        <v>45199</v>
      </c>
      <c r="T8" s="13">
        <f>Q8</f>
        <v>45565</v>
      </c>
      <c r="U8" s="15"/>
      <c r="V8" s="93"/>
    </row>
    <row r="9" spans="1:22" s="185" customFormat="1" ht="3.75" customHeight="1" x14ac:dyDescent="0.25">
      <c r="B9" s="186"/>
      <c r="C9" s="187"/>
      <c r="D9" s="187"/>
      <c r="E9" s="187"/>
      <c r="F9" s="176"/>
      <c r="G9" s="188"/>
      <c r="H9" s="188"/>
      <c r="I9" s="188"/>
      <c r="J9" s="188"/>
      <c r="K9" s="188"/>
      <c r="L9" s="188"/>
      <c r="M9" s="188"/>
      <c r="N9" s="188"/>
      <c r="O9" s="188"/>
      <c r="P9" s="188"/>
      <c r="Q9" s="188"/>
      <c r="R9" s="176"/>
      <c r="S9" s="188"/>
      <c r="T9" s="188"/>
      <c r="U9" s="189"/>
      <c r="V9" s="190"/>
    </row>
    <row r="10" spans="1:22" x14ac:dyDescent="0.25">
      <c r="B10" s="81" t="s">
        <v>182</v>
      </c>
    </row>
    <row r="11" spans="1:22" x14ac:dyDescent="0.25">
      <c r="B11" s="152" t="s">
        <v>28</v>
      </c>
      <c r="C11" s="44">
        <f>'Base Financials'!C38</f>
        <v>39648</v>
      </c>
      <c r="D11" s="44">
        <f>'Base Financials'!D38</f>
        <v>18592</v>
      </c>
      <c r="E11" s="44">
        <f>'Base Financials'!E38</f>
        <v>25660</v>
      </c>
      <c r="F11" s="44"/>
      <c r="G11" s="44">
        <f>'Base Financials'!G38</f>
        <v>198222</v>
      </c>
      <c r="H11" s="44">
        <f>'Base Financials'!H38</f>
        <v>181035</v>
      </c>
      <c r="I11" s="44">
        <f>'Base Financials'!I38</f>
        <v>163731</v>
      </c>
      <c r="J11" s="44">
        <f>'Base Financials'!J38</f>
        <v>18592</v>
      </c>
      <c r="K11" s="44">
        <f>'Base Financials'!K38</f>
        <v>129570</v>
      </c>
      <c r="L11" s="44">
        <f>'Base Financials'!L38</f>
        <v>114604</v>
      </c>
      <c r="M11" s="44">
        <f>'Base Financials'!M38</f>
        <v>99986</v>
      </c>
      <c r="N11" s="44">
        <f>'Base Financials'!N38</f>
        <v>25660</v>
      </c>
      <c r="O11" s="44">
        <f>'Base Financials'!O38</f>
        <v>115505</v>
      </c>
      <c r="P11" s="44">
        <f>'Base Financials'!P38</f>
        <v>93563</v>
      </c>
      <c r="Q11" s="44">
        <f>'Base Financials'!Q38</f>
        <v>20571</v>
      </c>
      <c r="S11" s="21">
        <f>M11</f>
        <v>99986</v>
      </c>
      <c r="T11" s="21">
        <f>Q11</f>
        <v>20571</v>
      </c>
    </row>
    <row r="12" spans="1:22" x14ac:dyDescent="0.25">
      <c r="B12" s="152" t="s">
        <v>87</v>
      </c>
      <c r="C12" s="44">
        <f>'Base Financials'!C40</f>
        <v>8000</v>
      </c>
      <c r="D12" s="44">
        <f>'Base Financials'!D40</f>
        <v>2107</v>
      </c>
      <c r="E12" s="44">
        <f>'Base Financials'!E40</f>
        <v>0</v>
      </c>
      <c r="F12" s="44"/>
      <c r="G12" s="44">
        <f>'Base Financials'!G40</f>
        <v>8000</v>
      </c>
      <c r="H12" s="44">
        <f>'Base Financials'!H40</f>
        <v>8000</v>
      </c>
      <c r="I12" s="44">
        <f>'Base Financials'!I40</f>
        <v>8000</v>
      </c>
      <c r="J12" s="44">
        <f>'Base Financials'!J40</f>
        <v>2107</v>
      </c>
      <c r="K12" s="44">
        <f>'Base Financials'!K40</f>
        <v>2107</v>
      </c>
      <c r="L12" s="44">
        <f>'Base Financials'!L40</f>
        <v>0</v>
      </c>
      <c r="M12" s="44">
        <f>'Base Financials'!M40</f>
        <v>0</v>
      </c>
      <c r="N12" s="44">
        <f>'Base Financials'!N40</f>
        <v>0</v>
      </c>
      <c r="O12" s="44">
        <f>'Base Financials'!O40</f>
        <v>0</v>
      </c>
      <c r="P12" s="44">
        <f>'Base Financials'!P40</f>
        <v>0</v>
      </c>
      <c r="Q12" s="44">
        <f>'Base Financials'!Q40</f>
        <v>0</v>
      </c>
      <c r="S12" s="21"/>
      <c r="T12" s="21"/>
    </row>
    <row r="13" spans="1:22" x14ac:dyDescent="0.25">
      <c r="B13" s="83" t="s">
        <v>71</v>
      </c>
      <c r="C13" s="84">
        <f>SUM(C11:C12)</f>
        <v>47648</v>
      </c>
      <c r="D13" s="84">
        <f>SUM(D11:D12)</f>
        <v>20699</v>
      </c>
      <c r="E13" s="84">
        <f>SUM(E11:E12)</f>
        <v>25660</v>
      </c>
      <c r="G13" s="84">
        <f>SUM(G11:G12)</f>
        <v>206222</v>
      </c>
      <c r="H13" s="84">
        <f>SUM(H11:H12)</f>
        <v>189035</v>
      </c>
      <c r="I13" s="84">
        <f>SUM(I11:I12)</f>
        <v>171731</v>
      </c>
      <c r="J13" s="84">
        <f>SUM(J11:J12)</f>
        <v>20699</v>
      </c>
      <c r="K13" s="84">
        <f>SUM(K11:K12)</f>
        <v>131677</v>
      </c>
      <c r="L13" s="84">
        <f>SUM(L11:L12)</f>
        <v>114604</v>
      </c>
      <c r="M13" s="84">
        <f>SUM(M11:M12)</f>
        <v>99986</v>
      </c>
      <c r="N13" s="84">
        <f>SUM(N11:N12)</f>
        <v>25660</v>
      </c>
      <c r="O13" s="84">
        <f>SUM(O11:O12)</f>
        <v>115505</v>
      </c>
      <c r="P13" s="84">
        <f>SUM(P11:P12)</f>
        <v>93563</v>
      </c>
      <c r="Q13" s="84">
        <f>SUM(Q11:Q12)</f>
        <v>20571</v>
      </c>
      <c r="S13" s="26">
        <f>SUM(S11:S12)</f>
        <v>99986</v>
      </c>
      <c r="T13" s="26">
        <f>SUM(T11:T12)</f>
        <v>20571</v>
      </c>
    </row>
    <row r="14" spans="1:22" x14ac:dyDescent="0.25">
      <c r="B14" s="29" t="s">
        <v>23</v>
      </c>
      <c r="C14" s="30"/>
      <c r="D14" s="20">
        <f>D13/C13-1</f>
        <v>-0.56558512424445939</v>
      </c>
      <c r="E14" s="20">
        <f>E13/D13-1</f>
        <v>0.23967341417459775</v>
      </c>
      <c r="H14" s="20">
        <f>H13/G13-1</f>
        <v>-8.3342223429120121E-2</v>
      </c>
      <c r="I14" s="20">
        <f t="shared" ref="I14" si="0">I13/H13-1</f>
        <v>-9.1538603962229237E-2</v>
      </c>
      <c r="J14" s="20">
        <f t="shared" ref="J14" si="1">J13/I13-1</f>
        <v>-0.87946847103900871</v>
      </c>
      <c r="K14" s="20">
        <f t="shared" ref="K14" si="2">K13/J13-1</f>
        <v>5.3615150490361856</v>
      </c>
      <c r="L14" s="20">
        <f t="shared" ref="L14" si="3">L13/K13-1</f>
        <v>-0.12965817872521401</v>
      </c>
      <c r="M14" s="20">
        <f t="shared" ref="M14" si="4">M13/L13-1</f>
        <v>-0.12755226693658162</v>
      </c>
      <c r="N14" s="20">
        <f t="shared" ref="N14" si="5">N13/M13-1</f>
        <v>-0.74336407096993584</v>
      </c>
      <c r="O14" s="20">
        <f t="shared" ref="O14" si="6">O13/N13-1</f>
        <v>3.5013639906469214</v>
      </c>
      <c r="P14" s="20">
        <f t="shared" ref="P14" si="7">P13/O13-1</f>
        <v>-0.18996580234621874</v>
      </c>
      <c r="Q14" s="20">
        <f t="shared" ref="Q14" si="8">Q13/P13-1</f>
        <v>-0.78013744749527059</v>
      </c>
      <c r="S14" s="30"/>
      <c r="T14" s="20">
        <f>T13/S13-1</f>
        <v>-0.79426119656751948</v>
      </c>
    </row>
    <row r="15" spans="1:22" x14ac:dyDescent="0.25">
      <c r="B15" s="81" t="s">
        <v>183</v>
      </c>
    </row>
    <row r="16" spans="1:22" x14ac:dyDescent="0.25">
      <c r="B16" s="152" t="s">
        <v>40</v>
      </c>
      <c r="C16" s="44">
        <f>'Base Financials'!C132</f>
        <v>39929</v>
      </c>
      <c r="D16" s="44">
        <f>'Base Financials'!D132</f>
        <v>217502</v>
      </c>
      <c r="E16" s="44">
        <f>'Base Financials'!E132</f>
        <v>149772</v>
      </c>
      <c r="F16" s="44"/>
      <c r="G16" s="44">
        <f>'Base Financials'!G132</f>
        <v>217502</v>
      </c>
      <c r="H16" s="44">
        <f>'Base Financials'!H132</f>
        <v>217502</v>
      </c>
      <c r="I16" s="44">
        <f>'Base Financials'!I132</f>
        <v>217502</v>
      </c>
      <c r="J16" s="44">
        <f>'Base Financials'!J132</f>
        <v>435004</v>
      </c>
      <c r="K16" s="44">
        <f>'Base Financials'!K132</f>
        <v>149772</v>
      </c>
      <c r="L16" s="44">
        <f>'Base Financials'!L132</f>
        <v>149772</v>
      </c>
      <c r="M16" s="44">
        <f>'Base Financials'!M132</f>
        <v>149772</v>
      </c>
      <c r="N16" s="44">
        <f>'Base Financials'!N132</f>
        <v>299544</v>
      </c>
      <c r="O16" s="44">
        <f>'Base Financials'!O132</f>
        <v>80801</v>
      </c>
      <c r="P16" s="44">
        <f>'Base Financials'!P132</f>
        <v>80801</v>
      </c>
      <c r="Q16" s="44">
        <f>'Base Financials'!Q132</f>
        <v>80801</v>
      </c>
      <c r="S16" s="21">
        <f>M16</f>
        <v>149772</v>
      </c>
      <c r="T16" s="21">
        <f>Q16</f>
        <v>80801</v>
      </c>
    </row>
    <row r="17" spans="2:20" x14ac:dyDescent="0.25">
      <c r="B17" s="152" t="s">
        <v>41</v>
      </c>
      <c r="C17" s="44">
        <f>'Base Financials'!C133</f>
        <v>217502</v>
      </c>
      <c r="D17" s="44">
        <f>'Base Financials'!D133</f>
        <v>149772</v>
      </c>
      <c r="E17" s="44">
        <f>'Base Financials'!E133</f>
        <v>80801</v>
      </c>
      <c r="F17" s="44"/>
      <c r="G17" s="44">
        <f>'Base Financials'!G133</f>
        <v>198222</v>
      </c>
      <c r="H17" s="44">
        <f>'Base Financials'!H133</f>
        <v>181035</v>
      </c>
      <c r="I17" s="44">
        <f>'Base Financials'!I133</f>
        <v>163731</v>
      </c>
      <c r="J17" s="44">
        <f>'Base Financials'!J133</f>
        <v>393216</v>
      </c>
      <c r="K17" s="44">
        <f>'Base Financials'!K133</f>
        <v>129570</v>
      </c>
      <c r="L17" s="44">
        <f>'Base Financials'!L133</f>
        <v>114604</v>
      </c>
      <c r="M17" s="44">
        <f>'Base Financials'!M133</f>
        <v>100340</v>
      </c>
      <c r="N17" s="44">
        <f>'Base Financials'!N133</f>
        <v>263713</v>
      </c>
      <c r="O17" s="44">
        <f>'Base Financials'!O133</f>
        <v>115858</v>
      </c>
      <c r="P17" s="44">
        <f>'Base Financials'!P133</f>
        <v>93916</v>
      </c>
      <c r="Q17" s="44">
        <f>'Base Financials'!Q133</f>
        <v>70924</v>
      </c>
      <c r="S17" s="21">
        <f>M17</f>
        <v>100340</v>
      </c>
      <c r="T17" s="21">
        <f>Q17</f>
        <v>70924</v>
      </c>
    </row>
    <row r="18" spans="2:20" x14ac:dyDescent="0.25">
      <c r="B18" s="83" t="s">
        <v>72</v>
      </c>
      <c r="C18" s="84">
        <f>SUM(C17-C16)</f>
        <v>177573</v>
      </c>
      <c r="D18" s="84">
        <f t="shared" ref="D18" si="9">SUM(D17-D16)</f>
        <v>-67730</v>
      </c>
      <c r="E18" s="84">
        <f>SUM(E17-E16)</f>
        <v>-68971</v>
      </c>
      <c r="G18" s="84">
        <f t="shared" ref="G18:O18" si="10">SUM(G17-G16)</f>
        <v>-19280</v>
      </c>
      <c r="H18" s="84">
        <f>SUM(H17-H16)-G18</f>
        <v>-17187</v>
      </c>
      <c r="I18" s="84">
        <f>SUM(I17-I16)-H18-G18</f>
        <v>-17304</v>
      </c>
      <c r="J18" s="84">
        <f>SUM(D18-SUM(G18:I18))</f>
        <v>-13959</v>
      </c>
      <c r="K18" s="84">
        <f t="shared" si="10"/>
        <v>-20202</v>
      </c>
      <c r="L18" s="84">
        <f>SUM(L17-L16)-K18</f>
        <v>-14966</v>
      </c>
      <c r="M18" s="84">
        <f>SUM(M17-M16)-L18-K18</f>
        <v>-14264</v>
      </c>
      <c r="N18" s="84">
        <f>SUM(E18-SUM(K18:M18))</f>
        <v>-19539</v>
      </c>
      <c r="O18" s="84">
        <f t="shared" si="10"/>
        <v>35057</v>
      </c>
      <c r="P18" s="84">
        <f>SUM(P17-P16)-O18</f>
        <v>-21942</v>
      </c>
      <c r="Q18" s="84">
        <f>SUM(Q17-Q16)-P18-O18</f>
        <v>-22992</v>
      </c>
      <c r="S18" s="84">
        <f t="shared" ref="S18" si="11">SUM(S17-S16)</f>
        <v>-49432</v>
      </c>
      <c r="T18" s="84">
        <f t="shared" ref="T18" si="12">SUM(T17-T16)</f>
        <v>-9877</v>
      </c>
    </row>
    <row r="19" spans="2:20" x14ac:dyDescent="0.25">
      <c r="B19" s="29" t="s">
        <v>23</v>
      </c>
      <c r="C19" s="30"/>
      <c r="D19" s="20">
        <f>D18/C18-1</f>
        <v>-1.381420598852303</v>
      </c>
      <c r="E19" s="20">
        <f>E18/D18-1</f>
        <v>1.8322752103942186E-2</v>
      </c>
      <c r="H19" s="20">
        <f>H18/G18-1</f>
        <v>-0.108558091286307</v>
      </c>
      <c r="I19" s="20">
        <f t="shared" ref="I19:Q19" si="13">I18/H18-1</f>
        <v>6.8074707627858722E-3</v>
      </c>
      <c r="J19" s="20">
        <f t="shared" si="13"/>
        <v>-0.19330790568654643</v>
      </c>
      <c r="K19" s="20">
        <f t="shared" si="13"/>
        <v>0.44723834085536218</v>
      </c>
      <c r="L19" s="20">
        <f t="shared" si="13"/>
        <v>-0.25918225918225923</v>
      </c>
      <c r="M19" s="20">
        <f t="shared" si="13"/>
        <v>-4.6906320994253625E-2</v>
      </c>
      <c r="N19" s="20">
        <f t="shared" si="13"/>
        <v>0.36981211441390904</v>
      </c>
      <c r="O19" s="20">
        <f t="shared" si="13"/>
        <v>-2.7942064588771176</v>
      </c>
      <c r="P19" s="20">
        <f t="shared" si="13"/>
        <v>-1.6258949710471517</v>
      </c>
      <c r="Q19" s="20">
        <f t="shared" si="13"/>
        <v>4.7853431774678601E-2</v>
      </c>
      <c r="T19" s="20">
        <f>T18/S18-1</f>
        <v>-0.80019016022010037</v>
      </c>
    </row>
    <row r="20" spans="2:20" x14ac:dyDescent="0.25">
      <c r="B20" s="81" t="s">
        <v>184</v>
      </c>
    </row>
    <row r="21" spans="2:20" x14ac:dyDescent="0.25">
      <c r="B21" s="192" t="s">
        <v>181</v>
      </c>
      <c r="C21" s="184">
        <f>'Base Financials'!C32</f>
        <v>39970.398000000001</v>
      </c>
      <c r="D21" s="184">
        <f>'Base Financials'!D32</f>
        <v>103051.36599999999</v>
      </c>
      <c r="E21" s="184">
        <f>'Base Financials'!E32</f>
        <v>103420.238</v>
      </c>
      <c r="F21" s="184"/>
      <c r="G21" s="184">
        <f>'Base Financials'!G32</f>
        <v>103004.088</v>
      </c>
      <c r="H21" s="184">
        <f>'Base Financials'!H32</f>
        <v>103908.44</v>
      </c>
      <c r="I21" s="184">
        <f>'Base Financials'!I32</f>
        <v>103031.98</v>
      </c>
      <c r="J21" s="184">
        <f>'Base Financials'!J32</f>
        <v>103051.36599999999</v>
      </c>
      <c r="K21" s="184">
        <f>'Base Financials'!K32</f>
        <v>103263.52800000001</v>
      </c>
      <c r="L21" s="184">
        <f>'Base Financials'!L32</f>
        <v>103361.501</v>
      </c>
      <c r="M21" s="184">
        <f>'Base Financials'!M32</f>
        <v>103444.246</v>
      </c>
      <c r="N21" s="184">
        <f>'Base Financials'!N32</f>
        <v>103420.238</v>
      </c>
      <c r="O21" s="184">
        <f>'Base Financials'!O32</f>
        <v>108246.008</v>
      </c>
      <c r="P21" s="184">
        <f>'Base Financials'!P32</f>
        <v>119174.681</v>
      </c>
      <c r="Q21" s="184">
        <f>'Base Financials'!Q32</f>
        <v>119408.565</v>
      </c>
    </row>
    <row r="22" spans="2:20" x14ac:dyDescent="0.25">
      <c r="B22" s="83" t="s">
        <v>73</v>
      </c>
      <c r="C22" s="92">
        <f>C11/C21</f>
        <v>0.99193408081650825</v>
      </c>
      <c r="D22" s="92">
        <f>D11/D21</f>
        <v>0.18041488164261696</v>
      </c>
      <c r="E22" s="92">
        <f>E11/E21</f>
        <v>0.24811391364231825</v>
      </c>
      <c r="F22" s="193"/>
      <c r="G22" s="92">
        <f>G11/G21</f>
        <v>1.9244090584055265</v>
      </c>
      <c r="H22" s="92">
        <f>H11/H21</f>
        <v>1.7422550083515833</v>
      </c>
      <c r="I22" s="92">
        <f>I11/I21</f>
        <v>1.5891279581349402</v>
      </c>
      <c r="J22" s="92">
        <f>J11/J21</f>
        <v>0.18041488164261696</v>
      </c>
      <c r="K22" s="92">
        <f>K11/K21</f>
        <v>1.2547508545321053</v>
      </c>
      <c r="L22" s="92">
        <f>L11/L21</f>
        <v>1.1087687281166707</v>
      </c>
      <c r="M22" s="92">
        <f>M11/M21</f>
        <v>0.96656898635038624</v>
      </c>
      <c r="N22" s="92">
        <f>N11/N21</f>
        <v>0.24811391364231825</v>
      </c>
      <c r="O22" s="92">
        <f>O11/O21</f>
        <v>1.0670601358342933</v>
      </c>
      <c r="P22" s="92">
        <f>P11/P21</f>
        <v>0.78509125608651731</v>
      </c>
      <c r="Q22" s="92">
        <f>Q11/Q21</f>
        <v>0.17227407430949362</v>
      </c>
    </row>
    <row r="23" spans="2:20" x14ac:dyDescent="0.25">
      <c r="B23" s="29" t="s">
        <v>23</v>
      </c>
      <c r="C23" s="30"/>
      <c r="D23" s="20">
        <f>D22/C22-1</f>
        <v>-0.81811807343678633</v>
      </c>
      <c r="E23" s="20">
        <f>E22/D22-1</f>
        <v>0.37524084146121606</v>
      </c>
      <c r="H23" s="20">
        <f>H22/G22-1</f>
        <v>-9.4654537848032794E-2</v>
      </c>
      <c r="I23" s="20">
        <f t="shared" ref="I23" si="14">I22/H22-1</f>
        <v>-8.7890147815687825E-2</v>
      </c>
      <c r="J23" s="20">
        <f t="shared" ref="J23" si="15">J22/I22-1</f>
        <v>-0.88646925458768056</v>
      </c>
      <c r="K23" s="20">
        <f t="shared" ref="K23" si="16">K22/J22-1</f>
        <v>5.9548079576807629</v>
      </c>
      <c r="L23" s="20">
        <f t="shared" ref="L23" si="17">L22/K22-1</f>
        <v>-0.11634351623523786</v>
      </c>
      <c r="M23" s="20">
        <f t="shared" ref="M23" si="18">M22/L22-1</f>
        <v>-0.12825013743652536</v>
      </c>
      <c r="N23" s="20">
        <f t="shared" ref="N23" si="19">N22/M22-1</f>
        <v>-0.74330449544097443</v>
      </c>
      <c r="O23" s="20">
        <f t="shared" ref="O23" si="20">O22/N22-1</f>
        <v>3.3006864071821882</v>
      </c>
      <c r="P23" s="20">
        <f t="shared" ref="P23" si="21">P22/O22-1</f>
        <v>-0.26424834953403575</v>
      </c>
      <c r="Q23" s="20">
        <f t="shared" ref="Q23" si="22">Q22/P22-1</f>
        <v>-0.78056808941136779</v>
      </c>
    </row>
    <row r="24" spans="2:20" x14ac:dyDescent="0.25">
      <c r="B24" s="29"/>
      <c r="C24" s="30"/>
      <c r="D24" s="20"/>
      <c r="E24" s="20"/>
      <c r="H24" s="20"/>
      <c r="I24" s="20"/>
      <c r="J24" s="20"/>
      <c r="K24" s="20"/>
      <c r="L24" s="20"/>
      <c r="M24" s="20"/>
      <c r="N24" s="20"/>
      <c r="O24" s="20"/>
      <c r="P24" s="20"/>
      <c r="Q24" s="20"/>
    </row>
  </sheetData>
  <mergeCells count="1">
    <mergeCell ref="V7:V8"/>
  </mergeCells>
  <conditionalFormatting sqref="C9:Q9 C8:F8">
    <cfRule type="timePeriod" dxfId="6" priority="4" timePeriod="lastWeek">
      <formula>AND(TODAY()-ROUNDDOWN(C8,0)&gt;=(WEEKDAY(TODAY())),TODAY()-ROUNDDOWN(C8,0)&lt;(WEEKDAY(TODAY())+7))</formula>
    </cfRule>
  </conditionalFormatting>
  <conditionalFormatting sqref="S9:T9">
    <cfRule type="timePeriod" dxfId="5" priority="3" timePeriod="lastWeek">
      <formula>AND(TODAY()-ROUNDDOWN(S9,0)&gt;=(WEEKDAY(TODAY())),TODAY()-ROUNDDOWN(S9,0)&lt;(WEEKDAY(TODAY())+7))</formula>
    </cfRule>
  </conditionalFormatting>
  <conditionalFormatting sqref="G8:Q8">
    <cfRule type="timePeriod" dxfId="4" priority="2" timePeriod="lastWeek">
      <formula>AND(TODAY()-ROUNDDOWN(G8,0)&gt;=(WEEKDAY(TODAY())),TODAY()-ROUNDDOWN(G8,0)&lt;(WEEKDAY(TODAY())+7))</formula>
    </cfRule>
  </conditionalFormatting>
  <conditionalFormatting sqref="S8:T8">
    <cfRule type="timePeriod" dxfId="3" priority="1" timePeriod="lastWeek">
      <formula>AND(TODAY()-ROUNDDOWN(S8,0)&gt;=(WEEKDAY(TODAY())),TODAY()-ROUNDDOWN(S8,0)&lt;(WEEKDAY(TODAY())+7))</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93FA3-7DED-4B37-A4B2-5960A4583810}">
  <dimension ref="A2:V69"/>
  <sheetViews>
    <sheetView showGridLines="0" topLeftCell="A17" zoomScaleNormal="100" workbookViewId="0">
      <selection activeCell="P74" sqref="P74"/>
    </sheetView>
  </sheetViews>
  <sheetFormatPr defaultRowHeight="15" x14ac:dyDescent="0.25"/>
  <cols>
    <col min="1" max="1" width="4.5703125" customWidth="1"/>
    <col min="2" max="2" width="60.5703125" bestFit="1" customWidth="1"/>
    <col min="3" max="5" width="12.5703125" bestFit="1" customWidth="1"/>
    <col min="6" max="6" width="2.7109375" customWidth="1"/>
    <col min="7" max="9" width="10.7109375" bestFit="1" customWidth="1"/>
    <col min="10" max="10" width="11.85546875" bestFit="1" customWidth="1"/>
    <col min="11" max="13" width="10.7109375" bestFit="1" customWidth="1"/>
    <col min="14" max="14" width="11.85546875" bestFit="1" customWidth="1"/>
    <col min="15" max="17" width="10.7109375" bestFit="1" customWidth="1"/>
    <col min="18" max="18" width="2.7109375" customWidth="1"/>
    <col min="19" max="20" width="10.7109375" bestFit="1" customWidth="1"/>
    <col min="21" max="21" width="2.28515625" customWidth="1"/>
  </cols>
  <sheetData>
    <row r="2" spans="1:22" s="5" customFormat="1" x14ac:dyDescent="0.25">
      <c r="B2" s="6" t="s">
        <v>77</v>
      </c>
      <c r="C2" s="7"/>
      <c r="D2" s="7"/>
      <c r="E2" s="7"/>
      <c r="F2" s="7"/>
      <c r="G2" s="7"/>
      <c r="H2" s="7"/>
      <c r="I2" s="7"/>
      <c r="J2" s="7"/>
      <c r="K2" s="7"/>
      <c r="L2" s="7"/>
      <c r="M2" s="7"/>
      <c r="N2" s="7"/>
      <c r="O2" s="7"/>
      <c r="P2" s="7"/>
      <c r="Q2" s="7"/>
      <c r="R2" s="7"/>
      <c r="S2" s="7"/>
      <c r="T2" s="7"/>
    </row>
    <row r="3" spans="1:22" s="5" customFormat="1" x14ac:dyDescent="0.25">
      <c r="B3" s="78" t="s">
        <v>179</v>
      </c>
      <c r="C3" s="7"/>
      <c r="D3" s="7"/>
      <c r="E3" s="7"/>
      <c r="F3" s="7"/>
      <c r="G3" s="7"/>
      <c r="H3" s="7"/>
      <c r="I3" s="7"/>
      <c r="J3" s="7"/>
      <c r="K3" s="7"/>
      <c r="L3" s="7"/>
      <c r="M3" s="7"/>
      <c r="N3" s="7"/>
      <c r="O3" s="7"/>
      <c r="P3" s="7"/>
      <c r="Q3" s="7"/>
      <c r="R3" s="7"/>
      <c r="S3" s="7"/>
      <c r="T3" s="7"/>
    </row>
    <row r="4" spans="1:22" s="5" customFormat="1" ht="5.25" customHeight="1" x14ac:dyDescent="0.25">
      <c r="B4" s="8"/>
    </row>
    <row r="5" spans="1:22" s="5" customFormat="1" ht="15.75" thickBot="1" x14ac:dyDescent="0.3">
      <c r="B5" s="9"/>
      <c r="C5" s="9" t="s">
        <v>1</v>
      </c>
      <c r="D5" s="9"/>
      <c r="E5" s="9"/>
      <c r="G5" s="9" t="s">
        <v>2</v>
      </c>
      <c r="H5" s="9"/>
      <c r="I5" s="9"/>
      <c r="J5" s="9"/>
      <c r="K5" s="9"/>
      <c r="L5" s="9"/>
      <c r="M5" s="9"/>
      <c r="N5" s="9"/>
      <c r="O5" s="9"/>
      <c r="P5" s="9"/>
      <c r="Q5" s="9"/>
      <c r="S5" s="9" t="s">
        <v>3</v>
      </c>
      <c r="T5" s="9"/>
      <c r="U5" s="10"/>
      <c r="V5" s="9" t="s">
        <v>4</v>
      </c>
    </row>
    <row r="6" spans="1:22" s="5" customFormat="1" ht="4.5" customHeight="1" x14ac:dyDescent="0.25"/>
    <row r="7" spans="1:22" s="5" customFormat="1" x14ac:dyDescent="0.25">
      <c r="A7" s="5" t="s">
        <v>5</v>
      </c>
      <c r="B7" s="77" t="s">
        <v>69</v>
      </c>
      <c r="C7" s="79" t="s">
        <v>7</v>
      </c>
      <c r="D7" s="79" t="s">
        <v>8</v>
      </c>
      <c r="E7" s="79" t="s">
        <v>9</v>
      </c>
      <c r="F7" s="160"/>
      <c r="G7" s="79" t="s">
        <v>10</v>
      </c>
      <c r="H7" s="79" t="s">
        <v>11</v>
      </c>
      <c r="I7" s="79" t="s">
        <v>12</v>
      </c>
      <c r="J7" s="79" t="s">
        <v>13</v>
      </c>
      <c r="K7" s="79" t="s">
        <v>14</v>
      </c>
      <c r="L7" s="79" t="s">
        <v>15</v>
      </c>
      <c r="M7" s="79" t="s">
        <v>16</v>
      </c>
      <c r="N7" s="79" t="s">
        <v>17</v>
      </c>
      <c r="O7" s="79" t="s">
        <v>18</v>
      </c>
      <c r="P7" s="79" t="s">
        <v>19</v>
      </c>
      <c r="Q7" s="79" t="s">
        <v>20</v>
      </c>
      <c r="R7"/>
      <c r="S7" s="79" t="str">
        <f>M7</f>
        <v>3Q23</v>
      </c>
      <c r="T7" s="79" t="str">
        <f>Q7</f>
        <v>3Q24</v>
      </c>
      <c r="U7" s="12"/>
      <c r="V7" s="93" t="s">
        <v>21</v>
      </c>
    </row>
    <row r="8" spans="1:22" s="5" customFormat="1" x14ac:dyDescent="0.25">
      <c r="B8" s="1" t="s">
        <v>43</v>
      </c>
      <c r="C8" s="13">
        <v>44561</v>
      </c>
      <c r="D8" s="13">
        <v>44926</v>
      </c>
      <c r="E8" s="13">
        <v>45291</v>
      </c>
      <c r="G8" s="14">
        <v>44651</v>
      </c>
      <c r="H8" s="14">
        <v>44742</v>
      </c>
      <c r="I8" s="14">
        <v>44834</v>
      </c>
      <c r="J8" s="14">
        <f>D8</f>
        <v>44926</v>
      </c>
      <c r="K8" s="14">
        <v>45016</v>
      </c>
      <c r="L8" s="14">
        <v>45107</v>
      </c>
      <c r="M8" s="14">
        <v>45199</v>
      </c>
      <c r="N8" s="14">
        <f>E8</f>
        <v>45291</v>
      </c>
      <c r="O8" s="14">
        <v>45382</v>
      </c>
      <c r="P8" s="14">
        <v>45473</v>
      </c>
      <c r="Q8" s="14">
        <v>45565</v>
      </c>
      <c r="S8" s="14">
        <f>M8</f>
        <v>45199</v>
      </c>
      <c r="T8" s="14">
        <f>Q8</f>
        <v>45565</v>
      </c>
      <c r="U8" s="15"/>
      <c r="V8" s="93"/>
    </row>
    <row r="9" spans="1:22" ht="3" customHeight="1" x14ac:dyDescent="0.25">
      <c r="B9" s="18"/>
      <c r="C9" s="15"/>
      <c r="D9" s="15"/>
      <c r="E9" s="15"/>
      <c r="F9" s="180"/>
      <c r="G9" s="17"/>
      <c r="H9" s="17"/>
      <c r="I9" s="19"/>
      <c r="J9" s="19"/>
      <c r="K9" s="20"/>
      <c r="L9" s="20"/>
      <c r="M9" s="20"/>
      <c r="N9" s="20"/>
      <c r="O9" s="20"/>
      <c r="P9" s="20"/>
      <c r="Q9" s="20"/>
      <c r="R9" s="5"/>
      <c r="S9" s="17"/>
      <c r="T9" s="17"/>
    </row>
    <row r="10" spans="1:22" x14ac:dyDescent="0.25">
      <c r="B10" s="18" t="s">
        <v>75</v>
      </c>
      <c r="C10" s="44">
        <f>'Base Financials'!C10</f>
        <v>1263</v>
      </c>
      <c r="D10" s="44">
        <f>'Base Financials'!D10</f>
        <v>1565</v>
      </c>
      <c r="E10" s="44">
        <f>'Base Financials'!E10</f>
        <v>0</v>
      </c>
      <c r="F10" s="180"/>
      <c r="G10" s="44">
        <f>'Base Financials'!G10</f>
        <v>233</v>
      </c>
      <c r="H10" s="44">
        <f>'Base Financials'!H10</f>
        <v>1301</v>
      </c>
      <c r="I10" s="44">
        <f>'Base Financials'!I10</f>
        <v>31</v>
      </c>
      <c r="J10" s="44">
        <f>'Base Financials'!J10</f>
        <v>0</v>
      </c>
      <c r="K10" s="44">
        <f>'Base Financials'!K10</f>
        <v>0</v>
      </c>
      <c r="L10" s="44">
        <f>'Base Financials'!L10</f>
        <v>0</v>
      </c>
      <c r="M10" s="44">
        <f>'Base Financials'!M10</f>
        <v>0</v>
      </c>
      <c r="N10" s="44">
        <f>'Base Financials'!N10</f>
        <v>0</v>
      </c>
      <c r="O10" s="44">
        <f>'Base Financials'!O10</f>
        <v>0</v>
      </c>
      <c r="P10" s="44">
        <f>'Base Financials'!P10</f>
        <v>0</v>
      </c>
      <c r="Q10" s="44">
        <f>'Base Financials'!Q10</f>
        <v>0</v>
      </c>
      <c r="R10" s="5"/>
      <c r="S10" s="21">
        <f t="shared" ref="S10" si="0">SUM(J10:M10)</f>
        <v>0</v>
      </c>
      <c r="T10" s="21">
        <f t="shared" ref="T10" si="1">SUM(N10:Q10)</f>
        <v>0</v>
      </c>
      <c r="V10" s="23" t="e">
        <f>SUM(T10/S10)-1</f>
        <v>#DIV/0!</v>
      </c>
    </row>
    <row r="11" spans="1:22" x14ac:dyDescent="0.25">
      <c r="B11" s="29" t="s">
        <v>23</v>
      </c>
      <c r="C11" s="30"/>
      <c r="D11" s="20">
        <f>D10/C10-1</f>
        <v>0.23911322248614408</v>
      </c>
      <c r="E11" s="20">
        <f>E10/D10-1</f>
        <v>-1</v>
      </c>
      <c r="F11" s="20"/>
      <c r="G11" s="5"/>
      <c r="H11" s="20">
        <f t="shared" ref="H11" si="2">H10/G10-1</f>
        <v>4.5836909871244638</v>
      </c>
      <c r="I11" s="20">
        <f t="shared" ref="I11" si="3">I10/H10-1</f>
        <v>-0.97617217524980782</v>
      </c>
      <c r="J11" s="20">
        <f t="shared" ref="J11" si="4">J10/I10-1</f>
        <v>-1</v>
      </c>
      <c r="K11" s="20" t="e">
        <f t="shared" ref="K11" si="5">K10/J10-1</f>
        <v>#DIV/0!</v>
      </c>
      <c r="L11" s="20" t="e">
        <f t="shared" ref="L11" si="6">L10/K10-1</f>
        <v>#DIV/0!</v>
      </c>
      <c r="M11" s="20" t="e">
        <f t="shared" ref="M11" si="7">M10/L10-1</f>
        <v>#DIV/0!</v>
      </c>
      <c r="N11" s="20" t="e">
        <f t="shared" ref="N11" si="8">N10/M10-1</f>
        <v>#DIV/0!</v>
      </c>
      <c r="O11" s="20" t="e">
        <f>O10/N10-1</f>
        <v>#DIV/0!</v>
      </c>
      <c r="P11" s="20" t="e">
        <f t="shared" ref="P11" si="9">P10/O10-1</f>
        <v>#DIV/0!</v>
      </c>
      <c r="Q11" s="20" t="e">
        <f t="shared" ref="Q11" si="10">Q10/P10-1</f>
        <v>#DIV/0!</v>
      </c>
      <c r="R11" s="5"/>
      <c r="S11" s="21" t="e">
        <f t="shared" ref="S11" si="11">SUM(J11:M11)</f>
        <v>#DIV/0!</v>
      </c>
      <c r="T11" s="20" t="e">
        <f>T10/S10-1</f>
        <v>#DIV/0!</v>
      </c>
    </row>
    <row r="12" spans="1:22" x14ac:dyDescent="0.25">
      <c r="B12" s="18" t="s">
        <v>76</v>
      </c>
      <c r="C12" s="15"/>
      <c r="D12" s="15"/>
      <c r="E12" s="15"/>
      <c r="F12" s="180"/>
      <c r="G12" s="17"/>
      <c r="H12" s="17"/>
      <c r="I12" s="19"/>
      <c r="J12" s="19"/>
      <c r="K12" s="20"/>
      <c r="L12" s="20"/>
      <c r="M12" s="20"/>
      <c r="N12" s="20"/>
      <c r="O12" s="20"/>
      <c r="P12" s="20"/>
      <c r="Q12" s="20"/>
      <c r="R12" s="5"/>
      <c r="S12" s="17"/>
      <c r="T12" s="17"/>
    </row>
    <row r="13" spans="1:22" x14ac:dyDescent="0.25">
      <c r="B13" s="140" t="s">
        <v>45</v>
      </c>
      <c r="C13" s="44">
        <f>'Base Financials'!C13</f>
        <v>-61341</v>
      </c>
      <c r="D13" s="44">
        <f>'Base Financials'!D13</f>
        <v>-63260</v>
      </c>
      <c r="E13" s="44">
        <f>'Base Financials'!E13</f>
        <v>-76550</v>
      </c>
      <c r="F13" s="181"/>
      <c r="G13" s="44">
        <f>'Base Financials'!G13</f>
        <v>-16314</v>
      </c>
      <c r="H13" s="44">
        <f>'Base Financials'!H13</f>
        <v>-14652</v>
      </c>
      <c r="I13" s="44">
        <f>'Base Financials'!I13</f>
        <v>-17337</v>
      </c>
      <c r="J13" s="44">
        <f>'Base Financials'!J13</f>
        <v>-14957</v>
      </c>
      <c r="K13" s="44">
        <f>'Base Financials'!K13</f>
        <v>-17278</v>
      </c>
      <c r="L13" s="44">
        <f>'Base Financials'!L13</f>
        <v>-20540</v>
      </c>
      <c r="M13" s="44">
        <f>'Base Financials'!M13</f>
        <v>-18552</v>
      </c>
      <c r="N13" s="44">
        <f>'Base Financials'!N13</f>
        <v>-20180</v>
      </c>
      <c r="O13" s="44">
        <f>'Base Financials'!O13</f>
        <v>-21264</v>
      </c>
      <c r="P13" s="44">
        <f>'Base Financials'!P13</f>
        <v>-23753</v>
      </c>
      <c r="Q13" s="44">
        <f>'Base Financials'!Q13</f>
        <v>-22926</v>
      </c>
      <c r="R13" s="5"/>
      <c r="S13" s="21">
        <f t="shared" ref="S13:S14" si="12">SUM(J13:M13)</f>
        <v>-71327</v>
      </c>
      <c r="T13" s="21">
        <f t="shared" ref="T13:T14" si="13">SUM(N13:Q13)</f>
        <v>-88123</v>
      </c>
      <c r="V13" s="23">
        <f>SUM(T13/S13)-1</f>
        <v>0.23547885092601684</v>
      </c>
    </row>
    <row r="14" spans="1:22" x14ac:dyDescent="0.25">
      <c r="B14" s="140" t="s">
        <v>22</v>
      </c>
      <c r="C14" s="44">
        <f>'Base Financials'!C14</f>
        <v>-21130</v>
      </c>
      <c r="D14" s="44">
        <f>'Base Financials'!D14</f>
        <v>-22883</v>
      </c>
      <c r="E14" s="44">
        <f>'Base Financials'!E14</f>
        <v>-23497</v>
      </c>
      <c r="F14" s="181"/>
      <c r="G14" s="44">
        <f>'Base Financials'!G14</f>
        <v>-5682</v>
      </c>
      <c r="H14" s="44">
        <f>'Base Financials'!H14</f>
        <v>-5180</v>
      </c>
      <c r="I14" s="44">
        <f>'Base Financials'!I14</f>
        <v>-6188</v>
      </c>
      <c r="J14" s="44">
        <f>'Base Financials'!J14</f>
        <v>-5833</v>
      </c>
      <c r="K14" s="44">
        <f>'Base Financials'!K14</f>
        <v>-5234</v>
      </c>
      <c r="L14" s="44">
        <f>'Base Financials'!L14</f>
        <v>-6191</v>
      </c>
      <c r="M14" s="44">
        <f>'Base Financials'!M14</f>
        <v>-6070</v>
      </c>
      <c r="N14" s="44">
        <f>'Base Financials'!N14</f>
        <v>-6002</v>
      </c>
      <c r="O14" s="44">
        <f>'Base Financials'!O14</f>
        <v>-5314</v>
      </c>
      <c r="P14" s="44">
        <f>'Base Financials'!P14</f>
        <v>-5746</v>
      </c>
      <c r="Q14" s="44">
        <f>'Base Financials'!Q14</f>
        <v>-7307</v>
      </c>
      <c r="R14" s="5"/>
      <c r="S14" s="21">
        <f t="shared" si="12"/>
        <v>-23328</v>
      </c>
      <c r="T14" s="21">
        <f t="shared" si="13"/>
        <v>-24369</v>
      </c>
      <c r="V14" s="23">
        <f t="shared" ref="V14:V15" si="14">SUM(T14/S14)-1</f>
        <v>4.462448559670773E-2</v>
      </c>
    </row>
    <row r="15" spans="1:22" x14ac:dyDescent="0.25">
      <c r="B15" s="2" t="s">
        <v>172</v>
      </c>
      <c r="C15" s="35">
        <f>SUM(C13:C14)+C10</f>
        <v>-81208</v>
      </c>
      <c r="D15" s="35">
        <f>SUM(D13:D14)+D10</f>
        <v>-84578</v>
      </c>
      <c r="E15" s="35">
        <f t="shared" ref="E15" si="15">SUM(E13:E14)</f>
        <v>-100047</v>
      </c>
      <c r="F15" s="182"/>
      <c r="G15" s="35">
        <f t="shared" ref="G15:Q15" si="16">SUM(G13:G14)+G10</f>
        <v>-21763</v>
      </c>
      <c r="H15" s="35">
        <f t="shared" si="16"/>
        <v>-18531</v>
      </c>
      <c r="I15" s="35">
        <f t="shared" si="16"/>
        <v>-23494</v>
      </c>
      <c r="J15" s="35">
        <f t="shared" si="16"/>
        <v>-20790</v>
      </c>
      <c r="K15" s="35">
        <f t="shared" si="16"/>
        <v>-22512</v>
      </c>
      <c r="L15" s="35">
        <f t="shared" si="16"/>
        <v>-26731</v>
      </c>
      <c r="M15" s="35">
        <f t="shared" si="16"/>
        <v>-24622</v>
      </c>
      <c r="N15" s="35">
        <f t="shared" si="16"/>
        <v>-26182</v>
      </c>
      <c r="O15" s="35">
        <f t="shared" si="16"/>
        <v>-26578</v>
      </c>
      <c r="P15" s="35">
        <f t="shared" si="16"/>
        <v>-29499</v>
      </c>
      <c r="Q15" s="35">
        <f t="shared" si="16"/>
        <v>-30233</v>
      </c>
      <c r="R15" s="5"/>
      <c r="S15" s="26">
        <f>SUM(S13:S14)</f>
        <v>-94655</v>
      </c>
      <c r="T15" s="26">
        <f>SUM(T13:T14)</f>
        <v>-112492</v>
      </c>
      <c r="V15" s="23">
        <f t="shared" si="14"/>
        <v>0.18844223759970413</v>
      </c>
    </row>
    <row r="16" spans="1:22" x14ac:dyDescent="0.25">
      <c r="B16" s="29" t="s">
        <v>23</v>
      </c>
      <c r="C16" s="30"/>
      <c r="D16" s="20">
        <f>D15/C15-1</f>
        <v>4.1498374544379768E-2</v>
      </c>
      <c r="E16" s="20">
        <f>E15/D15-1</f>
        <v>0.18289626143914495</v>
      </c>
      <c r="F16" s="20"/>
      <c r="G16" s="5"/>
      <c r="H16" s="20">
        <f t="shared" ref="H16:Q16" si="17">H15/G15-1</f>
        <v>-0.14850893718696867</v>
      </c>
      <c r="I16" s="20">
        <f t="shared" si="17"/>
        <v>0.26782148831687436</v>
      </c>
      <c r="J16" s="20">
        <f t="shared" si="17"/>
        <v>-0.11509321528900995</v>
      </c>
      <c r="K16" s="20">
        <f t="shared" si="17"/>
        <v>8.2828282828282918E-2</v>
      </c>
      <c r="L16" s="20">
        <f t="shared" si="17"/>
        <v>0.18741115849324808</v>
      </c>
      <c r="M16" s="20">
        <f t="shared" si="17"/>
        <v>-7.8897160600052363E-2</v>
      </c>
      <c r="N16" s="20">
        <f t="shared" si="17"/>
        <v>6.3357972544878516E-2</v>
      </c>
      <c r="O16" s="20">
        <f>O15/N15-1</f>
        <v>1.5124894966007218E-2</v>
      </c>
      <c r="P16" s="20">
        <f t="shared" si="17"/>
        <v>0.10990292723304984</v>
      </c>
      <c r="Q16" s="20">
        <f t="shared" si="17"/>
        <v>2.4882199396589755E-2</v>
      </c>
      <c r="R16" s="5"/>
      <c r="S16" s="5"/>
      <c r="T16" s="20">
        <f>T15/S15-1</f>
        <v>0.18844223759970413</v>
      </c>
    </row>
    <row r="17" spans="2:22" x14ac:dyDescent="0.25">
      <c r="B17" s="43" t="s">
        <v>47</v>
      </c>
      <c r="F17" s="160"/>
    </row>
    <row r="18" spans="2:22" x14ac:dyDescent="0.25">
      <c r="B18" s="140" t="s">
        <v>24</v>
      </c>
      <c r="C18" s="44">
        <f>'Base Financials'!C19</f>
        <v>16</v>
      </c>
      <c r="D18" s="44">
        <f>'Base Financials'!D19</f>
        <v>2629</v>
      </c>
      <c r="E18" s="44">
        <f>'Base Financials'!E19</f>
        <v>5467</v>
      </c>
      <c r="F18" s="181"/>
      <c r="G18" s="44">
        <f>'Base Financials'!G19</f>
        <v>31</v>
      </c>
      <c r="H18" s="44">
        <f>'Base Financials'!H19</f>
        <v>301</v>
      </c>
      <c r="I18" s="44">
        <f>'Base Financials'!I19</f>
        <v>883</v>
      </c>
      <c r="J18" s="44">
        <f>'Base Financials'!J19</f>
        <v>1414</v>
      </c>
      <c r="K18" s="44">
        <f>'Base Financials'!K19</f>
        <v>1475</v>
      </c>
      <c r="L18" s="44">
        <f>'Base Financials'!L19</f>
        <v>1479</v>
      </c>
      <c r="M18" s="44">
        <f>'Base Financials'!M19</f>
        <v>1369</v>
      </c>
      <c r="N18" s="44">
        <f>'Base Financials'!N19</f>
        <v>1144</v>
      </c>
      <c r="O18" s="44">
        <f>'Base Financials'!O19</f>
        <v>1031</v>
      </c>
      <c r="P18" s="44">
        <f>'Base Financials'!P19</f>
        <v>1310</v>
      </c>
      <c r="Q18" s="44">
        <f>'Base Financials'!Q19</f>
        <v>911</v>
      </c>
      <c r="S18" s="21">
        <f t="shared" ref="S18:S19" si="18">SUM(J18:M18)</f>
        <v>5737</v>
      </c>
      <c r="T18" s="21">
        <f t="shared" ref="T18:T19" si="19">SUM(N18:Q18)</f>
        <v>4396</v>
      </c>
      <c r="V18" s="23">
        <f>SUM(T18/S18)-1</f>
        <v>-0.23374586020568244</v>
      </c>
    </row>
    <row r="19" spans="2:22" x14ac:dyDescent="0.25">
      <c r="B19" s="140" t="s">
        <v>48</v>
      </c>
      <c r="C19" s="44">
        <f>'Base Financials'!C20</f>
        <v>-4348</v>
      </c>
      <c r="D19" s="44">
        <f>'Base Financials'!D20</f>
        <v>-6200</v>
      </c>
      <c r="E19" s="44">
        <f>'Base Financials'!E20</f>
        <v>-6599</v>
      </c>
      <c r="F19" s="181"/>
      <c r="G19" s="44">
        <f>'Base Financials'!G20</f>
        <v>-1432</v>
      </c>
      <c r="H19" s="44">
        <f>'Base Financials'!H20</f>
        <v>-1488</v>
      </c>
      <c r="I19" s="44">
        <f>'Base Financials'!I20</f>
        <v>-1641</v>
      </c>
      <c r="J19" s="44">
        <f>'Base Financials'!J20</f>
        <v>-1639</v>
      </c>
      <c r="K19" s="44">
        <f>'Base Financials'!K20</f>
        <v>-1699</v>
      </c>
      <c r="L19" s="44">
        <f>'Base Financials'!L20</f>
        <v>-1710</v>
      </c>
      <c r="M19" s="44">
        <f>'Base Financials'!M20</f>
        <v>-1463</v>
      </c>
      <c r="N19" s="44">
        <f>'Base Financials'!N20</f>
        <v>-1727</v>
      </c>
      <c r="O19" s="44">
        <f>'Base Financials'!O20</f>
        <v>-1816</v>
      </c>
      <c r="P19" s="44">
        <f>'Base Financials'!P20</f>
        <v>-2515</v>
      </c>
      <c r="Q19" s="44">
        <f>'Base Financials'!Q20</f>
        <v>-2438</v>
      </c>
      <c r="S19" s="21">
        <f t="shared" si="18"/>
        <v>-6511</v>
      </c>
      <c r="T19" s="21">
        <f t="shared" si="19"/>
        <v>-8496</v>
      </c>
      <c r="V19" s="23">
        <f t="shared" ref="V19:V27" si="20">SUM(T19/S19)-1</f>
        <v>0.30486868376593468</v>
      </c>
    </row>
    <row r="20" spans="2:22" x14ac:dyDescent="0.25">
      <c r="B20" s="140" t="s">
        <v>78</v>
      </c>
      <c r="C20" s="44">
        <f>'Base Financials'!C21</f>
        <v>55772</v>
      </c>
      <c r="D20" s="44">
        <f>'Base Financials'!D21</f>
        <v>75767</v>
      </c>
      <c r="E20" s="44">
        <f>'Base Financials'!E21</f>
        <v>-10023</v>
      </c>
      <c r="F20" s="181"/>
      <c r="G20" s="44">
        <f>'Base Financials'!G21</f>
        <v>3258</v>
      </c>
      <c r="H20" s="44">
        <f>'Base Financials'!H21</f>
        <v>56353</v>
      </c>
      <c r="I20" s="44">
        <f>'Base Financials'!I21</f>
        <v>-962</v>
      </c>
      <c r="J20" s="44">
        <f>'Base Financials'!J21</f>
        <v>17118</v>
      </c>
      <c r="K20" s="44">
        <f>'Base Financials'!K21</f>
        <v>-14191</v>
      </c>
      <c r="L20" s="44">
        <f>'Base Financials'!L21</f>
        <v>3627</v>
      </c>
      <c r="M20" s="44">
        <f>'Base Financials'!M21</f>
        <v>-1144</v>
      </c>
      <c r="N20" s="44">
        <f>'Base Financials'!N21</f>
        <v>1685</v>
      </c>
      <c r="O20" s="44">
        <f>'Base Financials'!O21</f>
        <v>-4593</v>
      </c>
      <c r="P20" s="44">
        <f>'Base Financials'!P21</f>
        <v>-25571</v>
      </c>
      <c r="Q20" s="44">
        <f>'Base Financials'!Q21</f>
        <v>-8489</v>
      </c>
      <c r="R20" s="5"/>
      <c r="S20" s="21">
        <f t="shared" ref="S20" si="21">SUM(J20:M20)</f>
        <v>5410</v>
      </c>
      <c r="T20" s="21">
        <f t="shared" ref="T20" si="22">SUM(N20:Q20)</f>
        <v>-36968</v>
      </c>
      <c r="V20" s="23">
        <f t="shared" si="20"/>
        <v>-7.8332717190388168</v>
      </c>
    </row>
    <row r="21" spans="2:22" x14ac:dyDescent="0.25">
      <c r="B21" s="140" t="s">
        <v>79</v>
      </c>
      <c r="C21" s="44">
        <f>'Base Financials'!C22</f>
        <v>56</v>
      </c>
      <c r="D21" s="44">
        <f>'Base Financials'!D22</f>
        <v>0</v>
      </c>
      <c r="E21" s="44">
        <f>'Base Financials'!E22</f>
        <v>0</v>
      </c>
      <c r="F21" s="181"/>
      <c r="G21" s="44">
        <f>'Base Financials'!G22</f>
        <v>74</v>
      </c>
      <c r="H21" s="44">
        <f>'Base Financials'!H22</f>
        <v>233</v>
      </c>
      <c r="I21" s="44">
        <f>'Base Financials'!I22</f>
        <v>-67</v>
      </c>
      <c r="J21" s="44">
        <f>'Base Financials'!J22</f>
        <v>-240</v>
      </c>
      <c r="K21" s="44">
        <f>'Base Financials'!K22</f>
        <v>-42</v>
      </c>
      <c r="L21" s="44">
        <f>'Base Financials'!L22</f>
        <v>0</v>
      </c>
      <c r="M21" s="44">
        <f>'Base Financials'!M22</f>
        <v>0</v>
      </c>
      <c r="N21" s="44">
        <f>'Base Financials'!N22</f>
        <v>42</v>
      </c>
      <c r="O21" s="44">
        <f>'Base Financials'!O22</f>
        <v>0</v>
      </c>
      <c r="P21" s="44">
        <f>'Base Financials'!P22</f>
        <v>0</v>
      </c>
      <c r="Q21" s="44">
        <f>'Base Financials'!Q22</f>
        <v>0</v>
      </c>
      <c r="R21" s="5"/>
      <c r="S21" s="21">
        <f t="shared" ref="S21:S26" si="23">SUM(J21:M21)</f>
        <v>-282</v>
      </c>
      <c r="T21" s="21">
        <f t="shared" ref="T21:T26" si="24">SUM(N21:Q21)</f>
        <v>42</v>
      </c>
      <c r="V21" s="23">
        <f t="shared" si="20"/>
        <v>-1.1489361702127661</v>
      </c>
    </row>
    <row r="22" spans="2:22" x14ac:dyDescent="0.25">
      <c r="B22" s="140" t="s">
        <v>80</v>
      </c>
      <c r="C22" s="44">
        <f>'Base Financials'!C23</f>
        <v>3284</v>
      </c>
      <c r="D22" s="44">
        <f>'Base Financials'!D23</f>
        <v>0</v>
      </c>
      <c r="E22" s="44">
        <f>'Base Financials'!E23</f>
        <v>0</v>
      </c>
      <c r="F22" s="181"/>
      <c r="G22" s="44">
        <f>'Base Financials'!G23</f>
        <v>0</v>
      </c>
      <c r="H22" s="44">
        <f>'Base Financials'!H23</f>
        <v>0</v>
      </c>
      <c r="I22" s="44">
        <f>'Base Financials'!I23</f>
        <v>0</v>
      </c>
      <c r="J22" s="44">
        <f>'Base Financials'!J23</f>
        <v>0</v>
      </c>
      <c r="K22" s="44">
        <f>'Base Financials'!K23</f>
        <v>0</v>
      </c>
      <c r="L22" s="44">
        <f>'Base Financials'!L23</f>
        <v>0</v>
      </c>
      <c r="M22" s="44">
        <f>'Base Financials'!M23</f>
        <v>0</v>
      </c>
      <c r="N22" s="44">
        <f>'Base Financials'!N23</f>
        <v>0</v>
      </c>
      <c r="O22" s="44">
        <f>'Base Financials'!O23</f>
        <v>0</v>
      </c>
      <c r="P22" s="44">
        <f>'Base Financials'!P23</f>
        <v>0</v>
      </c>
      <c r="Q22" s="44">
        <f>'Base Financials'!Q23</f>
        <v>0</v>
      </c>
      <c r="R22" s="5"/>
      <c r="S22" s="21">
        <f t="shared" si="23"/>
        <v>0</v>
      </c>
      <c r="T22" s="21">
        <f t="shared" si="24"/>
        <v>0</v>
      </c>
      <c r="V22" s="23" t="e">
        <f t="shared" si="20"/>
        <v>#DIV/0!</v>
      </c>
    </row>
    <row r="23" spans="2:22" x14ac:dyDescent="0.25">
      <c r="B23" s="140" t="s">
        <v>81</v>
      </c>
      <c r="C23" s="44">
        <f>'Base Financials'!C24</f>
        <v>0</v>
      </c>
      <c r="D23" s="44">
        <f>'Base Financials'!D24</f>
        <v>0</v>
      </c>
      <c r="E23" s="44">
        <f>'Base Financials'!E24</f>
        <v>3107</v>
      </c>
      <c r="F23" s="181"/>
      <c r="G23" s="44">
        <f>'Base Financials'!G24</f>
        <v>0</v>
      </c>
      <c r="H23" s="44">
        <f>'Base Financials'!H24</f>
        <v>0</v>
      </c>
      <c r="I23" s="44">
        <f>'Base Financials'!I24</f>
        <v>0</v>
      </c>
      <c r="J23" s="44">
        <f>'Base Financials'!J24</f>
        <v>0</v>
      </c>
      <c r="K23" s="44">
        <f>'Base Financials'!K24</f>
        <v>0</v>
      </c>
      <c r="L23" s="44">
        <f>'Base Financials'!L24</f>
        <v>3107</v>
      </c>
      <c r="M23" s="44">
        <f>'Base Financials'!M24</f>
        <v>0</v>
      </c>
      <c r="N23" s="44">
        <f>'Base Financials'!N24</f>
        <v>0</v>
      </c>
      <c r="O23" s="44">
        <f>'Base Financials'!O24</f>
        <v>0</v>
      </c>
      <c r="P23" s="44">
        <f>'Base Financials'!P24</f>
        <v>0</v>
      </c>
      <c r="Q23" s="44">
        <f>'Base Financials'!Q24</f>
        <v>0</v>
      </c>
      <c r="R23" s="5"/>
      <c r="S23" s="21">
        <f t="shared" si="23"/>
        <v>3107</v>
      </c>
      <c r="T23" s="21">
        <f t="shared" si="24"/>
        <v>0</v>
      </c>
      <c r="V23" s="23">
        <f t="shared" si="20"/>
        <v>-1</v>
      </c>
    </row>
    <row r="24" spans="2:22" x14ac:dyDescent="0.25">
      <c r="B24" s="140" t="s">
        <v>82</v>
      </c>
      <c r="C24" s="44">
        <f>'Base Financials'!C25</f>
        <v>0</v>
      </c>
      <c r="D24" s="44">
        <f>'Base Financials'!D25</f>
        <v>0</v>
      </c>
      <c r="E24" s="44">
        <f>'Base Financials'!E25</f>
        <v>-2421</v>
      </c>
      <c r="F24" s="181"/>
      <c r="G24" s="44">
        <f>'Base Financials'!G25</f>
        <v>0</v>
      </c>
      <c r="H24" s="44">
        <f>'Base Financials'!H25</f>
        <v>0</v>
      </c>
      <c r="I24" s="44">
        <f>'Base Financials'!I25</f>
        <v>0</v>
      </c>
      <c r="J24" s="44">
        <f>'Base Financials'!J25</f>
        <v>0</v>
      </c>
      <c r="K24" s="44">
        <f>'Base Financials'!K25</f>
        <v>0</v>
      </c>
      <c r="L24" s="44">
        <f>'Base Financials'!L25</f>
        <v>-2421</v>
      </c>
      <c r="M24" s="44">
        <f>'Base Financials'!M25</f>
        <v>0</v>
      </c>
      <c r="N24" s="44">
        <f>'Base Financials'!N25</f>
        <v>0</v>
      </c>
      <c r="O24" s="44">
        <f>'Base Financials'!O25</f>
        <v>0</v>
      </c>
      <c r="P24" s="44">
        <f>'Base Financials'!P25</f>
        <v>0</v>
      </c>
      <c r="Q24" s="44">
        <f>'Base Financials'!Q25</f>
        <v>0</v>
      </c>
      <c r="R24" s="5"/>
      <c r="S24" s="21">
        <f t="shared" si="23"/>
        <v>-2421</v>
      </c>
      <c r="T24" s="21">
        <f t="shared" si="24"/>
        <v>0</v>
      </c>
      <c r="V24" s="23">
        <f t="shared" si="20"/>
        <v>-1</v>
      </c>
    </row>
    <row r="25" spans="2:22" x14ac:dyDescent="0.25">
      <c r="B25" s="140" t="s">
        <v>83</v>
      </c>
      <c r="C25" s="44">
        <f>'Base Financials'!C26</f>
        <v>-49</v>
      </c>
      <c r="D25" s="44">
        <f>'Base Financials'!D26</f>
        <v>0</v>
      </c>
      <c r="E25" s="44">
        <f>'Base Financials'!E26</f>
        <v>0</v>
      </c>
      <c r="F25" s="181"/>
      <c r="G25" s="44">
        <f>'Base Financials'!G26</f>
        <v>0</v>
      </c>
      <c r="H25" s="44">
        <f>'Base Financials'!H26</f>
        <v>0</v>
      </c>
      <c r="I25" s="44">
        <f>'Base Financials'!I26</f>
        <v>0</v>
      </c>
      <c r="J25" s="44">
        <f>'Base Financials'!J26</f>
        <v>0</v>
      </c>
      <c r="K25" s="44">
        <f>'Base Financials'!K26</f>
        <v>0</v>
      </c>
      <c r="L25" s="44">
        <f>'Base Financials'!L26</f>
        <v>0</v>
      </c>
      <c r="M25" s="44">
        <f>'Base Financials'!M26</f>
        <v>0</v>
      </c>
      <c r="N25" s="44">
        <f>'Base Financials'!N26</f>
        <v>0</v>
      </c>
      <c r="O25" s="44">
        <f>'Base Financials'!O26</f>
        <v>0</v>
      </c>
      <c r="P25" s="44">
        <f>'Base Financials'!P26</f>
        <v>0</v>
      </c>
      <c r="Q25" s="44">
        <f>'Base Financials'!Q26</f>
        <v>0</v>
      </c>
      <c r="R25" s="5"/>
      <c r="S25" s="21">
        <f t="shared" si="23"/>
        <v>0</v>
      </c>
      <c r="T25" s="21">
        <f t="shared" si="24"/>
        <v>0</v>
      </c>
      <c r="V25" s="23" t="e">
        <f t="shared" si="20"/>
        <v>#DIV/0!</v>
      </c>
    </row>
    <row r="26" spans="2:22" x14ac:dyDescent="0.25">
      <c r="B26" s="140" t="s">
        <v>84</v>
      </c>
      <c r="C26" s="44">
        <f>'Base Financials'!C27</f>
        <v>0</v>
      </c>
      <c r="D26" s="44">
        <f>'Base Financials'!D27</f>
        <v>417</v>
      </c>
      <c r="E26" s="44">
        <f>'Base Financials'!E27</f>
        <v>-260</v>
      </c>
      <c r="F26" s="181"/>
      <c r="G26" s="44">
        <f>'Base Financials'!G27</f>
        <v>0</v>
      </c>
      <c r="H26" s="44">
        <f>'Base Financials'!H27</f>
        <v>0</v>
      </c>
      <c r="I26" s="44">
        <f>'Base Financials'!I27</f>
        <v>0</v>
      </c>
      <c r="J26" s="44">
        <f>'Base Financials'!J27</f>
        <v>417</v>
      </c>
      <c r="K26" s="44">
        <f>'Base Financials'!K27</f>
        <v>0</v>
      </c>
      <c r="L26" s="44">
        <f>'Base Financials'!L27</f>
        <v>-57</v>
      </c>
      <c r="M26" s="44">
        <f>'Base Financials'!M27</f>
        <v>-135</v>
      </c>
      <c r="N26" s="44">
        <f>'Base Financials'!N27</f>
        <v>-68</v>
      </c>
      <c r="O26" s="44">
        <f>'Base Financials'!O27</f>
        <v>60</v>
      </c>
      <c r="P26" s="44">
        <f>'Base Financials'!P27</f>
        <v>-388</v>
      </c>
      <c r="Q26" s="44">
        <f>'Base Financials'!Q27</f>
        <v>1047</v>
      </c>
      <c r="R26" s="5"/>
      <c r="S26" s="21">
        <f t="shared" si="23"/>
        <v>225</v>
      </c>
      <c r="T26" s="21">
        <f t="shared" si="24"/>
        <v>651</v>
      </c>
      <c r="V26" s="23">
        <f t="shared" si="20"/>
        <v>1.8933333333333335</v>
      </c>
    </row>
    <row r="27" spans="2:22" x14ac:dyDescent="0.25">
      <c r="B27" s="34" t="s">
        <v>25</v>
      </c>
      <c r="C27" s="35">
        <f>SUM(C15+SUM(C18:C26))</f>
        <v>-26477</v>
      </c>
      <c r="D27" s="35">
        <f t="shared" ref="D27:E27" si="25">SUM(D15+SUM(D18:D26))</f>
        <v>-11965</v>
      </c>
      <c r="E27" s="35">
        <f t="shared" si="25"/>
        <v>-110776</v>
      </c>
      <c r="F27" s="180"/>
      <c r="G27" s="35">
        <f t="shared" ref="G27" si="26">SUM(G15+SUM(G18:G26))</f>
        <v>-19832</v>
      </c>
      <c r="H27" s="35">
        <f t="shared" ref="H27" si="27">SUM(H15+SUM(H18:H26))</f>
        <v>36868</v>
      </c>
      <c r="I27" s="35">
        <f t="shared" ref="I27" si="28">SUM(I15+SUM(I18:I26))</f>
        <v>-25281</v>
      </c>
      <c r="J27" s="35">
        <f t="shared" ref="J27" si="29">SUM(J15+SUM(J18:J26))</f>
        <v>-3720</v>
      </c>
      <c r="K27" s="35">
        <f t="shared" ref="K27" si="30">SUM(K15+SUM(K18:K26))</f>
        <v>-36969</v>
      </c>
      <c r="L27" s="35">
        <f t="shared" ref="L27" si="31">SUM(L15+SUM(L18:L26))</f>
        <v>-22706</v>
      </c>
      <c r="M27" s="35">
        <f t="shared" ref="M27" si="32">SUM(M15+SUM(M18:M26))</f>
        <v>-25995</v>
      </c>
      <c r="N27" s="35">
        <f t="shared" ref="N27" si="33">SUM(N15+SUM(N18:N26))</f>
        <v>-25106</v>
      </c>
      <c r="O27" s="35">
        <f t="shared" ref="O27" si="34">SUM(O15+SUM(O18:O26))</f>
        <v>-31896</v>
      </c>
      <c r="P27" s="35">
        <f t="shared" ref="P27" si="35">SUM(P15+SUM(P18:P26))</f>
        <v>-56663</v>
      </c>
      <c r="Q27" s="35">
        <f t="shared" ref="Q27" si="36">SUM(Q15+SUM(Q18:Q26))</f>
        <v>-39202</v>
      </c>
      <c r="R27" s="5"/>
      <c r="S27" s="35">
        <f>SUM(S15+SUM(S20:S26))</f>
        <v>-88616</v>
      </c>
      <c r="T27" s="35">
        <f>SUM(T15+SUM(T20:T26))</f>
        <v>-148767</v>
      </c>
      <c r="V27" s="23">
        <f t="shared" si="20"/>
        <v>0.67878261262074568</v>
      </c>
    </row>
    <row r="28" spans="2:22" x14ac:dyDescent="0.25">
      <c r="B28" s="29" t="s">
        <v>23</v>
      </c>
      <c r="C28" s="36"/>
      <c r="D28" s="20">
        <f>D27/C27-1</f>
        <v>-0.5480983495108962</v>
      </c>
      <c r="E28" s="20">
        <f>E27/D27-1</f>
        <v>8.2583368157124948</v>
      </c>
      <c r="F28" s="20"/>
      <c r="G28" s="5"/>
      <c r="H28" s="20">
        <f t="shared" ref="H28:Q28" si="37">H27/G27-1</f>
        <v>-2.8590157321500604</v>
      </c>
      <c r="I28" s="20">
        <f t="shared" si="37"/>
        <v>-1.6857166106108279</v>
      </c>
      <c r="J28" s="20">
        <f t="shared" si="37"/>
        <v>-0.85285392191764564</v>
      </c>
      <c r="K28" s="20">
        <f t="shared" si="37"/>
        <v>8.9379032258064512</v>
      </c>
      <c r="L28" s="20">
        <f t="shared" si="37"/>
        <v>-0.38580973247856309</v>
      </c>
      <c r="M28" s="20">
        <f t="shared" si="37"/>
        <v>0.14485158107989071</v>
      </c>
      <c r="N28" s="20">
        <f t="shared" si="37"/>
        <v>-3.4198884400846286E-2</v>
      </c>
      <c r="O28" s="20">
        <f t="shared" si="37"/>
        <v>0.2704532781008524</v>
      </c>
      <c r="P28" s="20">
        <f t="shared" si="37"/>
        <v>0.77649235013794837</v>
      </c>
      <c r="Q28" s="20">
        <f t="shared" si="37"/>
        <v>-0.30815523357393715</v>
      </c>
      <c r="R28" s="5"/>
      <c r="S28" s="5"/>
      <c r="T28" s="20">
        <f>T27/S27-1</f>
        <v>0.67878261262074568</v>
      </c>
    </row>
    <row r="29" spans="2:22" x14ac:dyDescent="0.25">
      <c r="B29" s="81" t="s">
        <v>178</v>
      </c>
      <c r="C29" s="36"/>
      <c r="D29" s="20"/>
      <c r="E29" s="20"/>
      <c r="F29" s="20"/>
      <c r="G29" s="5"/>
      <c r="H29" s="20"/>
      <c r="I29" s="20"/>
      <c r="J29" s="20"/>
      <c r="K29" s="20"/>
      <c r="L29" s="20"/>
      <c r="M29" s="20"/>
      <c r="N29" s="20"/>
      <c r="O29" s="20"/>
      <c r="P29" s="20"/>
      <c r="Q29" s="20"/>
      <c r="R29" s="5"/>
      <c r="S29" s="5"/>
      <c r="T29" s="20"/>
    </row>
    <row r="30" spans="2:22" x14ac:dyDescent="0.25">
      <c r="B30" s="140" t="s">
        <v>48</v>
      </c>
      <c r="C30" s="46">
        <v>4348</v>
      </c>
      <c r="D30" s="46">
        <v>6200</v>
      </c>
      <c r="E30" s="46">
        <v>6599</v>
      </c>
      <c r="F30" s="183"/>
      <c r="G30" s="46">
        <v>1432</v>
      </c>
      <c r="H30" s="46">
        <v>1488</v>
      </c>
      <c r="I30" s="46">
        <v>1641</v>
      </c>
      <c r="J30" s="46">
        <v>1639</v>
      </c>
      <c r="K30" s="46">
        <v>1699</v>
      </c>
      <c r="L30" s="46">
        <v>1710</v>
      </c>
      <c r="M30" s="46">
        <v>1463</v>
      </c>
      <c r="N30" s="46">
        <v>1727</v>
      </c>
      <c r="O30" s="46">
        <v>1816</v>
      </c>
      <c r="P30" s="46">
        <v>2515</v>
      </c>
      <c r="Q30" s="46">
        <v>2438</v>
      </c>
      <c r="R30" s="5"/>
      <c r="S30" s="21">
        <f t="shared" ref="S30" si="38">SUM(J30:M30)</f>
        <v>6511</v>
      </c>
      <c r="T30" s="21">
        <f t="shared" ref="T30" si="39">SUM(N30:Q30)</f>
        <v>8496</v>
      </c>
      <c r="V30" s="23">
        <f t="shared" ref="V30:V36" si="40">SUM(T30/S30)-1</f>
        <v>0.30486868376593468</v>
      </c>
    </row>
    <row r="31" spans="2:22" x14ac:dyDescent="0.25">
      <c r="B31" s="140" t="s">
        <v>105</v>
      </c>
      <c r="C31" s="44">
        <f>'Base Financials'!C86</f>
        <v>6181</v>
      </c>
      <c r="D31" s="44">
        <f>'Base Financials'!D86</f>
        <v>6151</v>
      </c>
      <c r="E31" s="44">
        <f>'Base Financials'!E86</f>
        <v>5659</v>
      </c>
      <c r="F31" s="181"/>
      <c r="G31" s="44">
        <f>'Base Financials'!G86</f>
        <v>1525</v>
      </c>
      <c r="H31" s="44">
        <f>'Base Financials'!H86</f>
        <v>1507</v>
      </c>
      <c r="I31" s="44">
        <f>'Base Financials'!I86</f>
        <v>1520</v>
      </c>
      <c r="J31" s="44">
        <f>'Base Financials'!J86</f>
        <v>1599</v>
      </c>
      <c r="K31" s="44">
        <f>'Base Financials'!K86</f>
        <v>1558</v>
      </c>
      <c r="L31" s="44">
        <f>'Base Financials'!L86</f>
        <v>1468</v>
      </c>
      <c r="M31" s="44">
        <f>'Base Financials'!M86</f>
        <v>1315</v>
      </c>
      <c r="N31" s="44">
        <f>'Base Financials'!N86</f>
        <v>1318</v>
      </c>
      <c r="O31" s="44">
        <f>'Base Financials'!O86</f>
        <v>1274</v>
      </c>
      <c r="P31" s="44">
        <f>'Base Financials'!P86</f>
        <v>1256</v>
      </c>
      <c r="Q31" s="44">
        <f>'Base Financials'!Q86</f>
        <v>1289</v>
      </c>
      <c r="R31" s="5"/>
      <c r="S31" s="21">
        <f t="shared" ref="S31:S32" si="41">SUM(J31:M31)</f>
        <v>5940</v>
      </c>
      <c r="T31" s="21">
        <f t="shared" ref="T31:T32" si="42">SUM(N31:Q31)</f>
        <v>5137</v>
      </c>
      <c r="V31" s="23">
        <f t="shared" si="40"/>
        <v>-0.13518518518518519</v>
      </c>
    </row>
    <row r="32" spans="2:22" x14ac:dyDescent="0.25">
      <c r="B32" s="140" t="s">
        <v>107</v>
      </c>
      <c r="C32" s="44">
        <f>'Base Financials'!C88</f>
        <v>2060</v>
      </c>
      <c r="D32" s="44">
        <f>'Base Financials'!D88</f>
        <v>2059</v>
      </c>
      <c r="E32" s="44">
        <f>'Base Financials'!E88</f>
        <v>2060</v>
      </c>
      <c r="F32" s="181"/>
      <c r="G32" s="44">
        <f>'Base Financials'!G88</f>
        <v>515</v>
      </c>
      <c r="H32" s="44">
        <f>'Base Financials'!H88</f>
        <v>514</v>
      </c>
      <c r="I32" s="44">
        <f>'Base Financials'!I88</f>
        <v>515</v>
      </c>
      <c r="J32" s="44">
        <f>'Base Financials'!J88</f>
        <v>515</v>
      </c>
      <c r="K32" s="44">
        <f>'Base Financials'!K88</f>
        <v>515</v>
      </c>
      <c r="L32" s="44">
        <f>'Base Financials'!L88</f>
        <v>515</v>
      </c>
      <c r="M32" s="44">
        <f>'Base Financials'!M88</f>
        <v>515</v>
      </c>
      <c r="N32" s="44">
        <f>'Base Financials'!N88</f>
        <v>515</v>
      </c>
      <c r="O32" s="44">
        <f>'Base Financials'!O88</f>
        <v>517</v>
      </c>
      <c r="P32" s="44">
        <f>'Base Financials'!P88</f>
        <v>523</v>
      </c>
      <c r="Q32" s="44">
        <f>'Base Financials'!Q88</f>
        <v>523</v>
      </c>
      <c r="R32" s="5"/>
      <c r="S32" s="21">
        <f t="shared" si="41"/>
        <v>2060</v>
      </c>
      <c r="T32" s="21">
        <f t="shared" si="42"/>
        <v>2078</v>
      </c>
      <c r="V32" s="23">
        <f t="shared" si="40"/>
        <v>8.7378640776698546E-3</v>
      </c>
    </row>
    <row r="33" spans="1:22" x14ac:dyDescent="0.25">
      <c r="B33" s="83" t="s">
        <v>173</v>
      </c>
      <c r="C33" s="84">
        <f>SUM(C27+SUM(C30:C32))</f>
        <v>-13888</v>
      </c>
      <c r="D33" s="84">
        <f>SUM(D21+SUM(D30:D32))</f>
        <v>14410</v>
      </c>
      <c r="E33" s="84">
        <f>SUM(E21+SUM(E30:E32))</f>
        <v>14318</v>
      </c>
      <c r="F33" s="160"/>
      <c r="G33" s="84">
        <f>SUM(G21+SUM(G30:G32))</f>
        <v>3546</v>
      </c>
      <c r="H33" s="84">
        <f>SUM(H21+SUM(H30:H32))</f>
        <v>3742</v>
      </c>
      <c r="I33" s="84">
        <f>SUM(I21+SUM(I30:I32))</f>
        <v>3609</v>
      </c>
      <c r="J33" s="84">
        <f>SUM(J21+SUM(J30:J32))</f>
        <v>3513</v>
      </c>
      <c r="K33" s="84">
        <f>SUM(K21+SUM(K30:K32))</f>
        <v>3730</v>
      </c>
      <c r="L33" s="84">
        <f>SUM(L21+SUM(L30:L32))</f>
        <v>3693</v>
      </c>
      <c r="M33" s="84">
        <f>SUM(M21+SUM(M30:M32))</f>
        <v>3293</v>
      </c>
      <c r="N33" s="84">
        <f>SUM(N21+SUM(N30:N32))</f>
        <v>3602</v>
      </c>
      <c r="O33" s="84">
        <f>SUM(O21+SUM(O30:O32))</f>
        <v>3607</v>
      </c>
      <c r="P33" s="84">
        <f>SUM(P21+SUM(P30:P32))</f>
        <v>4294</v>
      </c>
      <c r="Q33" s="84">
        <f>SUM(Q21+SUM(Q30:Q32))</f>
        <v>4250</v>
      </c>
      <c r="S33" s="35">
        <f>SUM(S9+SUM(S14:S20))</f>
        <v>-113347</v>
      </c>
      <c r="T33" s="35">
        <f>SUM(T9+SUM(T14:T20))</f>
        <v>-177928.81155776241</v>
      </c>
      <c r="V33" s="23">
        <f t="shared" si="40"/>
        <v>0.56977080608893416</v>
      </c>
    </row>
    <row r="34" spans="1:22" x14ac:dyDescent="0.25">
      <c r="B34" s="29" t="s">
        <v>23</v>
      </c>
      <c r="C34" s="36"/>
      <c r="D34" s="20">
        <f>D33/C33-1</f>
        <v>-2.0375864055299537</v>
      </c>
      <c r="E34" s="20">
        <f>E33/D33-1</f>
        <v>-6.3844552394171084E-3</v>
      </c>
      <c r="F34" s="20"/>
      <c r="G34" s="5"/>
      <c r="H34" s="20">
        <f t="shared" ref="H34" si="43">H33/G33-1</f>
        <v>5.5273547659334454E-2</v>
      </c>
      <c r="I34" s="20">
        <f t="shared" ref="I34" si="44">I33/H33-1</f>
        <v>-3.5542490646712999E-2</v>
      </c>
      <c r="J34" s="20">
        <f t="shared" ref="J34" si="45">J33/I33-1</f>
        <v>-2.6600166251039115E-2</v>
      </c>
      <c r="K34" s="20">
        <f t="shared" ref="K34" si="46">K33/J33-1</f>
        <v>6.1770566467406862E-2</v>
      </c>
      <c r="L34" s="20">
        <f t="shared" ref="L34" si="47">L33/K33-1</f>
        <v>-9.9195710455763919E-3</v>
      </c>
      <c r="M34" s="20">
        <f t="shared" ref="M34" si="48">M33/L33-1</f>
        <v>-0.10831302464121306</v>
      </c>
      <c r="N34" s="20">
        <f t="shared" ref="N34" si="49">N33/M33-1</f>
        <v>9.3835408442149992E-2</v>
      </c>
      <c r="O34" s="20">
        <f t="shared" ref="O34" si="50">O33/N33-1</f>
        <v>1.3881177123820088E-3</v>
      </c>
      <c r="P34" s="20">
        <f t="shared" ref="P34" si="51">P33/O33-1</f>
        <v>0.1904629886332132</v>
      </c>
      <c r="Q34" s="20">
        <f t="shared" ref="Q34" si="52">Q33/P33-1</f>
        <v>-1.0246856078248712E-2</v>
      </c>
      <c r="S34" s="168"/>
      <c r="T34" s="20">
        <f>T33/S33-1</f>
        <v>0.56977080608893416</v>
      </c>
    </row>
    <row r="35" spans="1:22" x14ac:dyDescent="0.25">
      <c r="B35" s="179" t="s">
        <v>65</v>
      </c>
      <c r="C35" s="44">
        <f>'Base Financials'!C87</f>
        <v>10146</v>
      </c>
      <c r="D35" s="44">
        <f>'Base Financials'!D87</f>
        <v>6184</v>
      </c>
      <c r="E35" s="44">
        <f>'Base Financials'!E87</f>
        <v>6828</v>
      </c>
      <c r="F35" s="181"/>
      <c r="G35" s="44">
        <f>'Base Financials'!G87</f>
        <v>1547</v>
      </c>
      <c r="H35" s="44">
        <f>'Base Financials'!H87</f>
        <v>1491</v>
      </c>
      <c r="I35" s="44">
        <f>'Base Financials'!I87</f>
        <v>1476</v>
      </c>
      <c r="J35" s="44">
        <f>'Base Financials'!J87</f>
        <v>1670</v>
      </c>
      <c r="K35" s="44">
        <f>'Base Financials'!K87</f>
        <v>1809</v>
      </c>
      <c r="L35" s="44">
        <f>'Base Financials'!L87</f>
        <v>1841</v>
      </c>
      <c r="M35" s="44">
        <f>'Base Financials'!M87</f>
        <v>1772</v>
      </c>
      <c r="N35" s="44">
        <f>'Base Financials'!N87</f>
        <v>1406</v>
      </c>
      <c r="O35" s="44">
        <f>'Base Financials'!O87</f>
        <v>1454</v>
      </c>
      <c r="P35" s="44">
        <f>'Base Financials'!P87</f>
        <v>1437</v>
      </c>
      <c r="Q35" s="44">
        <f>'Base Financials'!Q87</f>
        <v>1552</v>
      </c>
      <c r="S35" s="21">
        <f t="shared" ref="S35" si="53">SUM(J35:M35)</f>
        <v>7092</v>
      </c>
      <c r="T35" s="21">
        <f t="shared" ref="T35" si="54">SUM(N35:Q35)</f>
        <v>5849</v>
      </c>
      <c r="V35" s="23">
        <f t="shared" si="40"/>
        <v>-0.17526790750141008</v>
      </c>
    </row>
    <row r="36" spans="1:22" x14ac:dyDescent="0.25">
      <c r="B36" s="83" t="s">
        <v>67</v>
      </c>
      <c r="C36" s="84">
        <f>SUM(C33+SUM(C35:C35))</f>
        <v>-3742</v>
      </c>
      <c r="D36" s="84">
        <f>SUM(D33+SUM(D35:D35))</f>
        <v>20594</v>
      </c>
      <c r="E36" s="84">
        <f>SUM(E33+SUM(E35:E35))</f>
        <v>21146</v>
      </c>
      <c r="F36" s="167"/>
      <c r="G36" s="84">
        <f>SUM(G33+SUM(G35:G35))</f>
        <v>5093</v>
      </c>
      <c r="H36" s="84">
        <f>SUM(H33+SUM(H35:H35))</f>
        <v>5233</v>
      </c>
      <c r="I36" s="84">
        <f>SUM(I33+SUM(I35:I35))</f>
        <v>5085</v>
      </c>
      <c r="J36" s="84">
        <f>SUM(J33+SUM(J35:J35))</f>
        <v>5183</v>
      </c>
      <c r="K36" s="84">
        <f>SUM(K33+SUM(K35:K35))</f>
        <v>5539</v>
      </c>
      <c r="L36" s="84">
        <f>SUM(L33+SUM(L35:L35))</f>
        <v>5534</v>
      </c>
      <c r="M36" s="84">
        <f>SUM(M33+SUM(M35:M35))</f>
        <v>5065</v>
      </c>
      <c r="N36" s="84">
        <f>SUM(N33+SUM(N35:N35))</f>
        <v>5008</v>
      </c>
      <c r="O36" s="84">
        <f>SUM(O33+SUM(O35:O35))</f>
        <v>5061</v>
      </c>
      <c r="P36" s="84">
        <f>SUM(P33+SUM(P35:P35))</f>
        <v>5731</v>
      </c>
      <c r="Q36" s="84">
        <f>SUM(Q33+SUM(Q35:Q35))</f>
        <v>5802</v>
      </c>
      <c r="S36" s="84">
        <f>SUM(S33+SUM(S35:S35))</f>
        <v>-106255</v>
      </c>
      <c r="T36" s="84">
        <f>SUM(T33+SUM(T35:T35))</f>
        <v>-172079.81155776241</v>
      </c>
      <c r="V36" s="23">
        <f t="shared" si="40"/>
        <v>0.61949848532080765</v>
      </c>
    </row>
    <row r="37" spans="1:22" x14ac:dyDescent="0.25">
      <c r="B37" s="29" t="s">
        <v>23</v>
      </c>
      <c r="C37" s="36"/>
      <c r="D37" s="20">
        <f>D36/C36-1</f>
        <v>-6.503474078033137</v>
      </c>
      <c r="E37" s="20">
        <f>E36/D36-1</f>
        <v>2.6803923472856095E-2</v>
      </c>
      <c r="F37" s="20"/>
      <c r="G37" s="5"/>
      <c r="H37" s="20">
        <f t="shared" ref="H37" si="55">H36/G36-1</f>
        <v>2.7488709994109461E-2</v>
      </c>
      <c r="I37" s="20">
        <f t="shared" ref="I37" si="56">I36/H36-1</f>
        <v>-2.8282056181922366E-2</v>
      </c>
      <c r="J37" s="20">
        <f t="shared" ref="J37" si="57">J36/I36-1</f>
        <v>1.9272369714847581E-2</v>
      </c>
      <c r="K37" s="20">
        <f t="shared" ref="K37" si="58">K36/J36-1</f>
        <v>6.8686089137565132E-2</v>
      </c>
      <c r="L37" s="20">
        <f t="shared" ref="L37" si="59">L36/K36-1</f>
        <v>-9.0269001624843082E-4</v>
      </c>
      <c r="M37" s="20">
        <f t="shared" ref="M37" si="60">M36/L36-1</f>
        <v>-8.4748825442717779E-2</v>
      </c>
      <c r="N37" s="20">
        <f t="shared" ref="N37" si="61">N36/M36-1</f>
        <v>-1.1253701875617028E-2</v>
      </c>
      <c r="O37" s="20">
        <f t="shared" ref="O37" si="62">O36/N36-1</f>
        <v>1.0583067092651666E-2</v>
      </c>
      <c r="P37" s="20">
        <f t="shared" ref="P37" si="63">P36/O36-1</f>
        <v>0.13238490416913651</v>
      </c>
      <c r="Q37" s="20">
        <f t="shared" ref="Q37" si="64">Q36/P36-1</f>
        <v>1.2388762868609238E-2</v>
      </c>
      <c r="T37" s="20">
        <f>T36/S36-1</f>
        <v>0.61949848532080765</v>
      </c>
    </row>
    <row r="38" spans="1:22" x14ac:dyDescent="0.25">
      <c r="T38" s="20"/>
    </row>
    <row r="39" spans="1:22" x14ac:dyDescent="0.25">
      <c r="A39" s="172" t="s">
        <v>5</v>
      </c>
      <c r="B39" s="77" t="s">
        <v>174</v>
      </c>
      <c r="C39" s="171"/>
      <c r="D39" s="171"/>
      <c r="E39" s="171"/>
      <c r="F39" s="171"/>
      <c r="G39" s="171"/>
      <c r="H39" s="171"/>
      <c r="I39" s="171"/>
      <c r="J39" s="171"/>
      <c r="K39" s="171"/>
      <c r="L39" s="171"/>
      <c r="M39" s="171"/>
      <c r="N39" s="171"/>
      <c r="O39" s="171"/>
      <c r="P39" s="171"/>
      <c r="Q39" s="171"/>
      <c r="R39" s="171"/>
      <c r="S39" s="171"/>
      <c r="T39" s="171"/>
    </row>
    <row r="40" spans="1:22" s="176" customFormat="1" x14ac:dyDescent="0.25">
      <c r="A40" s="173"/>
      <c r="B40" s="174"/>
      <c r="C40" s="175"/>
      <c r="D40" s="175"/>
      <c r="E40" s="175"/>
      <c r="F40" s="175"/>
      <c r="G40" s="175"/>
      <c r="H40" s="175"/>
      <c r="I40" s="175"/>
      <c r="J40" s="175"/>
      <c r="K40" s="175"/>
      <c r="L40" s="175"/>
      <c r="M40" s="175"/>
      <c r="N40" s="175"/>
      <c r="O40" s="175"/>
      <c r="P40" s="175"/>
      <c r="Q40" s="175"/>
      <c r="R40" s="175"/>
      <c r="S40" s="175"/>
      <c r="T40" s="175"/>
    </row>
    <row r="41" spans="1:22" s="176" customFormat="1" x14ac:dyDescent="0.25">
      <c r="A41" s="173"/>
      <c r="B41" s="177" t="s">
        <v>177</v>
      </c>
      <c r="C41" s="175"/>
      <c r="D41" s="175"/>
      <c r="E41" s="175"/>
      <c r="F41" s="175"/>
      <c r="G41" s="175"/>
      <c r="H41" s="175"/>
      <c r="I41" s="175"/>
      <c r="J41" s="175"/>
      <c r="K41" s="175"/>
      <c r="L41" s="175"/>
      <c r="M41" s="175"/>
      <c r="N41" s="175"/>
      <c r="O41" s="175"/>
      <c r="P41" s="175"/>
      <c r="Q41" s="175"/>
      <c r="R41" s="175"/>
      <c r="S41" s="175"/>
      <c r="T41" s="175"/>
    </row>
    <row r="42" spans="1:22" x14ac:dyDescent="0.25">
      <c r="B42" s="178" t="s">
        <v>88</v>
      </c>
      <c r="C42" s="44">
        <f>'Base Financials'!C102</f>
        <v>-63</v>
      </c>
      <c r="D42" s="44">
        <f>'Base Financials'!D102</f>
        <v>145</v>
      </c>
      <c r="E42" s="44">
        <f>'Base Financials'!E102</f>
        <v>31</v>
      </c>
      <c r="F42" s="181"/>
      <c r="G42" s="44">
        <f>'Base Financials'!G102</f>
        <v>-57</v>
      </c>
      <c r="H42" s="44">
        <f>'Base Financials'!H102</f>
        <v>-1068</v>
      </c>
      <c r="I42" s="44">
        <f>'Base Financials'!I102</f>
        <v>1270</v>
      </c>
      <c r="J42" s="44">
        <f>'Base Financials'!J102</f>
        <v>0</v>
      </c>
      <c r="K42" s="44">
        <f>'Base Financials'!K102</f>
        <v>31</v>
      </c>
      <c r="L42" s="44">
        <f>'Base Financials'!L102</f>
        <v>0</v>
      </c>
      <c r="M42" s="44">
        <f>'Base Financials'!M102</f>
        <v>0</v>
      </c>
      <c r="N42" s="44">
        <f>'Base Financials'!N102</f>
        <v>0</v>
      </c>
      <c r="O42" s="44">
        <f>'Base Financials'!O102</f>
        <v>0</v>
      </c>
      <c r="P42" s="44">
        <f>'Base Financials'!P102</f>
        <v>0</v>
      </c>
      <c r="Q42" s="44">
        <f>'Base Financials'!Q102</f>
        <v>0</v>
      </c>
      <c r="S42" s="21">
        <f t="shared" ref="S42:S44" si="65">SUM(J42:M42)</f>
        <v>31</v>
      </c>
      <c r="T42" s="21">
        <f t="shared" ref="T42:T44" si="66">SUM(N42:Q42)</f>
        <v>0</v>
      </c>
      <c r="V42" s="23">
        <f t="shared" ref="V42:V48" si="67">SUM(T42/S42)-1</f>
        <v>-1</v>
      </c>
    </row>
    <row r="43" spans="1:22" x14ac:dyDescent="0.25">
      <c r="B43" s="178" t="s">
        <v>29</v>
      </c>
      <c r="C43" s="44">
        <f>'Base Financials'!C103</f>
        <v>-2174</v>
      </c>
      <c r="D43" s="44">
        <f>'Base Financials'!D103</f>
        <v>1364</v>
      </c>
      <c r="E43" s="44">
        <f>'Base Financials'!E103</f>
        <v>-388</v>
      </c>
      <c r="F43" s="181"/>
      <c r="G43" s="44">
        <f>'Base Financials'!G103</f>
        <v>822</v>
      </c>
      <c r="H43" s="44">
        <f>'Base Financials'!H103</f>
        <v>146</v>
      </c>
      <c r="I43" s="44">
        <f>'Base Financials'!I103</f>
        <v>-156</v>
      </c>
      <c r="J43" s="44">
        <f>'Base Financials'!J103</f>
        <v>552</v>
      </c>
      <c r="K43" s="44">
        <f>'Base Financials'!K103</f>
        <v>120</v>
      </c>
      <c r="L43" s="44">
        <f>'Base Financials'!L103</f>
        <v>-3780</v>
      </c>
      <c r="M43" s="44">
        <f>'Base Financials'!M103</f>
        <v>3237</v>
      </c>
      <c r="N43" s="44">
        <f>'Base Financials'!N103</f>
        <v>35</v>
      </c>
      <c r="O43" s="44">
        <f>'Base Financials'!O103</f>
        <v>409</v>
      </c>
      <c r="P43" s="44">
        <f>'Base Financials'!P103</f>
        <v>-126</v>
      </c>
      <c r="Q43" s="44">
        <f>'Base Financials'!Q103</f>
        <v>113</v>
      </c>
      <c r="S43" s="21">
        <f t="shared" si="65"/>
        <v>129</v>
      </c>
      <c r="T43" s="21">
        <f t="shared" si="66"/>
        <v>431</v>
      </c>
      <c r="V43" s="23">
        <f t="shared" si="67"/>
        <v>2.3410852713178296</v>
      </c>
    </row>
    <row r="44" spans="1:22" x14ac:dyDescent="0.25">
      <c r="B44" s="178" t="s">
        <v>62</v>
      </c>
      <c r="C44" s="44">
        <f>'Base Financials'!C104</f>
        <v>-197</v>
      </c>
      <c r="D44" s="44">
        <f>'Base Financials'!D104</f>
        <v>-509</v>
      </c>
      <c r="E44" s="44">
        <f>'Base Financials'!E104</f>
        <v>4811</v>
      </c>
      <c r="F44" s="181"/>
      <c r="G44" s="44">
        <f>'Base Financials'!G104</f>
        <v>934</v>
      </c>
      <c r="H44" s="44">
        <f>'Base Financials'!H104</f>
        <v>-560</v>
      </c>
      <c r="I44" s="44">
        <f>'Base Financials'!I104</f>
        <v>610</v>
      </c>
      <c r="J44" s="44">
        <f>'Base Financials'!J104</f>
        <v>-1493</v>
      </c>
      <c r="K44" s="44">
        <f>'Base Financials'!K104</f>
        <v>299</v>
      </c>
      <c r="L44" s="44">
        <f>'Base Financials'!L104</f>
        <v>467</v>
      </c>
      <c r="M44" s="44">
        <f>'Base Financials'!M104</f>
        <v>526</v>
      </c>
      <c r="N44" s="44">
        <f>'Base Financials'!N104</f>
        <v>3519</v>
      </c>
      <c r="O44" s="44">
        <f>'Base Financials'!O104</f>
        <v>-2949</v>
      </c>
      <c r="P44" s="44">
        <f>'Base Financials'!P104</f>
        <v>2311</v>
      </c>
      <c r="Q44" s="44">
        <f>'Base Financials'!Q104</f>
        <v>1113</v>
      </c>
      <c r="S44" s="21">
        <f t="shared" si="65"/>
        <v>-201</v>
      </c>
      <c r="T44" s="21">
        <f t="shared" si="66"/>
        <v>3994</v>
      </c>
      <c r="V44" s="23">
        <f t="shared" si="67"/>
        <v>-20.870646766169155</v>
      </c>
    </row>
    <row r="45" spans="1:22" x14ac:dyDescent="0.25">
      <c r="B45" s="178" t="s">
        <v>63</v>
      </c>
      <c r="C45" s="44">
        <f>'Base Financials'!C105</f>
        <v>2035</v>
      </c>
      <c r="D45" s="44">
        <f>'Base Financials'!D105</f>
        <v>247</v>
      </c>
      <c r="E45" s="44">
        <f>'Base Financials'!E105</f>
        <v>2167</v>
      </c>
      <c r="F45" s="181"/>
      <c r="G45" s="44">
        <f>'Base Financials'!G105</f>
        <v>-1297</v>
      </c>
      <c r="H45" s="44">
        <f>'Base Financials'!H105</f>
        <v>726</v>
      </c>
      <c r="I45" s="44">
        <f>'Base Financials'!I105</f>
        <v>1773</v>
      </c>
      <c r="J45" s="44">
        <f>'Base Financials'!J105</f>
        <v>-955</v>
      </c>
      <c r="K45" s="44">
        <f>'Base Financials'!K105</f>
        <v>-597</v>
      </c>
      <c r="L45" s="44">
        <f>'Base Financials'!L105</f>
        <v>-127</v>
      </c>
      <c r="M45" s="44">
        <f>'Base Financials'!M105</f>
        <v>3301</v>
      </c>
      <c r="N45" s="44">
        <f>'Base Financials'!N105</f>
        <v>-410</v>
      </c>
      <c r="O45" s="44">
        <f>'Base Financials'!O105</f>
        <v>-2107</v>
      </c>
      <c r="P45" s="44">
        <f>'Base Financials'!P105</f>
        <v>1886</v>
      </c>
      <c r="Q45" s="44">
        <f>'Base Financials'!Q105</f>
        <v>2201</v>
      </c>
      <c r="S45" s="21">
        <f t="shared" ref="S45:S47" si="68">SUM(J45:M45)</f>
        <v>1622</v>
      </c>
      <c r="T45" s="21">
        <f t="shared" ref="T45:T47" si="69">SUM(N45:Q45)</f>
        <v>1570</v>
      </c>
      <c r="V45" s="23">
        <f t="shared" si="67"/>
        <v>-3.2059186189889011E-2</v>
      </c>
    </row>
    <row r="46" spans="1:22" x14ac:dyDescent="0.25">
      <c r="B46" s="178" t="s">
        <v>112</v>
      </c>
      <c r="C46" s="44">
        <f>'Base Financials'!C106</f>
        <v>-42</v>
      </c>
      <c r="D46" s="44">
        <f>'Base Financials'!D106</f>
        <v>-45</v>
      </c>
      <c r="E46" s="44">
        <f>'Base Financials'!E106</f>
        <v>-50</v>
      </c>
      <c r="F46" s="181"/>
      <c r="G46" s="44">
        <f>'Base Financials'!G106</f>
        <v>-11</v>
      </c>
      <c r="H46" s="44">
        <f>'Base Financials'!H106</f>
        <v>-11</v>
      </c>
      <c r="I46" s="44">
        <f>'Base Financials'!I106</f>
        <v>-12</v>
      </c>
      <c r="J46" s="44">
        <f>'Base Financials'!J106</f>
        <v>-11</v>
      </c>
      <c r="K46" s="44">
        <f>'Base Financials'!K106</f>
        <v>-12</v>
      </c>
      <c r="L46" s="44">
        <f>'Base Financials'!L106</f>
        <v>-12</v>
      </c>
      <c r="M46" s="44">
        <f>'Base Financials'!M106</f>
        <v>-13</v>
      </c>
      <c r="N46" s="44">
        <f>'Base Financials'!N106</f>
        <v>-13</v>
      </c>
      <c r="O46" s="44">
        <f>'Base Financials'!O106</f>
        <v>-13</v>
      </c>
      <c r="P46" s="44">
        <f>'Base Financials'!P106</f>
        <v>-13</v>
      </c>
      <c r="Q46" s="44">
        <f>'Base Financials'!Q106</f>
        <v>-13</v>
      </c>
      <c r="S46" s="21">
        <f t="shared" si="68"/>
        <v>-48</v>
      </c>
      <c r="T46" s="21">
        <f t="shared" si="69"/>
        <v>-52</v>
      </c>
      <c r="V46" s="23">
        <f t="shared" si="67"/>
        <v>8.3333333333333259E-2</v>
      </c>
    </row>
    <row r="47" spans="1:22" x14ac:dyDescent="0.25">
      <c r="B47" s="178" t="s">
        <v>113</v>
      </c>
      <c r="C47" s="44">
        <f>'Base Financials'!C107</f>
        <v>-116</v>
      </c>
      <c r="D47" s="44">
        <f>'Base Financials'!D107</f>
        <v>-173</v>
      </c>
      <c r="E47" s="44">
        <f>'Base Financials'!E107</f>
        <v>0</v>
      </c>
      <c r="F47" s="181"/>
      <c r="G47" s="44">
        <f>'Base Financials'!G107</f>
        <v>0</v>
      </c>
      <c r="H47" s="44">
        <f>'Base Financials'!H107</f>
        <v>0</v>
      </c>
      <c r="I47" s="44">
        <f>'Base Financials'!I107</f>
        <v>0</v>
      </c>
      <c r="J47" s="44">
        <f>'Base Financials'!J107</f>
        <v>-173</v>
      </c>
      <c r="K47" s="44">
        <f>'Base Financials'!K107</f>
        <v>0</v>
      </c>
      <c r="L47" s="44">
        <f>'Base Financials'!L107</f>
        <v>0</v>
      </c>
      <c r="M47" s="44">
        <f>'Base Financials'!M107</f>
        <v>0</v>
      </c>
      <c r="N47" s="44">
        <f>'Base Financials'!N107</f>
        <v>0</v>
      </c>
      <c r="O47" s="44">
        <f>'Base Financials'!O107</f>
        <v>0</v>
      </c>
      <c r="P47" s="44">
        <f>'Base Financials'!P107</f>
        <v>0</v>
      </c>
      <c r="Q47" s="44">
        <f>'Base Financials'!Q107</f>
        <v>0</v>
      </c>
      <c r="S47" s="21">
        <f t="shared" si="68"/>
        <v>-173</v>
      </c>
      <c r="T47" s="21">
        <f t="shared" si="69"/>
        <v>0</v>
      </c>
      <c r="V47" s="23">
        <f t="shared" si="67"/>
        <v>-1</v>
      </c>
    </row>
    <row r="48" spans="1:22" x14ac:dyDescent="0.25">
      <c r="B48" s="83" t="s">
        <v>68</v>
      </c>
      <c r="C48" s="84">
        <f>SUM(C27+SUM(C42:C47))</f>
        <v>-27034</v>
      </c>
      <c r="D48" s="84">
        <f>SUM(D27+SUM(D42:D47))</f>
        <v>-10936</v>
      </c>
      <c r="E48" s="84">
        <f>SUM(E27+SUM(E42:E47))</f>
        <v>-104205</v>
      </c>
      <c r="F48" s="160"/>
      <c r="G48" s="84">
        <f>SUM(G27+SUM(G42:G47))</f>
        <v>-19441</v>
      </c>
      <c r="H48" s="84">
        <f>SUM(H27+SUM(H42:H47))</f>
        <v>36101</v>
      </c>
      <c r="I48" s="84">
        <f>SUM(I27+SUM(I42:I47))</f>
        <v>-21796</v>
      </c>
      <c r="J48" s="84">
        <f>SUM(J27+SUM(J42:J47))</f>
        <v>-5800</v>
      </c>
      <c r="K48" s="84">
        <f>SUM(K27+SUM(K42:K47))</f>
        <v>-37128</v>
      </c>
      <c r="L48" s="84">
        <f>SUM(L27+SUM(L42:L47))</f>
        <v>-26158</v>
      </c>
      <c r="M48" s="84">
        <f>SUM(M27+SUM(M42:M47))</f>
        <v>-18944</v>
      </c>
      <c r="N48" s="84">
        <f>SUM(N27+SUM(N42:N47))</f>
        <v>-21975</v>
      </c>
      <c r="O48" s="84">
        <f>SUM(O27+SUM(O42:O47))</f>
        <v>-36556</v>
      </c>
      <c r="P48" s="84">
        <f>SUM(P27+SUM(P42:P47))</f>
        <v>-52605</v>
      </c>
      <c r="Q48" s="84">
        <f>SUM(Q27+SUM(Q42:Q47))</f>
        <v>-35788</v>
      </c>
      <c r="R48" s="167"/>
      <c r="S48" s="84">
        <f>SUM(S36+SUM(S42:S47))</f>
        <v>-104895</v>
      </c>
      <c r="T48" s="84">
        <f>SUM(T36+SUM(T42:T47))</f>
        <v>-166136.81155776241</v>
      </c>
      <c r="V48" s="23">
        <f t="shared" si="67"/>
        <v>0.58383918735652229</v>
      </c>
    </row>
    <row r="49" spans="2:22" x14ac:dyDescent="0.25">
      <c r="F49" s="160"/>
      <c r="R49" s="160"/>
      <c r="S49" s="5"/>
      <c r="T49" s="20">
        <f>T48/S48-1</f>
        <v>0.58383918735652229</v>
      </c>
    </row>
    <row r="50" spans="2:22" x14ac:dyDescent="0.25">
      <c r="B50" s="157" t="s">
        <v>175</v>
      </c>
      <c r="F50" s="160"/>
      <c r="R50" s="160"/>
      <c r="S50" s="5"/>
      <c r="T50" s="20"/>
    </row>
    <row r="51" spans="2:22" x14ac:dyDescent="0.25">
      <c r="B51" s="152" t="s">
        <v>105</v>
      </c>
      <c r="C51" s="44">
        <f>'Base Financials'!C86</f>
        <v>6181</v>
      </c>
      <c r="D51" s="44">
        <f>'Base Financials'!D86</f>
        <v>6151</v>
      </c>
      <c r="E51" s="44">
        <f>'Base Financials'!E86</f>
        <v>5659</v>
      </c>
      <c r="F51" s="181"/>
      <c r="G51" s="44">
        <f>'Base Financials'!G86</f>
        <v>1525</v>
      </c>
      <c r="H51" s="44">
        <f>'Base Financials'!H86</f>
        <v>1507</v>
      </c>
      <c r="I51" s="44">
        <f>'Base Financials'!I86</f>
        <v>1520</v>
      </c>
      <c r="J51" s="44">
        <f>'Base Financials'!J86</f>
        <v>1599</v>
      </c>
      <c r="K51" s="44">
        <f>'Base Financials'!K86</f>
        <v>1558</v>
      </c>
      <c r="L51" s="44">
        <f>'Base Financials'!L86</f>
        <v>1468</v>
      </c>
      <c r="M51" s="44">
        <f>'Base Financials'!M86</f>
        <v>1315</v>
      </c>
      <c r="N51" s="44">
        <f>'Base Financials'!N86</f>
        <v>1318</v>
      </c>
      <c r="O51" s="44">
        <f>'Base Financials'!O86</f>
        <v>1274</v>
      </c>
      <c r="P51" s="44">
        <f>'Base Financials'!P86</f>
        <v>1256</v>
      </c>
      <c r="Q51" s="44">
        <f>'Base Financials'!Q86</f>
        <v>1289</v>
      </c>
      <c r="R51" s="160"/>
      <c r="S51" s="21">
        <f t="shared" ref="S51" si="70">SUM(J51:M51)</f>
        <v>5940</v>
      </c>
      <c r="T51" s="21">
        <f t="shared" ref="T51" si="71">SUM(N51:Q51)</f>
        <v>5137</v>
      </c>
      <c r="V51" s="23">
        <f t="shared" ref="V51:V68" si="72">SUM(T51/S51)-1</f>
        <v>-0.13518518518518519</v>
      </c>
    </row>
    <row r="52" spans="2:22" x14ac:dyDescent="0.25">
      <c r="B52" s="152" t="s">
        <v>65</v>
      </c>
      <c r="C52" s="44">
        <f>'Base Financials'!C87</f>
        <v>10146</v>
      </c>
      <c r="D52" s="44">
        <f>'Base Financials'!D87</f>
        <v>6184</v>
      </c>
      <c r="E52" s="44">
        <f>'Base Financials'!E87</f>
        <v>6828</v>
      </c>
      <c r="F52" s="181"/>
      <c r="G52" s="44">
        <f>'Base Financials'!G87</f>
        <v>1547</v>
      </c>
      <c r="H52" s="44">
        <f>'Base Financials'!H87</f>
        <v>1491</v>
      </c>
      <c r="I52" s="44">
        <f>'Base Financials'!I87</f>
        <v>1476</v>
      </c>
      <c r="J52" s="44">
        <f>'Base Financials'!J87</f>
        <v>1670</v>
      </c>
      <c r="K52" s="44">
        <f>'Base Financials'!K87</f>
        <v>1809</v>
      </c>
      <c r="L52" s="44">
        <f>'Base Financials'!L87</f>
        <v>1841</v>
      </c>
      <c r="M52" s="44">
        <f>'Base Financials'!M87</f>
        <v>1772</v>
      </c>
      <c r="N52" s="44">
        <f>'Base Financials'!N87</f>
        <v>1406</v>
      </c>
      <c r="O52" s="44">
        <f>'Base Financials'!O87</f>
        <v>1454</v>
      </c>
      <c r="P52" s="44">
        <f>'Base Financials'!P87</f>
        <v>1437</v>
      </c>
      <c r="Q52" s="44">
        <f>'Base Financials'!Q87</f>
        <v>1552</v>
      </c>
      <c r="R52" s="160"/>
      <c r="S52" s="21">
        <f t="shared" ref="S52:S64" si="73">SUM(J52:M52)</f>
        <v>7092</v>
      </c>
      <c r="T52" s="21">
        <f t="shared" ref="T52:T64" si="74">SUM(N52:Q52)</f>
        <v>5849</v>
      </c>
      <c r="V52" s="23">
        <f t="shared" si="72"/>
        <v>-0.17526790750141008</v>
      </c>
    </row>
    <row r="53" spans="2:22" x14ac:dyDescent="0.25">
      <c r="B53" s="152" t="s">
        <v>107</v>
      </c>
      <c r="C53" s="44">
        <f>'Base Financials'!C88</f>
        <v>2060</v>
      </c>
      <c r="D53" s="44">
        <f>'Base Financials'!D88</f>
        <v>2059</v>
      </c>
      <c r="E53" s="44">
        <f>'Base Financials'!E88</f>
        <v>2060</v>
      </c>
      <c r="F53" s="181"/>
      <c r="G53" s="44">
        <f>'Base Financials'!G88</f>
        <v>515</v>
      </c>
      <c r="H53" s="44">
        <f>'Base Financials'!H88</f>
        <v>514</v>
      </c>
      <c r="I53" s="44">
        <f>'Base Financials'!I88</f>
        <v>515</v>
      </c>
      <c r="J53" s="44">
        <f>'Base Financials'!J88</f>
        <v>515</v>
      </c>
      <c r="K53" s="44">
        <f>'Base Financials'!K88</f>
        <v>515</v>
      </c>
      <c r="L53" s="44">
        <f>'Base Financials'!L88</f>
        <v>515</v>
      </c>
      <c r="M53" s="44">
        <f>'Base Financials'!M88</f>
        <v>515</v>
      </c>
      <c r="N53" s="44">
        <f>'Base Financials'!N88</f>
        <v>515</v>
      </c>
      <c r="O53" s="44">
        <f>'Base Financials'!O88</f>
        <v>517</v>
      </c>
      <c r="P53" s="44">
        <f>'Base Financials'!P88</f>
        <v>523</v>
      </c>
      <c r="Q53" s="44">
        <f>'Base Financials'!Q88</f>
        <v>523</v>
      </c>
      <c r="R53" s="160"/>
      <c r="S53" s="21">
        <f t="shared" si="73"/>
        <v>2060</v>
      </c>
      <c r="T53" s="21">
        <f t="shared" si="74"/>
        <v>2078</v>
      </c>
      <c r="V53" s="23">
        <f t="shared" si="72"/>
        <v>8.7378640776698546E-3</v>
      </c>
    </row>
    <row r="54" spans="2:22" s="170" customFormat="1" x14ac:dyDescent="0.25">
      <c r="B54" s="178" t="s">
        <v>78</v>
      </c>
      <c r="C54" s="44">
        <f>'Base Financials'!C89</f>
        <v>-55772</v>
      </c>
      <c r="D54" s="44">
        <f>'Base Financials'!D89</f>
        <v>-75767</v>
      </c>
      <c r="E54" s="44">
        <f>'Base Financials'!E89</f>
        <v>10023</v>
      </c>
      <c r="F54" s="181"/>
      <c r="G54" s="44">
        <f>'Base Financials'!G89</f>
        <v>-3258</v>
      </c>
      <c r="H54" s="44">
        <f>'Base Financials'!H89</f>
        <v>-56353</v>
      </c>
      <c r="I54" s="44">
        <f>'Base Financials'!I89</f>
        <v>962</v>
      </c>
      <c r="J54" s="44">
        <f>'Base Financials'!J89</f>
        <v>-17118</v>
      </c>
      <c r="K54" s="44">
        <f>'Base Financials'!K89</f>
        <v>14191</v>
      </c>
      <c r="L54" s="44">
        <f>'Base Financials'!L89</f>
        <v>-3627</v>
      </c>
      <c r="M54" s="44">
        <f>'Base Financials'!M89</f>
        <v>1144</v>
      </c>
      <c r="N54" s="44">
        <f>'Base Financials'!N89</f>
        <v>-1685</v>
      </c>
      <c r="O54" s="44">
        <f>'Base Financials'!O89</f>
        <v>4593</v>
      </c>
      <c r="P54" s="44">
        <f>'Base Financials'!P89</f>
        <v>25571</v>
      </c>
      <c r="Q54" s="44">
        <f>'Base Financials'!Q89</f>
        <v>8489</v>
      </c>
      <c r="R54" s="169"/>
      <c r="S54" s="21">
        <f t="shared" si="73"/>
        <v>-5410</v>
      </c>
      <c r="T54" s="21">
        <f t="shared" si="74"/>
        <v>36968</v>
      </c>
      <c r="V54" s="23">
        <f t="shared" si="72"/>
        <v>-7.8332717190388168</v>
      </c>
    </row>
    <row r="55" spans="2:22" x14ac:dyDescent="0.25">
      <c r="B55" s="152" t="s">
        <v>79</v>
      </c>
      <c r="C55" s="44">
        <f>'Base Financials'!C90</f>
        <v>0</v>
      </c>
      <c r="D55" s="44">
        <f>'Base Financials'!D90</f>
        <v>0</v>
      </c>
      <c r="E55" s="44">
        <f>'Base Financials'!E90</f>
        <v>0</v>
      </c>
      <c r="F55" s="181"/>
      <c r="G55" s="44">
        <f>'Base Financials'!G90</f>
        <v>-74</v>
      </c>
      <c r="H55" s="44">
        <f>'Base Financials'!H90</f>
        <v>-233</v>
      </c>
      <c r="I55" s="44">
        <f>'Base Financials'!I90</f>
        <v>67</v>
      </c>
      <c r="J55" s="44">
        <f>'Base Financials'!J90</f>
        <v>240</v>
      </c>
      <c r="K55" s="44">
        <f>'Base Financials'!K90</f>
        <v>42</v>
      </c>
      <c r="L55" s="44">
        <f ca="1">'Base Financials'!L90</f>
        <v>-3627</v>
      </c>
      <c r="M55" s="44">
        <f ca="1">'Base Financials'!M90</f>
        <v>1144</v>
      </c>
      <c r="N55" s="44">
        <f ca="1">'Base Financials'!N90</f>
        <v>-1685</v>
      </c>
      <c r="O55" s="44">
        <f>'Base Financials'!O90</f>
        <v>0</v>
      </c>
      <c r="P55" s="44">
        <f>'Base Financials'!P90</f>
        <v>0</v>
      </c>
      <c r="Q55" s="44">
        <f>'Base Financials'!Q90</f>
        <v>0</v>
      </c>
      <c r="R55" s="160"/>
      <c r="S55" s="21">
        <f t="shared" ca="1" si="73"/>
        <v>5940</v>
      </c>
      <c r="T55" s="21">
        <f t="shared" ca="1" si="74"/>
        <v>5137</v>
      </c>
      <c r="V55" s="23">
        <f ca="1">SUM(T55/S55)-1</f>
        <v>0</v>
      </c>
    </row>
    <row r="56" spans="2:22" x14ac:dyDescent="0.25">
      <c r="B56" s="152" t="s">
        <v>82</v>
      </c>
      <c r="C56" s="44">
        <f>'Base Financials'!C91</f>
        <v>0</v>
      </c>
      <c r="D56" s="44">
        <f>'Base Financials'!D91</f>
        <v>0</v>
      </c>
      <c r="E56" s="44">
        <f>'Base Financials'!E91</f>
        <v>2421</v>
      </c>
      <c r="F56" s="181"/>
      <c r="G56" s="44">
        <f>'Base Financials'!G91</f>
        <v>0</v>
      </c>
      <c r="H56" s="44">
        <f>'Base Financials'!H91</f>
        <v>0</v>
      </c>
      <c r="I56" s="44">
        <f>'Base Financials'!I91</f>
        <v>0</v>
      </c>
      <c r="J56" s="44">
        <f>'Base Financials'!J91</f>
        <v>0</v>
      </c>
      <c r="K56" s="44">
        <f>'Base Financials'!K91</f>
        <v>0</v>
      </c>
      <c r="L56" s="44">
        <f>'Base Financials'!L91</f>
        <v>2421</v>
      </c>
      <c r="M56" s="44">
        <f>'Base Financials'!M91</f>
        <v>0</v>
      </c>
      <c r="N56" s="44">
        <f>'Base Financials'!N91</f>
        <v>0</v>
      </c>
      <c r="O56" s="44">
        <f>'Base Financials'!O91</f>
        <v>0</v>
      </c>
      <c r="P56" s="44">
        <f>'Base Financials'!P91</f>
        <v>0</v>
      </c>
      <c r="Q56" s="44">
        <f>'Base Financials'!Q91</f>
        <v>0</v>
      </c>
      <c r="R56" s="160"/>
      <c r="S56" s="21">
        <f t="shared" si="73"/>
        <v>2421</v>
      </c>
      <c r="T56" s="21">
        <f t="shared" si="74"/>
        <v>0</v>
      </c>
      <c r="V56" s="23">
        <f t="shared" si="72"/>
        <v>-1</v>
      </c>
    </row>
    <row r="57" spans="2:22" x14ac:dyDescent="0.25">
      <c r="B57" s="152" t="s">
        <v>66</v>
      </c>
      <c r="C57" s="44">
        <f>'Base Financials'!C92</f>
        <v>0</v>
      </c>
      <c r="D57" s="44">
        <f>'Base Financials'!D92</f>
        <v>0</v>
      </c>
      <c r="E57" s="44">
        <f>'Base Financials'!E92</f>
        <v>3099</v>
      </c>
      <c r="F57" s="181"/>
      <c r="G57" s="44">
        <f>'Base Financials'!G92</f>
        <v>0</v>
      </c>
      <c r="H57" s="44">
        <f>'Base Financials'!H92</f>
        <v>0</v>
      </c>
      <c r="I57" s="44">
        <f>'Base Financials'!I92</f>
        <v>0</v>
      </c>
      <c r="J57" s="44">
        <f>'Base Financials'!J92</f>
        <v>0</v>
      </c>
      <c r="K57" s="44">
        <f>'Base Financials'!K92</f>
        <v>0</v>
      </c>
      <c r="L57" s="44">
        <f>'Base Financials'!L92</f>
        <v>737</v>
      </c>
      <c r="M57" s="44">
        <f>'Base Financials'!M92</f>
        <v>1043</v>
      </c>
      <c r="N57" s="44">
        <f>'Base Financials'!N92</f>
        <v>1319</v>
      </c>
      <c r="O57" s="44">
        <f>'Base Financials'!O92</f>
        <v>1418</v>
      </c>
      <c r="P57" s="44">
        <f>'Base Financials'!P92</f>
        <v>2126</v>
      </c>
      <c r="Q57" s="44">
        <f>'Base Financials'!Q92</f>
        <v>2062</v>
      </c>
      <c r="R57" s="160"/>
      <c r="S57" s="21">
        <f t="shared" si="73"/>
        <v>1780</v>
      </c>
      <c r="T57" s="21">
        <f t="shared" si="74"/>
        <v>6925</v>
      </c>
      <c r="V57" s="23">
        <f t="shared" si="72"/>
        <v>2.8904494382022472</v>
      </c>
    </row>
    <row r="58" spans="2:22" x14ac:dyDescent="0.25">
      <c r="B58" s="152" t="s">
        <v>84</v>
      </c>
      <c r="C58" s="44">
        <f>'Base Financials'!C93</f>
        <v>-56</v>
      </c>
      <c r="D58" s="44">
        <f>'Base Financials'!D93</f>
        <v>-417</v>
      </c>
      <c r="E58" s="44">
        <f>'Base Financials'!E93</f>
        <v>260</v>
      </c>
      <c r="F58" s="181"/>
      <c r="G58" s="44">
        <f>'Base Financials'!G93</f>
        <v>0</v>
      </c>
      <c r="H58" s="44">
        <f>'Base Financials'!H93</f>
        <v>0</v>
      </c>
      <c r="I58" s="44">
        <f>'Base Financials'!I93</f>
        <v>0</v>
      </c>
      <c r="J58" s="44">
        <f>'Base Financials'!J93</f>
        <v>0</v>
      </c>
      <c r="K58" s="44">
        <f>'Base Financials'!K93</f>
        <v>0</v>
      </c>
      <c r="L58" s="44">
        <f>'Base Financials'!L93</f>
        <v>99</v>
      </c>
      <c r="M58" s="44">
        <f>'Base Financials'!M93</f>
        <v>135</v>
      </c>
      <c r="N58" s="44">
        <f>'Base Financials'!N93</f>
        <v>26</v>
      </c>
      <c r="O58" s="44">
        <f>'Base Financials'!O93</f>
        <v>-60</v>
      </c>
      <c r="P58" s="44">
        <f>'Base Financials'!P93</f>
        <v>388</v>
      </c>
      <c r="Q58" s="44">
        <f>'Base Financials'!Q93</f>
        <v>-1047</v>
      </c>
      <c r="R58" s="160"/>
      <c r="S58" s="21">
        <f t="shared" si="73"/>
        <v>234</v>
      </c>
      <c r="T58" s="21">
        <f t="shared" si="74"/>
        <v>-693</v>
      </c>
      <c r="V58" s="23">
        <f t="shared" si="72"/>
        <v>-3.9615384615384617</v>
      </c>
    </row>
    <row r="59" spans="2:22" x14ac:dyDescent="0.25">
      <c r="B59" s="152" t="s">
        <v>106</v>
      </c>
      <c r="C59" s="44">
        <f>'Base Financials'!C94</f>
        <v>0</v>
      </c>
      <c r="D59" s="44">
        <f>'Base Financials'!D94</f>
        <v>6</v>
      </c>
      <c r="E59" s="44">
        <f>'Base Financials'!E94</f>
        <v>18</v>
      </c>
      <c r="F59" s="181"/>
      <c r="G59" s="44">
        <f>'Base Financials'!G94</f>
        <v>0</v>
      </c>
      <c r="H59" s="44">
        <f>'Base Financials'!H94</f>
        <v>0</v>
      </c>
      <c r="I59" s="44">
        <f>'Base Financials'!I94</f>
        <v>0</v>
      </c>
      <c r="J59" s="44">
        <f>'Base Financials'!J94</f>
        <v>0</v>
      </c>
      <c r="K59" s="44">
        <f>'Base Financials'!K94</f>
        <v>0</v>
      </c>
      <c r="L59" s="44">
        <f>'Base Financials'!L94</f>
        <v>9</v>
      </c>
      <c r="M59" s="44">
        <f>'Base Financials'!M94</f>
        <v>0</v>
      </c>
      <c r="N59" s="44">
        <f>'Base Financials'!N94</f>
        <v>9</v>
      </c>
      <c r="O59" s="44">
        <f>'Base Financials'!O94</f>
        <v>0</v>
      </c>
      <c r="P59" s="44">
        <f>'Base Financials'!P94</f>
        <v>0</v>
      </c>
      <c r="Q59" s="44">
        <f>'Base Financials'!Q94</f>
        <v>0</v>
      </c>
      <c r="R59" s="160"/>
      <c r="S59" s="21">
        <f t="shared" si="73"/>
        <v>9</v>
      </c>
      <c r="T59" s="21">
        <f t="shared" si="74"/>
        <v>9</v>
      </c>
      <c r="V59" s="23">
        <f t="shared" si="72"/>
        <v>0</v>
      </c>
    </row>
    <row r="60" spans="2:22" x14ac:dyDescent="0.25">
      <c r="B60" s="152" t="s">
        <v>108</v>
      </c>
      <c r="C60" s="44">
        <f>'Base Financials'!C95</f>
        <v>42</v>
      </c>
      <c r="D60" s="44">
        <f>'Base Financials'!D95</f>
        <v>45</v>
      </c>
      <c r="E60" s="44">
        <f>'Base Financials'!E95</f>
        <v>50</v>
      </c>
      <c r="F60" s="181"/>
      <c r="G60" s="44">
        <f>'Base Financials'!G95</f>
        <v>11</v>
      </c>
      <c r="H60" s="44">
        <f>'Base Financials'!H95</f>
        <v>11</v>
      </c>
      <c r="I60" s="44">
        <f>'Base Financials'!I95</f>
        <v>12</v>
      </c>
      <c r="J60" s="44">
        <f>'Base Financials'!J95</f>
        <v>11</v>
      </c>
      <c r="K60" s="44">
        <f>'Base Financials'!K95</f>
        <v>12</v>
      </c>
      <c r="L60" s="44">
        <f>'Base Financials'!L95</f>
        <v>12</v>
      </c>
      <c r="M60" s="44">
        <f>'Base Financials'!M95</f>
        <v>13</v>
      </c>
      <c r="N60" s="44">
        <f>'Base Financials'!N95</f>
        <v>13</v>
      </c>
      <c r="O60" s="44">
        <f>'Base Financials'!O95</f>
        <v>13</v>
      </c>
      <c r="P60" s="44">
        <f>'Base Financials'!P95</f>
        <v>13</v>
      </c>
      <c r="Q60" s="44">
        <f>'Base Financials'!Q95</f>
        <v>13</v>
      </c>
      <c r="R60" s="160"/>
      <c r="S60" s="21">
        <f t="shared" si="73"/>
        <v>48</v>
      </c>
      <c r="T60" s="21">
        <f t="shared" si="74"/>
        <v>52</v>
      </c>
      <c r="V60" s="23">
        <f t="shared" si="72"/>
        <v>8.3333333333333259E-2</v>
      </c>
    </row>
    <row r="61" spans="2:22" x14ac:dyDescent="0.25">
      <c r="B61" s="152" t="s">
        <v>109</v>
      </c>
      <c r="C61" s="44">
        <f>'Base Financials'!C96</f>
        <v>977</v>
      </c>
      <c r="D61" s="44">
        <f>'Base Financials'!D96</f>
        <v>1546</v>
      </c>
      <c r="E61" s="44">
        <f>'Base Financials'!E96</f>
        <v>482</v>
      </c>
      <c r="F61" s="181"/>
      <c r="G61" s="44">
        <f>'Base Financials'!G96</f>
        <v>378</v>
      </c>
      <c r="H61" s="44">
        <f>'Base Financials'!H96</f>
        <v>393</v>
      </c>
      <c r="I61" s="44">
        <f>'Base Financials'!I96</f>
        <v>440</v>
      </c>
      <c r="J61" s="44">
        <f>'Base Financials'!J96</f>
        <v>335</v>
      </c>
      <c r="K61" s="44">
        <f>'Base Financials'!K96</f>
        <v>360</v>
      </c>
      <c r="L61" s="44">
        <f>'Base Financials'!L96</f>
        <v>122</v>
      </c>
      <c r="M61" s="44">
        <f>'Base Financials'!M96</f>
        <v>0</v>
      </c>
      <c r="N61" s="44">
        <f>'Base Financials'!N96</f>
        <v>0</v>
      </c>
      <c r="O61" s="44">
        <f>'Base Financials'!O96</f>
        <v>0</v>
      </c>
      <c r="P61" s="44">
        <f>'Base Financials'!P96</f>
        <v>0</v>
      </c>
      <c r="Q61" s="44">
        <f>'Base Financials'!Q96</f>
        <v>0</v>
      </c>
      <c r="R61" s="160"/>
      <c r="S61" s="21">
        <f t="shared" si="73"/>
        <v>817</v>
      </c>
      <c r="T61" s="21">
        <f t="shared" si="74"/>
        <v>0</v>
      </c>
      <c r="V61" s="23">
        <f t="shared" si="72"/>
        <v>-1</v>
      </c>
    </row>
    <row r="62" spans="2:22" x14ac:dyDescent="0.25">
      <c r="B62" s="152" t="s">
        <v>110</v>
      </c>
      <c r="C62" s="44">
        <f>'Base Financials'!C97</f>
        <v>11</v>
      </c>
      <c r="D62" s="44">
        <f>'Base Financials'!D97</f>
        <v>0</v>
      </c>
      <c r="E62" s="44">
        <f>'Base Financials'!E97</f>
        <v>0</v>
      </c>
      <c r="F62" s="181"/>
      <c r="G62" s="44">
        <f>'Base Financials'!G97</f>
        <v>0</v>
      </c>
      <c r="H62" s="44">
        <f>'Base Financials'!H97</f>
        <v>0</v>
      </c>
      <c r="I62" s="44">
        <f>'Base Financials'!I97</f>
        <v>0</v>
      </c>
      <c r="J62" s="44">
        <f>'Base Financials'!J97</f>
        <v>0</v>
      </c>
      <c r="K62" s="44">
        <f>'Base Financials'!K97</f>
        <v>0</v>
      </c>
      <c r="L62" s="44">
        <f>'Base Financials'!L97</f>
        <v>0</v>
      </c>
      <c r="M62" s="44">
        <f>'Base Financials'!M97</f>
        <v>0</v>
      </c>
      <c r="N62" s="44">
        <f>'Base Financials'!N97</f>
        <v>0</v>
      </c>
      <c r="O62" s="44">
        <f>'Base Financials'!O97</f>
        <v>0</v>
      </c>
      <c r="P62" s="44">
        <f>'Base Financials'!P97</f>
        <v>0</v>
      </c>
      <c r="Q62" s="44">
        <f>'Base Financials'!Q97</f>
        <v>0</v>
      </c>
      <c r="R62" s="160"/>
      <c r="S62" s="21">
        <f t="shared" si="73"/>
        <v>0</v>
      </c>
      <c r="T62" s="21">
        <f t="shared" si="74"/>
        <v>0</v>
      </c>
      <c r="V62" s="23" t="e">
        <f t="shared" si="72"/>
        <v>#DIV/0!</v>
      </c>
    </row>
    <row r="63" spans="2:22" x14ac:dyDescent="0.25">
      <c r="B63" s="152" t="s">
        <v>80</v>
      </c>
      <c r="C63" s="44">
        <f>'Base Financials'!C98</f>
        <v>-3284</v>
      </c>
      <c r="D63" s="44">
        <f>'Base Financials'!D98</f>
        <v>0</v>
      </c>
      <c r="E63" s="44">
        <f>'Base Financials'!E98</f>
        <v>0</v>
      </c>
      <c r="F63" s="181"/>
      <c r="G63" s="44">
        <f>'Base Financials'!G98</f>
        <v>0</v>
      </c>
      <c r="H63" s="44">
        <f>'Base Financials'!H98</f>
        <v>0</v>
      </c>
      <c r="I63" s="44">
        <f>'Base Financials'!I98</f>
        <v>0</v>
      </c>
      <c r="J63" s="44">
        <f>'Base Financials'!J98</f>
        <v>0</v>
      </c>
      <c r="K63" s="44">
        <f>'Base Financials'!K98</f>
        <v>0</v>
      </c>
      <c r="L63" s="44">
        <f>'Base Financials'!L98</f>
        <v>0</v>
      </c>
      <c r="M63" s="44">
        <f>'Base Financials'!M98</f>
        <v>0</v>
      </c>
      <c r="N63" s="44">
        <f>'Base Financials'!N98</f>
        <v>0</v>
      </c>
      <c r="O63" s="44">
        <f>'Base Financials'!O98</f>
        <v>0</v>
      </c>
      <c r="P63" s="44">
        <f>'Base Financials'!P98</f>
        <v>0</v>
      </c>
      <c r="Q63" s="44">
        <f>'Base Financials'!Q98</f>
        <v>0</v>
      </c>
      <c r="R63" s="160"/>
      <c r="S63" s="21">
        <f t="shared" si="73"/>
        <v>0</v>
      </c>
      <c r="T63" s="21">
        <f t="shared" si="74"/>
        <v>0</v>
      </c>
      <c r="V63" s="23" t="e">
        <f t="shared" si="72"/>
        <v>#DIV/0!</v>
      </c>
    </row>
    <row r="64" spans="2:22" x14ac:dyDescent="0.25">
      <c r="B64" s="152" t="s">
        <v>111</v>
      </c>
      <c r="C64" s="44">
        <f>'Base Financials'!C99</f>
        <v>-14461</v>
      </c>
      <c r="D64" s="44">
        <f>'Base Financials'!D99</f>
        <v>0</v>
      </c>
      <c r="E64" s="44">
        <f>'Base Financials'!E99</f>
        <v>0</v>
      </c>
      <c r="F64" s="181"/>
      <c r="G64" s="44">
        <f>'Base Financials'!G99</f>
        <v>0</v>
      </c>
      <c r="H64" s="44">
        <f>'Base Financials'!H99</f>
        <v>0</v>
      </c>
      <c r="I64" s="44">
        <f>'Base Financials'!I99</f>
        <v>0</v>
      </c>
      <c r="J64" s="44">
        <f>'Base Financials'!J99</f>
        <v>0</v>
      </c>
      <c r="K64" s="44">
        <f>'Base Financials'!K99</f>
        <v>0</v>
      </c>
      <c r="L64" s="44">
        <f>'Base Financials'!L99</f>
        <v>0</v>
      </c>
      <c r="M64" s="44">
        <f>'Base Financials'!M99</f>
        <v>0</v>
      </c>
      <c r="N64" s="44">
        <f>'Base Financials'!N99</f>
        <v>0</v>
      </c>
      <c r="O64" s="44">
        <f>'Base Financials'!O99</f>
        <v>0</v>
      </c>
      <c r="P64" s="44">
        <f>'Base Financials'!P99</f>
        <v>0</v>
      </c>
      <c r="Q64" s="44">
        <f>'Base Financials'!Q99</f>
        <v>0</v>
      </c>
      <c r="R64" s="160"/>
      <c r="S64" s="21">
        <f t="shared" si="73"/>
        <v>0</v>
      </c>
      <c r="T64" s="21">
        <f t="shared" si="74"/>
        <v>0</v>
      </c>
      <c r="V64" s="23" t="e">
        <f t="shared" si="72"/>
        <v>#DIV/0!</v>
      </c>
    </row>
    <row r="65" spans="2:22" x14ac:dyDescent="0.25">
      <c r="B65" s="83" t="s">
        <v>175</v>
      </c>
      <c r="C65" s="84">
        <f t="shared" ref="C65:D65" si="75">SUM(C48+SUM(C51:C64))</f>
        <v>-81190</v>
      </c>
      <c r="D65" s="84">
        <f t="shared" si="75"/>
        <v>-71129</v>
      </c>
      <c r="E65" s="84">
        <f>SUM(E48+SUM(E51:E64))</f>
        <v>-73305</v>
      </c>
      <c r="F65" s="167"/>
      <c r="G65" s="84">
        <f t="shared" ref="G65:T65" si="76">SUM(G48+SUM(G51:G64))</f>
        <v>-18797</v>
      </c>
      <c r="H65" s="84">
        <f t="shared" si="76"/>
        <v>-16569</v>
      </c>
      <c r="I65" s="84">
        <f t="shared" si="76"/>
        <v>-16804</v>
      </c>
      <c r="J65" s="84">
        <f t="shared" si="76"/>
        <v>-18548</v>
      </c>
      <c r="K65" s="84">
        <f t="shared" si="76"/>
        <v>-18641</v>
      </c>
      <c r="L65" s="84">
        <f t="shared" ca="1" si="76"/>
        <v>-73305</v>
      </c>
      <c r="M65" s="84">
        <f t="shared" ca="1" si="76"/>
        <v>-73305</v>
      </c>
      <c r="N65" s="84">
        <f t="shared" ca="1" si="76"/>
        <v>-73305</v>
      </c>
      <c r="O65" s="84">
        <f t="shared" si="76"/>
        <v>-27347</v>
      </c>
      <c r="P65" s="84">
        <f t="shared" si="76"/>
        <v>-21291</v>
      </c>
      <c r="Q65" s="84">
        <f t="shared" si="76"/>
        <v>-22907</v>
      </c>
      <c r="R65" s="167"/>
      <c r="S65" s="84">
        <f t="shared" ca="1" si="76"/>
        <v>-98955</v>
      </c>
      <c r="T65" s="84">
        <f t="shared" ca="1" si="76"/>
        <v>-160999.81155776241</v>
      </c>
      <c r="V65" s="23">
        <f t="shared" ca="1" si="72"/>
        <v>-1</v>
      </c>
    </row>
    <row r="66" spans="2:22" x14ac:dyDescent="0.25">
      <c r="F66" s="160"/>
      <c r="R66" s="160"/>
    </row>
    <row r="67" spans="2:22" x14ac:dyDescent="0.25">
      <c r="B67" s="152" t="s">
        <v>115</v>
      </c>
      <c r="C67" s="44">
        <f>'Base Financials'!C112</f>
        <v>-220</v>
      </c>
      <c r="D67" s="44">
        <f>'Base Financials'!D112</f>
        <v>-1048</v>
      </c>
      <c r="E67" s="44">
        <f>'Base Financials'!E112</f>
        <v>-2280</v>
      </c>
      <c r="F67" s="181"/>
      <c r="G67" s="44">
        <f>'Base Financials'!G112</f>
        <v>-22</v>
      </c>
      <c r="H67" s="44">
        <f>'Base Financials'!H112</f>
        <v>-134</v>
      </c>
      <c r="I67" s="44">
        <f>'Base Financials'!I112</f>
        <v>-211</v>
      </c>
      <c r="J67" s="44">
        <f>'Base Financials'!J112</f>
        <v>-681</v>
      </c>
      <c r="K67" s="44">
        <f>'Base Financials'!K112</f>
        <v>-1152</v>
      </c>
      <c r="L67" s="44">
        <f>'Base Financials'!L112</f>
        <v>-485</v>
      </c>
      <c r="M67" s="44">
        <f>'Base Financials'!M112</f>
        <v>-493</v>
      </c>
      <c r="N67" s="44">
        <f>'Base Financials'!N112</f>
        <v>-150</v>
      </c>
      <c r="O67" s="44">
        <f>'Base Financials'!O112</f>
        <v>-391</v>
      </c>
      <c r="P67" s="44">
        <f>'Base Financials'!P112</f>
        <v>-184</v>
      </c>
      <c r="Q67" s="44">
        <f>'Base Financials'!Q112</f>
        <v>-934</v>
      </c>
      <c r="R67" s="160"/>
      <c r="S67" s="21">
        <f t="shared" ref="S67" si="77">SUM(J67:M67)</f>
        <v>-2811</v>
      </c>
      <c r="T67" s="21">
        <f t="shared" ref="T67" si="78">SUM(N67:Q67)</f>
        <v>-1659</v>
      </c>
      <c r="V67" s="23">
        <f t="shared" si="72"/>
        <v>-0.40981856990394883</v>
      </c>
    </row>
    <row r="68" spans="2:22" x14ac:dyDescent="0.25">
      <c r="B68" s="83" t="s">
        <v>176</v>
      </c>
      <c r="C68" s="84">
        <f>SUM(C65-C67)</f>
        <v>-80970</v>
      </c>
      <c r="D68" s="84">
        <f t="shared" ref="D68:T68" si="79">SUM(D65-D67)</f>
        <v>-70081</v>
      </c>
      <c r="E68" s="84">
        <f t="shared" si="79"/>
        <v>-71025</v>
      </c>
      <c r="F68" s="167"/>
      <c r="G68" s="84">
        <f t="shared" si="79"/>
        <v>-18775</v>
      </c>
      <c r="H68" s="84">
        <f t="shared" si="79"/>
        <v>-16435</v>
      </c>
      <c r="I68" s="84">
        <f t="shared" si="79"/>
        <v>-16593</v>
      </c>
      <c r="J68" s="84">
        <f t="shared" si="79"/>
        <v>-17867</v>
      </c>
      <c r="K68" s="84">
        <f t="shared" si="79"/>
        <v>-17489</v>
      </c>
      <c r="L68" s="84">
        <f t="shared" ca="1" si="79"/>
        <v>-80970</v>
      </c>
      <c r="M68" s="84">
        <f t="shared" ca="1" si="79"/>
        <v>-80970</v>
      </c>
      <c r="N68" s="84">
        <f t="shared" ca="1" si="79"/>
        <v>-80970</v>
      </c>
      <c r="O68" s="84">
        <f t="shared" si="79"/>
        <v>-26956</v>
      </c>
      <c r="P68" s="84">
        <f t="shared" si="79"/>
        <v>-21107</v>
      </c>
      <c r="Q68" s="84">
        <f t="shared" si="79"/>
        <v>-21973</v>
      </c>
      <c r="R68" s="167"/>
      <c r="S68" s="84">
        <f t="shared" ca="1" si="79"/>
        <v>-80970</v>
      </c>
      <c r="T68" s="84">
        <f t="shared" ca="1" si="79"/>
        <v>-80970</v>
      </c>
      <c r="V68" s="23">
        <f t="shared" ca="1" si="72"/>
        <v>-0.40981856990394883</v>
      </c>
    </row>
    <row r="69" spans="2:22" x14ac:dyDescent="0.25">
      <c r="B69" s="29" t="s">
        <v>23</v>
      </c>
      <c r="C69" s="36"/>
      <c r="D69" s="20">
        <f>D68/C68-1</f>
        <v>-0.13448190687909101</v>
      </c>
      <c r="E69" s="20">
        <f>E68/D68-1</f>
        <v>1.3470127423980793E-2</v>
      </c>
      <c r="F69" s="20"/>
      <c r="G69" s="5"/>
      <c r="H69" s="20">
        <f t="shared" ref="H69" si="80">H68/G68-1</f>
        <v>-0.12463382157123837</v>
      </c>
      <c r="I69" s="20">
        <f t="shared" ref="I69" si="81">I68/H68-1</f>
        <v>9.6136294493458507E-3</v>
      </c>
      <c r="J69" s="20">
        <f t="shared" ref="J69" si="82">J68/I68-1</f>
        <v>7.6779364792382232E-2</v>
      </c>
      <c r="K69" s="20">
        <f t="shared" ref="K69" si="83">K68/J68-1</f>
        <v>-2.1156321710415815E-2</v>
      </c>
      <c r="L69" s="20">
        <f t="shared" ref="L69" ca="1" si="84">L68/K68-1</f>
        <v>-9.0269001624843082E-4</v>
      </c>
      <c r="M69" s="20">
        <f t="shared" ref="M69" ca="1" si="85">M68/L68-1</f>
        <v>-8.4748825442717779E-2</v>
      </c>
      <c r="N69" s="20">
        <f t="shared" ref="N69" ca="1" si="86">N68/M68-1</f>
        <v>-1.1253701875617028E-2</v>
      </c>
      <c r="O69" s="20">
        <f t="shared" ref="O69" ca="1" si="87">O68/N68-1</f>
        <v>1.0583067092651666E-2</v>
      </c>
      <c r="P69" s="20">
        <f t="shared" ref="P69" si="88">P68/O68-1</f>
        <v>-0.21698323193352131</v>
      </c>
      <c r="Q69" s="20">
        <f t="shared" ref="Q69" si="89">Q68/P68-1</f>
        <v>4.1029042497749524E-2</v>
      </c>
      <c r="T69" s="20">
        <f ca="1">T68/S68-1</f>
        <v>0.61949848532080765</v>
      </c>
    </row>
  </sheetData>
  <mergeCells count="1">
    <mergeCell ref="V7:V8"/>
  </mergeCells>
  <conditionalFormatting sqref="C9:J9 L9:Q9 D10:Q10 C12:J12 L12:Q12">
    <cfRule type="timePeriod" dxfId="2" priority="3" timePeriod="lastWeek">
      <formula>AND(TODAY()-ROUNDDOWN(C9,0)&gt;=(WEEKDAY(TODAY())),TODAY()-ROUNDDOWN(C9,0)&lt;(WEEKDAY(TODAY())+7))</formula>
    </cfRule>
  </conditionalFormatting>
  <conditionalFormatting sqref="C8:Q8">
    <cfRule type="timePeriod" dxfId="1" priority="2" timePeriod="lastWeek">
      <formula>AND(TODAY()-ROUNDDOWN(C8,0)&gt;=(WEEKDAY(TODAY())),TODAY()-ROUNDDOWN(C8,0)&lt;(WEEKDAY(TODAY())+7))</formula>
    </cfRule>
  </conditionalFormatting>
  <conditionalFormatting sqref="S8:T8">
    <cfRule type="timePeriod" dxfId="0" priority="1" timePeriod="lastWeek">
      <formula>AND(TODAY()-ROUNDDOWN(S8,0)&gt;=(WEEKDAY(TODAY())),TODAY()-ROUNDDOWN(S8,0)&lt;(WEEKDAY(TODAY())+7))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BD0FF-7BAA-4B41-AD4E-0FDA4D288E3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Background</vt:lpstr>
      <vt:lpstr>Base Financials</vt:lpstr>
      <vt:lpstr>Leverage &amp; Liquidity Profile</vt:lpstr>
      <vt:lpstr>FCF &amp; EBITDA Analysis</vt:lpstr>
      <vt:lpstr>Cash Burn Analysis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cp:lastPrinted>2024-12-11T18:33:05Z</cp:lastPrinted>
  <dcterms:created xsi:type="dcterms:W3CDTF">2024-12-10T22:43:30Z</dcterms:created>
  <dcterms:modified xsi:type="dcterms:W3CDTF">2024-12-17T03:58:28Z</dcterms:modified>
</cp:coreProperties>
</file>