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Felix\Downloads\"/>
    </mc:Choice>
  </mc:AlternateContent>
  <xr:revisionPtr revIDLastSave="0" documentId="8_{7B8F342B-DBB2-43A6-8D59-498A3FF4A68D}" xr6:coauthVersionLast="47" xr6:coauthVersionMax="47" xr10:uidLastSave="{00000000-0000-0000-0000-000000000000}"/>
  <bookViews>
    <workbookView xWindow="-120" yWindow="-120" windowWidth="29040" windowHeight="15720" activeTab="1" xr2:uid="{D8DF2202-62BF-453D-A849-EFD132DF8234}"/>
  </bookViews>
  <sheets>
    <sheet name="Firm Background" sheetId="6" r:id="rId1"/>
    <sheet name="Base Financials " sheetId="4" r:id="rId2"/>
    <sheet name="Adjusted EBITDA Analysis" sheetId="5" r:id="rId3"/>
  </sheets>
  <externalReferences>
    <externalReference r:id="rId4"/>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32" i="5" l="1"/>
  <c r="S32" i="5"/>
  <c r="T27" i="5"/>
  <c r="S27" i="5"/>
  <c r="V32" i="5"/>
  <c r="D32" i="5"/>
  <c r="D27" i="5"/>
  <c r="D23" i="5"/>
  <c r="D93" i="4"/>
  <c r="C22" i="6"/>
  <c r="C7" i="6" a="1"/>
  <c r="C7" i="6" s="1"/>
  <c r="C8" i="6" a="1"/>
  <c r="C8" i="6" s="1"/>
  <c r="C16" i="6" s="1"/>
  <c r="C19" i="6" s="1"/>
  <c r="C6" i="6" a="1"/>
  <c r="C6" i="6" s="1"/>
  <c r="C17" i="6"/>
  <c r="C18" i="6"/>
  <c r="C23" i="6"/>
  <c r="C21" i="6"/>
  <c r="Q31" i="5"/>
  <c r="T8" i="5"/>
  <c r="S8" i="5"/>
  <c r="T7" i="5"/>
  <c r="S7" i="5"/>
  <c r="P31" i="5"/>
  <c r="O31" i="5"/>
  <c r="N31" i="5"/>
  <c r="M31" i="5"/>
  <c r="L31" i="5"/>
  <c r="K31" i="5"/>
  <c r="J31" i="5"/>
  <c r="I31" i="5"/>
  <c r="H31" i="5"/>
  <c r="G31" i="5"/>
  <c r="F31" i="5"/>
  <c r="E31" i="5"/>
  <c r="D31" i="5"/>
  <c r="C31" i="5"/>
  <c r="Q26" i="5"/>
  <c r="P26" i="5"/>
  <c r="O26" i="5"/>
  <c r="N26" i="5"/>
  <c r="M26" i="5"/>
  <c r="L26" i="5"/>
  <c r="K26" i="5"/>
  <c r="J26" i="5"/>
  <c r="I26" i="5"/>
  <c r="H26" i="5"/>
  <c r="G26" i="5"/>
  <c r="F26" i="5"/>
  <c r="E26" i="5"/>
  <c r="D26" i="5"/>
  <c r="C26" i="5"/>
  <c r="V22" i="5"/>
  <c r="V21" i="5"/>
  <c r="T22" i="5"/>
  <c r="S22" i="5"/>
  <c r="T21" i="5"/>
  <c r="S21" i="5"/>
  <c r="Q22" i="5"/>
  <c r="P22" i="5"/>
  <c r="O22" i="5"/>
  <c r="N22" i="5"/>
  <c r="M22" i="5"/>
  <c r="L22" i="5"/>
  <c r="K22" i="5"/>
  <c r="J22" i="5"/>
  <c r="I22" i="5"/>
  <c r="H22" i="5"/>
  <c r="G22" i="5"/>
  <c r="F22" i="5"/>
  <c r="E22" i="5"/>
  <c r="D22" i="5"/>
  <c r="C22" i="5"/>
  <c r="Q21" i="5"/>
  <c r="P21" i="5"/>
  <c r="O21" i="5"/>
  <c r="N21" i="5"/>
  <c r="M21" i="5"/>
  <c r="L21" i="5"/>
  <c r="K21" i="5"/>
  <c r="J21" i="5"/>
  <c r="I21" i="5"/>
  <c r="H21" i="5"/>
  <c r="G21" i="5"/>
  <c r="F21" i="5"/>
  <c r="E21" i="5"/>
  <c r="D21" i="5"/>
  <c r="C21" i="5"/>
  <c r="Q17" i="5"/>
  <c r="P17" i="5"/>
  <c r="O17" i="5"/>
  <c r="N17" i="5"/>
  <c r="M17" i="5"/>
  <c r="L17" i="5"/>
  <c r="K17" i="5"/>
  <c r="J17" i="5"/>
  <c r="I17" i="5"/>
  <c r="H17" i="5"/>
  <c r="G17" i="5"/>
  <c r="F17" i="5"/>
  <c r="E17" i="5"/>
  <c r="D17" i="5"/>
  <c r="C17" i="5"/>
  <c r="Q16" i="5"/>
  <c r="P16" i="5"/>
  <c r="O16" i="5"/>
  <c r="N16" i="5"/>
  <c r="M16" i="5"/>
  <c r="L16" i="5"/>
  <c r="K16" i="5"/>
  <c r="J16" i="5"/>
  <c r="I16" i="5"/>
  <c r="H16" i="5"/>
  <c r="G16" i="5"/>
  <c r="F16" i="5"/>
  <c r="E16" i="5"/>
  <c r="D16" i="5"/>
  <c r="C16" i="5"/>
  <c r="Q15" i="5"/>
  <c r="P15" i="5"/>
  <c r="O15" i="5"/>
  <c r="N15" i="5"/>
  <c r="M15" i="5"/>
  <c r="L15" i="5"/>
  <c r="K15" i="5"/>
  <c r="J15" i="5"/>
  <c r="I15" i="5"/>
  <c r="H15" i="5"/>
  <c r="G15" i="5"/>
  <c r="F15" i="5"/>
  <c r="E15" i="5"/>
  <c r="D15" i="5"/>
  <c r="C15" i="5"/>
  <c r="Q14" i="5"/>
  <c r="P14" i="5"/>
  <c r="O14" i="5"/>
  <c r="N14" i="5"/>
  <c r="M14" i="5"/>
  <c r="L14" i="5"/>
  <c r="K14" i="5"/>
  <c r="J14" i="5"/>
  <c r="I14" i="5"/>
  <c r="H14" i="5"/>
  <c r="G14" i="5"/>
  <c r="F14" i="5"/>
  <c r="E14" i="5"/>
  <c r="D14" i="5"/>
  <c r="C14" i="5"/>
  <c r="Q10" i="5"/>
  <c r="P10" i="5"/>
  <c r="O10" i="5"/>
  <c r="N10" i="5"/>
  <c r="M10" i="5"/>
  <c r="L10" i="5"/>
  <c r="K10" i="5"/>
  <c r="J10" i="5"/>
  <c r="I10" i="5"/>
  <c r="H10" i="5"/>
  <c r="G10" i="5"/>
  <c r="F10" i="5"/>
  <c r="E10" i="5"/>
  <c r="D10" i="5"/>
  <c r="C10" i="5"/>
  <c r="Q9" i="5"/>
  <c r="P9" i="5"/>
  <c r="O9" i="5"/>
  <c r="N9" i="5"/>
  <c r="M9" i="5"/>
  <c r="L9" i="5"/>
  <c r="K9" i="5"/>
  <c r="J9" i="5"/>
  <c r="I9" i="5"/>
  <c r="H9" i="5"/>
  <c r="G9" i="5"/>
  <c r="F9" i="5"/>
  <c r="E9" i="5"/>
  <c r="D9" i="5"/>
  <c r="C9" i="5"/>
  <c r="Q11" i="5"/>
  <c r="S92" i="4"/>
  <c r="T92" i="4"/>
  <c r="T162" i="4"/>
  <c r="S162" i="4"/>
  <c r="Q162" i="4"/>
  <c r="P162" i="4"/>
  <c r="O162" i="4"/>
  <c r="N162" i="4"/>
  <c r="M162" i="4"/>
  <c r="L162" i="4"/>
  <c r="K162" i="4"/>
  <c r="J162" i="4"/>
  <c r="I162" i="4"/>
  <c r="H162" i="4"/>
  <c r="G162" i="4"/>
  <c r="E162" i="4"/>
  <c r="D162" i="4"/>
  <c r="C162" i="4"/>
  <c r="Q152" i="4"/>
  <c r="P152" i="4"/>
  <c r="M152" i="4"/>
  <c r="L152" i="4"/>
  <c r="I152" i="4"/>
  <c r="J152" i="4" s="1"/>
  <c r="H152" i="4"/>
  <c r="P145" i="4"/>
  <c r="Q145" i="4" s="1"/>
  <c r="P146" i="4"/>
  <c r="Q146" i="4" s="1"/>
  <c r="P147" i="4"/>
  <c r="P148" i="4"/>
  <c r="Q148" i="4" s="1"/>
  <c r="T148" i="4" s="1"/>
  <c r="P149" i="4"/>
  <c r="Q149" i="4" s="1"/>
  <c r="Q147" i="4"/>
  <c r="P144" i="4"/>
  <c r="Q141" i="4"/>
  <c r="T141" i="4" s="1"/>
  <c r="Q140" i="4"/>
  <c r="Q133" i="4"/>
  <c r="Q134" i="4"/>
  <c r="T134" i="4" s="1"/>
  <c r="Q135" i="4"/>
  <c r="P135" i="4"/>
  <c r="P134" i="4"/>
  <c r="P133" i="4"/>
  <c r="M140" i="4"/>
  <c r="M144" i="4"/>
  <c r="M145" i="4"/>
  <c r="M146" i="4"/>
  <c r="S146" i="4" s="1"/>
  <c r="M147" i="4"/>
  <c r="M148" i="4"/>
  <c r="M149" i="4"/>
  <c r="L149" i="4"/>
  <c r="L148" i="4"/>
  <c r="L147" i="4"/>
  <c r="N147" i="4" s="1"/>
  <c r="L146" i="4"/>
  <c r="L145" i="4"/>
  <c r="S145" i="4" s="1"/>
  <c r="L144" i="4"/>
  <c r="N144" i="4" s="1"/>
  <c r="T144" i="4" s="1"/>
  <c r="L140" i="4"/>
  <c r="H147" i="4"/>
  <c r="H148" i="4"/>
  <c r="I148" i="4" s="1"/>
  <c r="J148" i="4" s="1"/>
  <c r="S148" i="4" s="1"/>
  <c r="H149" i="4"/>
  <c r="I149" i="4" s="1"/>
  <c r="I147" i="4"/>
  <c r="I144" i="4"/>
  <c r="H143" i="4"/>
  <c r="I143" i="4" s="1"/>
  <c r="J143" i="4" s="1"/>
  <c r="S143" i="4" s="1"/>
  <c r="H142" i="4"/>
  <c r="I142" i="4" s="1"/>
  <c r="J142" i="4" s="1"/>
  <c r="S142" i="4" s="1"/>
  <c r="I139" i="4"/>
  <c r="H139" i="4"/>
  <c r="I138" i="4"/>
  <c r="H138" i="4"/>
  <c r="N148" i="4"/>
  <c r="N146" i="4"/>
  <c r="N143" i="4"/>
  <c r="T143" i="4" s="1"/>
  <c r="N142" i="4"/>
  <c r="T142" i="4" s="1"/>
  <c r="N141" i="4"/>
  <c r="N140" i="4"/>
  <c r="N139" i="4"/>
  <c r="N138" i="4"/>
  <c r="N137" i="4"/>
  <c r="N136" i="4"/>
  <c r="T136" i="4" s="1"/>
  <c r="N135" i="4"/>
  <c r="N134" i="4"/>
  <c r="N133" i="4"/>
  <c r="J147" i="4"/>
  <c r="S147" i="4" s="1"/>
  <c r="J146" i="4"/>
  <c r="J145" i="4"/>
  <c r="J144" i="4"/>
  <c r="J141" i="4"/>
  <c r="J140" i="4"/>
  <c r="J139" i="4"/>
  <c r="S139" i="4" s="1"/>
  <c r="J138" i="4"/>
  <c r="J137" i="4"/>
  <c r="J136" i="4"/>
  <c r="J135" i="4"/>
  <c r="S135" i="4" s="1"/>
  <c r="J134" i="4"/>
  <c r="S134" i="4" s="1"/>
  <c r="J133" i="4"/>
  <c r="Q128" i="4"/>
  <c r="Q127" i="4"/>
  <c r="Q130" i="4" s="1"/>
  <c r="P128" i="4"/>
  <c r="P127" i="4"/>
  <c r="L128" i="4"/>
  <c r="M128" i="4" s="1"/>
  <c r="N128" i="4" s="1"/>
  <c r="T128" i="4" s="1"/>
  <c r="M127" i="4"/>
  <c r="L127" i="4"/>
  <c r="N129" i="4"/>
  <c r="N127" i="4"/>
  <c r="J129" i="4"/>
  <c r="J128" i="4"/>
  <c r="J127" i="4"/>
  <c r="S127" i="4" s="1"/>
  <c r="I128" i="4"/>
  <c r="I127" i="4"/>
  <c r="H128" i="4"/>
  <c r="H127" i="4"/>
  <c r="S141" i="4"/>
  <c r="S140" i="4"/>
  <c r="T139" i="4"/>
  <c r="T138" i="4"/>
  <c r="S138" i="4"/>
  <c r="T137" i="4"/>
  <c r="S137" i="4"/>
  <c r="S136" i="4"/>
  <c r="T133" i="4"/>
  <c r="S133" i="4"/>
  <c r="T129" i="4"/>
  <c r="S129" i="4"/>
  <c r="T123" i="4"/>
  <c r="S123" i="4"/>
  <c r="T122" i="4"/>
  <c r="S122" i="4"/>
  <c r="T121" i="4"/>
  <c r="S121" i="4"/>
  <c r="T120" i="4"/>
  <c r="S120" i="4"/>
  <c r="T119" i="4"/>
  <c r="S119" i="4"/>
  <c r="T118" i="4"/>
  <c r="S118" i="4"/>
  <c r="T117" i="4"/>
  <c r="S117" i="4"/>
  <c r="T116" i="4"/>
  <c r="S116" i="4"/>
  <c r="T115" i="4"/>
  <c r="S115" i="4"/>
  <c r="T112" i="4"/>
  <c r="S112" i="4"/>
  <c r="T111" i="4"/>
  <c r="S111" i="4"/>
  <c r="T110" i="4"/>
  <c r="S110" i="4"/>
  <c r="T109" i="4"/>
  <c r="S109" i="4"/>
  <c r="T108" i="4"/>
  <c r="S108" i="4"/>
  <c r="T107" i="4"/>
  <c r="S107" i="4"/>
  <c r="T106" i="4"/>
  <c r="S106" i="4"/>
  <c r="T105" i="4"/>
  <c r="S105" i="4"/>
  <c r="T104" i="4"/>
  <c r="S104" i="4"/>
  <c r="T101" i="4"/>
  <c r="S101" i="4"/>
  <c r="Q104" i="4"/>
  <c r="Q105" i="4"/>
  <c r="Q106" i="4"/>
  <c r="Q107" i="4"/>
  <c r="Q108" i="4"/>
  <c r="Q109" i="4"/>
  <c r="Q110" i="4"/>
  <c r="Q111" i="4"/>
  <c r="Q112" i="4"/>
  <c r="Q115" i="4"/>
  <c r="Q116" i="4"/>
  <c r="Q117" i="4"/>
  <c r="Q118" i="4"/>
  <c r="Q119" i="4"/>
  <c r="Q120" i="4"/>
  <c r="Q121" i="4"/>
  <c r="Q122" i="4"/>
  <c r="Q123" i="4"/>
  <c r="P123" i="4"/>
  <c r="P122" i="4"/>
  <c r="P121" i="4"/>
  <c r="P120" i="4"/>
  <c r="P119" i="4"/>
  <c r="P118" i="4"/>
  <c r="P117" i="4"/>
  <c r="P116" i="4"/>
  <c r="P115" i="4"/>
  <c r="P112" i="4"/>
  <c r="P111" i="4"/>
  <c r="P110" i="4"/>
  <c r="P109" i="4"/>
  <c r="P108" i="4"/>
  <c r="P107" i="4"/>
  <c r="P106" i="4"/>
  <c r="P105" i="4"/>
  <c r="P104" i="4"/>
  <c r="Q101" i="4"/>
  <c r="P101" i="4"/>
  <c r="N123" i="4"/>
  <c r="N122" i="4"/>
  <c r="N121" i="4"/>
  <c r="N120" i="4"/>
  <c r="N119" i="4"/>
  <c r="N118" i="4"/>
  <c r="N117" i="4"/>
  <c r="N116" i="4"/>
  <c r="N115" i="4"/>
  <c r="N112" i="4"/>
  <c r="N111" i="4"/>
  <c r="N110" i="4"/>
  <c r="N109" i="4"/>
  <c r="N108" i="4"/>
  <c r="N107" i="4"/>
  <c r="N106" i="4"/>
  <c r="N105" i="4"/>
  <c r="N104" i="4"/>
  <c r="N101" i="4"/>
  <c r="M101" i="4"/>
  <c r="M104" i="4"/>
  <c r="M105" i="4"/>
  <c r="M106" i="4"/>
  <c r="M107" i="4"/>
  <c r="M108" i="4"/>
  <c r="M109" i="4"/>
  <c r="M110" i="4"/>
  <c r="M111" i="4"/>
  <c r="M112" i="4"/>
  <c r="M115" i="4"/>
  <c r="M116" i="4"/>
  <c r="M117" i="4"/>
  <c r="M118" i="4"/>
  <c r="M119" i="4"/>
  <c r="M120" i="4"/>
  <c r="M121" i="4"/>
  <c r="M122" i="4"/>
  <c r="M123" i="4"/>
  <c r="L123" i="4"/>
  <c r="L122" i="4"/>
  <c r="L121" i="4"/>
  <c r="L120" i="4"/>
  <c r="L119" i="4"/>
  <c r="L118" i="4"/>
  <c r="L117" i="4"/>
  <c r="L116" i="4"/>
  <c r="L115" i="4"/>
  <c r="L112" i="4"/>
  <c r="L111" i="4"/>
  <c r="L110" i="4"/>
  <c r="L109" i="4"/>
  <c r="L108" i="4"/>
  <c r="L107" i="4"/>
  <c r="L106" i="4"/>
  <c r="L105" i="4"/>
  <c r="L104" i="4"/>
  <c r="L101" i="4"/>
  <c r="I104" i="4"/>
  <c r="I105" i="4"/>
  <c r="I106" i="4"/>
  <c r="I107" i="4"/>
  <c r="I109" i="4"/>
  <c r="I110" i="4"/>
  <c r="I111" i="4"/>
  <c r="I115" i="4"/>
  <c r="I116" i="4"/>
  <c r="I117" i="4"/>
  <c r="I118" i="4"/>
  <c r="I119" i="4"/>
  <c r="I120" i="4"/>
  <c r="I121" i="4"/>
  <c r="I122" i="4"/>
  <c r="I123" i="4"/>
  <c r="H123" i="4"/>
  <c r="H122" i="4"/>
  <c r="H121" i="4"/>
  <c r="H120" i="4"/>
  <c r="H119" i="4"/>
  <c r="H118" i="4"/>
  <c r="H117" i="4"/>
  <c r="H116" i="4"/>
  <c r="J116" i="4" s="1"/>
  <c r="H115" i="4"/>
  <c r="H111" i="4"/>
  <c r="H110" i="4"/>
  <c r="J110" i="4" s="1"/>
  <c r="H109" i="4"/>
  <c r="H107" i="4"/>
  <c r="H106" i="4"/>
  <c r="J106" i="4" s="1"/>
  <c r="H105" i="4"/>
  <c r="H104" i="4"/>
  <c r="J104" i="4" s="1"/>
  <c r="J123" i="4"/>
  <c r="J121" i="4"/>
  <c r="J120" i="4"/>
  <c r="J119" i="4"/>
  <c r="J118" i="4"/>
  <c r="J117" i="4"/>
  <c r="J115" i="4"/>
  <c r="J112" i="4"/>
  <c r="J111" i="4"/>
  <c r="J109" i="4"/>
  <c r="J108" i="4"/>
  <c r="J107" i="4"/>
  <c r="J105" i="4"/>
  <c r="J101" i="4"/>
  <c r="I101" i="4"/>
  <c r="H101" i="4"/>
  <c r="N87" i="4"/>
  <c r="T87" i="4" s="1"/>
  <c r="N86" i="4"/>
  <c r="T86" i="4" s="1"/>
  <c r="N85" i="4"/>
  <c r="T85" i="4" s="1"/>
  <c r="N84" i="4"/>
  <c r="T84" i="4" s="1"/>
  <c r="N83" i="4"/>
  <c r="T83" i="4" s="1"/>
  <c r="N82" i="4"/>
  <c r="T82" i="4" s="1"/>
  <c r="N81" i="4"/>
  <c r="T81" i="4" s="1"/>
  <c r="J87" i="4"/>
  <c r="S87" i="4" s="1"/>
  <c r="J86" i="4"/>
  <c r="S86" i="4" s="1"/>
  <c r="J85" i="4"/>
  <c r="S85" i="4" s="1"/>
  <c r="J84" i="4"/>
  <c r="S84" i="4" s="1"/>
  <c r="J83" i="4"/>
  <c r="S83" i="4" s="1"/>
  <c r="J82" i="4"/>
  <c r="S82" i="4" s="1"/>
  <c r="J81" i="4"/>
  <c r="S81" i="4" s="1"/>
  <c r="N77" i="4"/>
  <c r="T77" i="4" s="1"/>
  <c r="N76" i="4"/>
  <c r="T76" i="4" s="1"/>
  <c r="N75" i="4"/>
  <c r="T75" i="4" s="1"/>
  <c r="N74" i="4"/>
  <c r="T74" i="4" s="1"/>
  <c r="N73" i="4"/>
  <c r="T73" i="4" s="1"/>
  <c r="N65" i="4"/>
  <c r="T65" i="4" s="1"/>
  <c r="J77" i="4"/>
  <c r="S77" i="4" s="1"/>
  <c r="J76" i="4"/>
  <c r="S76" i="4" s="1"/>
  <c r="J75" i="4"/>
  <c r="S75" i="4" s="1"/>
  <c r="J74" i="4"/>
  <c r="S74" i="4" s="1"/>
  <c r="J73" i="4"/>
  <c r="S73" i="4" s="1"/>
  <c r="N66" i="4"/>
  <c r="T66" i="4" s="1"/>
  <c r="N67" i="4"/>
  <c r="T67" i="4" s="1"/>
  <c r="N68" i="4"/>
  <c r="N69" i="4"/>
  <c r="T69" i="4" s="1"/>
  <c r="J66" i="4"/>
  <c r="S66" i="4" s="1"/>
  <c r="J67" i="4"/>
  <c r="S67" i="4" s="1"/>
  <c r="J68" i="4"/>
  <c r="S68" i="4" s="1"/>
  <c r="J69" i="4"/>
  <c r="S69" i="4" s="1"/>
  <c r="J65" i="4"/>
  <c r="S65" i="4" s="1"/>
  <c r="N61" i="4"/>
  <c r="T61" i="4" s="1"/>
  <c r="N60" i="4"/>
  <c r="T60" i="4" s="1"/>
  <c r="N59" i="4"/>
  <c r="T59" i="4" s="1"/>
  <c r="N58" i="4"/>
  <c r="T58" i="4" s="1"/>
  <c r="N57" i="4"/>
  <c r="T57" i="4" s="1"/>
  <c r="J61" i="4"/>
  <c r="S61" i="4" s="1"/>
  <c r="J60" i="4"/>
  <c r="S60" i="4" s="1"/>
  <c r="J59" i="4"/>
  <c r="S59" i="4" s="1"/>
  <c r="J58" i="4"/>
  <c r="S58" i="4" s="1"/>
  <c r="J57" i="4"/>
  <c r="S57" i="4" s="1"/>
  <c r="Q88" i="4"/>
  <c r="Q70" i="4"/>
  <c r="Q95" i="4" s="1"/>
  <c r="Q54" i="4"/>
  <c r="Q62" i="4" s="1"/>
  <c r="Q92" i="4" s="1"/>
  <c r="N53" i="4"/>
  <c r="T53" i="4" s="1"/>
  <c r="N52" i="4"/>
  <c r="T52" i="4" s="1"/>
  <c r="N51" i="4"/>
  <c r="T51" i="4" s="1"/>
  <c r="N50" i="4"/>
  <c r="T50" i="4" s="1"/>
  <c r="J53" i="4"/>
  <c r="S53" i="4" s="1"/>
  <c r="J52" i="4"/>
  <c r="S52" i="4" s="1"/>
  <c r="J51" i="4"/>
  <c r="S51" i="4" s="1"/>
  <c r="J50" i="4"/>
  <c r="S50" i="4" s="1"/>
  <c r="T44" i="4"/>
  <c r="S44" i="4"/>
  <c r="S7" i="4"/>
  <c r="S8" i="4"/>
  <c r="T8" i="4"/>
  <c r="T7" i="4"/>
  <c r="N19" i="4"/>
  <c r="T19" i="4" s="1"/>
  <c r="N18" i="4"/>
  <c r="T18" i="4" s="1"/>
  <c r="N17" i="4"/>
  <c r="T17" i="4" s="1"/>
  <c r="N16" i="4"/>
  <c r="T16" i="4" s="1"/>
  <c r="N14" i="4"/>
  <c r="T14" i="4" s="1"/>
  <c r="N13" i="4"/>
  <c r="T13" i="4" s="1"/>
  <c r="N12" i="4"/>
  <c r="T12" i="4" s="1"/>
  <c r="N11" i="4"/>
  <c r="T11" i="4" s="1"/>
  <c r="J19" i="4"/>
  <c r="S19" i="4" s="1"/>
  <c r="J18" i="4"/>
  <c r="S18" i="4" s="1"/>
  <c r="J17" i="4"/>
  <c r="S17" i="4" s="1"/>
  <c r="J16" i="4"/>
  <c r="S16" i="4" s="1"/>
  <c r="S38" i="4"/>
  <c r="N44" i="4"/>
  <c r="J44" i="4"/>
  <c r="N38" i="4"/>
  <c r="T38" i="4" s="1"/>
  <c r="N36" i="4"/>
  <c r="T36" i="4" s="1"/>
  <c r="N35" i="4"/>
  <c r="T35" i="4" s="1"/>
  <c r="N34" i="4"/>
  <c r="T34" i="4" s="1"/>
  <c r="N28" i="4"/>
  <c r="T28" i="4" s="1"/>
  <c r="N27" i="4"/>
  <c r="T27" i="4" s="1"/>
  <c r="N26" i="4"/>
  <c r="T26" i="4" s="1"/>
  <c r="N25" i="4"/>
  <c r="T25" i="4" s="1"/>
  <c r="J36" i="4"/>
  <c r="S36" i="4" s="1"/>
  <c r="J35" i="4"/>
  <c r="S35" i="4" s="1"/>
  <c r="J34" i="4"/>
  <c r="S34" i="4" s="1"/>
  <c r="J28" i="4"/>
  <c r="S28" i="4" s="1"/>
  <c r="J27" i="4"/>
  <c r="S27" i="4" s="1"/>
  <c r="J26" i="4"/>
  <c r="S26" i="4" s="1"/>
  <c r="J25" i="4"/>
  <c r="S25" i="4" s="1"/>
  <c r="Q15" i="4"/>
  <c r="P15" i="4"/>
  <c r="O15" i="4"/>
  <c r="M15" i="4"/>
  <c r="L15" i="4"/>
  <c r="K15" i="4"/>
  <c r="I15" i="4"/>
  <c r="H15" i="4"/>
  <c r="G15" i="4"/>
  <c r="E15" i="4"/>
  <c r="D15" i="4"/>
  <c r="C15" i="4"/>
  <c r="J11" i="4"/>
  <c r="S11" i="4" s="1"/>
  <c r="J12" i="4"/>
  <c r="S12" i="4" s="1"/>
  <c r="J13" i="4"/>
  <c r="S13" i="4" s="1"/>
  <c r="J14" i="4"/>
  <c r="S14" i="4" s="1"/>
  <c r="Q10" i="4"/>
  <c r="Q20" i="4" s="1"/>
  <c r="P10" i="4"/>
  <c r="O10" i="4"/>
  <c r="O20" i="4" s="1"/>
  <c r="O29" i="4" s="1"/>
  <c r="M10" i="4"/>
  <c r="L10" i="4"/>
  <c r="K10" i="4"/>
  <c r="I10" i="4"/>
  <c r="H10" i="4"/>
  <c r="H20" i="4" s="1"/>
  <c r="G10" i="4"/>
  <c r="G20" i="4" s="1"/>
  <c r="E10" i="4"/>
  <c r="E20" i="4" s="1"/>
  <c r="D10" i="4"/>
  <c r="D20" i="4" s="1"/>
  <c r="C10" i="4"/>
  <c r="B31" i="5"/>
  <c r="B26" i="5"/>
  <c r="E150" i="4"/>
  <c r="D150" i="4"/>
  <c r="C150" i="4"/>
  <c r="G150" i="4"/>
  <c r="G130" i="4"/>
  <c r="E130" i="4"/>
  <c r="D130" i="4"/>
  <c r="C130" i="4"/>
  <c r="E124" i="4"/>
  <c r="D124" i="4"/>
  <c r="C124" i="4"/>
  <c r="P88" i="4"/>
  <c r="O88" i="4"/>
  <c r="M88" i="4"/>
  <c r="L88" i="4"/>
  <c r="K88" i="4"/>
  <c r="I88" i="4"/>
  <c r="H88" i="4"/>
  <c r="G88" i="4"/>
  <c r="E88" i="4"/>
  <c r="D88" i="4"/>
  <c r="C88" i="4"/>
  <c r="P70" i="4"/>
  <c r="P78" i="4" s="1"/>
  <c r="O70" i="4"/>
  <c r="O78" i="4" s="1"/>
  <c r="M70" i="4"/>
  <c r="M78" i="4" s="1"/>
  <c r="L70" i="4"/>
  <c r="L78" i="4" s="1"/>
  <c r="K70" i="4"/>
  <c r="K78" i="4" s="1"/>
  <c r="I70" i="4"/>
  <c r="I78" i="4" s="1"/>
  <c r="H70" i="4"/>
  <c r="H78" i="4" s="1"/>
  <c r="G70" i="4"/>
  <c r="G78" i="4" s="1"/>
  <c r="E70" i="4"/>
  <c r="E78" i="4" s="1"/>
  <c r="D70" i="4"/>
  <c r="D78" i="4" s="1"/>
  <c r="C70" i="4"/>
  <c r="C78" i="4" s="1"/>
  <c r="P54" i="4"/>
  <c r="O54" i="4"/>
  <c r="M54" i="4"/>
  <c r="M62" i="4" s="1"/>
  <c r="M92" i="4" s="1"/>
  <c r="L54" i="4"/>
  <c r="L62" i="4" s="1"/>
  <c r="L92" i="4" s="1"/>
  <c r="K54" i="4"/>
  <c r="K62" i="4" s="1"/>
  <c r="K92" i="4" s="1"/>
  <c r="I54" i="4"/>
  <c r="I62" i="4" s="1"/>
  <c r="I92" i="4" s="1"/>
  <c r="H54" i="4"/>
  <c r="G54" i="4"/>
  <c r="E54" i="4"/>
  <c r="E62" i="4" s="1"/>
  <c r="E92" i="4" s="1"/>
  <c r="D54" i="4"/>
  <c r="D62" i="4" s="1"/>
  <c r="D92" i="4" s="1"/>
  <c r="C54" i="4"/>
  <c r="C62" i="4" s="1"/>
  <c r="C92" i="4" s="1"/>
  <c r="U39" i="4"/>
  <c r="C20" i="6" l="1"/>
  <c r="S17" i="5"/>
  <c r="T26" i="5"/>
  <c r="T9" i="5"/>
  <c r="S16" i="5"/>
  <c r="T16" i="5"/>
  <c r="T14" i="5"/>
  <c r="T15" i="5"/>
  <c r="T17" i="5"/>
  <c r="S14" i="5"/>
  <c r="S15" i="5"/>
  <c r="T10" i="5"/>
  <c r="S10" i="5"/>
  <c r="S9" i="5"/>
  <c r="Q18" i="5"/>
  <c r="Q23" i="5"/>
  <c r="N152" i="4"/>
  <c r="T146" i="4"/>
  <c r="V146" i="4" s="1"/>
  <c r="T147" i="4"/>
  <c r="T140" i="4"/>
  <c r="T135" i="4"/>
  <c r="V135" i="4"/>
  <c r="V140" i="4"/>
  <c r="N149" i="4"/>
  <c r="T149" i="4" s="1"/>
  <c r="N145" i="4"/>
  <c r="T145" i="4" s="1"/>
  <c r="V145" i="4" s="1"/>
  <c r="S144" i="4"/>
  <c r="V144" i="4" s="1"/>
  <c r="J149" i="4"/>
  <c r="S149" i="4" s="1"/>
  <c r="V139" i="4"/>
  <c r="V143" i="4"/>
  <c r="V137" i="4"/>
  <c r="V141" i="4"/>
  <c r="V136" i="4"/>
  <c r="V138" i="4"/>
  <c r="V134" i="4"/>
  <c r="V142" i="4"/>
  <c r="S128" i="4"/>
  <c r="N130" i="4"/>
  <c r="T127" i="4"/>
  <c r="V128" i="4"/>
  <c r="Q124" i="4"/>
  <c r="J122" i="4"/>
  <c r="C93" i="4"/>
  <c r="Q150" i="4"/>
  <c r="V82" i="4"/>
  <c r="V83" i="4"/>
  <c r="V84" i="4"/>
  <c r="M93" i="4"/>
  <c r="E93" i="4"/>
  <c r="L93" i="4"/>
  <c r="T68" i="4"/>
  <c r="G93" i="4"/>
  <c r="O93" i="4"/>
  <c r="H93" i="4"/>
  <c r="P93" i="4"/>
  <c r="T93" i="4" s="1"/>
  <c r="I93" i="4"/>
  <c r="Q93" i="4"/>
  <c r="K93" i="4"/>
  <c r="Q78" i="4"/>
  <c r="Q89" i="4" s="1"/>
  <c r="Q94" i="4"/>
  <c r="V14" i="4"/>
  <c r="V16" i="4"/>
  <c r="N15" i="4"/>
  <c r="T15" i="4" s="1"/>
  <c r="V13" i="4"/>
  <c r="V11" i="4"/>
  <c r="K20" i="4"/>
  <c r="K29" i="4" s="1"/>
  <c r="K31" i="4" s="1"/>
  <c r="V17" i="4"/>
  <c r="P20" i="4"/>
  <c r="P22" i="4" s="1"/>
  <c r="N10" i="4"/>
  <c r="T10" i="4" s="1"/>
  <c r="V12" i="4"/>
  <c r="D11" i="5"/>
  <c r="D18" i="5" s="1"/>
  <c r="V18" i="4"/>
  <c r="V19" i="4"/>
  <c r="Q22" i="4"/>
  <c r="Q29" i="4"/>
  <c r="Q37" i="4" s="1"/>
  <c r="Q39" i="4" s="1"/>
  <c r="Q43" i="4" s="1"/>
  <c r="T43" i="4" s="1"/>
  <c r="C20" i="4"/>
  <c r="C29" i="4" s="1"/>
  <c r="M20" i="4"/>
  <c r="M22" i="4" s="1"/>
  <c r="L20" i="4"/>
  <c r="J15" i="4"/>
  <c r="S15" i="4" s="1"/>
  <c r="I20" i="4"/>
  <c r="I29" i="4" s="1"/>
  <c r="I37" i="4" s="1"/>
  <c r="I39" i="4" s="1"/>
  <c r="I43" i="4" s="1"/>
  <c r="G29" i="4"/>
  <c r="G37" i="4" s="1"/>
  <c r="G39" i="4" s="1"/>
  <c r="G43" i="4" s="1"/>
  <c r="H22" i="4"/>
  <c r="K11" i="5"/>
  <c r="K18" i="5" s="1"/>
  <c r="Q21" i="4"/>
  <c r="G11" i="5"/>
  <c r="G18" i="5" s="1"/>
  <c r="G23" i="5" s="1"/>
  <c r="J10" i="4"/>
  <c r="S10" i="4" s="1"/>
  <c r="H11" i="5"/>
  <c r="H18" i="5" s="1"/>
  <c r="H23" i="5" s="1"/>
  <c r="E11" i="5"/>
  <c r="E18" i="5" s="1"/>
  <c r="H130" i="4"/>
  <c r="M11" i="5"/>
  <c r="M18" i="5" s="1"/>
  <c r="M23" i="5" s="1"/>
  <c r="O11" i="5"/>
  <c r="O18" i="5" s="1"/>
  <c r="O23" i="5" s="1"/>
  <c r="L11" i="5"/>
  <c r="L18" i="5" s="1"/>
  <c r="P11" i="5"/>
  <c r="P18" i="5" s="1"/>
  <c r="P23" i="5" s="1"/>
  <c r="I11" i="5"/>
  <c r="I18" i="5" s="1"/>
  <c r="I23" i="5" s="1"/>
  <c r="C11" i="5"/>
  <c r="C18" i="5" s="1"/>
  <c r="C23" i="5" s="1"/>
  <c r="C27" i="5" s="1"/>
  <c r="C29" i="5" s="1"/>
  <c r="J130" i="4"/>
  <c r="T158" i="4"/>
  <c r="T152" i="4"/>
  <c r="G94" i="4"/>
  <c r="J70" i="4"/>
  <c r="J78" i="4" s="1"/>
  <c r="N88" i="4"/>
  <c r="S70" i="4"/>
  <c r="S78" i="4" s="1"/>
  <c r="V66" i="4"/>
  <c r="V68" i="4"/>
  <c r="J88" i="4"/>
  <c r="S93" i="4"/>
  <c r="V81" i="4"/>
  <c r="N70" i="4"/>
  <c r="N95" i="4" s="1"/>
  <c r="O94" i="4"/>
  <c r="J54" i="4"/>
  <c r="V73" i="4"/>
  <c r="N54" i="4"/>
  <c r="N62" i="4" s="1"/>
  <c r="N92" i="4" s="1"/>
  <c r="V52" i="4"/>
  <c r="V60" i="4"/>
  <c r="V51" i="4"/>
  <c r="V77" i="4"/>
  <c r="V59" i="4"/>
  <c r="V87" i="4"/>
  <c r="H94" i="4"/>
  <c r="P94" i="4"/>
  <c r="T94" i="4" s="1"/>
  <c r="V61" i="4"/>
  <c r="V85" i="4"/>
  <c r="E163" i="4"/>
  <c r="V50" i="4"/>
  <c r="V75" i="4"/>
  <c r="V57" i="4"/>
  <c r="V76" i="4"/>
  <c r="V28" i="4"/>
  <c r="V65" i="4"/>
  <c r="I89" i="4"/>
  <c r="V34" i="4"/>
  <c r="V74" i="4"/>
  <c r="H95" i="4"/>
  <c r="K89" i="4"/>
  <c r="I95" i="4"/>
  <c r="V36" i="4"/>
  <c r="V69" i="4"/>
  <c r="V58" i="4"/>
  <c r="V109" i="4"/>
  <c r="S152" i="4"/>
  <c r="V25" i="4"/>
  <c r="E21" i="4"/>
  <c r="O22" i="4"/>
  <c r="V27" i="4"/>
  <c r="V35" i="4"/>
  <c r="V38" i="4"/>
  <c r="H89" i="4"/>
  <c r="P89" i="4"/>
  <c r="V86" i="4"/>
  <c r="G95" i="4"/>
  <c r="H21" i="4"/>
  <c r="O95" i="4"/>
  <c r="H29" i="4"/>
  <c r="V53" i="4"/>
  <c r="G62" i="4"/>
  <c r="G92" i="4" s="1"/>
  <c r="P95" i="4"/>
  <c r="T95" i="4" s="1"/>
  <c r="K130" i="4"/>
  <c r="G22" i="4"/>
  <c r="S54" i="4"/>
  <c r="S62" i="4" s="1"/>
  <c r="C89" i="4"/>
  <c r="I94" i="4"/>
  <c r="G89" i="4"/>
  <c r="O89" i="4"/>
  <c r="V111" i="4"/>
  <c r="H62" i="4"/>
  <c r="H92" i="4" s="1"/>
  <c r="O130" i="4"/>
  <c r="P130" i="4"/>
  <c r="O150" i="4"/>
  <c r="P150" i="4"/>
  <c r="D22" i="4"/>
  <c r="D29" i="4"/>
  <c r="O62" i="4"/>
  <c r="O92" i="4" s="1"/>
  <c r="O124" i="4"/>
  <c r="S158" i="4"/>
  <c r="V26" i="4"/>
  <c r="T88" i="4"/>
  <c r="E22" i="4"/>
  <c r="E29" i="4"/>
  <c r="P62" i="4"/>
  <c r="P92" i="4" s="1"/>
  <c r="C95" i="4"/>
  <c r="K95" i="4"/>
  <c r="G124" i="4"/>
  <c r="D163" i="4"/>
  <c r="K150" i="4"/>
  <c r="D95" i="4"/>
  <c r="L95" i="4"/>
  <c r="S95" i="4" s="1"/>
  <c r="D89" i="4"/>
  <c r="L89" i="4"/>
  <c r="L150" i="4"/>
  <c r="O37" i="4"/>
  <c r="O39" i="4" s="1"/>
  <c r="O43" i="4" s="1"/>
  <c r="O31" i="4"/>
  <c r="E95" i="4"/>
  <c r="M95" i="4"/>
  <c r="E89" i="4"/>
  <c r="M89" i="4"/>
  <c r="C94" i="4"/>
  <c r="K94" i="4"/>
  <c r="D94" i="4"/>
  <c r="L94" i="4"/>
  <c r="S94" i="4" s="1"/>
  <c r="E94" i="4"/>
  <c r="M94" i="4"/>
  <c r="S26" i="5" l="1"/>
  <c r="Q19" i="5"/>
  <c r="Q27" i="5"/>
  <c r="Q24" i="5"/>
  <c r="V15" i="4"/>
  <c r="V93" i="4"/>
  <c r="V95" i="4"/>
  <c r="C22" i="4"/>
  <c r="M29" i="4"/>
  <c r="J93" i="4"/>
  <c r="N93" i="4"/>
  <c r="V94" i="4"/>
  <c r="M21" i="4"/>
  <c r="I22" i="4"/>
  <c r="I21" i="4"/>
  <c r="P29" i="4"/>
  <c r="P37" i="4" s="1"/>
  <c r="P39" i="4" s="1"/>
  <c r="Q40" i="4" s="1"/>
  <c r="K22" i="4"/>
  <c r="P21" i="4"/>
  <c r="L21" i="4"/>
  <c r="G31" i="4"/>
  <c r="L29" i="4"/>
  <c r="T20" i="4"/>
  <c r="T29" i="4" s="1"/>
  <c r="T37" i="4" s="1"/>
  <c r="T39" i="4" s="1"/>
  <c r="S20" i="4"/>
  <c r="S29" i="4" s="1"/>
  <c r="S37" i="4" s="1"/>
  <c r="S39" i="4" s="1"/>
  <c r="S41" i="4" s="1"/>
  <c r="L22" i="4"/>
  <c r="Q31" i="4"/>
  <c r="Q41" i="4"/>
  <c r="I31" i="4"/>
  <c r="J20" i="4"/>
  <c r="K21" i="4" s="1"/>
  <c r="N20" i="4"/>
  <c r="N29" i="4" s="1"/>
  <c r="N31" i="4" s="1"/>
  <c r="I27" i="5"/>
  <c r="I41" i="4"/>
  <c r="D21" i="4"/>
  <c r="V118" i="4"/>
  <c r="V17" i="5"/>
  <c r="V147" i="4"/>
  <c r="V14" i="5"/>
  <c r="V148" i="4"/>
  <c r="V15" i="5"/>
  <c r="V121" i="4"/>
  <c r="S31" i="5"/>
  <c r="T31" i="5"/>
  <c r="L19" i="5"/>
  <c r="V119" i="4"/>
  <c r="V117" i="4"/>
  <c r="J150" i="4"/>
  <c r="V116" i="4"/>
  <c r="E19" i="5"/>
  <c r="E23" i="5"/>
  <c r="E24" i="5" s="1"/>
  <c r="C32" i="5"/>
  <c r="C34" i="5" s="1"/>
  <c r="D19" i="5"/>
  <c r="I19" i="5"/>
  <c r="K23" i="5"/>
  <c r="M19" i="5"/>
  <c r="V16" i="5"/>
  <c r="H19" i="5"/>
  <c r="L23" i="5"/>
  <c r="M24" i="5" s="1"/>
  <c r="P19" i="5"/>
  <c r="V67" i="4"/>
  <c r="V123" i="4"/>
  <c r="N150" i="4"/>
  <c r="J95" i="4"/>
  <c r="J89" i="4"/>
  <c r="N78" i="4"/>
  <c r="N89" i="4" s="1"/>
  <c r="J94" i="4"/>
  <c r="V158" i="4"/>
  <c r="S88" i="4"/>
  <c r="S89" i="4" s="1"/>
  <c r="V10" i="4"/>
  <c r="T70" i="4"/>
  <c r="T78" i="4" s="1"/>
  <c r="V78" i="4" s="1"/>
  <c r="J62" i="4"/>
  <c r="J92" i="4" s="1"/>
  <c r="V92" i="4"/>
  <c r="N94" i="4"/>
  <c r="T54" i="4"/>
  <c r="V54" i="4" s="1"/>
  <c r="V106" i="4"/>
  <c r="P124" i="4"/>
  <c r="I130" i="4"/>
  <c r="V129" i="4"/>
  <c r="V115" i="4"/>
  <c r="V105" i="4"/>
  <c r="L130" i="4"/>
  <c r="V120" i="4"/>
  <c r="H30" i="4"/>
  <c r="H37" i="4"/>
  <c r="H39" i="4" s="1"/>
  <c r="H43" i="4" s="1"/>
  <c r="H31" i="4"/>
  <c r="I30" i="4"/>
  <c r="L124" i="4"/>
  <c r="C37" i="4"/>
  <c r="C39" i="4" s="1"/>
  <c r="C43" i="4" s="1"/>
  <c r="C31" i="4"/>
  <c r="K37" i="4"/>
  <c r="K39" i="4" s="1"/>
  <c r="K43" i="4" s="1"/>
  <c r="H27" i="5"/>
  <c r="H24" i="5"/>
  <c r="I24" i="5"/>
  <c r="O27" i="5"/>
  <c r="D24" i="5"/>
  <c r="G27" i="5"/>
  <c r="M27" i="5"/>
  <c r="P27" i="5"/>
  <c r="P24" i="5"/>
  <c r="O41" i="4"/>
  <c r="H124" i="4"/>
  <c r="H163" i="4" s="1"/>
  <c r="M37" i="4"/>
  <c r="M39" i="4" s="1"/>
  <c r="M43" i="4" s="1"/>
  <c r="S43" i="4" s="1"/>
  <c r="V43" i="4" s="1"/>
  <c r="M31" i="4"/>
  <c r="M150" i="4"/>
  <c r="E37" i="4"/>
  <c r="E39" i="4" s="1"/>
  <c r="E43" i="4" s="1"/>
  <c r="E30" i="4"/>
  <c r="E31" i="4"/>
  <c r="S130" i="4"/>
  <c r="M130" i="4"/>
  <c r="G41" i="4"/>
  <c r="H150" i="4"/>
  <c r="V122" i="4"/>
  <c r="D37" i="4"/>
  <c r="D39" i="4" s="1"/>
  <c r="D43" i="4" s="1"/>
  <c r="D30" i="4"/>
  <c r="D31" i="4"/>
  <c r="K124" i="4"/>
  <c r="Q32" i="5" l="1"/>
  <c r="Q29" i="5"/>
  <c r="Q28" i="5"/>
  <c r="M30" i="4"/>
  <c r="P30" i="4"/>
  <c r="P163" i="4"/>
  <c r="Q163" i="4"/>
  <c r="Q30" i="4"/>
  <c r="P43" i="4"/>
  <c r="P40" i="4"/>
  <c r="P31" i="4"/>
  <c r="P41" i="4"/>
  <c r="S22" i="4"/>
  <c r="L30" i="4"/>
  <c r="L31" i="4"/>
  <c r="L37" i="4"/>
  <c r="L39" i="4" s="1"/>
  <c r="L43" i="4" s="1"/>
  <c r="T22" i="4"/>
  <c r="J21" i="4"/>
  <c r="J22" i="4"/>
  <c r="J29" i="4"/>
  <c r="J31" i="4" s="1"/>
  <c r="N11" i="5"/>
  <c r="N18" i="5" s="1"/>
  <c r="N19" i="5" s="1"/>
  <c r="T11" i="5"/>
  <c r="T18" i="5" s="1"/>
  <c r="V9" i="5"/>
  <c r="V26" i="5"/>
  <c r="V20" i="4"/>
  <c r="N30" i="4"/>
  <c r="T31" i="4"/>
  <c r="T21" i="4"/>
  <c r="S11" i="5"/>
  <c r="S18" i="5" s="1"/>
  <c r="S29" i="5" s="1"/>
  <c r="N21" i="4"/>
  <c r="N22" i="4"/>
  <c r="O30" i="4"/>
  <c r="N37" i="4"/>
  <c r="N39" i="4" s="1"/>
  <c r="O21" i="4"/>
  <c r="J11" i="5"/>
  <c r="J18" i="5" s="1"/>
  <c r="J23" i="5" s="1"/>
  <c r="J24" i="5" s="1"/>
  <c r="V108" i="4"/>
  <c r="V107" i="4"/>
  <c r="E27" i="5"/>
  <c r="E29" i="5" s="1"/>
  <c r="N124" i="4"/>
  <c r="O163" i="4" s="1"/>
  <c r="C41" i="4"/>
  <c r="J124" i="4"/>
  <c r="K163" i="4" s="1"/>
  <c r="V31" i="5"/>
  <c r="L24" i="5"/>
  <c r="L27" i="5"/>
  <c r="L29" i="5" s="1"/>
  <c r="K27" i="5"/>
  <c r="K29" i="5" s="1"/>
  <c r="V149" i="4"/>
  <c r="V88" i="4"/>
  <c r="V112" i="4"/>
  <c r="V70" i="4"/>
  <c r="T62" i="4"/>
  <c r="V62" i="4" s="1"/>
  <c r="S31" i="4"/>
  <c r="I40" i="4"/>
  <c r="H40" i="4"/>
  <c r="H41" i="4"/>
  <c r="K41" i="4"/>
  <c r="T89" i="4"/>
  <c r="V89" i="4" s="1"/>
  <c r="O32" i="5"/>
  <c r="O29" i="5"/>
  <c r="M29" i="5"/>
  <c r="M32" i="5"/>
  <c r="I28" i="5"/>
  <c r="I29" i="5"/>
  <c r="I32" i="5"/>
  <c r="H32" i="5"/>
  <c r="H28" i="5"/>
  <c r="H29" i="5"/>
  <c r="G32" i="5"/>
  <c r="G29" i="5"/>
  <c r="P32" i="5"/>
  <c r="P28" i="5"/>
  <c r="P29" i="5"/>
  <c r="D29" i="5"/>
  <c r="D28" i="5"/>
  <c r="M124" i="4"/>
  <c r="E41" i="4"/>
  <c r="E40" i="4"/>
  <c r="M41" i="4"/>
  <c r="V101" i="4"/>
  <c r="V127" i="4"/>
  <c r="T130" i="4"/>
  <c r="V130" i="4" s="1"/>
  <c r="D41" i="4"/>
  <c r="D40" i="4"/>
  <c r="I150" i="4"/>
  <c r="L163" i="4"/>
  <c r="Q34" i="5" l="1"/>
  <c r="Q33" i="5"/>
  <c r="K30" i="4"/>
  <c r="O19" i="5"/>
  <c r="V22" i="4"/>
  <c r="J30" i="4"/>
  <c r="J37" i="4"/>
  <c r="J39" i="4" s="1"/>
  <c r="J43" i="4" s="1"/>
  <c r="K19" i="5"/>
  <c r="M40" i="4"/>
  <c r="L40" i="4"/>
  <c r="L41" i="4"/>
  <c r="O40" i="4"/>
  <c r="N43" i="4"/>
  <c r="N23" i="5"/>
  <c r="O24" i="5" s="1"/>
  <c r="V10" i="5"/>
  <c r="V29" i="4"/>
  <c r="T30" i="4"/>
  <c r="K24" i="5"/>
  <c r="J27" i="5"/>
  <c r="J29" i="5" s="1"/>
  <c r="N41" i="4"/>
  <c r="J19" i="5"/>
  <c r="S34" i="5"/>
  <c r="S23" i="5"/>
  <c r="V11" i="5"/>
  <c r="N40" i="4"/>
  <c r="E28" i="5"/>
  <c r="E32" i="5"/>
  <c r="E34" i="5" s="1"/>
  <c r="L32" i="5"/>
  <c r="L34" i="5" s="1"/>
  <c r="T150" i="4"/>
  <c r="L28" i="5"/>
  <c r="K32" i="5"/>
  <c r="M28" i="5"/>
  <c r="V31" i="4"/>
  <c r="P33" i="5"/>
  <c r="P34" i="5"/>
  <c r="D34" i="5"/>
  <c r="D33" i="5"/>
  <c r="O34" i="5"/>
  <c r="I33" i="5"/>
  <c r="I34" i="5"/>
  <c r="G34" i="5"/>
  <c r="M34" i="5"/>
  <c r="H33" i="5"/>
  <c r="H34" i="5"/>
  <c r="T23" i="5"/>
  <c r="T19" i="5"/>
  <c r="V18" i="5"/>
  <c r="S150" i="4"/>
  <c r="V133" i="4"/>
  <c r="I124" i="4"/>
  <c r="M163" i="4"/>
  <c r="N163" i="4"/>
  <c r="V104" i="4"/>
  <c r="T124" i="4"/>
  <c r="J41" i="4" l="1"/>
  <c r="N24" i="5"/>
  <c r="N27" i="5"/>
  <c r="N32" i="5" s="1"/>
  <c r="K40" i="4"/>
  <c r="J40" i="4"/>
  <c r="V37" i="4"/>
  <c r="J32" i="5"/>
  <c r="J33" i="5" s="1"/>
  <c r="J28" i="5"/>
  <c r="K28" i="5"/>
  <c r="E33" i="5"/>
  <c r="V150" i="4"/>
  <c r="M33" i="5"/>
  <c r="L33" i="5"/>
  <c r="K34" i="5"/>
  <c r="V27" i="5"/>
  <c r="T29" i="5"/>
  <c r="T28" i="5"/>
  <c r="V23" i="5"/>
  <c r="T24" i="5"/>
  <c r="T34" i="5"/>
  <c r="T33" i="5"/>
  <c r="V110" i="4"/>
  <c r="S124" i="4"/>
  <c r="V124" i="4" s="1"/>
  <c r="I163" i="4"/>
  <c r="J163" i="4"/>
  <c r="T41" i="4"/>
  <c r="V41" i="4" s="1"/>
  <c r="T40" i="4"/>
  <c r="V39" i="4"/>
  <c r="N28" i="5" l="1"/>
  <c r="O28" i="5"/>
  <c r="N29" i="5"/>
  <c r="K33" i="5"/>
  <c r="J34" i="5"/>
  <c r="O33" i="5"/>
  <c r="N33" i="5"/>
  <c r="N34" i="5"/>
  <c r="T163" i="4"/>
  <c r="V162"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<sst xmlns="http://schemas.openxmlformats.org/spreadsheetml/2006/main" count="234" uniqueCount="173">
  <si>
    <t>Cash and cash equivalents</t>
  </si>
  <si>
    <t>Restricted cash</t>
  </si>
  <si>
    <t>Total current assets</t>
  </si>
  <si>
    <t>Property and equipment, net</t>
  </si>
  <si>
    <t>Total assets</t>
  </si>
  <si>
    <t>Total current liabilities</t>
  </si>
  <si>
    <t>Operating lease liabilities</t>
  </si>
  <si>
    <t>Other long-term liabilities</t>
  </si>
  <si>
    <t>Additional paid-in capital</t>
  </si>
  <si>
    <t>Accumulated other comprehensive loss</t>
  </si>
  <si>
    <t>FYE</t>
  </si>
  <si>
    <t>Quarterly</t>
  </si>
  <si>
    <t>LTM</t>
  </si>
  <si>
    <t>Revenue</t>
  </si>
  <si>
    <t>Cost of revenue</t>
  </si>
  <si>
    <t>Sales and marketing</t>
  </si>
  <si>
    <t>General and administrative</t>
  </si>
  <si>
    <t>Research and development</t>
  </si>
  <si>
    <t>Other income (expense), net</t>
  </si>
  <si>
    <t>Net income (loss)</t>
  </si>
  <si>
    <t>Adjustments to reconcile net income (loss) to net cash used in operating activities:</t>
  </si>
  <si>
    <t>Depreciation and amortization</t>
  </si>
  <si>
    <t>Changes in assets and liabilities, net of effect of acquisitions:</t>
  </si>
  <si>
    <t>Accounts receivable</t>
  </si>
  <si>
    <t>Net cash used in operating activities</t>
  </si>
  <si>
    <t>Purchases of property and equipment</t>
  </si>
  <si>
    <t>Net cash used in investing activities</t>
  </si>
  <si>
    <t>Net cash provided by financing activities</t>
  </si>
  <si>
    <t>V</t>
  </si>
  <si>
    <t>(In Thousands)</t>
  </si>
  <si>
    <t>LTM VAR</t>
  </si>
  <si>
    <t>X</t>
  </si>
  <si>
    <t xml:space="preserve">Income Statement </t>
  </si>
  <si>
    <t>FY2021</t>
  </si>
  <si>
    <t>FY2022</t>
  </si>
  <si>
    <t>FY2023</t>
  </si>
  <si>
    <t>VAR</t>
  </si>
  <si>
    <t>Gross Profit</t>
  </si>
  <si>
    <t>Y/Y Growth, Q/Q Growth</t>
  </si>
  <si>
    <t>Gross Margin</t>
  </si>
  <si>
    <t>Interest income</t>
  </si>
  <si>
    <t>Operating expenses:</t>
  </si>
  <si>
    <t>Profit From Operations</t>
  </si>
  <si>
    <t>Operating Margin</t>
  </si>
  <si>
    <t>Net loss before provision for income taxes</t>
  </si>
  <si>
    <t>Net loss</t>
  </si>
  <si>
    <t>Net Margin</t>
  </si>
  <si>
    <t xml:space="preserve">Balance Sheet Statement </t>
  </si>
  <si>
    <t>Current Assets</t>
  </si>
  <si>
    <t>Long-Term Assets</t>
  </si>
  <si>
    <t>Current Liabilities</t>
  </si>
  <si>
    <t>Long-Term Liabilities</t>
  </si>
  <si>
    <t>Total Liabilities</t>
  </si>
  <si>
    <t>Stockholders’ equity (deficit):</t>
  </si>
  <si>
    <t>Total stockholders' equity</t>
  </si>
  <si>
    <t>Total liabilities and stockholders' equity</t>
  </si>
  <si>
    <t>Ratio Analysis</t>
  </si>
  <si>
    <t>Debt-to Asset</t>
  </si>
  <si>
    <t>Quick Ratio</t>
  </si>
  <si>
    <t>Current Ratio</t>
  </si>
  <si>
    <t>Cash Ratio</t>
  </si>
  <si>
    <t>Cash-Flows Statement</t>
  </si>
  <si>
    <t>CASH FLOWS FROM OPERATING ACTIVITIES:</t>
  </si>
  <si>
    <t>Cash flows from investing activities:</t>
  </si>
  <si>
    <t>Cash flows from financing activities:</t>
  </si>
  <si>
    <t>Cash-Flows Analysis</t>
  </si>
  <si>
    <t>Free-Cash Flow</t>
  </si>
  <si>
    <t>FCF Analysis</t>
  </si>
  <si>
    <t>Earnings Before Interest &amp; Taxes (EBIT)</t>
  </si>
  <si>
    <t>EBITDA Add-Backs:</t>
  </si>
  <si>
    <t>EBITDA</t>
  </si>
  <si>
    <t>EBITDA Margin</t>
  </si>
  <si>
    <t>Adjusted EBITDA Add-Backs:</t>
  </si>
  <si>
    <t>Adjusted EBITDA</t>
  </si>
  <si>
    <t>Adjusted EBITDA Margin</t>
  </si>
  <si>
    <t>Company Name</t>
  </si>
  <si>
    <t xml:space="preserve">Ticker </t>
  </si>
  <si>
    <t xml:space="preserve">Background </t>
  </si>
  <si>
    <t xml:space="preserve">Snapshot </t>
  </si>
  <si>
    <t>Equity Value</t>
  </si>
  <si>
    <t xml:space="preserve">Enterprise Value </t>
  </si>
  <si>
    <t>LTM Revenue</t>
  </si>
  <si>
    <t>LTM Adjusted EBITDA</t>
  </si>
  <si>
    <t>Microstrategy (NASDAQ: MSTR)</t>
  </si>
  <si>
    <t>Product licenses</t>
  </si>
  <si>
    <t>Subscription services</t>
  </si>
  <si>
    <t>Product support</t>
  </si>
  <si>
    <t>Other services</t>
  </si>
  <si>
    <t>Sum</t>
  </si>
  <si>
    <t>Average</t>
  </si>
  <si>
    <t>Running Total</t>
  </si>
  <si>
    <t>Count</t>
  </si>
  <si>
    <t>1Q22</t>
  </si>
  <si>
    <t>2Q22</t>
  </si>
  <si>
    <t>3Q22</t>
  </si>
  <si>
    <t>4Q22</t>
  </si>
  <si>
    <t>1Q23</t>
  </si>
  <si>
    <t>2Q23</t>
  </si>
  <si>
    <t>3Q23</t>
  </si>
  <si>
    <t>4Q23</t>
  </si>
  <si>
    <t>1Q24</t>
  </si>
  <si>
    <t>2Q24</t>
  </si>
  <si>
    <t>3Q24</t>
  </si>
  <si>
    <t>Operating Expenses</t>
  </si>
  <si>
    <t>Digital asset impairment gains (losses on sale), net</t>
  </si>
  <si>
    <t>Interest expense, net</t>
  </si>
  <si>
    <t>Gain on debt extinguishment</t>
  </si>
  <si>
    <t>Benefit (Expense) from provision for income taxes</t>
  </si>
  <si>
    <t>Weighted average shares outstanding used in computing diluted earnings (loss) per share</t>
  </si>
  <si>
    <t xml:space="preserve">Diluted earnings (loss) per share </t>
  </si>
  <si>
    <t>Accounts receivable, net</t>
  </si>
  <si>
    <t>Prepaid expenses and other current assets</t>
  </si>
  <si>
    <t>Digital assets</t>
  </si>
  <si>
    <t>Right-of-use assets</t>
  </si>
  <si>
    <t>Deposits and other assets</t>
  </si>
  <si>
    <t>Deferred tax assets, net</t>
  </si>
  <si>
    <t>Accounts payable, accrued expenses, and operating lease liabilities</t>
  </si>
  <si>
    <t>Accrued compensation and employee benefits</t>
  </si>
  <si>
    <t>Accrued interest</t>
  </si>
  <si>
    <t>Current portion of long-term debt, net</t>
  </si>
  <si>
    <t>Deferred revenue and advance payments</t>
  </si>
  <si>
    <t>Long-term debt, net</t>
  </si>
  <si>
    <t>Deferred tax liabilities</t>
  </si>
  <si>
    <t>Preferred stock undesignated, $ 0.001  par value;  5,000  shares authorized;  no  shares issued or outstanding</t>
  </si>
  <si>
    <t>Class A common stock, $ 0.001  par value;  330,000  shares authorized;  23,588  shares issued and  14,904  shares outstanding, and  18,269  shares issued and  9,585  shares outstanding, respectively</t>
  </si>
  <si>
    <t>Class B convertible common stock, $ 0.001  par value;  165,000  shares authorized;  1,964  shares issued and outstanding, and  1,964  shares issued and outstanding, respectively</t>
  </si>
  <si>
    <t>Treasury stock, at cost;  8,684  shares and  8,684  shares, respectively</t>
  </si>
  <si>
    <t>(Accumulated deficit) retained earnings</t>
  </si>
  <si>
    <t>Reduction in carrying amount of right-of-use assets</t>
  </si>
  <si>
    <t>Credit losses and sales allowances</t>
  </si>
  <si>
    <t>Deferred taxes</t>
  </si>
  <si>
    <t>Release of liabilities for unrecognized tax benefits</t>
  </si>
  <si>
    <t>Share-based compensation expense</t>
  </si>
  <si>
    <t>Digital asset impairment losses (gains on sale), net</t>
  </si>
  <si>
    <t>Amortization of issuance costs on long-term debt</t>
  </si>
  <si>
    <t>Accounts payable and accrued expenses</t>
  </si>
  <si>
    <t>Purchases of digital assets</t>
  </si>
  <si>
    <t>Proceeds from sale of digital assets</t>
  </si>
  <si>
    <t>Proceeds from convertible senior notes</t>
  </si>
  <si>
    <t>Issuance costs paid for convertible senior notes</t>
  </si>
  <si>
    <t>Payments to settle conversions and redemption of convertible senior notes</t>
  </si>
  <si>
    <t>Proceeds from senior secured notes</t>
  </si>
  <si>
    <t>Issuance costs paid for senior secured notes</t>
  </si>
  <si>
    <t>Proceeds from secured term loan, net of lender fees</t>
  </si>
  <si>
    <t>Issuance costs paid for secured term loan, excluding lender fees</t>
  </si>
  <si>
    <t>Repayments of secured term loan and third-party extinguishment costs</t>
  </si>
  <si>
    <t>Principal payments of other long-term secured debt</t>
  </si>
  <si>
    <t>Proceeds from other long-term secured debt</t>
  </si>
  <si>
    <t>Issuance costs paid for other long-term secured debt</t>
  </si>
  <si>
    <t>Repayments of other long-term secured debt</t>
  </si>
  <si>
    <t>Proceeds from sale of common stock under public offerings</t>
  </si>
  <si>
    <t>Issuance costs paid related to sale of common stock under public offerings</t>
  </si>
  <si>
    <t>Proceeds from exercise of stock options</t>
  </si>
  <si>
    <t>Proceeds from sales under employee stock purchase plan</t>
  </si>
  <si>
    <t>Payment of withholding tax on vesting of restricted stock units</t>
  </si>
  <si>
    <t>Effect of foreign exchange rate changes on cash, cash equivalents, and restricted cash</t>
  </si>
  <si>
    <t>Net (decrease) increase in cash, cash equivalents, and restricted cash</t>
  </si>
  <si>
    <t>Cash, cash equivalents, and restricted cash, beginning of year</t>
  </si>
  <si>
    <t>Cash, cash equivalents, and restricted cash, end of year</t>
  </si>
  <si>
    <t>Supplemental disclosure of cash flow information:</t>
  </si>
  <si>
    <t>Cash paid during the year for interest</t>
  </si>
  <si>
    <t>Cash paid during the year for income taxes, net of tax refunds</t>
  </si>
  <si>
    <t xml:space="preserve"> USD ($) shares in Thousands</t>
  </si>
  <si>
    <t xml:space="preserve">MicroStrategy® recently announced that it considers itself the world’s first Bitcoin development company. We are a publicly-traded operating company committed to the continued development of the Bitcoin network through our activities in the financial markets, advocacy and technology innovation. As an operating business, we are able to use cash flows as well as proceeds from equity and debt financings to accumulate bitcoin, which serves as our primary treasury reserve asset. We also develop and provide industry-leading AI-powered enterprise analytics software that promotes our vision of Intelligence Everywhere™, and are using our software development capabilities to develop bitcoin applications. Our software business, which we have operated for over 30 years, is our predominant operational focus, providing cash flows and enabling us to pursue our bitcoin strategy. We believe that the combination of our operating structure, bitcoin strategy and focus on technology innovation differentiates us in the digital assets industry. 
</t>
  </si>
  <si>
    <t>LTM Total Debt</t>
  </si>
  <si>
    <t>LTM Cash Position</t>
  </si>
  <si>
    <t>Equity Data</t>
  </si>
  <si>
    <t>Share Price</t>
  </si>
  <si>
    <t>Shares Outstanding</t>
  </si>
  <si>
    <t>Market Cap</t>
  </si>
  <si>
    <t>MSTR</t>
  </si>
  <si>
    <t>Enterprise Value Per Share</t>
  </si>
  <si>
    <t>LTM 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</si>
</sst>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_(&quot;$ &quot;#,##0_);_(&quot;$ &quot;\(#,##0\)"/>
    <numFmt numFmtId="165" formatCode="&quot;$&quot;#,##0"/>
    <numFmt numFmtId="166" formatCode="0.00&quot;x&quot;"/>
    <numFmt numFmtId="167" formatCode="_(* #,##0_);_(* \(#,##0\);_(* &quot;-&quot;??_);_(@_)"/>
    <numFmt numFmtId="169" formatCode="_([$$-409]* #,##0.00_);_([$$-409]* \(#,##0.00\);_([$$-409]* &quot;-&quot;??_);_(@_)"/>
    <numFmt numFmtId="170" formatCode="_([$$-409]* #,##0_);_([$$-409]* \(#,##0\);_([$$-409]* &quot;-&quot;_);_(@_)"/>
  </numFmts>
  <fonts count="34">
    <font>
      <sz val="11"/>
      <color theme="1"/>
      <name val="Aptos Narrow"/>
      <family val="2"/>
      <scheme val="minor"/>
    </font>
    <font>
      <sz val="11"/>
      <color theme="1"/>
      <name val="Aptos Narrow"/>
      <family val="2"/>
      <scheme val="minor"/>
    </font>
    <font>
      <b/>
      <sz val="11"/>
      <color theme="0"/>
      <name val="Aptos Narrow"/>
      <family val="2"/>
      <scheme val="minor"/>
    </font>
    <font>
      <b/>
      <sz val="11"/>
      <color theme="1"/>
      <name val="Aptos Narrow"/>
      <family val="2"/>
      <scheme val="minor"/>
    </font>
    <font>
      <sz val="11"/>
      <color theme="0"/>
      <name val="Aptos Narrow"/>
      <family val="2"/>
      <scheme val="minor"/>
    </font>
    <font>
      <b/>
      <sz val="11"/>
      <name val="Calibri"/>
      <family val="2"/>
    </font>
    <font>
      <sz val="11"/>
      <name val="Calibri"/>
      <family val="2"/>
    </font>
    <font>
      <i/>
      <sz val="11"/>
      <color theme="0"/>
      <name val="Aptos Narrow"/>
      <family val="2"/>
      <scheme val="minor"/>
    </font>
    <font>
      <b/>
      <sz val="12"/>
      <color theme="0"/>
      <name val="Aptos Narrow"/>
      <family val="2"/>
      <scheme val="minor"/>
    </font>
    <font>
      <i/>
      <sz val="11"/>
      <color theme="0"/>
      <name val="Calibri"/>
      <family val="2"/>
    </font>
    <font>
      <sz val="11"/>
      <color rgb="FF0000CC"/>
      <name val="Calibri"/>
      <family val="2"/>
    </font>
    <font>
      <sz val="11"/>
      <color rgb="FF0000FF"/>
      <name val="Calibri"/>
      <family val="2"/>
    </font>
    <font>
      <sz val="11"/>
      <color theme="1"/>
      <name val="Calibri"/>
      <family val="2"/>
    </font>
    <font>
      <i/>
      <sz val="9"/>
      <color theme="1"/>
      <name val="Aptos Narrow"/>
      <family val="2"/>
      <scheme val="minor"/>
    </font>
    <font>
      <b/>
      <sz val="11"/>
      <color theme="1"/>
      <name val="Calibri"/>
      <family val="2"/>
    </font>
    <font>
      <b/>
      <i/>
      <sz val="9"/>
      <color theme="1"/>
      <name val="Aptos Narrow"/>
      <family val="2"/>
      <scheme val="minor"/>
    </font>
    <font>
      <i/>
      <sz val="10"/>
      <name val="Calibri"/>
      <family val="2"/>
    </font>
    <font>
      <sz val="10"/>
      <name val="Calibri"/>
      <family val="2"/>
    </font>
    <font>
      <sz val="11"/>
      <color rgb="FF0000E1"/>
      <name val="Calibri"/>
      <family val="2"/>
    </font>
    <font>
      <sz val="11"/>
      <color theme="9" tint="-0.249977111117893"/>
      <name val="Calibri"/>
      <family val="2"/>
    </font>
    <font>
      <b/>
      <sz val="11"/>
      <color theme="0"/>
      <name val="Calibri"/>
      <family val="2"/>
    </font>
    <font>
      <b/>
      <sz val="12"/>
      <color theme="1"/>
      <name val="Aptos Narrow"/>
      <family val="2"/>
      <scheme val="minor"/>
    </font>
    <font>
      <b/>
      <sz val="11"/>
      <name val="Aptos Narrow"/>
      <family val="2"/>
      <scheme val="minor"/>
    </font>
    <font>
      <b/>
      <sz val="12"/>
      <name val="Aptos Narrow"/>
      <family val="2"/>
      <scheme val="minor"/>
    </font>
    <font>
      <b/>
      <sz val="11"/>
      <color rgb="FF0000CC"/>
      <name val="Calibri"/>
      <family val="2"/>
    </font>
    <font>
      <sz val="11"/>
      <color rgb="FF0000CC"/>
      <name val="Aptos Narrow"/>
      <family val="2"/>
      <scheme val="minor"/>
    </font>
    <font>
      <b/>
      <sz val="12"/>
      <color indexed="8"/>
      <name val="Calibri"/>
      <family val="2"/>
      <charset val="1"/>
    </font>
    <font>
      <b/>
      <sz val="11"/>
      <color rgb="FF0000FF"/>
      <name val="Calibri"/>
      <family val="2"/>
    </font>
    <font>
      <b/>
      <sz val="11"/>
      <color indexed="8"/>
      <name val="Calibri"/>
      <family val="2"/>
      <charset val="1"/>
    </font>
    <font>
      <i/>
      <sz val="11"/>
      <color theme="1"/>
      <name val="Aptos Narrow"/>
      <family val="2"/>
      <scheme val="minor"/>
    </font>
    <font>
      <sz val="11"/>
      <color rgb="FF0000FF"/>
      <name val="Aptos Narrow"/>
      <family val="2"/>
      <scheme val="minor"/>
    </font>
    <font>
      <sz val="11"/>
      <name val="Aptos Narrow"/>
      <family val="2"/>
      <scheme val="minor"/>
    </font>
    <font>
      <sz val="11"/>
      <color rgb="FFFF0000"/>
      <name val="Aptos Narrow"/>
      <family val="2"/>
      <scheme val="minor"/>
    </font>
    <font>
      <sz val="11"/>
      <color theme="9" tint="-0.249977111117893"/>
      <name val="Aptos Narrow"/>
      <family val="2"/>
      <scheme val="minor"/>
    </font>
  </fonts>
  <fills count="5">
    <fill>
      <patternFill patternType="none"/>
    </fill>
    <fill>
      <patternFill patternType="gray125"/>
    </fill>
    <fill>
      <patternFill patternType="solid">
        <fgColor rgb="FF002060"/>
        <bgColor indexed="64"/>
      </patternFill>
    </fill>
    <fill>
      <patternFill patternType="solid">
        <fgColor theme="0" tint="-0.14999847407452621"/>
        <bgColor indexed="64"/>
      </patternFill>
    </fill>
    <fill>
      <patternFill patternType="solid">
        <fgColor theme="3" tint="0.89999084444715716"/>
        <bgColor indexed="64"/>
      </patternFill>
    </fill>
  </fills>
  <borders count="13">
    <border>
      <left/>
      <right/>
      <top/>
      <bottom/>
      <diagonal/>
    </border>
    <border>
      <left/>
      <right/>
      <top style="thin">
        <color indexed="64"/>
      </top>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01">
    <xf numFmtId="0" fontId="0" fillId="0" borderId="0" xfId="0"/>
    <xf numFmtId="37" fontId="6" fillId="0" borderId="0" xfId="0" applyNumberFormat="1" applyFont="1" applyAlignment="1">
      <alignment horizontal="right" vertical="top"/>
    </xf>
    <xf numFmtId="0" fontId="6" fillId="0" borderId="0" xfId="0" applyFont="1" applyAlignment="1">
      <alignment vertical="top" wrapText="1"/>
    </xf>
    <xf numFmtId="0" fontId="3" fillId="0" borderId="0" xfId="0" applyFont="1"/>
    <xf numFmtId="37" fontId="0" fillId="0" borderId="0" xfId="0" applyNumberFormat="1"/>
    <xf numFmtId="37" fontId="3" fillId="0" borderId="0" xfId="0" applyNumberFormat="1" applyFont="1"/>
    <xf numFmtId="0" fontId="0" fillId="0" borderId="0" xfId="0" applyAlignment="1">
      <alignment wrapText="1"/>
    </xf>
    <xf numFmtId="0" fontId="2" fillId="2" borderId="0" xfId="0" applyFont="1" applyFill="1" applyAlignment="1">
      <alignment wrapText="1"/>
    </xf>
    <xf numFmtId="0" fontId="0" fillId="2" borderId="0" xfId="0" applyFill="1" applyAlignment="1">
      <alignment wrapText="1"/>
    </xf>
    <xf numFmtId="0" fontId="7" fillId="2" borderId="0" xfId="0" applyFont="1" applyFill="1" applyAlignment="1">
      <alignment wrapText="1"/>
    </xf>
    <xf numFmtId="0" fontId="7" fillId="0" borderId="0" xfId="0" applyFont="1" applyAlignment="1">
      <alignment wrapText="1"/>
    </xf>
    <xf numFmtId="0" fontId="3" fillId="0" borderId="2" xfId="0" applyFont="1" applyBorder="1" applyAlignment="1">
      <alignment horizontal="centerContinuous" wrapText="1"/>
    </xf>
    <xf numFmtId="0" fontId="3" fillId="0" borderId="0" xfId="0" applyFont="1" applyAlignment="1">
      <alignment horizontal="centerContinuous" wrapText="1"/>
    </xf>
    <xf numFmtId="0" fontId="2" fillId="2" borderId="0" xfId="0" applyFont="1" applyFill="1" applyAlignment="1">
      <alignment horizontal="center" wrapText="1"/>
    </xf>
    <xf numFmtId="0" fontId="2" fillId="0" borderId="0" xfId="0" applyFont="1" applyAlignment="1">
      <alignment horizontal="center" wrapText="1"/>
    </xf>
    <xf numFmtId="0" fontId="9" fillId="2" borderId="0" xfId="0" applyFont="1" applyFill="1" applyAlignment="1">
      <alignment vertical="center"/>
    </xf>
    <xf numFmtId="14" fontId="4" fillId="2" borderId="0" xfId="0" applyNumberFormat="1" applyFont="1" applyFill="1" applyAlignment="1">
      <alignment horizontal="center" wrapText="1"/>
    </xf>
    <xf numFmtId="14" fontId="7" fillId="0" borderId="0" xfId="0" applyNumberFormat="1" applyFont="1" applyAlignment="1">
      <alignment horizontal="center" wrapText="1"/>
    </xf>
    <xf numFmtId="0" fontId="9" fillId="0" borderId="0" xfId="0" applyFont="1" applyAlignment="1">
      <alignment vertical="center" wrapText="1"/>
    </xf>
    <xf numFmtId="14" fontId="2" fillId="0" borderId="0" xfId="0" applyNumberFormat="1" applyFont="1" applyAlignment="1">
      <alignment horizontal="center" wrapText="1"/>
    </xf>
    <xf numFmtId="37" fontId="10" fillId="0" borderId="0" xfId="0" applyNumberFormat="1" applyFont="1" applyAlignment="1">
      <alignment horizontal="right" vertical="top" wrapText="1"/>
    </xf>
    <xf numFmtId="37" fontId="0" fillId="0" borderId="0" xfId="0" applyNumberFormat="1" applyAlignment="1">
      <alignment wrapText="1"/>
    </xf>
    <xf numFmtId="37" fontId="11" fillId="0" borderId="0" xfId="0" applyNumberFormat="1" applyFont="1" applyAlignment="1">
      <alignment horizontal="right" vertical="top" wrapText="1"/>
    </xf>
    <xf numFmtId="37" fontId="12" fillId="0" borderId="0" xfId="0" applyNumberFormat="1" applyFont="1" applyAlignment="1">
      <alignment wrapText="1"/>
    </xf>
    <xf numFmtId="164" fontId="12" fillId="0" borderId="0" xfId="0" applyNumberFormat="1" applyFont="1" applyAlignment="1">
      <alignment wrapText="1"/>
    </xf>
    <xf numFmtId="10" fontId="13" fillId="3" borderId="0" xfId="2" applyNumberFormat="1" applyFont="1" applyFill="1" applyAlignment="1">
      <alignment horizontal="center" wrapText="1"/>
    </xf>
    <xf numFmtId="0" fontId="6" fillId="0" borderId="0" xfId="0" applyFont="1" applyAlignment="1">
      <alignment horizontal="left" vertical="top" wrapText="1" indent="1"/>
    </xf>
    <xf numFmtId="165" fontId="5" fillId="0" borderId="1" xfId="0" applyNumberFormat="1" applyFont="1" applyBorder="1" applyAlignment="1">
      <alignment vertical="top" wrapText="1"/>
    </xf>
    <xf numFmtId="37" fontId="5" fillId="0" borderId="1" xfId="0" applyNumberFormat="1" applyFont="1" applyBorder="1" applyAlignment="1">
      <alignment horizontal="right" vertical="top" wrapText="1"/>
    </xf>
    <xf numFmtId="164" fontId="14" fillId="0" borderId="0" xfId="0" applyNumberFormat="1" applyFont="1" applyAlignment="1">
      <alignment wrapText="1"/>
    </xf>
    <xf numFmtId="10" fontId="15" fillId="3" borderId="0" xfId="2" applyNumberFormat="1" applyFont="1" applyFill="1" applyAlignment="1">
      <alignment horizontal="center" wrapText="1"/>
    </xf>
    <xf numFmtId="0" fontId="16" fillId="0" borderId="0" xfId="0" applyFont="1" applyAlignment="1">
      <alignment horizontal="right" vertical="center" wrapText="1"/>
    </xf>
    <xf numFmtId="165" fontId="5" fillId="0" borderId="0" xfId="0" applyNumberFormat="1" applyFont="1" applyAlignment="1">
      <alignment horizontal="right" vertical="top" wrapText="1"/>
    </xf>
    <xf numFmtId="9" fontId="17" fillId="0" borderId="0" xfId="2" applyFont="1" applyBorder="1" applyAlignment="1">
      <alignment horizontal="right" vertical="center" wrapText="1"/>
    </xf>
    <xf numFmtId="10" fontId="15" fillId="0" borderId="0" xfId="2" applyNumberFormat="1" applyFont="1" applyFill="1" applyAlignment="1">
      <alignment horizontal="center" wrapText="1"/>
    </xf>
    <xf numFmtId="165" fontId="5" fillId="0" borderId="0" xfId="0" applyNumberFormat="1" applyFont="1" applyAlignment="1">
      <alignment vertical="top" wrapText="1"/>
    </xf>
    <xf numFmtId="0" fontId="12" fillId="0" borderId="0" xfId="0" applyFont="1" applyAlignment="1">
      <alignment wrapText="1"/>
    </xf>
    <xf numFmtId="0" fontId="0" fillId="0" borderId="0" xfId="0" applyAlignment="1">
      <alignment horizontal="center" wrapText="1"/>
    </xf>
    <xf numFmtId="0" fontId="5" fillId="0" borderId="0" xfId="0" applyFont="1" applyAlignment="1">
      <alignment vertical="top" wrapText="1"/>
    </xf>
    <xf numFmtId="37" fontId="6" fillId="0" borderId="0" xfId="0" applyNumberFormat="1" applyFont="1" applyAlignment="1">
      <alignment horizontal="right" vertical="top" wrapText="1"/>
    </xf>
    <xf numFmtId="10" fontId="13" fillId="0" borderId="0" xfId="2" applyNumberFormat="1" applyFont="1" applyFill="1" applyAlignment="1">
      <alignment horizontal="center" wrapText="1"/>
    </xf>
    <xf numFmtId="0" fontId="5" fillId="0" borderId="1" xfId="0" applyFont="1" applyBorder="1" applyAlignment="1">
      <alignment vertical="top" wrapText="1"/>
    </xf>
    <xf numFmtId="39" fontId="17" fillId="0" borderId="0" xfId="0" applyNumberFormat="1" applyFont="1" applyAlignment="1">
      <alignment horizontal="right" vertical="center" wrapText="1"/>
    </xf>
    <xf numFmtId="9" fontId="17" fillId="0" borderId="0" xfId="2" applyFont="1" applyFill="1" applyBorder="1" applyAlignment="1">
      <alignment horizontal="right" vertical="center" wrapText="1"/>
    </xf>
    <xf numFmtId="0" fontId="6" fillId="0" borderId="0" xfId="0" applyFont="1" applyAlignment="1">
      <alignment horizontal="left" vertical="top" wrapText="1"/>
    </xf>
    <xf numFmtId="0" fontId="3" fillId="0" borderId="1" xfId="0" applyFont="1" applyBorder="1"/>
    <xf numFmtId="0" fontId="0" fillId="0" borderId="3" xfId="0" applyBorder="1"/>
    <xf numFmtId="9" fontId="6" fillId="0" borderId="0" xfId="2" applyFont="1" applyBorder="1" applyAlignment="1">
      <alignment horizontal="right" vertical="center"/>
    </xf>
    <xf numFmtId="0" fontId="0" fillId="0" borderId="6" xfId="0" applyBorder="1"/>
    <xf numFmtId="37" fontId="18" fillId="0" borderId="2" xfId="0" applyNumberFormat="1" applyFont="1" applyBorder="1" applyAlignment="1">
      <alignment horizontal="right" vertical="center"/>
    </xf>
    <xf numFmtId="37" fontId="18" fillId="0" borderId="2" xfId="2" applyNumberFormat="1" applyFont="1" applyBorder="1" applyAlignment="1">
      <alignment horizontal="right" vertical="center"/>
    </xf>
    <xf numFmtId="37" fontId="18" fillId="0" borderId="7" xfId="2" applyNumberFormat="1" applyFont="1" applyBorder="1" applyAlignment="1">
      <alignment horizontal="right" vertical="center"/>
    </xf>
    <xf numFmtId="37" fontId="19" fillId="0" borderId="2" xfId="2" applyNumberFormat="1" applyFont="1" applyBorder="1" applyAlignment="1">
      <alignment horizontal="right" vertical="center"/>
    </xf>
    <xf numFmtId="0" fontId="20" fillId="2" borderId="0" xfId="0" applyFont="1" applyFill="1" applyAlignment="1">
      <alignment horizontal="center" vertical="center" wrapText="1"/>
    </xf>
    <xf numFmtId="0" fontId="9" fillId="2" borderId="0" xfId="0" applyFont="1" applyFill="1" applyAlignment="1">
      <alignment horizontal="center" vertical="center" wrapText="1"/>
    </xf>
    <xf numFmtId="0" fontId="9" fillId="0" borderId="0" xfId="0" applyFont="1" applyAlignment="1">
      <alignment horizontal="left" vertical="center" wrapText="1"/>
    </xf>
    <xf numFmtId="0" fontId="9" fillId="0" borderId="0" xfId="0" applyFont="1" applyAlignment="1">
      <alignment horizontal="center" vertical="center" wrapText="1"/>
    </xf>
    <xf numFmtId="37" fontId="3" fillId="0" borderId="1" xfId="0" applyNumberFormat="1" applyFont="1" applyBorder="1" applyAlignment="1">
      <alignment wrapText="1"/>
    </xf>
    <xf numFmtId="37" fontId="21" fillId="0" borderId="0" xfId="0" applyNumberFormat="1" applyFont="1" applyAlignment="1">
      <alignment wrapText="1"/>
    </xf>
    <xf numFmtId="37" fontId="3" fillId="0" borderId="0" xfId="0" applyNumberFormat="1" applyFont="1" applyAlignment="1">
      <alignment wrapText="1"/>
    </xf>
    <xf numFmtId="37" fontId="5" fillId="0" borderId="0" xfId="0" applyNumberFormat="1" applyFont="1" applyAlignment="1">
      <alignment horizontal="right" vertical="top" wrapText="1"/>
    </xf>
    <xf numFmtId="37" fontId="18" fillId="0" borderId="0" xfId="0" applyNumberFormat="1" applyFont="1" applyAlignment="1">
      <alignment horizontal="right" vertical="top" wrapText="1"/>
    </xf>
    <xf numFmtId="37" fontId="22" fillId="0" borderId="1" xfId="0" applyNumberFormat="1" applyFont="1" applyBorder="1" applyAlignment="1">
      <alignment wrapText="1"/>
    </xf>
    <xf numFmtId="37" fontId="23" fillId="0" borderId="0" xfId="0" applyNumberFormat="1" applyFont="1" applyAlignment="1">
      <alignment wrapText="1"/>
    </xf>
    <xf numFmtId="37" fontId="24" fillId="0" borderId="0" xfId="0" applyNumberFormat="1" applyFont="1" applyAlignment="1">
      <alignment horizontal="right" vertical="top" wrapText="1"/>
    </xf>
    <xf numFmtId="0" fontId="21" fillId="0" borderId="0" xfId="0" applyFont="1" applyAlignment="1">
      <alignment wrapText="1"/>
    </xf>
    <xf numFmtId="0" fontId="6" fillId="0" borderId="0" xfId="0" applyFont="1" applyAlignment="1">
      <alignment horizontal="left" vertical="top" indent="1"/>
    </xf>
    <xf numFmtId="37" fontId="22" fillId="0" borderId="0" xfId="0" applyNumberFormat="1" applyFont="1" applyAlignment="1">
      <alignment wrapText="1"/>
    </xf>
    <xf numFmtId="37" fontId="11" fillId="0" borderId="0" xfId="0" applyNumberFormat="1" applyFont="1" applyAlignment="1">
      <alignment wrapText="1"/>
    </xf>
    <xf numFmtId="0" fontId="11" fillId="0" borderId="0" xfId="0" applyFont="1" applyAlignment="1">
      <alignment wrapText="1"/>
    </xf>
    <xf numFmtId="37" fontId="25" fillId="0" borderId="0" xfId="0" applyNumberFormat="1" applyFont="1" applyAlignment="1">
      <alignment wrapText="1"/>
    </xf>
    <xf numFmtId="0" fontId="18" fillId="0" borderId="0" xfId="0" applyFont="1" applyAlignment="1">
      <alignment wrapText="1"/>
    </xf>
    <xf numFmtId="37" fontId="18" fillId="0" borderId="0" xfId="0" applyNumberFormat="1" applyFont="1" applyAlignment="1">
      <alignment wrapText="1"/>
    </xf>
    <xf numFmtId="37" fontId="18" fillId="0" borderId="0" xfId="0" applyNumberFormat="1" applyFont="1" applyAlignment="1">
      <alignment vertical="top" wrapText="1"/>
    </xf>
    <xf numFmtId="37" fontId="11" fillId="0" borderId="0" xfId="0" applyNumberFormat="1" applyFont="1" applyAlignment="1">
      <alignment vertical="top" wrapText="1"/>
    </xf>
    <xf numFmtId="37" fontId="5" fillId="0" borderId="1" xfId="0" applyNumberFormat="1" applyFont="1" applyBorder="1" applyAlignment="1">
      <alignment wrapText="1"/>
    </xf>
    <xf numFmtId="0" fontId="5" fillId="0" borderId="0" xfId="0" applyFont="1" applyAlignment="1">
      <alignment wrapText="1"/>
    </xf>
    <xf numFmtId="37" fontId="6" fillId="0" borderId="0" xfId="0" applyNumberFormat="1" applyFont="1" applyAlignment="1">
      <alignment wrapText="1"/>
    </xf>
    <xf numFmtId="0" fontId="5" fillId="4" borderId="3" xfId="0" applyFont="1" applyFill="1" applyBorder="1" applyAlignment="1">
      <alignment vertical="top"/>
    </xf>
    <xf numFmtId="37" fontId="6" fillId="4" borderId="4" xfId="0" applyNumberFormat="1" applyFont="1" applyFill="1" applyBorder="1"/>
    <xf numFmtId="37" fontId="6" fillId="4" borderId="5" xfId="0" applyNumberFormat="1" applyFont="1" applyFill="1" applyBorder="1"/>
    <xf numFmtId="37" fontId="6" fillId="4" borderId="3" xfId="0" applyNumberFormat="1" applyFont="1" applyFill="1" applyBorder="1"/>
    <xf numFmtId="37" fontId="6" fillId="4" borderId="3" xfId="0" applyNumberFormat="1" applyFont="1" applyFill="1" applyBorder="1" applyAlignment="1">
      <alignment wrapText="1"/>
    </xf>
    <xf numFmtId="37" fontId="6" fillId="4" borderId="5" xfId="0" applyNumberFormat="1" applyFont="1" applyFill="1" applyBorder="1" applyAlignment="1">
      <alignment wrapText="1"/>
    </xf>
    <xf numFmtId="0" fontId="6" fillId="4" borderId="8" xfId="0" applyFont="1" applyFill="1" applyBorder="1" applyAlignment="1">
      <alignment horizontal="left" vertical="top" indent="1"/>
    </xf>
    <xf numFmtId="166" fontId="6" fillId="4" borderId="9" xfId="0" applyNumberFormat="1" applyFont="1" applyFill="1" applyBorder="1" applyAlignment="1">
      <alignment horizontal="center" vertical="center"/>
    </xf>
    <xf numFmtId="166" fontId="6" fillId="4" borderId="8" xfId="0" applyNumberFormat="1" applyFont="1" applyFill="1" applyBorder="1" applyAlignment="1">
      <alignment horizontal="center" vertical="center"/>
    </xf>
    <xf numFmtId="0" fontId="0" fillId="4" borderId="8" xfId="0" applyFill="1" applyBorder="1" applyAlignment="1">
      <alignment horizontal="left" indent="1"/>
    </xf>
    <xf numFmtId="0" fontId="6" fillId="4" borderId="6" xfId="0" applyFont="1" applyFill="1" applyBorder="1" applyAlignment="1">
      <alignment horizontal="left" vertical="top" indent="1"/>
    </xf>
    <xf numFmtId="166" fontId="6" fillId="4" borderId="2" xfId="0" applyNumberFormat="1" applyFont="1" applyFill="1" applyBorder="1" applyAlignment="1">
      <alignment horizontal="center" vertical="center"/>
    </xf>
    <xf numFmtId="166" fontId="6" fillId="4" borderId="7" xfId="0" applyNumberFormat="1" applyFont="1" applyFill="1" applyBorder="1" applyAlignment="1">
      <alignment horizontal="center" vertical="center"/>
    </xf>
    <xf numFmtId="166" fontId="6" fillId="4" borderId="6" xfId="0" applyNumberFormat="1" applyFont="1" applyFill="1" applyBorder="1" applyAlignment="1">
      <alignment horizontal="center"/>
    </xf>
    <xf numFmtId="166" fontId="6" fillId="4" borderId="2" xfId="0" applyNumberFormat="1" applyFont="1" applyFill="1" applyBorder="1" applyAlignment="1">
      <alignment horizontal="center"/>
    </xf>
    <xf numFmtId="166" fontId="6" fillId="4" borderId="7" xfId="0" applyNumberFormat="1" applyFont="1" applyFill="1" applyBorder="1" applyAlignment="1">
      <alignment horizontal="center"/>
    </xf>
    <xf numFmtId="0" fontId="3" fillId="0" borderId="0" xfId="0" applyFont="1" applyAlignment="1">
      <alignment wrapText="1"/>
    </xf>
    <xf numFmtId="0" fontId="26" fillId="0" borderId="0" xfId="0" applyFont="1" applyAlignment="1">
      <alignment wrapText="1"/>
    </xf>
    <xf numFmtId="167" fontId="0" fillId="0" borderId="0" xfId="1" applyNumberFormat="1" applyFont="1" applyBorder="1" applyAlignment="1">
      <alignment wrapText="1"/>
    </xf>
    <xf numFmtId="0" fontId="0" fillId="0" borderId="0" xfId="0" applyAlignment="1">
      <alignment horizontal="left" wrapText="1" indent="1"/>
    </xf>
    <xf numFmtId="37" fontId="11" fillId="0" borderId="0" xfId="0" applyNumberFormat="1" applyFont="1"/>
    <xf numFmtId="37" fontId="12" fillId="0" borderId="0" xfId="0" applyNumberFormat="1" applyFont="1"/>
    <xf numFmtId="37" fontId="6" fillId="0" borderId="0" xfId="0" applyNumberFormat="1" applyFont="1"/>
    <xf numFmtId="37" fontId="11" fillId="0" borderId="0" xfId="1" applyNumberFormat="1" applyFont="1" applyBorder="1" applyAlignment="1">
      <alignment wrapText="1"/>
    </xf>
    <xf numFmtId="37" fontId="10" fillId="0" borderId="0" xfId="1" applyNumberFormat="1" applyFont="1" applyBorder="1" applyAlignment="1">
      <alignment wrapText="1"/>
    </xf>
    <xf numFmtId="37" fontId="6" fillId="0" borderId="0" xfId="1" applyNumberFormat="1" applyFont="1" applyBorder="1" applyAlignment="1">
      <alignment wrapText="1"/>
    </xf>
    <xf numFmtId="37" fontId="10" fillId="0" borderId="0" xfId="1" applyNumberFormat="1" applyFont="1" applyFill="1" applyBorder="1" applyAlignment="1">
      <alignment wrapText="1"/>
    </xf>
    <xf numFmtId="0" fontId="0" fillId="0" borderId="0" xfId="0" applyAlignment="1">
      <alignment horizontal="left" indent="1"/>
    </xf>
    <xf numFmtId="0" fontId="21" fillId="0" borderId="1" xfId="0" applyFont="1" applyBorder="1" applyAlignment="1">
      <alignment wrapText="1"/>
    </xf>
    <xf numFmtId="37" fontId="5" fillId="0" borderId="1" xfId="1" applyNumberFormat="1" applyFont="1" applyBorder="1" applyAlignment="1">
      <alignment wrapText="1"/>
    </xf>
    <xf numFmtId="37" fontId="5" fillId="0" borderId="0" xfId="1" applyNumberFormat="1" applyFont="1" applyBorder="1" applyAlignment="1">
      <alignment wrapText="1"/>
    </xf>
    <xf numFmtId="0" fontId="23" fillId="0" borderId="1" xfId="0" applyFont="1" applyBorder="1" applyAlignment="1">
      <alignment wrapText="1"/>
    </xf>
    <xf numFmtId="0" fontId="23" fillId="0" borderId="0" xfId="0" applyFont="1" applyAlignment="1">
      <alignment wrapText="1"/>
    </xf>
    <xf numFmtId="37" fontId="14" fillId="0" borderId="0" xfId="1" applyNumberFormat="1" applyFont="1" applyBorder="1" applyAlignment="1">
      <alignment wrapText="1"/>
    </xf>
    <xf numFmtId="37" fontId="27" fillId="0" borderId="0" xfId="1" applyNumberFormat="1" applyFont="1" applyBorder="1" applyAlignment="1">
      <alignment wrapText="1"/>
    </xf>
    <xf numFmtId="37" fontId="14" fillId="0" borderId="0" xfId="1" applyNumberFormat="1" applyFont="1" applyFill="1" applyBorder="1" applyAlignment="1">
      <alignment wrapText="1"/>
    </xf>
    <xf numFmtId="37" fontId="18" fillId="0" borderId="0" xfId="1" applyNumberFormat="1" applyFont="1" applyFill="1" applyBorder="1" applyAlignment="1">
      <alignment wrapText="1"/>
    </xf>
    <xf numFmtId="0" fontId="28" fillId="0" borderId="0" xfId="0" applyFont="1"/>
    <xf numFmtId="37" fontId="6" fillId="0" borderId="0" xfId="1" applyNumberFormat="1" applyFont="1" applyFill="1" applyBorder="1" applyAlignment="1">
      <alignment wrapText="1"/>
    </xf>
    <xf numFmtId="0" fontId="14" fillId="4" borderId="3" xfId="0" applyFont="1" applyFill="1" applyBorder="1" applyAlignment="1">
      <alignment wrapText="1"/>
    </xf>
    <xf numFmtId="167" fontId="12" fillId="4" borderId="4" xfId="1" applyNumberFormat="1" applyFont="1" applyFill="1" applyBorder="1" applyAlignment="1">
      <alignment wrapText="1"/>
    </xf>
    <xf numFmtId="167" fontId="12" fillId="4" borderId="5" xfId="1" applyNumberFormat="1" applyFont="1" applyFill="1" applyBorder="1" applyAlignment="1">
      <alignment wrapText="1"/>
    </xf>
    <xf numFmtId="0" fontId="12" fillId="4" borderId="3" xfId="0" applyFont="1" applyFill="1" applyBorder="1" applyAlignment="1">
      <alignment wrapText="1"/>
    </xf>
    <xf numFmtId="0" fontId="12" fillId="4" borderId="4" xfId="0" applyFont="1" applyFill="1" applyBorder="1" applyAlignment="1">
      <alignment wrapText="1"/>
    </xf>
    <xf numFmtId="0" fontId="12" fillId="4" borderId="5" xfId="0" applyFont="1" applyFill="1" applyBorder="1" applyAlignment="1">
      <alignment wrapText="1"/>
    </xf>
    <xf numFmtId="0" fontId="12" fillId="4" borderId="8" xfId="0" applyFont="1" applyFill="1" applyBorder="1" applyAlignment="1">
      <alignment horizontal="left" wrapText="1" indent="1"/>
    </xf>
    <xf numFmtId="167" fontId="12" fillId="4" borderId="0" xfId="1" applyNumberFormat="1" applyFont="1" applyFill="1" applyBorder="1" applyAlignment="1">
      <alignment wrapText="1"/>
    </xf>
    <xf numFmtId="167" fontId="12" fillId="4" borderId="9" xfId="1" applyNumberFormat="1" applyFont="1" applyFill="1" applyBorder="1" applyAlignment="1">
      <alignment wrapText="1"/>
    </xf>
    <xf numFmtId="167" fontId="12" fillId="4" borderId="8" xfId="1" applyNumberFormat="1" applyFont="1" applyFill="1" applyBorder="1" applyAlignment="1">
      <alignment wrapText="1"/>
    </xf>
    <xf numFmtId="37" fontId="14" fillId="4" borderId="8" xfId="0" applyNumberFormat="1" applyFont="1" applyFill="1" applyBorder="1" applyAlignment="1">
      <alignment wrapText="1"/>
    </xf>
    <xf numFmtId="37" fontId="14" fillId="4" borderId="9" xfId="0" applyNumberFormat="1" applyFont="1" applyFill="1" applyBorder="1" applyAlignment="1">
      <alignment wrapText="1"/>
    </xf>
    <xf numFmtId="0" fontId="16" fillId="4" borderId="6" xfId="0" applyFont="1" applyFill="1" applyBorder="1" applyAlignment="1">
      <alignment horizontal="right" vertical="center" wrapText="1"/>
    </xf>
    <xf numFmtId="165" fontId="5" fillId="4" borderId="2" xfId="0" applyNumberFormat="1" applyFont="1" applyFill="1" applyBorder="1" applyAlignment="1">
      <alignment horizontal="right" vertical="top" wrapText="1"/>
    </xf>
    <xf numFmtId="9" fontId="17" fillId="4" borderId="2" xfId="2" applyFont="1" applyFill="1" applyBorder="1" applyAlignment="1">
      <alignment horizontal="right" vertical="center" wrapText="1"/>
    </xf>
    <xf numFmtId="9" fontId="17" fillId="4" borderId="7" xfId="2" applyFont="1" applyFill="1" applyBorder="1" applyAlignment="1">
      <alignment horizontal="right" vertical="center" wrapText="1"/>
    </xf>
    <xf numFmtId="9" fontId="17" fillId="4" borderId="6" xfId="2" applyFont="1" applyFill="1" applyBorder="1" applyAlignment="1">
      <alignment horizontal="right" vertical="center" wrapText="1"/>
    </xf>
    <xf numFmtId="167" fontId="3" fillId="0" borderId="0" xfId="1" applyNumberFormat="1" applyFont="1" applyBorder="1" applyAlignment="1">
      <alignment wrapText="1"/>
    </xf>
    <xf numFmtId="0" fontId="2" fillId="2" borderId="0" xfId="0" applyFont="1" applyFill="1"/>
    <xf numFmtId="0" fontId="2" fillId="2" borderId="0" xfId="0" applyFont="1" applyFill="1" applyAlignment="1">
      <alignment horizontal="center"/>
    </xf>
    <xf numFmtId="14" fontId="7" fillId="2" borderId="0" xfId="0" applyNumberFormat="1" applyFont="1" applyFill="1" applyAlignment="1">
      <alignment horizontal="center"/>
    </xf>
    <xf numFmtId="14" fontId="4" fillId="2" borderId="0" xfId="0" applyNumberFormat="1" applyFont="1" applyFill="1" applyAlignment="1">
      <alignment horizontal="center"/>
    </xf>
    <xf numFmtId="37" fontId="19" fillId="0" borderId="0" xfId="0" applyNumberFormat="1" applyFont="1" applyAlignment="1">
      <alignment horizontal="right" vertical="top" wrapText="1"/>
    </xf>
    <xf numFmtId="0" fontId="8" fillId="0" borderId="0" xfId="0" applyFont="1" applyAlignment="1">
      <alignment horizontal="center" vertical="center" wrapText="1"/>
    </xf>
    <xf numFmtId="10" fontId="22" fillId="0" borderId="0" xfId="0" applyNumberFormat="1" applyFont="1" applyAlignment="1">
      <alignment horizontal="center" wrapText="1"/>
    </xf>
    <xf numFmtId="37" fontId="3" fillId="0" borderId="1" xfId="0" applyNumberFormat="1" applyFont="1" applyBorder="1"/>
    <xf numFmtId="0" fontId="2" fillId="2" borderId="3" xfId="0" applyFont="1" applyFill="1" applyBorder="1"/>
    <xf numFmtId="0" fontId="2" fillId="2" borderId="5" xfId="0" applyFont="1" applyFill="1" applyBorder="1"/>
    <xf numFmtId="0" fontId="0" fillId="0" borderId="7" xfId="0" applyBorder="1"/>
    <xf numFmtId="0" fontId="2" fillId="2" borderId="10" xfId="0" applyFont="1" applyFill="1" applyBorder="1"/>
    <xf numFmtId="0" fontId="4" fillId="2" borderId="11" xfId="0" applyFont="1" applyFill="1" applyBorder="1"/>
    <xf numFmtId="0" fontId="4" fillId="2" borderId="12" xfId="0" applyFont="1" applyFill="1" applyBorder="1"/>
    <xf numFmtId="0" fontId="0" fillId="0" borderId="8" xfId="0" applyBorder="1"/>
    <xf numFmtId="37" fontId="11" fillId="0" borderId="0" xfId="0" applyNumberFormat="1" applyFont="1" applyAlignment="1">
      <alignment horizontal="right" vertical="top"/>
    </xf>
    <xf numFmtId="37" fontId="30" fillId="0" borderId="0" xfId="0" applyNumberFormat="1" applyFont="1"/>
    <xf numFmtId="37" fontId="31" fillId="0" borderId="0" xfId="0" applyNumberFormat="1" applyFont="1"/>
    <xf numFmtId="37" fontId="17" fillId="0" borderId="0" xfId="2" applyNumberFormat="1" applyFont="1" applyBorder="1" applyAlignment="1">
      <alignment horizontal="right" vertical="center" wrapText="1"/>
    </xf>
    <xf numFmtId="0" fontId="30" fillId="0" borderId="0" xfId="0" applyFont="1"/>
    <xf numFmtId="37" fontId="11" fillId="0" borderId="0" xfId="0" applyNumberFormat="1" applyFont="1" applyAlignment="1">
      <alignment vertical="top"/>
    </xf>
    <xf numFmtId="37" fontId="11" fillId="0" borderId="0" xfId="1" applyNumberFormat="1" applyFont="1" applyFill="1" applyBorder="1" applyAlignment="1">
      <alignment wrapText="1"/>
    </xf>
    <xf numFmtId="37" fontId="11" fillId="0" borderId="2" xfId="2" applyNumberFormat="1" applyFont="1" applyBorder="1" applyAlignment="1">
      <alignment horizontal="right" vertical="center"/>
    </xf>
    <xf numFmtId="37" fontId="11" fillId="0" borderId="7" xfId="2" applyNumberFormat="1" applyFont="1" applyBorder="1" applyAlignment="1">
      <alignment horizontal="right" vertical="center"/>
    </xf>
    <xf numFmtId="37" fontId="11" fillId="0" borderId="6" xfId="2" applyNumberFormat="1" applyFont="1" applyBorder="1" applyAlignment="1">
      <alignment horizontal="right" vertical="center"/>
    </xf>
    <xf numFmtId="39" fontId="6" fillId="0" borderId="3" xfId="2" applyNumberFormat="1" applyFont="1" applyBorder="1" applyAlignment="1">
      <alignment horizontal="right" vertical="center"/>
    </xf>
    <xf numFmtId="39" fontId="6" fillId="0" borderId="4" xfId="2" applyNumberFormat="1" applyFont="1" applyBorder="1" applyAlignment="1">
      <alignment horizontal="right" vertical="center"/>
    </xf>
    <xf numFmtId="39" fontId="6" fillId="0" borderId="5" xfId="2" applyNumberFormat="1" applyFont="1" applyBorder="1" applyAlignment="1">
      <alignment horizontal="right" vertical="center"/>
    </xf>
    <xf numFmtId="0" fontId="29" fillId="0" borderId="3" xfId="0" applyFont="1" applyBorder="1" applyAlignment="1">
      <alignment horizontal="center" vertical="center" wrapText="1"/>
    </xf>
    <xf numFmtId="0" fontId="29" fillId="0" borderId="4" xfId="0" applyFont="1" applyBorder="1" applyAlignment="1">
      <alignment horizontal="center" vertical="center" wrapText="1"/>
    </xf>
    <xf numFmtId="0" fontId="29" fillId="0" borderId="5" xfId="0" applyFont="1" applyBorder="1" applyAlignment="1">
      <alignment horizontal="center" vertical="center" wrapText="1"/>
    </xf>
    <xf numFmtId="0" fontId="29" fillId="0" borderId="8" xfId="0" applyFont="1" applyBorder="1" applyAlignment="1">
      <alignment horizontal="center" vertical="center" wrapText="1"/>
    </xf>
    <xf numFmtId="0" fontId="29" fillId="0" borderId="0" xfId="0" applyFont="1" applyAlignment="1">
      <alignment horizontal="center" vertical="center" wrapText="1"/>
    </xf>
    <xf numFmtId="0" fontId="29" fillId="0" borderId="9" xfId="0" applyFont="1" applyBorder="1" applyAlignment="1">
      <alignment horizontal="center" vertical="center" wrapText="1"/>
    </xf>
    <xf numFmtId="0" fontId="29" fillId="0" borderId="6" xfId="0" applyFont="1" applyBorder="1" applyAlignment="1">
      <alignment horizontal="center" vertical="center" wrapText="1"/>
    </xf>
    <xf numFmtId="0" fontId="29" fillId="0" borderId="2" xfId="0" applyFont="1" applyBorder="1" applyAlignment="1">
      <alignment horizontal="center" vertical="center" wrapText="1"/>
    </xf>
    <xf numFmtId="0" fontId="29" fillId="0" borderId="7" xfId="0" applyFont="1" applyBorder="1" applyAlignment="1">
      <alignment horizontal="center" vertical="center" wrapText="1"/>
    </xf>
    <xf numFmtId="0" fontId="8" fillId="2" borderId="0" xfId="0" applyFont="1" applyFill="1" applyAlignment="1">
      <alignment horizontal="center" vertical="center" wrapText="1"/>
    </xf>
    <xf numFmtId="0" fontId="0" fillId="0" borderId="0" xfId="0" applyFill="1" applyAlignment="1">
      <alignment wrapText="1"/>
    </xf>
    <xf numFmtId="0" fontId="2" fillId="0" borderId="0" xfId="0" applyFont="1" applyFill="1" applyAlignment="1">
      <alignment horizontal="center"/>
    </xf>
    <xf numFmtId="14" fontId="4" fillId="0" borderId="0" xfId="0" applyNumberFormat="1" applyFont="1" applyFill="1" applyAlignment="1">
      <alignment horizontal="center"/>
    </xf>
    <xf numFmtId="0" fontId="21" fillId="0" borderId="0" xfId="0" applyFont="1" applyFill="1" applyAlignment="1">
      <alignment wrapText="1"/>
    </xf>
    <xf numFmtId="0" fontId="12" fillId="0" borderId="0" xfId="0" applyFont="1" applyFill="1" applyAlignment="1">
      <alignment wrapText="1"/>
    </xf>
    <xf numFmtId="37" fontId="12" fillId="0" borderId="0" xfId="0" applyNumberFormat="1" applyFont="1" applyFill="1" applyAlignment="1">
      <alignment wrapText="1"/>
    </xf>
    <xf numFmtId="37" fontId="14" fillId="0" borderId="0" xfId="0" applyNumberFormat="1" applyFont="1" applyAlignment="1">
      <alignment wrapText="1"/>
    </xf>
    <xf numFmtId="37" fontId="0" fillId="0" borderId="0" xfId="0" applyNumberFormat="1" applyFill="1" applyBorder="1" applyAlignment="1">
      <alignment wrapText="1"/>
    </xf>
    <xf numFmtId="0" fontId="5" fillId="0" borderId="0" xfId="0" applyFont="1" applyAlignment="1">
      <alignment horizontal="left" vertical="top" wrapText="1"/>
    </xf>
    <xf numFmtId="39" fontId="0" fillId="0" borderId="3" xfId="0" applyNumberFormat="1" applyBorder="1" applyAlignment="1">
      <alignment wrapText="1"/>
    </xf>
    <xf numFmtId="37" fontId="0" fillId="0" borderId="6" xfId="0" applyNumberFormat="1" applyBorder="1" applyAlignment="1">
      <alignment wrapText="1"/>
    </xf>
    <xf numFmtId="0" fontId="0" fillId="0" borderId="0" xfId="0" applyBorder="1"/>
    <xf numFmtId="39" fontId="0" fillId="0" borderId="5" xfId="0" applyNumberFormat="1" applyBorder="1" applyAlignment="1">
      <alignment wrapText="1"/>
    </xf>
    <xf numFmtId="37" fontId="0" fillId="0" borderId="7" xfId="0" applyNumberFormat="1" applyBorder="1" applyAlignment="1">
      <alignment wrapText="1"/>
    </xf>
    <xf numFmtId="166" fontId="6" fillId="4" borderId="0" xfId="0" applyNumberFormat="1" applyFont="1" applyFill="1" applyBorder="1" applyAlignment="1">
      <alignment horizontal="center" vertical="center"/>
    </xf>
    <xf numFmtId="166" fontId="14" fillId="4" borderId="8" xfId="0" applyNumberFormat="1" applyFont="1" applyFill="1" applyBorder="1" applyAlignment="1">
      <alignment horizontal="center" vertical="center"/>
    </xf>
    <xf numFmtId="166" fontId="14" fillId="4" borderId="9" xfId="0" applyNumberFormat="1" applyFont="1" applyFill="1" applyBorder="1" applyAlignment="1">
      <alignment horizontal="center" vertical="center"/>
    </xf>
    <xf numFmtId="166" fontId="14" fillId="4" borderId="6" xfId="0" applyNumberFormat="1" applyFont="1" applyFill="1" applyBorder="1" applyAlignment="1">
      <alignment horizontal="center" vertical="center"/>
    </xf>
    <xf numFmtId="166" fontId="14" fillId="4" borderId="7" xfId="0" applyNumberFormat="1" applyFont="1" applyFill="1" applyBorder="1" applyAlignment="1">
      <alignment horizontal="center" vertical="center"/>
    </xf>
    <xf numFmtId="37" fontId="33" fillId="0" borderId="9" xfId="0" applyNumberFormat="1" applyFont="1" applyBorder="1"/>
    <xf numFmtId="37" fontId="33" fillId="0" borderId="7" xfId="0" applyNumberFormat="1" applyFont="1" applyBorder="1"/>
    <xf numFmtId="0" fontId="0" fillId="0" borderId="8" xfId="0" applyFill="1" applyBorder="1"/>
    <xf numFmtId="0" fontId="0" fillId="0" borderId="6" xfId="0" applyFill="1" applyBorder="1"/>
    <xf numFmtId="169" fontId="32" fillId="0" borderId="9" xfId="0" applyNumberFormat="1" applyFont="1" applyBorder="1"/>
    <xf numFmtId="3" fontId="32" fillId="0" borderId="9" xfId="0" applyNumberFormat="1" applyFont="1" applyBorder="1"/>
    <xf numFmtId="170" fontId="32" fillId="0" borderId="7" xfId="0" applyNumberFormat="1" applyFont="1" applyBorder="1"/>
    <xf numFmtId="170" fontId="0" fillId="0" borderId="9" xfId="0" applyNumberFormat="1" applyBorder="1"/>
    <xf numFmtId="169" fontId="0" fillId="0" borderId="9" xfId="0" applyNumberFormat="1" applyBorder="1"/>
  </cellXfs>
  <cellStyles count="3">
    <cellStyle name="Comma" xfId="1" builtinId="3"/>
    <cellStyle name="Normal" xfId="0" builtinId="0"/>
    <cellStyle name="Percent" xfId="2" builtinId="5"/>
  </cellStyles>
  <dxfs count="1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externalLink" Target="externalLinks/externalLink1.xml"/><Relationship Id="rId9" Type="http://schemas.microsoft.com/office/2017/06/relationships/rdRichValue" Target="richData/rdrichvalue.xml"/><Relationship Id="rId14" Type="http://schemas.microsoft.com/office/2017/06/relationships/rdRichValueTypes" Target="richData/rdRichValueTyp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Felix\Downloads\Rigetti%20Computing%20Financials.xlsx" TargetMode="External"/><Relationship Id="rId1" Type="http://schemas.openxmlformats.org/officeDocument/2006/relationships/externalLinkPath" Target="Rigetti%20Computing%20Financial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rm Background"/>
      <sheetName val="3-Statement Model "/>
      <sheetName val="EBITDA &amp; FCF Analysis"/>
      <sheetName val="DCF"/>
      <sheetName val="Peer Comps "/>
    </sheetNames>
    <sheetDataSet>
      <sheetData sheetId="0"/>
      <sheetData sheetId="1">
        <row r="101">
          <cell r="B101" t="str">
            <v>Depreciation and amortization</v>
          </cell>
        </row>
        <row r="102">
          <cell r="B102" t="str">
            <v>Stock-based compensation</v>
          </cell>
        </row>
      </sheetData>
      <sheetData sheetId="2"/>
      <sheetData sheetId="3"/>
      <sheetData sheetId="4"/>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https://www.bing.com/financeapi/forcetrigger?t=a1y1qh&amp;q=XNAS%3aMSTR&amp;form=skydnc</v>
    <v>Learn more on Bing</v>
  </rv>
  <rv s="1">
    <v>en-US</v>
    <v>a1y1qh</v>
    <v>268435456</v>
    <v>1</v>
    <v>Powered by Refinitiv</v>
    <v>0</v>
    <v>MICROSTRATEGY INCORPORATED (XNAS:MSTR)</v>
    <v>2</v>
    <v>3</v>
    <v>Finance</v>
    <v>4</v>
    <v>543</v>
    <v>43.874000000000002</v>
    <v>3.2282000000000002</v>
    <v>-11.05</v>
    <v>2.7269999999999998E-3</v>
    <v>-3.2400000000000005E-2</v>
    <v>0.89990000000000003</v>
    <v>USD</v>
    <v>MicroStrategy Incorporated is a bitcoin development company. It is engaged in the development of the bitcoin network through its activities in the financial markets, advocacy and technology. It designs, develops, markets and sales its software platform through licensing arrangements and cloud subscriptions and related services. It provides artificial intelligence-powered business intelligence, and enterprise analytics solutions. It offers software and services designed to turn complex, chaotic data environments into rich, reliable, and convenient information feeds for its customers. Its cloud-native flagship, MicroStrategy ONE, powers some of the analytics deployments in the world for customers spanning a range of industries, including retail, banking, technology, manufacturing, insurance, consulting, healthcare, telecommunications and the public sector. MicroStrategy ONE provides non-technical users with the ability to directly access novel and actionable insights for decision-making.</v>
    <v>1637</v>
    <v>Nasdaq Stock Market</v>
    <v>XNAS</v>
    <v>XNAS</v>
    <v>1850 Towers Crescent Plz, TYSONS CORNER, VA, 22182 US</v>
    <v>342.70499999999998</v>
    <v>Software &amp; IT Services</v>
    <v>Stock</v>
    <v>45654.041510450785</v>
    <v>0</v>
    <v>323.2</v>
    <v>80803140000</v>
    <v>MICROSTRATEGY INCORPORATED</v>
    <v>MICROSTRATEGY INCORPORATED</v>
    <v>342.3</v>
    <v>0</v>
    <v>341.05</v>
    <v>330</v>
    <v>330.8999</v>
    <v>244858000</v>
    <v>MSTR</v>
    <v>MICROSTRATEGY INCORPORATED (XNAS:MSTR)</v>
    <v>13778471</v>
    <v>33343030</v>
    <v>1989</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CD6C-843F-44AC-AD48-EC47A9951368}">
  <dimension ref="B1:F23"/>
  <sheetViews>
    <sheetView showGridLines="0" zoomScaleNormal="100" workbookViewId="0">
      <selection activeCell="C18" sqref="C18"/>
    </sheetView>
  </sheetViews>
  <sheetFormatPr defaultRowHeight="15"/>
  <cols>
    <col min="1" max="1" width="3.140625" customWidth="1"/>
    <col min="2" max="2" width="44.85546875" bestFit="1" customWidth="1"/>
    <col min="3" max="3" width="20.5703125" bestFit="1" customWidth="1"/>
    <col min="4" max="4" width="29.140625" bestFit="1" customWidth="1"/>
    <col min="6" max="6" width="12.42578125" bestFit="1" customWidth="1"/>
  </cols>
  <sheetData>
    <row r="1" spans="2:6" ht="15.75" thickBot="1"/>
    <row r="2" spans="2:6">
      <c r="B2" s="143" t="s">
        <v>75</v>
      </c>
      <c r="C2" s="144" t="s">
        <v>76</v>
      </c>
    </row>
    <row r="3" spans="2:6" ht="15.75" thickBot="1">
      <c r="B3" s="48" t="e" vm="1">
        <v>#VALUE!</v>
      </c>
      <c r="C3" s="145" t="s">
        <v>170</v>
      </c>
    </row>
    <row r="4" spans="2:6" ht="15.75" thickBot="1">
      <c r="B4" s="184"/>
      <c r="C4" s="184"/>
    </row>
    <row r="5" spans="2:6">
      <c r="B5" s="143" t="s">
        <v>166</v>
      </c>
      <c r="C5" s="144"/>
    </row>
    <row r="6" spans="2:6">
      <c r="B6" s="194" t="s">
        <v>167</v>
      </c>
      <c r="C6" s="196" cm="1">
        <f t="array" aca="1" ref="C6" ca="1">_FV(B3,"Price")</f>
        <v>330</v>
      </c>
    </row>
    <row r="7" spans="2:6">
      <c r="B7" s="194" t="s">
        <v>168</v>
      </c>
      <c r="C7" s="197" cm="1">
        <f t="array" aca="1" ref="C7" ca="1">_FV(B3,"Shares outstanding",TRUE)</f>
        <v>244858000</v>
      </c>
    </row>
    <row r="8" spans="2:6" ht="15.75" thickBot="1">
      <c r="B8" s="195" t="s">
        <v>169</v>
      </c>
      <c r="C8" s="198" cm="1">
        <f t="array" aca="1" ref="C8" ca="1">_FV(B3,"Market cap",TRUE)</f>
        <v>80803140000</v>
      </c>
    </row>
    <row r="9" spans="2:6" ht="15.75" thickBot="1"/>
    <row r="10" spans="2:6" ht="15.75" thickBot="1">
      <c r="B10" s="146" t="s">
        <v>77</v>
      </c>
      <c r="C10" s="147"/>
      <c r="D10" s="147"/>
      <c r="E10" s="147"/>
      <c r="F10" s="148"/>
    </row>
    <row r="11" spans="2:6" ht="30.75" customHeight="1">
      <c r="B11" s="163" t="s">
        <v>163</v>
      </c>
      <c r="C11" s="164"/>
      <c r="D11" s="164"/>
      <c r="E11" s="164"/>
      <c r="F11" s="165"/>
    </row>
    <row r="12" spans="2:6" ht="57" customHeight="1">
      <c r="B12" s="166"/>
      <c r="C12" s="167"/>
      <c r="D12" s="167"/>
      <c r="E12" s="167"/>
      <c r="F12" s="168"/>
    </row>
    <row r="13" spans="2:6" ht="76.5" customHeight="1" thickBot="1">
      <c r="B13" s="169"/>
      <c r="C13" s="170"/>
      <c r="D13" s="170"/>
      <c r="E13" s="170"/>
      <c r="F13" s="171"/>
    </row>
    <row r="14" spans="2:6" ht="15.75" thickBot="1"/>
    <row r="15" spans="2:6">
      <c r="B15" s="143" t="s">
        <v>78</v>
      </c>
      <c r="C15" s="144"/>
    </row>
    <row r="16" spans="2:6">
      <c r="B16" s="149" t="s">
        <v>79</v>
      </c>
      <c r="C16" s="199">
        <f ca="1">C8</f>
        <v>80803140000</v>
      </c>
    </row>
    <row r="17" spans="2:3">
      <c r="B17" s="149" t="s">
        <v>165</v>
      </c>
      <c r="C17" s="192">
        <f>'Base Financials '!T50</f>
        <v>241409</v>
      </c>
    </row>
    <row r="18" spans="2:3">
      <c r="B18" s="149" t="s">
        <v>164</v>
      </c>
      <c r="C18" s="192">
        <f>SUM('Base Financials '!T68+'Base Financials '!T73)</f>
        <v>13995597</v>
      </c>
    </row>
    <row r="19" spans="2:3">
      <c r="B19" s="149" t="s">
        <v>80</v>
      </c>
      <c r="C19" s="199">
        <f ca="1">SUM(C16+C18-C17)</f>
        <v>80816894188</v>
      </c>
    </row>
    <row r="20" spans="2:3">
      <c r="B20" s="149" t="s">
        <v>171</v>
      </c>
      <c r="C20" s="200">
        <f ca="1">C19/C7</f>
        <v>330.05617209974758</v>
      </c>
    </row>
    <row r="21" spans="2:3">
      <c r="B21" s="149" t="s">
        <v>81</v>
      </c>
      <c r="C21" s="192">
        <f>'Base Financials '!T10</f>
        <v>467243</v>
      </c>
    </row>
    <row r="22" spans="2:3">
      <c r="B22" s="149" t="s">
        <v>172</v>
      </c>
      <c r="C22" s="192">
        <f>'Base Financials '!T162</f>
        <v>-13692</v>
      </c>
    </row>
    <row r="23" spans="2:3" ht="15.75" thickBot="1">
      <c r="B23" s="48" t="s">
        <v>82</v>
      </c>
      <c r="C23" s="193">
        <f>'Adjusted EBITDA Analysis'!T32</f>
        <v>-797753</v>
      </c>
    </row>
  </sheetData>
  <mergeCells count="1">
    <mergeCell ref="B11:F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219A9-859E-45EB-AC60-BF3EE31E83E5}">
  <dimension ref="A1:V173"/>
  <sheetViews>
    <sheetView showGridLines="0" tabSelected="1" topLeftCell="A131" zoomScale="85" zoomScaleNormal="85" workbookViewId="0">
      <selection activeCell="C168" sqref="C168"/>
    </sheetView>
  </sheetViews>
  <sheetFormatPr defaultRowHeight="15"/>
  <cols>
    <col min="1" max="1" width="2.42578125" style="6" customWidth="1"/>
    <col min="2" max="2" width="60" style="6" customWidth="1"/>
    <col min="3" max="5" width="15.85546875" style="6" bestFit="1" customWidth="1"/>
    <col min="6" max="6" width="3.140625" style="6" customWidth="1"/>
    <col min="7" max="12" width="13.5703125" style="6" bestFit="1" customWidth="1"/>
    <col min="13" max="13" width="13" style="6" bestFit="1" customWidth="1"/>
    <col min="14" max="14" width="13.5703125" style="6" bestFit="1" customWidth="1"/>
    <col min="15" max="15" width="13" style="6" bestFit="1" customWidth="1"/>
    <col min="16" max="16" width="13.5703125" style="6" bestFit="1" customWidth="1"/>
    <col min="17" max="17" width="11.140625" style="6" bestFit="1" customWidth="1"/>
    <col min="18" max="18" width="3.140625" style="173" customWidth="1"/>
    <col min="19" max="19" width="11.85546875" style="6" bestFit="1" customWidth="1"/>
    <col min="20" max="20" width="11.7109375" style="6" bestFit="1" customWidth="1"/>
    <col min="21" max="21" width="1.42578125" style="6" customWidth="1"/>
    <col min="22" max="22" width="11.42578125" style="6" bestFit="1" customWidth="1"/>
    <col min="23" max="23" width="1.5703125" style="6" customWidth="1"/>
    <col min="24" max="16384" width="9.140625" style="6"/>
  </cols>
  <sheetData>
    <row r="1" spans="1:22" ht="6" customHeight="1">
      <c r="A1" s="6" t="s">
        <v>28</v>
      </c>
    </row>
    <row r="2" spans="1:22">
      <c r="B2" s="7" t="s">
        <v>83</v>
      </c>
      <c r="C2" s="8"/>
      <c r="D2" s="8"/>
      <c r="E2" s="8"/>
      <c r="F2" s="8"/>
      <c r="G2" s="8"/>
      <c r="H2" s="8"/>
      <c r="I2" s="8"/>
      <c r="J2" s="8"/>
      <c r="K2" s="8"/>
      <c r="L2" s="8"/>
      <c r="M2" s="8"/>
      <c r="N2" s="8"/>
      <c r="O2" s="8"/>
      <c r="P2" s="8"/>
      <c r="Q2" s="8"/>
      <c r="R2" s="8"/>
      <c r="S2" s="8"/>
      <c r="T2" s="8"/>
      <c r="U2" s="8"/>
      <c r="V2" s="8"/>
    </row>
    <row r="3" spans="1:22">
      <c r="B3" s="9" t="s">
        <v>29</v>
      </c>
      <c r="C3" s="8"/>
      <c r="D3" s="8"/>
      <c r="E3" s="8"/>
      <c r="F3" s="8"/>
      <c r="G3" s="8"/>
      <c r="H3" s="8"/>
      <c r="I3" s="8"/>
      <c r="J3" s="8"/>
      <c r="K3" s="8"/>
      <c r="L3" s="8"/>
      <c r="M3" s="8"/>
      <c r="N3" s="8"/>
      <c r="O3" s="8"/>
      <c r="P3" s="8"/>
      <c r="Q3" s="8"/>
      <c r="R3" s="8"/>
      <c r="S3" s="8"/>
      <c r="T3" s="8"/>
      <c r="U3" s="8"/>
      <c r="V3" s="8"/>
    </row>
    <row r="4" spans="1:22" ht="5.25" customHeight="1">
      <c r="B4" s="10"/>
    </row>
    <row r="5" spans="1:22" ht="15.75" thickBot="1">
      <c r="B5" s="11"/>
      <c r="C5" s="11" t="s">
        <v>10</v>
      </c>
      <c r="D5" s="11"/>
      <c r="E5" s="11"/>
      <c r="G5" s="11" t="s">
        <v>11</v>
      </c>
      <c r="H5" s="11"/>
      <c r="I5" s="11"/>
      <c r="J5" s="11"/>
      <c r="K5" s="11"/>
      <c r="L5" s="11"/>
      <c r="M5" s="11"/>
      <c r="N5" s="11"/>
      <c r="O5" s="11"/>
      <c r="P5" s="11"/>
      <c r="Q5" s="11"/>
      <c r="S5" s="11" t="s">
        <v>12</v>
      </c>
      <c r="T5" s="11"/>
      <c r="U5" s="12"/>
      <c r="V5" s="11" t="s">
        <v>30</v>
      </c>
    </row>
    <row r="6" spans="1:22" ht="4.5" customHeight="1"/>
    <row r="7" spans="1:22">
      <c r="A7" s="6" t="s">
        <v>31</v>
      </c>
      <c r="B7" s="7" t="s">
        <v>32</v>
      </c>
      <c r="C7" s="136" t="s">
        <v>33</v>
      </c>
      <c r="D7" s="136" t="s">
        <v>34</v>
      </c>
      <c r="E7" s="136" t="s">
        <v>35</v>
      </c>
      <c r="G7" s="136" t="s">
        <v>92</v>
      </c>
      <c r="H7" s="136" t="s">
        <v>93</v>
      </c>
      <c r="I7" s="136" t="s">
        <v>94</v>
      </c>
      <c r="J7" s="136" t="s">
        <v>95</v>
      </c>
      <c r="K7" s="136" t="s">
        <v>96</v>
      </c>
      <c r="L7" s="136" t="s">
        <v>97</v>
      </c>
      <c r="M7" s="136" t="s">
        <v>98</v>
      </c>
      <c r="N7" s="136" t="s">
        <v>99</v>
      </c>
      <c r="O7" s="136" t="s">
        <v>100</v>
      </c>
      <c r="P7" s="136" t="s">
        <v>101</v>
      </c>
      <c r="Q7" s="136" t="s">
        <v>102</v>
      </c>
      <c r="R7" s="174"/>
      <c r="S7" s="13" t="str">
        <f>M7</f>
        <v>3Q23</v>
      </c>
      <c r="T7" s="13" t="str">
        <f>Q7</f>
        <v>3Q24</v>
      </c>
      <c r="U7" s="14"/>
      <c r="V7" s="172" t="s">
        <v>36</v>
      </c>
    </row>
    <row r="8" spans="1:22">
      <c r="B8" s="15" t="s">
        <v>162</v>
      </c>
      <c r="C8" s="137">
        <v>44561</v>
      </c>
      <c r="D8" s="137">
        <v>44926</v>
      </c>
      <c r="E8" s="137">
        <v>45291</v>
      </c>
      <c r="G8" s="138">
        <v>44651</v>
      </c>
      <c r="H8" s="138">
        <v>44742</v>
      </c>
      <c r="I8" s="138">
        <v>44834</v>
      </c>
      <c r="J8" s="138">
        <v>44926</v>
      </c>
      <c r="K8" s="138">
        <v>45016</v>
      </c>
      <c r="L8" s="138">
        <v>45107</v>
      </c>
      <c r="M8" s="138">
        <v>45199</v>
      </c>
      <c r="N8" s="138">
        <v>45291</v>
      </c>
      <c r="O8" s="138">
        <v>45382</v>
      </c>
      <c r="P8" s="138">
        <v>45473</v>
      </c>
      <c r="Q8" s="138">
        <v>45565</v>
      </c>
      <c r="R8" s="175"/>
      <c r="S8" s="16">
        <f>M8</f>
        <v>45199</v>
      </c>
      <c r="T8" s="16">
        <f>Q8</f>
        <v>45565</v>
      </c>
      <c r="U8" s="17"/>
      <c r="V8" s="172"/>
    </row>
    <row r="9" spans="1:22" ht="3.75" customHeight="1">
      <c r="B9" s="18"/>
      <c r="C9" s="17"/>
      <c r="D9" s="17"/>
      <c r="E9" s="17"/>
      <c r="G9" s="19"/>
      <c r="H9" s="19"/>
      <c r="I9" s="19"/>
      <c r="J9" s="19"/>
      <c r="K9" s="19"/>
      <c r="L9" s="19"/>
      <c r="M9" s="19"/>
      <c r="N9" s="19"/>
      <c r="O9" s="19"/>
      <c r="P9" s="19"/>
      <c r="S9" s="19"/>
      <c r="T9" s="19"/>
      <c r="U9" s="19"/>
    </row>
    <row r="10" spans="1:22">
      <c r="B10" s="38" t="s">
        <v>13</v>
      </c>
      <c r="C10" s="39">
        <f>SUM(C11:C14)</f>
        <v>510762</v>
      </c>
      <c r="D10" s="39">
        <f>SUM(D11:D14)</f>
        <v>499264</v>
      </c>
      <c r="E10" s="39">
        <f>SUM(E11:E14)</f>
        <v>496261</v>
      </c>
      <c r="F10" s="23"/>
      <c r="G10" s="39">
        <f>SUM(G11:G14)</f>
        <v>119277</v>
      </c>
      <c r="H10" s="39">
        <f t="shared" ref="H10:I10" si="0">SUM(H11:H14)</f>
        <v>122073</v>
      </c>
      <c r="I10" s="39">
        <f t="shared" si="0"/>
        <v>125360</v>
      </c>
      <c r="J10" s="99">
        <f>SUM(D10-SUM(G10:I10))</f>
        <v>132554</v>
      </c>
      <c r="K10" s="39">
        <f t="shared" ref="K10" si="1">SUM(K11:K14)</f>
        <v>121915</v>
      </c>
      <c r="L10" s="39">
        <f t="shared" ref="L10" si="2">SUM(L11:L14)</f>
        <v>120400</v>
      </c>
      <c r="M10" s="39">
        <f t="shared" ref="M10:N10" si="3">SUM(M11:M14)</f>
        <v>129462</v>
      </c>
      <c r="N10" s="39">
        <f t="shared" si="3"/>
        <v>124484</v>
      </c>
      <c r="O10" s="39">
        <f t="shared" ref="O10" si="4">SUM(O11:O14)</f>
        <v>115246</v>
      </c>
      <c r="P10" s="39">
        <f t="shared" ref="P10" si="5">SUM(P11:P14)</f>
        <v>111442</v>
      </c>
      <c r="Q10" s="39">
        <f t="shared" ref="Q10" si="6">SUM(Q11:Q14)</f>
        <v>116071</v>
      </c>
      <c r="S10" s="179">
        <f>SUM(J10:M10)</f>
        <v>504331</v>
      </c>
      <c r="T10" s="179">
        <f>SUM(N10:Q10)</f>
        <v>467243</v>
      </c>
      <c r="U10" s="24"/>
      <c r="V10" s="25">
        <f>SUM(T10/S10)-1</f>
        <v>-7.3539005137499003E-2</v>
      </c>
    </row>
    <row r="11" spans="1:22">
      <c r="B11" s="26" t="s">
        <v>84</v>
      </c>
      <c r="C11" s="20">
        <v>101804</v>
      </c>
      <c r="D11" s="20">
        <v>86498</v>
      </c>
      <c r="E11" s="20">
        <v>75351</v>
      </c>
      <c r="F11" s="23"/>
      <c r="G11" s="22">
        <v>16513</v>
      </c>
      <c r="H11" s="22">
        <v>20129</v>
      </c>
      <c r="I11" s="22">
        <v>22286</v>
      </c>
      <c r="J11" s="99">
        <f t="shared" ref="J11:J19" si="7">SUM(D11-SUM(G11:I11))</f>
        <v>27570</v>
      </c>
      <c r="K11" s="22">
        <v>17412</v>
      </c>
      <c r="L11" s="22">
        <v>15522</v>
      </c>
      <c r="M11" s="22">
        <v>24045</v>
      </c>
      <c r="N11" s="99">
        <f t="shared" ref="N11:N19" si="8">SUM(E11-SUM(K11:M11))</f>
        <v>18372</v>
      </c>
      <c r="O11" s="22">
        <v>12938</v>
      </c>
      <c r="P11" s="22">
        <v>9286</v>
      </c>
      <c r="Q11" s="22">
        <v>11087</v>
      </c>
      <c r="S11" s="23">
        <f t="shared" ref="S11:S19" si="9">SUM(J11:M11)</f>
        <v>84549</v>
      </c>
      <c r="T11" s="23">
        <f t="shared" ref="T11:T19" si="10">SUM(N11:Q11)</f>
        <v>51683</v>
      </c>
      <c r="U11" s="24"/>
      <c r="V11" s="25">
        <f t="shared" ref="V11:V19" si="11">SUM(T11/S11)-1</f>
        <v>-0.38872133319140378</v>
      </c>
    </row>
    <row r="12" spans="1:22">
      <c r="B12" s="26" t="s">
        <v>85</v>
      </c>
      <c r="C12" s="20">
        <v>43069</v>
      </c>
      <c r="D12" s="20">
        <v>60746</v>
      </c>
      <c r="E12" s="20">
        <v>81179</v>
      </c>
      <c r="F12" s="23"/>
      <c r="G12" s="22">
        <v>12845</v>
      </c>
      <c r="H12" s="22">
        <v>14017</v>
      </c>
      <c r="I12" s="22">
        <v>16414</v>
      </c>
      <c r="J12" s="99">
        <f t="shared" si="7"/>
        <v>17470</v>
      </c>
      <c r="K12" s="22">
        <v>18810</v>
      </c>
      <c r="L12" s="22">
        <v>19878</v>
      </c>
      <c r="M12" s="22">
        <v>20974</v>
      </c>
      <c r="N12" s="99">
        <f t="shared" si="8"/>
        <v>21517</v>
      </c>
      <c r="O12" s="22">
        <v>22966</v>
      </c>
      <c r="P12" s="22">
        <v>24080</v>
      </c>
      <c r="Q12" s="22">
        <v>27800</v>
      </c>
      <c r="S12" s="23">
        <f t="shared" si="9"/>
        <v>77132</v>
      </c>
      <c r="T12" s="23">
        <f t="shared" si="10"/>
        <v>96363</v>
      </c>
      <c r="U12" s="24"/>
      <c r="V12" s="25">
        <f t="shared" si="11"/>
        <v>0.24932583104288741</v>
      </c>
    </row>
    <row r="13" spans="1:22">
      <c r="B13" s="26" t="s">
        <v>86</v>
      </c>
      <c r="C13" s="20">
        <v>281209</v>
      </c>
      <c r="D13" s="20">
        <v>266521</v>
      </c>
      <c r="E13" s="20">
        <v>263888</v>
      </c>
      <c r="F13" s="23"/>
      <c r="G13" s="22">
        <v>67151</v>
      </c>
      <c r="H13" s="22">
        <v>66521</v>
      </c>
      <c r="I13" s="22">
        <v>66010</v>
      </c>
      <c r="J13" s="99">
        <f t="shared" si="7"/>
        <v>66839</v>
      </c>
      <c r="K13" s="22">
        <v>65481</v>
      </c>
      <c r="L13" s="22">
        <v>66081</v>
      </c>
      <c r="M13" s="22">
        <v>66860</v>
      </c>
      <c r="N13" s="99">
        <f t="shared" si="8"/>
        <v>65466</v>
      </c>
      <c r="O13" s="22">
        <v>62685</v>
      </c>
      <c r="P13" s="22">
        <v>61740</v>
      </c>
      <c r="Q13" s="22">
        <v>61015</v>
      </c>
      <c r="S13" s="23">
        <f t="shared" si="9"/>
        <v>265261</v>
      </c>
      <c r="T13" s="23">
        <f t="shared" si="10"/>
        <v>250906</v>
      </c>
      <c r="U13" s="24"/>
      <c r="V13" s="25">
        <f t="shared" si="11"/>
        <v>-5.4116511662098854E-2</v>
      </c>
    </row>
    <row r="14" spans="1:22">
      <c r="B14" s="26" t="s">
        <v>87</v>
      </c>
      <c r="C14" s="20">
        <v>84680</v>
      </c>
      <c r="D14" s="20">
        <v>85499</v>
      </c>
      <c r="E14" s="20">
        <v>75843</v>
      </c>
      <c r="F14" s="23"/>
      <c r="G14" s="22">
        <v>22768</v>
      </c>
      <c r="H14" s="22">
        <v>21406</v>
      </c>
      <c r="I14" s="22">
        <v>20650</v>
      </c>
      <c r="J14" s="99">
        <f t="shared" si="7"/>
        <v>20675</v>
      </c>
      <c r="K14" s="22">
        <v>20212</v>
      </c>
      <c r="L14" s="22">
        <v>18919</v>
      </c>
      <c r="M14" s="22">
        <v>17583</v>
      </c>
      <c r="N14" s="99">
        <f t="shared" si="8"/>
        <v>19129</v>
      </c>
      <c r="O14" s="22">
        <v>16657</v>
      </c>
      <c r="P14" s="22">
        <v>16336</v>
      </c>
      <c r="Q14" s="22">
        <v>16169</v>
      </c>
      <c r="S14" s="23">
        <f t="shared" si="9"/>
        <v>77389</v>
      </c>
      <c r="T14" s="23">
        <f t="shared" si="10"/>
        <v>68291</v>
      </c>
      <c r="U14" s="24"/>
      <c r="V14" s="25">
        <f t="shared" si="11"/>
        <v>-0.1175619274057037</v>
      </c>
    </row>
    <row r="15" spans="1:22">
      <c r="B15" s="181" t="s">
        <v>14</v>
      </c>
      <c r="C15" s="39">
        <f>SUM(C16:C19)</f>
        <v>-91909</v>
      </c>
      <c r="D15" s="39">
        <f t="shared" ref="D15:E15" si="12">SUM(D16:D19)</f>
        <v>-102989</v>
      </c>
      <c r="E15" s="39">
        <f t="shared" si="12"/>
        <v>-109944</v>
      </c>
      <c r="F15" s="23"/>
      <c r="G15" s="39">
        <f t="shared" ref="G15" si="13">SUM(G16:G19)</f>
        <v>-25677</v>
      </c>
      <c r="H15" s="39">
        <f t="shared" ref="H15" si="14">SUM(H16:H19)</f>
        <v>-25204</v>
      </c>
      <c r="I15" s="39">
        <f t="shared" ref="I15" si="15">SUM(I16:I19)</f>
        <v>-25385</v>
      </c>
      <c r="J15" s="99">
        <f t="shared" ref="J15" si="16">SUM(D15-SUM(G15:I15))</f>
        <v>-26723</v>
      </c>
      <c r="K15" s="39">
        <f t="shared" ref="K15" si="17">SUM(K16:K19)</f>
        <v>-27941</v>
      </c>
      <c r="L15" s="39">
        <f t="shared" ref="L15" si="18">SUM(L16:L19)</f>
        <v>-27121</v>
      </c>
      <c r="M15" s="39">
        <f t="shared" ref="M15:N15" si="19">SUM(M16:M19)</f>
        <v>-26661</v>
      </c>
      <c r="N15" s="39">
        <f t="shared" si="19"/>
        <v>-28221</v>
      </c>
      <c r="O15" s="39">
        <f t="shared" ref="O15" si="20">SUM(O16:O19)</f>
        <v>-30015</v>
      </c>
      <c r="P15" s="39">
        <f t="shared" ref="P15" si="21">SUM(P16:P19)</f>
        <v>-30935</v>
      </c>
      <c r="Q15" s="39">
        <f t="shared" ref="Q15" si="22">SUM(Q16:Q19)</f>
        <v>-34349</v>
      </c>
      <c r="S15" s="179">
        <f t="shared" si="9"/>
        <v>-108446</v>
      </c>
      <c r="T15" s="179">
        <f t="shared" si="10"/>
        <v>-123520</v>
      </c>
      <c r="U15" s="23"/>
      <c r="V15" s="25">
        <f t="shared" si="11"/>
        <v>0.13900005532707516</v>
      </c>
    </row>
    <row r="16" spans="1:22">
      <c r="B16" s="26" t="s">
        <v>84</v>
      </c>
      <c r="C16" s="20">
        <v>-1721</v>
      </c>
      <c r="D16" s="20">
        <v>-1672</v>
      </c>
      <c r="E16" s="20">
        <v>-1929</v>
      </c>
      <c r="F16" s="23"/>
      <c r="G16" s="22">
        <v>-477</v>
      </c>
      <c r="H16" s="22">
        <v>-431</v>
      </c>
      <c r="I16" s="22">
        <v>-406</v>
      </c>
      <c r="J16" s="99">
        <f t="shared" si="7"/>
        <v>-358</v>
      </c>
      <c r="K16" s="22">
        <v>-534</v>
      </c>
      <c r="L16" s="22">
        <v>-444</v>
      </c>
      <c r="M16" s="22">
        <v>-342</v>
      </c>
      <c r="N16" s="99">
        <f t="shared" si="8"/>
        <v>-609</v>
      </c>
      <c r="O16" s="22">
        <v>-567</v>
      </c>
      <c r="P16" s="22">
        <v>-794</v>
      </c>
      <c r="Q16" s="22">
        <v>-769</v>
      </c>
      <c r="S16" s="23">
        <f t="shared" si="9"/>
        <v>-1678</v>
      </c>
      <c r="T16" s="23">
        <f t="shared" si="10"/>
        <v>-2739</v>
      </c>
      <c r="U16" s="23"/>
      <c r="V16" s="25">
        <f t="shared" si="11"/>
        <v>0.63230035756853398</v>
      </c>
    </row>
    <row r="17" spans="2:22">
      <c r="B17" s="26" t="s">
        <v>85</v>
      </c>
      <c r="C17" s="20">
        <v>-16901</v>
      </c>
      <c r="D17" s="20">
        <v>-24770</v>
      </c>
      <c r="E17" s="20">
        <v>-31776</v>
      </c>
      <c r="F17" s="23"/>
      <c r="G17" s="22">
        <v>-5410</v>
      </c>
      <c r="H17" s="22">
        <v>-5498</v>
      </c>
      <c r="I17" s="22">
        <v>-6395</v>
      </c>
      <c r="J17" s="99">
        <f t="shared" si="7"/>
        <v>-7467</v>
      </c>
      <c r="K17" s="22">
        <v>-7856</v>
      </c>
      <c r="L17" s="22">
        <v>-7216</v>
      </c>
      <c r="M17" s="22">
        <v>-8028</v>
      </c>
      <c r="N17" s="99">
        <f t="shared" si="8"/>
        <v>-8676</v>
      </c>
      <c r="O17" s="22">
        <v>-8604</v>
      </c>
      <c r="P17" s="22">
        <v>-9560</v>
      </c>
      <c r="Q17" s="22">
        <v>-11454</v>
      </c>
      <c r="S17" s="23">
        <f t="shared" si="9"/>
        <v>-30567</v>
      </c>
      <c r="T17" s="23">
        <f t="shared" si="10"/>
        <v>-38294</v>
      </c>
      <c r="U17" s="23"/>
      <c r="V17" s="25">
        <f t="shared" si="11"/>
        <v>0.25278895540942847</v>
      </c>
    </row>
    <row r="18" spans="2:22">
      <c r="B18" s="26" t="s">
        <v>86</v>
      </c>
      <c r="C18" s="20">
        <v>-19254</v>
      </c>
      <c r="D18" s="20">
        <v>-21264</v>
      </c>
      <c r="E18" s="20">
        <v>-22434</v>
      </c>
      <c r="F18" s="23"/>
      <c r="G18" s="22">
        <v>-5191</v>
      </c>
      <c r="H18" s="22">
        <v>-5127</v>
      </c>
      <c r="I18" s="22">
        <v>-5224</v>
      </c>
      <c r="J18" s="99">
        <f t="shared" si="7"/>
        <v>-5722</v>
      </c>
      <c r="K18" s="22">
        <v>-5768</v>
      </c>
      <c r="L18" s="22">
        <v>-5816</v>
      </c>
      <c r="M18" s="22">
        <v>-5531</v>
      </c>
      <c r="N18" s="99">
        <f t="shared" si="8"/>
        <v>-5319</v>
      </c>
      <c r="O18" s="22">
        <v>-8547</v>
      </c>
      <c r="P18" s="22">
        <v>-8193</v>
      </c>
      <c r="Q18" s="22">
        <v>-8572</v>
      </c>
      <c r="S18" s="23">
        <f t="shared" si="9"/>
        <v>-22837</v>
      </c>
      <c r="T18" s="23">
        <f t="shared" si="10"/>
        <v>-30631</v>
      </c>
      <c r="U18" s="23"/>
      <c r="V18" s="25">
        <f t="shared" si="11"/>
        <v>0.3412882602793712</v>
      </c>
    </row>
    <row r="19" spans="2:22">
      <c r="B19" s="26" t="s">
        <v>87</v>
      </c>
      <c r="C19" s="20">
        <v>-54033</v>
      </c>
      <c r="D19" s="20">
        <v>-55283</v>
      </c>
      <c r="E19" s="20">
        <v>-53805</v>
      </c>
      <c r="F19" s="23"/>
      <c r="G19" s="22">
        <v>-14599</v>
      </c>
      <c r="H19" s="22">
        <v>-14148</v>
      </c>
      <c r="I19" s="22">
        <v>-13360</v>
      </c>
      <c r="J19" s="99">
        <f t="shared" si="7"/>
        <v>-13176</v>
      </c>
      <c r="K19" s="22">
        <v>-13783</v>
      </c>
      <c r="L19" s="22">
        <v>-13645</v>
      </c>
      <c r="M19" s="22">
        <v>-12760</v>
      </c>
      <c r="N19" s="99">
        <f t="shared" si="8"/>
        <v>-13617</v>
      </c>
      <c r="O19" s="22">
        <v>-12297</v>
      </c>
      <c r="P19" s="22">
        <v>-12388</v>
      </c>
      <c r="Q19" s="22">
        <v>-13554</v>
      </c>
      <c r="S19" s="23">
        <f t="shared" si="9"/>
        <v>-53364</v>
      </c>
      <c r="T19" s="23">
        <f t="shared" si="10"/>
        <v>-51856</v>
      </c>
      <c r="U19" s="23"/>
      <c r="V19" s="25">
        <f t="shared" si="11"/>
        <v>-2.825875121804966E-2</v>
      </c>
    </row>
    <row r="20" spans="2:22">
      <c r="B20" s="27" t="s">
        <v>37</v>
      </c>
      <c r="C20" s="28">
        <f>SUM(C10+C15)</f>
        <v>418853</v>
      </c>
      <c r="D20" s="28">
        <f t="shared" ref="D20:T20" si="23">SUM(D10+D15)</f>
        <v>396275</v>
      </c>
      <c r="E20" s="28">
        <f t="shared" si="23"/>
        <v>386317</v>
      </c>
      <c r="F20" s="21"/>
      <c r="G20" s="28">
        <f t="shared" si="23"/>
        <v>93600</v>
      </c>
      <c r="H20" s="28">
        <f t="shared" si="23"/>
        <v>96869</v>
      </c>
      <c r="I20" s="28">
        <f t="shared" si="23"/>
        <v>99975</v>
      </c>
      <c r="J20" s="28">
        <f t="shared" si="23"/>
        <v>105831</v>
      </c>
      <c r="K20" s="28">
        <f t="shared" si="23"/>
        <v>93974</v>
      </c>
      <c r="L20" s="28">
        <f t="shared" si="23"/>
        <v>93279</v>
      </c>
      <c r="M20" s="28">
        <f t="shared" si="23"/>
        <v>102801</v>
      </c>
      <c r="N20" s="28">
        <f t="shared" si="23"/>
        <v>96263</v>
      </c>
      <c r="O20" s="28">
        <f t="shared" si="23"/>
        <v>85231</v>
      </c>
      <c r="P20" s="28">
        <f t="shared" si="23"/>
        <v>80507</v>
      </c>
      <c r="Q20" s="28">
        <f t="shared" si="23"/>
        <v>81722</v>
      </c>
      <c r="S20" s="28">
        <f t="shared" si="23"/>
        <v>395885</v>
      </c>
      <c r="T20" s="28">
        <f t="shared" si="23"/>
        <v>343723</v>
      </c>
      <c r="U20" s="29"/>
      <c r="V20" s="30">
        <f>SUM(T20/S20)-1</f>
        <v>-0.13176048599972212</v>
      </c>
    </row>
    <row r="21" spans="2:22">
      <c r="B21" s="31" t="s">
        <v>38</v>
      </c>
      <c r="C21" s="32"/>
      <c r="D21" s="33">
        <f>D20/C20-1</f>
        <v>-5.3904353078526368E-2</v>
      </c>
      <c r="E21" s="33">
        <f>E20/D20-1</f>
        <v>-2.5129013942338019E-2</v>
      </c>
      <c r="F21" s="33"/>
      <c r="G21" s="33"/>
      <c r="H21" s="33">
        <f t="shared" ref="H21:Q21" si="24">H20/G20-1</f>
        <v>3.4925213675213618E-2</v>
      </c>
      <c r="I21" s="33">
        <f t="shared" si="24"/>
        <v>3.206392137835623E-2</v>
      </c>
      <c r="J21" s="33">
        <f t="shared" si="24"/>
        <v>5.8574643660915138E-2</v>
      </c>
      <c r="K21" s="33">
        <f t="shared" si="24"/>
        <v>-0.11203711577893061</v>
      </c>
      <c r="L21" s="33">
        <f t="shared" si="24"/>
        <v>-7.3956626300891726E-3</v>
      </c>
      <c r="M21" s="33">
        <f t="shared" si="24"/>
        <v>0.10208085421155877</v>
      </c>
      <c r="N21" s="33">
        <f>N20/M20-1</f>
        <v>-6.3598603126428732E-2</v>
      </c>
      <c r="O21" s="33">
        <f t="shared" si="24"/>
        <v>-0.1146027030115413</v>
      </c>
      <c r="P21" s="33">
        <f t="shared" si="24"/>
        <v>-5.5425842709812212E-2</v>
      </c>
      <c r="Q21" s="33">
        <f t="shared" si="24"/>
        <v>1.5091855366614171E-2</v>
      </c>
      <c r="T21" s="33">
        <f>T20/S20-1</f>
        <v>-0.13176048599972212</v>
      </c>
      <c r="U21" s="29"/>
      <c r="V21" s="34"/>
    </row>
    <row r="22" spans="2:22">
      <c r="B22" s="31" t="s">
        <v>39</v>
      </c>
      <c r="C22" s="33">
        <f>SUM(C20/C10)</f>
        <v>0.82005513331062219</v>
      </c>
      <c r="D22" s="33">
        <f>SUM(D20/D10)</f>
        <v>0.79371835341622865</v>
      </c>
      <c r="E22" s="33">
        <f>SUM(E20/E10)</f>
        <v>0.77845528864851354</v>
      </c>
      <c r="F22" s="33"/>
      <c r="G22" s="33">
        <f>SUM(G20/G10)</f>
        <v>0.78472798611635097</v>
      </c>
      <c r="H22" s="33">
        <f>SUM(H20/H10)</f>
        <v>0.79353337756915943</v>
      </c>
      <c r="I22" s="33">
        <f>SUM(I20/I10)</f>
        <v>0.79750319081046583</v>
      </c>
      <c r="J22" s="33">
        <f>SUM(J20/J10)</f>
        <v>0.79839914299078107</v>
      </c>
      <c r="K22" s="33">
        <f>SUM(K20/K10)</f>
        <v>0.7708157322724849</v>
      </c>
      <c r="L22" s="33">
        <f>SUM(L20/L10)</f>
        <v>0.77474252491694351</v>
      </c>
      <c r="M22" s="33">
        <f>SUM(M20/M10)</f>
        <v>0.79406312276961577</v>
      </c>
      <c r="N22" s="33">
        <f>SUM(N20/N10)</f>
        <v>0.77329616657562417</v>
      </c>
      <c r="O22" s="33">
        <f>SUM(O20/O10)</f>
        <v>0.73955712128837447</v>
      </c>
      <c r="P22" s="33">
        <f>SUM(P20/P10)</f>
        <v>0.72241165808223107</v>
      </c>
      <c r="Q22" s="33">
        <f>SUM(Q20/Q10)</f>
        <v>0.704069061178072</v>
      </c>
      <c r="S22" s="33">
        <f>SUM(S20/S10)</f>
        <v>0.78497058479450998</v>
      </c>
      <c r="T22" s="33">
        <f>SUM(T20/T10)</f>
        <v>0.73564076936412104</v>
      </c>
      <c r="U22" s="29"/>
      <c r="V22" s="25">
        <f>SUM(T22/S22)-1</f>
        <v>-6.2842884034059132E-2</v>
      </c>
    </row>
    <row r="23" spans="2:22" ht="2.25" customHeight="1">
      <c r="B23" s="35" t="s">
        <v>40</v>
      </c>
      <c r="C23" s="32">
        <v>49</v>
      </c>
      <c r="D23" s="32">
        <v>2777</v>
      </c>
      <c r="E23" s="32">
        <v>7833</v>
      </c>
      <c r="G23" s="32"/>
      <c r="H23" s="32"/>
      <c r="I23" s="32"/>
      <c r="J23" s="32"/>
      <c r="K23" s="32">
        <v>-28777</v>
      </c>
      <c r="L23" s="32">
        <v>-27879</v>
      </c>
      <c r="M23" s="32"/>
      <c r="N23" s="32">
        <v>-19934</v>
      </c>
      <c r="O23" s="32">
        <v>-61402</v>
      </c>
      <c r="P23" s="32"/>
      <c r="S23" s="36"/>
      <c r="T23" s="36"/>
      <c r="U23" s="36"/>
      <c r="V23" s="37"/>
    </row>
    <row r="24" spans="2:22">
      <c r="B24" s="38" t="s">
        <v>103</v>
      </c>
      <c r="C24" s="20"/>
      <c r="D24" s="20"/>
      <c r="E24" s="20"/>
      <c r="G24" s="20"/>
      <c r="H24" s="20"/>
      <c r="I24" s="39"/>
      <c r="J24" s="20"/>
      <c r="K24" s="20"/>
      <c r="L24" s="20"/>
      <c r="M24" s="39"/>
      <c r="N24" s="20"/>
      <c r="O24" s="20"/>
      <c r="P24" s="20"/>
      <c r="S24" s="23"/>
      <c r="T24" s="23"/>
      <c r="U24" s="23"/>
      <c r="V24" s="40"/>
    </row>
    <row r="25" spans="2:22">
      <c r="B25" s="26" t="s">
        <v>15</v>
      </c>
      <c r="C25" s="150">
        <v>-160141</v>
      </c>
      <c r="D25" s="150">
        <v>-146882</v>
      </c>
      <c r="E25" s="150">
        <v>-149671</v>
      </c>
      <c r="F25" s="151"/>
      <c r="G25" s="150">
        <v>-33240</v>
      </c>
      <c r="H25" s="150">
        <v>-36862</v>
      </c>
      <c r="I25" s="150">
        <v>-35409</v>
      </c>
      <c r="J25" s="99">
        <f>SUM(D25-SUM(G25:I25))</f>
        <v>-41371</v>
      </c>
      <c r="K25" s="150">
        <v>-36106</v>
      </c>
      <c r="L25" s="150">
        <v>-37660</v>
      </c>
      <c r="M25" s="150">
        <v>-35606</v>
      </c>
      <c r="N25" s="99">
        <f t="shared" ref="N25:N28" si="25">SUM(E25-SUM(K25:M25))</f>
        <v>-40299</v>
      </c>
      <c r="O25" s="150">
        <v>-33451</v>
      </c>
      <c r="P25" s="150">
        <v>-34251</v>
      </c>
      <c r="Q25" s="150">
        <v>-35414</v>
      </c>
      <c r="S25" s="23">
        <f t="shared" ref="S25:S28" si="26">SUM(J25:M25)</f>
        <v>-150743</v>
      </c>
      <c r="T25" s="23">
        <f t="shared" ref="T25:T28" si="27">SUM(N25:Q25)</f>
        <v>-143415</v>
      </c>
      <c r="U25" s="23"/>
      <c r="V25" s="25">
        <f t="shared" ref="V25:V28" si="28">SUM(T25/S25)-1</f>
        <v>-4.8612539222385065E-2</v>
      </c>
    </row>
    <row r="26" spans="2:22">
      <c r="B26" s="26" t="s">
        <v>17</v>
      </c>
      <c r="C26" s="150">
        <v>-117117</v>
      </c>
      <c r="D26" s="150">
        <v>-127428</v>
      </c>
      <c r="E26" s="150">
        <v>-120530</v>
      </c>
      <c r="F26" s="151"/>
      <c r="G26" s="150">
        <v>-33523</v>
      </c>
      <c r="H26" s="150">
        <v>-31790</v>
      </c>
      <c r="I26" s="150">
        <v>-30498</v>
      </c>
      <c r="J26" s="99">
        <f>SUM(D26-SUM(G26:I26))</f>
        <v>-31617</v>
      </c>
      <c r="K26" s="150">
        <v>-31358</v>
      </c>
      <c r="L26" s="150">
        <v>-29354</v>
      </c>
      <c r="M26" s="150">
        <v>-29660</v>
      </c>
      <c r="N26" s="99">
        <f t="shared" si="25"/>
        <v>-30158</v>
      </c>
      <c r="O26" s="150">
        <v>-29183</v>
      </c>
      <c r="P26" s="150">
        <v>-30311</v>
      </c>
      <c r="Q26" s="150">
        <v>-33301</v>
      </c>
      <c r="S26" s="23">
        <f t="shared" si="26"/>
        <v>-121989</v>
      </c>
      <c r="T26" s="23">
        <f t="shared" si="27"/>
        <v>-122953</v>
      </c>
      <c r="U26" s="23"/>
      <c r="V26" s="25">
        <f t="shared" si="28"/>
        <v>7.9023518513965385E-3</v>
      </c>
    </row>
    <row r="27" spans="2:22">
      <c r="B27" s="26" t="s">
        <v>16</v>
      </c>
      <c r="C27" s="150">
        <v>-95501</v>
      </c>
      <c r="D27" s="150">
        <v>-111421</v>
      </c>
      <c r="E27" s="150">
        <v>-115312</v>
      </c>
      <c r="F27" s="151"/>
      <c r="G27" s="150">
        <v>-26706</v>
      </c>
      <c r="H27" s="150">
        <v>-28502</v>
      </c>
      <c r="I27" s="150">
        <v>-27283</v>
      </c>
      <c r="J27" s="99">
        <f>SUM(D27-SUM(G27:I27))</f>
        <v>-28930</v>
      </c>
      <c r="K27" s="150">
        <v>-27906</v>
      </c>
      <c r="L27" s="150">
        <v>-28830</v>
      </c>
      <c r="M27" s="150">
        <v>-29223</v>
      </c>
      <c r="N27" s="99">
        <f t="shared" si="25"/>
        <v>-29353</v>
      </c>
      <c r="O27" s="150">
        <v>-34666</v>
      </c>
      <c r="P27" s="150">
        <v>-36129</v>
      </c>
      <c r="Q27" s="150">
        <v>-33505</v>
      </c>
      <c r="S27" s="23">
        <f t="shared" si="26"/>
        <v>-114889</v>
      </c>
      <c r="T27" s="23">
        <f t="shared" si="27"/>
        <v>-133653</v>
      </c>
      <c r="U27" s="23"/>
      <c r="V27" s="25">
        <f t="shared" si="28"/>
        <v>0.16332285945564839</v>
      </c>
    </row>
    <row r="28" spans="2:22">
      <c r="B28" s="26" t="s">
        <v>104</v>
      </c>
      <c r="C28" s="150">
        <v>-830621</v>
      </c>
      <c r="D28" s="150">
        <v>-1286286</v>
      </c>
      <c r="E28" s="150">
        <v>-115851</v>
      </c>
      <c r="F28" s="151"/>
      <c r="G28" s="150">
        <v>-170091</v>
      </c>
      <c r="H28" s="150">
        <v>-917838</v>
      </c>
      <c r="I28" s="150">
        <v>-727</v>
      </c>
      <c r="J28" s="99">
        <f>SUM(D28-SUM(G28:I28))</f>
        <v>-197630</v>
      </c>
      <c r="K28" s="150">
        <v>-18911</v>
      </c>
      <c r="L28" s="150">
        <v>-24143</v>
      </c>
      <c r="M28" s="150">
        <v>-33559</v>
      </c>
      <c r="N28" s="99">
        <f t="shared" si="25"/>
        <v>-39238</v>
      </c>
      <c r="O28" s="150">
        <v>-191633</v>
      </c>
      <c r="P28" s="150">
        <v>-180090</v>
      </c>
      <c r="Q28" s="150">
        <v>-412084</v>
      </c>
      <c r="S28" s="23">
        <f t="shared" si="26"/>
        <v>-274243</v>
      </c>
      <c r="T28" s="23">
        <f t="shared" si="27"/>
        <v>-823045</v>
      </c>
      <c r="U28" s="23"/>
      <c r="V28" s="25">
        <f t="shared" si="28"/>
        <v>2.0011522627742551</v>
      </c>
    </row>
    <row r="29" spans="2:22">
      <c r="B29" s="41" t="s">
        <v>42</v>
      </c>
      <c r="C29" s="28">
        <f>SUM(C20+SUM(C25:C28))</f>
        <v>-784527</v>
      </c>
      <c r="D29" s="28">
        <f t="shared" ref="D29:E29" si="29">SUM(D20+SUM(D25:D28))</f>
        <v>-1275742</v>
      </c>
      <c r="E29" s="28">
        <f t="shared" si="29"/>
        <v>-115047</v>
      </c>
      <c r="G29" s="28">
        <f t="shared" ref="G29:P29" si="30">SUM(G20+SUM(G25:G28))</f>
        <v>-169960</v>
      </c>
      <c r="H29" s="28">
        <f t="shared" si="30"/>
        <v>-918123</v>
      </c>
      <c r="I29" s="28">
        <f t="shared" si="30"/>
        <v>6058</v>
      </c>
      <c r="J29" s="28">
        <f t="shared" si="30"/>
        <v>-193717</v>
      </c>
      <c r="K29" s="28">
        <f t="shared" si="30"/>
        <v>-20307</v>
      </c>
      <c r="L29" s="28">
        <f t="shared" si="30"/>
        <v>-26708</v>
      </c>
      <c r="M29" s="28">
        <f t="shared" si="30"/>
        <v>-25247</v>
      </c>
      <c r="N29" s="28">
        <f t="shared" si="30"/>
        <v>-42785</v>
      </c>
      <c r="O29" s="28">
        <f t="shared" si="30"/>
        <v>-203702</v>
      </c>
      <c r="P29" s="28">
        <f t="shared" si="30"/>
        <v>-200274</v>
      </c>
      <c r="Q29" s="28">
        <f t="shared" ref="Q29:T29" si="31">SUM(Q20+SUM(Q25:Q28))</f>
        <v>-432582</v>
      </c>
      <c r="S29" s="28">
        <f t="shared" si="31"/>
        <v>-265979</v>
      </c>
      <c r="T29" s="28">
        <f t="shared" si="31"/>
        <v>-879343</v>
      </c>
      <c r="U29" s="29"/>
      <c r="V29" s="30">
        <f>SUM(T29/S29)-1</f>
        <v>2.3060617567552324</v>
      </c>
    </row>
    <row r="30" spans="2:22">
      <c r="B30" s="31" t="s">
        <v>38</v>
      </c>
      <c r="C30" s="42"/>
      <c r="D30" s="33">
        <f>D29/C29-1</f>
        <v>0.6261288649084098</v>
      </c>
      <c r="E30" s="33">
        <f>E29/D29-1</f>
        <v>-0.90981954031457768</v>
      </c>
      <c r="F30" s="33"/>
      <c r="G30" s="33"/>
      <c r="H30" s="33">
        <f t="shared" ref="H30:Q30" si="32">H29/G29-1</f>
        <v>4.4019945869616377</v>
      </c>
      <c r="I30" s="33">
        <f t="shared" si="32"/>
        <v>-1.0065982444617987</v>
      </c>
      <c r="J30" s="33">
        <f t="shared" si="32"/>
        <v>-32.977055133707495</v>
      </c>
      <c r="K30" s="33">
        <f t="shared" si="32"/>
        <v>-0.89517182281369212</v>
      </c>
      <c r="L30" s="33">
        <f t="shared" si="32"/>
        <v>0.31521150342246518</v>
      </c>
      <c r="M30" s="33">
        <f t="shared" si="32"/>
        <v>-5.4702710798262721E-2</v>
      </c>
      <c r="N30" s="33">
        <f t="shared" si="32"/>
        <v>0.69465679090585031</v>
      </c>
      <c r="O30" s="33">
        <f t="shared" si="32"/>
        <v>3.7610611195512442</v>
      </c>
      <c r="P30" s="33">
        <f t="shared" si="32"/>
        <v>-1.6828504383854859E-2</v>
      </c>
      <c r="Q30" s="33">
        <f t="shared" si="32"/>
        <v>1.1599508673117827</v>
      </c>
      <c r="T30" s="33">
        <f>T29/S29-1</f>
        <v>2.3060617567552324</v>
      </c>
      <c r="U30" s="43"/>
      <c r="V30" s="40"/>
    </row>
    <row r="31" spans="2:22">
      <c r="B31" s="31" t="s">
        <v>43</v>
      </c>
      <c r="C31" s="33">
        <f>SUM(C29/C10)</f>
        <v>-1.5359932806277679</v>
      </c>
      <c r="D31" s="33">
        <f>SUM(D29/D10)</f>
        <v>-2.555245321112678</v>
      </c>
      <c r="E31" s="33">
        <f>SUM(E29/E10)</f>
        <v>-0.23182760684397927</v>
      </c>
      <c r="F31" s="33"/>
      <c r="G31" s="33">
        <f>SUM(G29/G10)</f>
        <v>-1.4249184670975963</v>
      </c>
      <c r="H31" s="33">
        <f>SUM(H29/H10)</f>
        <v>-7.5210980315057387</v>
      </c>
      <c r="I31" s="33">
        <f>SUM(I29/I10)</f>
        <v>4.8324824505424378E-2</v>
      </c>
      <c r="J31" s="33">
        <f>SUM(J29/J10)</f>
        <v>-1.4614194969597296</v>
      </c>
      <c r="K31" s="33">
        <f>SUM(K29/K10)</f>
        <v>-0.16656687036049705</v>
      </c>
      <c r="L31" s="33">
        <f>SUM(L29/L10)</f>
        <v>-0.22182724252491695</v>
      </c>
      <c r="M31" s="33">
        <f>SUM(M29/M10)</f>
        <v>-0.19501475336392146</v>
      </c>
      <c r="N31" s="33">
        <f>SUM(N29/N10)</f>
        <v>-0.34369878859933806</v>
      </c>
      <c r="O31" s="33">
        <f>SUM(O29/O10)</f>
        <v>-1.7675407389410478</v>
      </c>
      <c r="P31" s="33">
        <f>SUM(P29/P10)</f>
        <v>-1.7971141939304751</v>
      </c>
      <c r="Q31" s="33">
        <f>SUM(Q29/Q10)</f>
        <v>-3.7268740684580988</v>
      </c>
      <c r="S31" s="33">
        <f>SUM(S29/S10)</f>
        <v>-0.52738974998562449</v>
      </c>
      <c r="T31" s="33">
        <f>SUM(T29/T10)</f>
        <v>-1.8819821805784143</v>
      </c>
      <c r="U31" s="43"/>
      <c r="V31" s="25">
        <f>SUM(T31/S31)-1</f>
        <v>2.5684845612371365</v>
      </c>
    </row>
    <row r="32" spans="2:22" ht="2.25" customHeight="1">
      <c r="B32" s="35" t="s">
        <v>40</v>
      </c>
      <c r="C32" s="32">
        <v>49</v>
      </c>
      <c r="D32" s="32">
        <v>2777</v>
      </c>
      <c r="E32" s="32">
        <v>7833</v>
      </c>
      <c r="G32" s="32"/>
      <c r="H32" s="32"/>
      <c r="I32" s="32"/>
      <c r="J32" s="32"/>
      <c r="K32" s="32">
        <v>-28777</v>
      </c>
      <c r="L32" s="32">
        <v>-27879</v>
      </c>
      <c r="M32" s="32"/>
      <c r="N32" s="32">
        <v>-19934</v>
      </c>
      <c r="O32" s="32">
        <v>-61402</v>
      </c>
      <c r="P32" s="32"/>
      <c r="Q32" s="32"/>
      <c r="S32" s="36"/>
      <c r="T32" s="36"/>
      <c r="U32" s="36"/>
      <c r="V32" s="37"/>
    </row>
    <row r="33" spans="1:22">
      <c r="B33" s="38" t="s">
        <v>18</v>
      </c>
      <c r="C33" s="42"/>
      <c r="D33" s="33"/>
      <c r="E33" s="33"/>
      <c r="F33" s="33"/>
      <c r="G33" s="33"/>
      <c r="H33" s="33"/>
      <c r="I33" s="33"/>
      <c r="J33" s="33"/>
      <c r="K33" s="33"/>
      <c r="L33" s="33"/>
      <c r="M33" s="33"/>
      <c r="N33" s="33"/>
      <c r="O33" s="33"/>
      <c r="P33" s="33"/>
      <c r="Q33" s="33"/>
      <c r="T33" s="33"/>
      <c r="U33" s="43"/>
      <c r="V33" s="40"/>
    </row>
    <row r="34" spans="1:22">
      <c r="B34" s="26" t="s">
        <v>105</v>
      </c>
      <c r="C34" s="150">
        <v>-29149</v>
      </c>
      <c r="D34" s="150">
        <v>-53136</v>
      </c>
      <c r="E34" s="150">
        <v>-48960</v>
      </c>
      <c r="F34" s="4"/>
      <c r="G34" s="150">
        <v>-11039</v>
      </c>
      <c r="H34" s="150">
        <v>-13187</v>
      </c>
      <c r="I34" s="150">
        <v>-14073</v>
      </c>
      <c r="J34" s="99">
        <f t="shared" ref="J34:J36" si="33">SUM(D34-SUM(G34:I34))</f>
        <v>-14837</v>
      </c>
      <c r="K34" s="150">
        <v>-14930</v>
      </c>
      <c r="L34" s="150">
        <v>-11095</v>
      </c>
      <c r="M34" s="150">
        <v>-11006</v>
      </c>
      <c r="N34" s="99">
        <f t="shared" ref="N34:N36" si="34">SUM(E34-SUM(K34:M34))</f>
        <v>-11929</v>
      </c>
      <c r="O34" s="150">
        <v>-11881</v>
      </c>
      <c r="P34" s="150">
        <v>-15466</v>
      </c>
      <c r="Q34" s="150">
        <v>-18129</v>
      </c>
      <c r="S34" s="23">
        <f t="shared" ref="S34:S36" si="35">SUM(J34:M34)</f>
        <v>-51868</v>
      </c>
      <c r="T34" s="23">
        <f t="shared" ref="T34:T36" si="36">SUM(K34:N34)</f>
        <v>-48960</v>
      </c>
      <c r="U34" s="43"/>
      <c r="V34" s="25">
        <f t="shared" ref="V34:V38" si="37">SUM(T34/S34)-1</f>
        <v>-5.6065396776432519E-2</v>
      </c>
    </row>
    <row r="35" spans="1:22">
      <c r="B35" s="26" t="s">
        <v>106</v>
      </c>
      <c r="C35" s="150">
        <v>0</v>
      </c>
      <c r="D35" s="150">
        <v>0</v>
      </c>
      <c r="E35" s="150">
        <v>44686</v>
      </c>
      <c r="F35" s="4"/>
      <c r="G35" s="150"/>
      <c r="H35" s="150"/>
      <c r="I35" s="150"/>
      <c r="J35" s="99">
        <f t="shared" si="33"/>
        <v>0</v>
      </c>
      <c r="K35" s="150">
        <v>44686</v>
      </c>
      <c r="L35" s="150">
        <v>0</v>
      </c>
      <c r="M35" s="150">
        <v>0</v>
      </c>
      <c r="N35" s="99">
        <f t="shared" si="34"/>
        <v>0</v>
      </c>
      <c r="O35" s="150">
        <v>0</v>
      </c>
      <c r="P35" s="150">
        <v>0</v>
      </c>
      <c r="Q35" s="150">
        <v>-22933</v>
      </c>
      <c r="S35" s="23">
        <f t="shared" si="35"/>
        <v>44686</v>
      </c>
      <c r="T35" s="23">
        <f t="shared" si="36"/>
        <v>44686</v>
      </c>
      <c r="U35" s="43"/>
      <c r="V35" s="25">
        <f t="shared" si="37"/>
        <v>0</v>
      </c>
    </row>
    <row r="36" spans="1:22">
      <c r="B36" s="26" t="s">
        <v>18</v>
      </c>
      <c r="C36" s="150">
        <v>2287</v>
      </c>
      <c r="D36" s="150">
        <v>6413</v>
      </c>
      <c r="E36" s="150">
        <v>-5204</v>
      </c>
      <c r="F36" s="4"/>
      <c r="G36" s="151">
        <v>2225</v>
      </c>
      <c r="H36" s="151">
        <v>5120</v>
      </c>
      <c r="I36" s="151">
        <v>4897</v>
      </c>
      <c r="J36" s="99">
        <f t="shared" si="33"/>
        <v>-5829</v>
      </c>
      <c r="K36" s="150">
        <v>-1443</v>
      </c>
      <c r="L36" s="150">
        <v>-250</v>
      </c>
      <c r="M36" s="150">
        <v>2419</v>
      </c>
      <c r="N36" s="99">
        <f t="shared" si="34"/>
        <v>-5930</v>
      </c>
      <c r="O36" s="150">
        <v>1696</v>
      </c>
      <c r="P36" s="150">
        <v>694</v>
      </c>
      <c r="Q36" s="150">
        <v>-5034</v>
      </c>
      <c r="S36" s="23">
        <f t="shared" si="35"/>
        <v>-5103</v>
      </c>
      <c r="T36" s="23">
        <f t="shared" si="36"/>
        <v>-5204</v>
      </c>
      <c r="U36" s="43"/>
      <c r="V36" s="25">
        <f t="shared" si="37"/>
        <v>1.9792279051538353E-2</v>
      </c>
    </row>
    <row r="37" spans="1:22">
      <c r="B37" s="41" t="s">
        <v>44</v>
      </c>
      <c r="C37" s="142">
        <f>SUM(C34:C36)+C29</f>
        <v>-811389</v>
      </c>
      <c r="D37" s="142">
        <f>SUM(D34:D36)+D29</f>
        <v>-1322465</v>
      </c>
      <c r="E37" s="142">
        <f>SUM(E34:E36)+E29</f>
        <v>-124525</v>
      </c>
      <c r="F37" s="153"/>
      <c r="G37" s="142">
        <f>SUM(G34:G36)+G29</f>
        <v>-178774</v>
      </c>
      <c r="H37" s="142">
        <f>SUM(H34:H36)+H29</f>
        <v>-926190</v>
      </c>
      <c r="I37" s="142">
        <f>SUM(I34:I36)+I29</f>
        <v>-3118</v>
      </c>
      <c r="J37" s="142">
        <f>SUM(J34:J36)+J29</f>
        <v>-214383</v>
      </c>
      <c r="K37" s="142">
        <f>SUM(K34:K36)+K29</f>
        <v>8006</v>
      </c>
      <c r="L37" s="142">
        <f>SUM(L34:L36)+L29</f>
        <v>-38053</v>
      </c>
      <c r="M37" s="142">
        <f>SUM(M34:M36)+M29</f>
        <v>-33834</v>
      </c>
      <c r="N37" s="142">
        <f>SUM(N34:N36)+N29</f>
        <v>-60644</v>
      </c>
      <c r="O37" s="142">
        <f>SUM(O34:O36)+O29</f>
        <v>-213887</v>
      </c>
      <c r="P37" s="142">
        <f>SUM(P34:P36)+P29</f>
        <v>-215046</v>
      </c>
      <c r="Q37" s="142">
        <f>SUM(Q34:Q36)+Q29</f>
        <v>-478678</v>
      </c>
      <c r="S37" s="142">
        <f t="shared" ref="S37:T37" si="38">SUM(S34:S36)+S29</f>
        <v>-278264</v>
      </c>
      <c r="T37" s="142">
        <f t="shared" si="38"/>
        <v>-888821</v>
      </c>
      <c r="U37" s="43"/>
      <c r="V37" s="30">
        <f>SUM(T37/S37)-1</f>
        <v>2.194164534398988</v>
      </c>
    </row>
    <row r="38" spans="1:22">
      <c r="B38" s="44" t="s">
        <v>107</v>
      </c>
      <c r="C38" s="150">
        <v>275909</v>
      </c>
      <c r="D38" s="150">
        <v>-147332</v>
      </c>
      <c r="E38" s="150">
        <v>553646</v>
      </c>
      <c r="F38" s="154"/>
      <c r="G38" s="150">
        <v>48023</v>
      </c>
      <c r="H38" s="150">
        <v>-136108</v>
      </c>
      <c r="I38" s="150">
        <v>-23961</v>
      </c>
      <c r="J38" s="152">
        <v>-35286</v>
      </c>
      <c r="K38" s="150">
        <v>453187</v>
      </c>
      <c r="L38" s="150">
        <v>60296</v>
      </c>
      <c r="M38" s="150">
        <v>-109607</v>
      </c>
      <c r="N38" s="99">
        <f>SUM(E38-SUM(K38:M38))</f>
        <v>149770</v>
      </c>
      <c r="O38" s="150">
        <v>160769</v>
      </c>
      <c r="P38" s="150">
        <v>112487</v>
      </c>
      <c r="Q38" s="150">
        <v>138504</v>
      </c>
      <c r="S38" s="23">
        <f t="shared" ref="S38" si="39">SUM(J38:M38)</f>
        <v>368590</v>
      </c>
      <c r="T38" s="23">
        <f t="shared" ref="T38" si="40">SUM(K38:N38)</f>
        <v>553646</v>
      </c>
      <c r="U38" s="43"/>
      <c r="V38" s="25">
        <f t="shared" si="37"/>
        <v>0.5020646246506959</v>
      </c>
    </row>
    <row r="39" spans="1:22">
      <c r="B39" s="41" t="s">
        <v>45</v>
      </c>
      <c r="C39" s="142">
        <f>SUM(C37+C38)</f>
        <v>-535480</v>
      </c>
      <c r="D39" s="142">
        <f t="shared" ref="D39:E39" si="41">SUM(D37+D38)</f>
        <v>-1469797</v>
      </c>
      <c r="E39" s="142">
        <f t="shared" si="41"/>
        <v>429121</v>
      </c>
      <c r="F39" s="5"/>
      <c r="G39" s="142">
        <f t="shared" ref="G39:P39" si="42">SUM(G37+G38)</f>
        <v>-130751</v>
      </c>
      <c r="H39" s="142">
        <f t="shared" si="42"/>
        <v>-1062298</v>
      </c>
      <c r="I39" s="142">
        <f t="shared" si="42"/>
        <v>-27079</v>
      </c>
      <c r="J39" s="142">
        <f t="shared" si="42"/>
        <v>-249669</v>
      </c>
      <c r="K39" s="142">
        <f t="shared" si="42"/>
        <v>461193</v>
      </c>
      <c r="L39" s="142">
        <f t="shared" si="42"/>
        <v>22243</v>
      </c>
      <c r="M39" s="142">
        <f t="shared" si="42"/>
        <v>-143441</v>
      </c>
      <c r="N39" s="142">
        <f t="shared" si="42"/>
        <v>89126</v>
      </c>
      <c r="O39" s="142">
        <f t="shared" si="42"/>
        <v>-53118</v>
      </c>
      <c r="P39" s="142">
        <f t="shared" si="42"/>
        <v>-102559</v>
      </c>
      <c r="Q39" s="142">
        <f t="shared" ref="Q39:T39" si="43">SUM(Q37+Q38)</f>
        <v>-340174</v>
      </c>
      <c r="R39" s="180"/>
      <c r="S39" s="142">
        <f t="shared" si="43"/>
        <v>90326</v>
      </c>
      <c r="T39" s="142">
        <f t="shared" si="43"/>
        <v>-335175</v>
      </c>
      <c r="U39" s="45">
        <f t="shared" ref="U39" si="44">SUM(U38-U37)</f>
        <v>0</v>
      </c>
      <c r="V39" s="30">
        <f>SUM(T39/S39)-1</f>
        <v>-4.7107255939596566</v>
      </c>
    </row>
    <row r="40" spans="1:22">
      <c r="B40" s="31" t="s">
        <v>38</v>
      </c>
      <c r="C40" s="42"/>
      <c r="D40" s="33">
        <f>D39/C39-1</f>
        <v>1.7448214685889294</v>
      </c>
      <c r="E40" s="33">
        <f>E39/D39-1</f>
        <v>-1.2919593658171844</v>
      </c>
      <c r="F40" s="33"/>
      <c r="G40" s="33"/>
      <c r="H40" s="33">
        <f t="shared" ref="H40:Q40" si="45">H39/G39-1</f>
        <v>7.1245879572622766</v>
      </c>
      <c r="I40" s="33">
        <f t="shared" si="45"/>
        <v>-0.9745090360708577</v>
      </c>
      <c r="J40" s="33">
        <f t="shared" si="45"/>
        <v>8.2200228959710469</v>
      </c>
      <c r="K40" s="33">
        <f t="shared" si="45"/>
        <v>-2.8472177162563232</v>
      </c>
      <c r="L40" s="33">
        <f t="shared" si="45"/>
        <v>-0.95177073372752841</v>
      </c>
      <c r="M40" s="33">
        <f t="shared" si="45"/>
        <v>-7.4488153576406058</v>
      </c>
      <c r="N40" s="33">
        <f t="shared" si="45"/>
        <v>-1.6213425729045392</v>
      </c>
      <c r="O40" s="33">
        <f t="shared" si="45"/>
        <v>-1.5959877028027736</v>
      </c>
      <c r="P40" s="33">
        <f t="shared" si="45"/>
        <v>0.93077676117323693</v>
      </c>
      <c r="Q40" s="33">
        <f t="shared" si="45"/>
        <v>2.3168615138603146</v>
      </c>
      <c r="T40" s="33">
        <f>T39/S39-1</f>
        <v>-4.7107255939596566</v>
      </c>
      <c r="U40" s="3"/>
      <c r="V40" s="34"/>
    </row>
    <row r="41" spans="1:22">
      <c r="B41" s="31" t="s">
        <v>46</v>
      </c>
      <c r="C41" s="33">
        <f>SUM(C39/C10)</f>
        <v>-1.0483943597996719</v>
      </c>
      <c r="D41" s="33">
        <f>SUM(D39/D10)</f>
        <v>-2.9439274612229203</v>
      </c>
      <c r="E41" s="33">
        <f>SUM(E39/E10)</f>
        <v>0.86470828858201632</v>
      </c>
      <c r="F41" s="33"/>
      <c r="G41" s="33">
        <f>SUM(G39/G10)</f>
        <v>-1.0961962490672972</v>
      </c>
      <c r="H41" s="33">
        <f>SUM(H39/H10)</f>
        <v>-8.7021536293856947</v>
      </c>
      <c r="I41" s="33">
        <f>SUM(I39/I10)</f>
        <v>-0.21600989151244415</v>
      </c>
      <c r="J41" s="33">
        <f>SUM(J39/J10)</f>
        <v>-1.883526713641233</v>
      </c>
      <c r="K41" s="33">
        <f>SUM(K39/K10)</f>
        <v>3.7829061231185661</v>
      </c>
      <c r="L41" s="33">
        <f>SUM(L39/L10)</f>
        <v>0.18474252491694351</v>
      </c>
      <c r="M41" s="33">
        <f>SUM(M39/M10)</f>
        <v>-1.1079776305016145</v>
      </c>
      <c r="N41" s="33">
        <f>SUM(N39/N10)</f>
        <v>0.71596349731692421</v>
      </c>
      <c r="O41" s="33">
        <f>SUM(O39/O10)</f>
        <v>-0.46090970619370736</v>
      </c>
      <c r="P41" s="33">
        <f>SUM(P39/P10)</f>
        <v>-0.92029037526246837</v>
      </c>
      <c r="Q41" s="33">
        <f>SUM(Q39/Q10)</f>
        <v>-2.9307406673501566</v>
      </c>
      <c r="S41" s="33">
        <f>SUM(S39/S10)</f>
        <v>0.17910063033999496</v>
      </c>
      <c r="T41" s="33">
        <f>SUM(T39/T10)</f>
        <v>-0.71734622027510309</v>
      </c>
      <c r="U41" s="43"/>
      <c r="V41" s="25">
        <f t="shared" ref="V41:V43" si="46">SUM(T41/S41)-1</f>
        <v>-5.0052690987928505</v>
      </c>
    </row>
    <row r="42" spans="1:22" ht="15.75" thickBot="1">
      <c r="B42" s="31"/>
      <c r="C42" s="42"/>
      <c r="D42" s="33"/>
      <c r="E42" s="33"/>
      <c r="F42" s="33"/>
      <c r="G42" s="33"/>
      <c r="H42" s="33"/>
      <c r="I42" s="33"/>
      <c r="J42" s="33"/>
      <c r="K42" s="33"/>
      <c r="L42" s="33"/>
      <c r="M42" s="33"/>
      <c r="N42" s="33"/>
      <c r="O42" s="33"/>
      <c r="P42" s="33"/>
      <c r="Q42" s="33"/>
      <c r="T42" s="33"/>
      <c r="U42" s="43"/>
      <c r="V42" s="40"/>
    </row>
    <row r="43" spans="1:22">
      <c r="B43" s="46" t="s">
        <v>109</v>
      </c>
      <c r="C43" s="161">
        <f t="shared" ref="C43:E43" si="47">SUM(C39/C44)</f>
        <v>-53.441117764471059</v>
      </c>
      <c r="D43" s="161">
        <f t="shared" si="47"/>
        <v>-129.82925536613374</v>
      </c>
      <c r="E43" s="162">
        <f t="shared" si="47"/>
        <v>25.903718459495352</v>
      </c>
      <c r="F43" s="47"/>
      <c r="G43" s="160">
        <f>SUM(G39/G44)</f>
        <v>-11.582159624413146</v>
      </c>
      <c r="H43" s="161">
        <f t="shared" ref="H43:Q43" si="48">SUM(H39/H44)</f>
        <v>-94.008672566371686</v>
      </c>
      <c r="I43" s="161">
        <f t="shared" si="48"/>
        <v>-2.394676335337814</v>
      </c>
      <c r="J43" s="161">
        <f t="shared" si="48"/>
        <v>-22.053617171627948</v>
      </c>
      <c r="K43" s="161">
        <f t="shared" si="48"/>
        <v>31.642744425385935</v>
      </c>
      <c r="L43" s="161">
        <f t="shared" si="48"/>
        <v>1.3819819819819821</v>
      </c>
      <c r="M43" s="161">
        <f t="shared" si="48"/>
        <v>-10.086562126432741</v>
      </c>
      <c r="N43" s="161">
        <f t="shared" si="48"/>
        <v>5.3800555354340212</v>
      </c>
      <c r="O43" s="161">
        <f t="shared" si="48"/>
        <v>-3.0893334884261954</v>
      </c>
      <c r="P43" s="161">
        <f t="shared" si="48"/>
        <v>-5.7420637142377249</v>
      </c>
      <c r="Q43" s="162">
        <f t="shared" si="48"/>
        <v>-1.7243819478590583</v>
      </c>
      <c r="S43" s="182">
        <f>M43</f>
        <v>-10.086562126432741</v>
      </c>
      <c r="T43" s="185">
        <f>Q43</f>
        <v>-1.7243819478590583</v>
      </c>
      <c r="U43" s="43"/>
      <c r="V43" s="30">
        <f t="shared" si="46"/>
        <v>-0.82904165698437915</v>
      </c>
    </row>
    <row r="44" spans="1:22" ht="15.75" thickBot="1">
      <c r="B44" s="48" t="s">
        <v>108</v>
      </c>
      <c r="C44" s="49">
        <v>10020</v>
      </c>
      <c r="D44" s="50">
        <v>11321</v>
      </c>
      <c r="E44" s="51">
        <v>16566</v>
      </c>
      <c r="F44" s="47"/>
      <c r="G44" s="159">
        <v>11289</v>
      </c>
      <c r="H44" s="157">
        <v>11300</v>
      </c>
      <c r="I44" s="157">
        <v>11308</v>
      </c>
      <c r="J44" s="52">
        <f>D44</f>
        <v>11321</v>
      </c>
      <c r="K44" s="157">
        <v>14575</v>
      </c>
      <c r="L44" s="157">
        <v>16095</v>
      </c>
      <c r="M44" s="157">
        <v>14221</v>
      </c>
      <c r="N44" s="52">
        <f>E44</f>
        <v>16566</v>
      </c>
      <c r="O44" s="157">
        <v>17194</v>
      </c>
      <c r="P44" s="157">
        <v>17861</v>
      </c>
      <c r="Q44" s="158">
        <v>197273</v>
      </c>
      <c r="S44" s="183">
        <f>M44</f>
        <v>14221</v>
      </c>
      <c r="T44" s="186">
        <f>Q44</f>
        <v>197273</v>
      </c>
      <c r="U44" s="43"/>
      <c r="V44" s="40"/>
    </row>
    <row r="45" spans="1:22">
      <c r="B45" s="31"/>
      <c r="C45" s="42"/>
      <c r="D45" s="33"/>
      <c r="E45" s="33"/>
      <c r="F45" s="33"/>
      <c r="G45" s="33"/>
      <c r="H45" s="33"/>
      <c r="I45" s="33"/>
      <c r="J45" s="33"/>
      <c r="K45" s="33"/>
      <c r="L45" s="33"/>
      <c r="M45" s="33"/>
      <c r="N45" s="33"/>
      <c r="O45" s="33"/>
      <c r="P45" s="33"/>
      <c r="T45" s="33"/>
      <c r="U45" s="43"/>
      <c r="V45" s="40"/>
    </row>
    <row r="46" spans="1:22">
      <c r="A46" s="6" t="s">
        <v>31</v>
      </c>
      <c r="B46" s="7" t="s">
        <v>47</v>
      </c>
      <c r="C46" s="53"/>
      <c r="D46" s="53"/>
      <c r="E46" s="53"/>
      <c r="F46" s="8"/>
      <c r="G46" s="8"/>
      <c r="H46" s="8"/>
      <c r="I46" s="8"/>
      <c r="J46" s="8"/>
      <c r="K46" s="8"/>
      <c r="L46" s="8"/>
      <c r="M46" s="8"/>
      <c r="N46" s="8"/>
      <c r="O46" s="8"/>
      <c r="P46" s="8"/>
      <c r="Q46" s="8"/>
      <c r="S46" s="8"/>
      <c r="T46" s="8"/>
      <c r="U46" s="8"/>
      <c r="V46" s="8"/>
    </row>
    <row r="47" spans="1:22">
      <c r="B47" s="15" t="s">
        <v>162</v>
      </c>
      <c r="C47" s="54"/>
      <c r="D47" s="54"/>
      <c r="E47" s="54"/>
      <c r="F47" s="8"/>
      <c r="G47" s="8"/>
      <c r="H47" s="8"/>
      <c r="I47" s="8"/>
      <c r="J47" s="8"/>
      <c r="K47" s="8"/>
      <c r="L47" s="8"/>
      <c r="M47" s="8"/>
      <c r="N47" s="8"/>
      <c r="O47" s="8"/>
      <c r="P47" s="8"/>
      <c r="Q47" s="8"/>
      <c r="S47" s="8"/>
      <c r="T47" s="8"/>
      <c r="U47" s="8"/>
      <c r="V47" s="8"/>
    </row>
    <row r="48" spans="1:22" ht="3.75" customHeight="1">
      <c r="B48" s="55"/>
      <c r="C48" s="56"/>
      <c r="D48" s="56"/>
      <c r="E48" s="56"/>
    </row>
    <row r="49" spans="2:22">
      <c r="B49" s="38" t="s">
        <v>48</v>
      </c>
      <c r="D49" s="20"/>
      <c r="E49" s="20"/>
    </row>
    <row r="50" spans="2:22">
      <c r="B50" s="26" t="s">
        <v>0</v>
      </c>
      <c r="C50" s="72">
        <v>63356</v>
      </c>
      <c r="D50" s="72">
        <v>43835</v>
      </c>
      <c r="E50" s="20">
        <v>46817</v>
      </c>
      <c r="G50" s="22">
        <v>92677</v>
      </c>
      <c r="H50" s="22">
        <v>69386</v>
      </c>
      <c r="I50" s="22">
        <v>60390</v>
      </c>
      <c r="J50" s="139">
        <f>D50</f>
        <v>43835</v>
      </c>
      <c r="K50" s="22">
        <v>94311</v>
      </c>
      <c r="L50" s="22">
        <v>65968</v>
      </c>
      <c r="M50" s="22">
        <v>45009</v>
      </c>
      <c r="N50" s="139">
        <f>E50</f>
        <v>46817</v>
      </c>
      <c r="O50" s="22">
        <v>81326</v>
      </c>
      <c r="P50" s="22">
        <v>66923</v>
      </c>
      <c r="Q50" s="22">
        <v>46343</v>
      </c>
      <c r="S50" s="23">
        <f t="shared" ref="S50:S53" si="49">SUM(J50:M50)</f>
        <v>249123</v>
      </c>
      <c r="T50" s="23">
        <f t="shared" ref="T50:T53" si="50">SUM(N50:Q50)</f>
        <v>241409</v>
      </c>
      <c r="U50" s="23"/>
      <c r="V50" s="25">
        <f t="shared" ref="V50:V62" si="51">SUM(T50/S50)-1</f>
        <v>-3.0964623900643473E-2</v>
      </c>
    </row>
    <row r="51" spans="2:22">
      <c r="B51" s="26" t="s">
        <v>1</v>
      </c>
      <c r="C51" s="72">
        <v>1078</v>
      </c>
      <c r="D51" s="72">
        <v>7033</v>
      </c>
      <c r="E51" s="20">
        <v>1856</v>
      </c>
      <c r="G51" s="22">
        <v>6265</v>
      </c>
      <c r="H51" s="22">
        <v>6155</v>
      </c>
      <c r="I51" s="22">
        <v>6578</v>
      </c>
      <c r="J51" s="139">
        <f t="shared" ref="J51:J53" si="52">D51</f>
        <v>7033</v>
      </c>
      <c r="K51" s="22">
        <v>2153</v>
      </c>
      <c r="L51" s="22">
        <v>2085</v>
      </c>
      <c r="M51" s="22">
        <v>1865</v>
      </c>
      <c r="N51" s="139">
        <f t="shared" ref="N51:N53" si="53">E51</f>
        <v>1856</v>
      </c>
      <c r="O51" s="22">
        <v>2402</v>
      </c>
      <c r="P51" s="22">
        <v>1878</v>
      </c>
      <c r="Q51" s="22">
        <v>1862</v>
      </c>
      <c r="S51" s="23">
        <f t="shared" si="49"/>
        <v>13136</v>
      </c>
      <c r="T51" s="23">
        <f t="shared" si="50"/>
        <v>7998</v>
      </c>
      <c r="U51" s="23"/>
      <c r="V51" s="25">
        <f t="shared" si="51"/>
        <v>-0.39113885505481116</v>
      </c>
    </row>
    <row r="52" spans="2:22">
      <c r="B52" s="26" t="s">
        <v>110</v>
      </c>
      <c r="C52" s="72">
        <v>189280</v>
      </c>
      <c r="D52" s="72">
        <v>189280</v>
      </c>
      <c r="E52" s="20">
        <v>183815</v>
      </c>
      <c r="G52" s="22">
        <v>126930</v>
      </c>
      <c r="H52" s="22">
        <v>118645</v>
      </c>
      <c r="I52" s="22">
        <v>109926</v>
      </c>
      <c r="J52" s="139">
        <f t="shared" si="52"/>
        <v>189280</v>
      </c>
      <c r="K52" s="22">
        <v>139178</v>
      </c>
      <c r="L52" s="22">
        <v>121901</v>
      </c>
      <c r="M52" s="22">
        <v>128650</v>
      </c>
      <c r="N52" s="139">
        <f t="shared" si="53"/>
        <v>183815</v>
      </c>
      <c r="O52" s="22">
        <v>115150</v>
      </c>
      <c r="P52" s="22">
        <v>112234</v>
      </c>
      <c r="Q52" s="22">
        <v>107169</v>
      </c>
      <c r="S52" s="23">
        <f t="shared" si="49"/>
        <v>579009</v>
      </c>
      <c r="T52" s="23">
        <f t="shared" si="50"/>
        <v>518368</v>
      </c>
      <c r="U52" s="23"/>
      <c r="V52" s="25">
        <f t="shared" si="51"/>
        <v>-0.10473239621491204</v>
      </c>
    </row>
    <row r="53" spans="2:22">
      <c r="B53" s="26" t="s">
        <v>111</v>
      </c>
      <c r="C53" s="72">
        <v>14251</v>
      </c>
      <c r="D53" s="72">
        <v>24418</v>
      </c>
      <c r="E53" s="20">
        <v>35407</v>
      </c>
      <c r="G53" s="22">
        <v>21116</v>
      </c>
      <c r="H53" s="22">
        <v>25496</v>
      </c>
      <c r="I53" s="22">
        <v>25399</v>
      </c>
      <c r="J53" s="139">
        <f t="shared" si="52"/>
        <v>24418</v>
      </c>
      <c r="K53" s="22">
        <v>24034</v>
      </c>
      <c r="L53" s="22">
        <v>19680</v>
      </c>
      <c r="M53" s="22">
        <v>24041</v>
      </c>
      <c r="N53" s="139">
        <f t="shared" si="53"/>
        <v>35407</v>
      </c>
      <c r="O53" s="22">
        <v>42714</v>
      </c>
      <c r="P53" s="22">
        <v>27234</v>
      </c>
      <c r="Q53" s="22">
        <v>30668</v>
      </c>
      <c r="S53" s="23">
        <f t="shared" si="49"/>
        <v>92173</v>
      </c>
      <c r="T53" s="23">
        <f t="shared" si="50"/>
        <v>136023</v>
      </c>
      <c r="U53" s="23"/>
      <c r="V53" s="25">
        <f t="shared" si="51"/>
        <v>0.47573584455317719</v>
      </c>
    </row>
    <row r="54" spans="2:22">
      <c r="B54" s="41" t="s">
        <v>2</v>
      </c>
      <c r="C54" s="57">
        <f>SUM(C50:C53)</f>
        <v>267965</v>
      </c>
      <c r="D54" s="57">
        <f>SUM(D50:D53)</f>
        <v>264566</v>
      </c>
      <c r="E54" s="57">
        <f>SUM(E50:E53)</f>
        <v>267895</v>
      </c>
      <c r="G54" s="57">
        <f>SUM(G50:G53)</f>
        <v>246988</v>
      </c>
      <c r="H54" s="57">
        <f>SUM(H50:H53)</f>
        <v>219682</v>
      </c>
      <c r="I54" s="57">
        <f>SUM(I50:I53)</f>
        <v>202293</v>
      </c>
      <c r="J54" s="57">
        <f>SUM(J50:J53)</f>
        <v>264566</v>
      </c>
      <c r="K54" s="57">
        <f>SUM(K50:K53)</f>
        <v>259676</v>
      </c>
      <c r="L54" s="57">
        <f>SUM(L50:L53)</f>
        <v>209634</v>
      </c>
      <c r="M54" s="57">
        <f>SUM(M50:M53)</f>
        <v>199565</v>
      </c>
      <c r="N54" s="57">
        <f>SUM(N50:N53)</f>
        <v>267895</v>
      </c>
      <c r="O54" s="57">
        <f>SUM(O50:O53)</f>
        <v>241592</v>
      </c>
      <c r="P54" s="57">
        <f>SUM(P50:P53)</f>
        <v>208269</v>
      </c>
      <c r="Q54" s="57">
        <f>SUM(Q50:Q53)</f>
        <v>186042</v>
      </c>
      <c r="S54" s="57">
        <f>SUM(S50:S53)</f>
        <v>933441</v>
      </c>
      <c r="T54" s="57">
        <f>SUM(T50:T53)</f>
        <v>903798</v>
      </c>
      <c r="U54" s="29"/>
      <c r="V54" s="30">
        <f t="shared" si="51"/>
        <v>-3.1756693781395895E-2</v>
      </c>
    </row>
    <row r="55" spans="2:22" ht="15.75">
      <c r="B55" s="38"/>
      <c r="C55" s="58"/>
      <c r="D55" s="59"/>
      <c r="E55" s="60"/>
      <c r="G55" s="60"/>
      <c r="H55" s="60"/>
      <c r="I55" s="60"/>
      <c r="J55" s="60"/>
      <c r="K55" s="60"/>
      <c r="L55" s="60"/>
      <c r="M55" s="60"/>
      <c r="N55" s="60"/>
      <c r="O55" s="60"/>
      <c r="P55" s="60"/>
      <c r="S55" s="29"/>
      <c r="T55" s="29"/>
      <c r="U55" s="29"/>
      <c r="V55" s="34"/>
    </row>
    <row r="56" spans="2:22" ht="15.75">
      <c r="B56" s="38" t="s">
        <v>49</v>
      </c>
      <c r="C56" s="58"/>
      <c r="D56" s="59"/>
      <c r="E56" s="60"/>
      <c r="G56" s="60"/>
      <c r="H56" s="60"/>
      <c r="I56" s="60"/>
      <c r="J56" s="60"/>
      <c r="K56" s="60"/>
      <c r="L56" s="60"/>
      <c r="M56" s="60"/>
      <c r="N56" s="60"/>
      <c r="O56" s="60"/>
      <c r="P56" s="60"/>
      <c r="S56" s="29"/>
      <c r="T56" s="29"/>
      <c r="U56" s="29"/>
      <c r="V56" s="34"/>
    </row>
    <row r="57" spans="2:22">
      <c r="B57" s="26" t="s">
        <v>112</v>
      </c>
      <c r="C57" s="72">
        <v>2850210</v>
      </c>
      <c r="D57" s="72">
        <v>1840028</v>
      </c>
      <c r="E57" s="61">
        <v>3626476</v>
      </c>
      <c r="G57" s="22">
        <v>2895619</v>
      </c>
      <c r="H57" s="22">
        <v>1987781</v>
      </c>
      <c r="I57" s="22">
        <v>1993032</v>
      </c>
      <c r="J57" s="139">
        <f t="shared" ref="J57:J61" si="54">D57</f>
        <v>1840028</v>
      </c>
      <c r="K57" s="22">
        <v>2000392</v>
      </c>
      <c r="L57" s="22">
        <v>2323252</v>
      </c>
      <c r="M57" s="22">
        <v>2451374</v>
      </c>
      <c r="N57" s="139">
        <f t="shared" ref="N57:N61" si="55">E57</f>
        <v>3626476</v>
      </c>
      <c r="O57" s="22">
        <v>5074152</v>
      </c>
      <c r="P57" s="22">
        <v>5687890</v>
      </c>
      <c r="Q57" s="22">
        <v>6850879</v>
      </c>
      <c r="S57" s="23">
        <f t="shared" ref="S57:S61" si="56">SUM(J57:M57)</f>
        <v>8615046</v>
      </c>
      <c r="T57" s="23">
        <f t="shared" ref="T57:T61" si="57">SUM(N57:Q57)</f>
        <v>21239397</v>
      </c>
      <c r="U57" s="23"/>
      <c r="V57" s="25">
        <f t="shared" si="51"/>
        <v>1.4653840501838293</v>
      </c>
    </row>
    <row r="58" spans="2:22">
      <c r="B58" s="26" t="s">
        <v>3</v>
      </c>
      <c r="C58" s="72">
        <v>36587</v>
      </c>
      <c r="D58" s="72">
        <v>32311</v>
      </c>
      <c r="E58" s="61">
        <v>28941</v>
      </c>
      <c r="G58" s="22">
        <v>35680</v>
      </c>
      <c r="H58" s="22">
        <v>34580</v>
      </c>
      <c r="I58" s="22">
        <v>33033</v>
      </c>
      <c r="J58" s="139">
        <f t="shared" si="54"/>
        <v>32311</v>
      </c>
      <c r="K58" s="22">
        <v>31338</v>
      </c>
      <c r="L58" s="22">
        <v>30507</v>
      </c>
      <c r="M58" s="22">
        <v>30192</v>
      </c>
      <c r="N58" s="139">
        <f t="shared" si="55"/>
        <v>28941</v>
      </c>
      <c r="O58" s="22">
        <v>29108</v>
      </c>
      <c r="P58" s="22">
        <v>28332</v>
      </c>
      <c r="Q58" s="22">
        <v>27517</v>
      </c>
      <c r="S58" s="23">
        <f t="shared" si="56"/>
        <v>124348</v>
      </c>
      <c r="T58" s="23">
        <f t="shared" si="57"/>
        <v>113898</v>
      </c>
      <c r="U58" s="23"/>
      <c r="V58" s="25">
        <f t="shared" si="51"/>
        <v>-8.4038344002316134E-2</v>
      </c>
    </row>
    <row r="59" spans="2:22">
      <c r="B59" s="26" t="s">
        <v>113</v>
      </c>
      <c r="C59" s="72">
        <v>66760</v>
      </c>
      <c r="D59" s="72">
        <v>61299</v>
      </c>
      <c r="E59" s="61">
        <v>57343</v>
      </c>
      <c r="G59" s="22">
        <v>64637</v>
      </c>
      <c r="H59" s="22">
        <v>65169</v>
      </c>
      <c r="I59" s="22">
        <v>62902</v>
      </c>
      <c r="J59" s="139">
        <f t="shared" si="54"/>
        <v>61299</v>
      </c>
      <c r="K59" s="22">
        <v>59655</v>
      </c>
      <c r="L59" s="22">
        <v>58264</v>
      </c>
      <c r="M59" s="22">
        <v>54542</v>
      </c>
      <c r="N59" s="139">
        <f t="shared" si="55"/>
        <v>57343</v>
      </c>
      <c r="O59" s="22">
        <v>55093</v>
      </c>
      <c r="P59" s="22">
        <v>53591</v>
      </c>
      <c r="Q59" s="22">
        <v>55308</v>
      </c>
      <c r="S59" s="23">
        <f t="shared" si="56"/>
        <v>233760</v>
      </c>
      <c r="T59" s="23">
        <f t="shared" si="57"/>
        <v>221335</v>
      </c>
      <c r="U59" s="23"/>
      <c r="V59" s="25">
        <f t="shared" si="51"/>
        <v>-5.3152806297056765E-2</v>
      </c>
    </row>
    <row r="60" spans="2:22">
      <c r="B60" s="26" t="s">
        <v>114</v>
      </c>
      <c r="C60" s="72">
        <v>15820</v>
      </c>
      <c r="D60" s="72">
        <v>23916</v>
      </c>
      <c r="E60" s="61">
        <v>24300</v>
      </c>
      <c r="G60" s="22">
        <v>18181</v>
      </c>
      <c r="H60" s="22">
        <v>17786</v>
      </c>
      <c r="I60" s="22">
        <v>20992</v>
      </c>
      <c r="J60" s="139">
        <f t="shared" si="54"/>
        <v>23916</v>
      </c>
      <c r="K60" s="22">
        <v>23825</v>
      </c>
      <c r="L60" s="22">
        <v>22421</v>
      </c>
      <c r="M60" s="22">
        <v>24156</v>
      </c>
      <c r="N60" s="139">
        <f t="shared" si="55"/>
        <v>24300</v>
      </c>
      <c r="O60" s="22">
        <v>31757</v>
      </c>
      <c r="P60" s="22">
        <v>43449</v>
      </c>
      <c r="Q60" s="22">
        <v>51109</v>
      </c>
      <c r="S60" s="23">
        <f t="shared" si="56"/>
        <v>94318</v>
      </c>
      <c r="T60" s="23">
        <f t="shared" si="57"/>
        <v>150615</v>
      </c>
      <c r="U60" s="23"/>
      <c r="V60" s="25">
        <f t="shared" si="51"/>
        <v>0.59688500604338524</v>
      </c>
    </row>
    <row r="61" spans="2:22">
      <c r="B61" s="26" t="s">
        <v>115</v>
      </c>
      <c r="C61" s="72">
        <v>319782</v>
      </c>
      <c r="D61" s="72">
        <v>188152</v>
      </c>
      <c r="E61" s="61">
        <v>757573</v>
      </c>
      <c r="G61" s="22">
        <v>377282</v>
      </c>
      <c r="H61" s="22">
        <v>243367</v>
      </c>
      <c r="I61" s="22">
        <v>233034</v>
      </c>
      <c r="J61" s="139">
        <f t="shared" si="54"/>
        <v>188152</v>
      </c>
      <c r="K61" s="22">
        <v>651516</v>
      </c>
      <c r="L61" s="22">
        <v>719026</v>
      </c>
      <c r="M61" s="22">
        <v>614112</v>
      </c>
      <c r="N61" s="139">
        <f t="shared" si="55"/>
        <v>757573</v>
      </c>
      <c r="O61" s="22">
        <v>919837</v>
      </c>
      <c r="P61" s="22">
        <v>1031542</v>
      </c>
      <c r="Q61" s="22">
        <v>1172726</v>
      </c>
      <c r="S61" s="23">
        <f t="shared" si="56"/>
        <v>2172806</v>
      </c>
      <c r="T61" s="23">
        <f t="shared" si="57"/>
        <v>3881678</v>
      </c>
      <c r="U61" s="23"/>
      <c r="V61" s="25">
        <f t="shared" si="51"/>
        <v>0.78648162790419396</v>
      </c>
    </row>
    <row r="62" spans="2:22">
      <c r="B62" s="41" t="s">
        <v>4</v>
      </c>
      <c r="C62" s="62">
        <f>SUM(C57:C61)+C54</f>
        <v>3557124</v>
      </c>
      <c r="D62" s="62">
        <f>SUM(D57:D61)+D54</f>
        <v>2410272</v>
      </c>
      <c r="E62" s="62">
        <f>SUM(E57:E61)+E54</f>
        <v>4762528</v>
      </c>
      <c r="G62" s="62">
        <f t="shared" ref="G62:P62" si="58">SUM(G57:G61)+G54</f>
        <v>3638387</v>
      </c>
      <c r="H62" s="62">
        <f t="shared" si="58"/>
        <v>2568365</v>
      </c>
      <c r="I62" s="62">
        <f t="shared" si="58"/>
        <v>2545286</v>
      </c>
      <c r="J62" s="62">
        <f t="shared" si="58"/>
        <v>2410272</v>
      </c>
      <c r="K62" s="62">
        <f t="shared" si="58"/>
        <v>3026402</v>
      </c>
      <c r="L62" s="62">
        <f t="shared" si="58"/>
        <v>3363104</v>
      </c>
      <c r="M62" s="62">
        <f t="shared" si="58"/>
        <v>3373941</v>
      </c>
      <c r="N62" s="62">
        <f t="shared" si="58"/>
        <v>4762528</v>
      </c>
      <c r="O62" s="62">
        <f t="shared" si="58"/>
        <v>6351539</v>
      </c>
      <c r="P62" s="62">
        <f t="shared" si="58"/>
        <v>7053073</v>
      </c>
      <c r="Q62" s="62">
        <f t="shared" ref="Q62" si="59">SUM(Q57:Q61)+Q54</f>
        <v>8343581</v>
      </c>
      <c r="S62" s="62">
        <f t="shared" ref="S62:T62" si="60">SUM(S57:S61)+S54</f>
        <v>12173719</v>
      </c>
      <c r="T62" s="62">
        <f t="shared" si="60"/>
        <v>26510721</v>
      </c>
      <c r="U62" s="29"/>
      <c r="V62" s="30">
        <f t="shared" si="51"/>
        <v>1.1777010788568392</v>
      </c>
    </row>
    <row r="63" spans="2:22" ht="15.75">
      <c r="B63" s="38"/>
      <c r="C63" s="63"/>
      <c r="D63" s="63"/>
      <c r="E63" s="60"/>
      <c r="G63" s="60"/>
      <c r="H63" s="60"/>
      <c r="I63" s="60"/>
      <c r="J63" s="60"/>
      <c r="K63" s="60"/>
      <c r="L63" s="60"/>
      <c r="M63" s="60"/>
      <c r="N63" s="60"/>
      <c r="O63" s="60"/>
      <c r="P63" s="60"/>
      <c r="S63" s="29"/>
      <c r="T63" s="29"/>
      <c r="U63" s="29"/>
      <c r="V63" s="34"/>
    </row>
    <row r="64" spans="2:22" s="65" customFormat="1" ht="15.75">
      <c r="B64" s="38" t="s">
        <v>50</v>
      </c>
      <c r="C64" s="58"/>
      <c r="D64" s="58"/>
      <c r="E64" s="64"/>
      <c r="G64" s="64"/>
      <c r="H64" s="64"/>
      <c r="I64" s="64"/>
      <c r="J64" s="64"/>
      <c r="K64" s="64"/>
      <c r="L64" s="64"/>
      <c r="M64" s="64"/>
      <c r="N64" s="64"/>
      <c r="O64" s="64"/>
      <c r="P64" s="64"/>
      <c r="R64" s="176"/>
      <c r="S64" s="64"/>
      <c r="T64" s="64"/>
      <c r="U64" s="64"/>
    </row>
    <row r="65" spans="2:22">
      <c r="B65" s="66" t="s">
        <v>116</v>
      </c>
      <c r="C65" s="72">
        <v>46084</v>
      </c>
      <c r="D65" s="72">
        <v>42976</v>
      </c>
      <c r="E65" s="61">
        <v>43090</v>
      </c>
      <c r="G65" s="22">
        <v>44388</v>
      </c>
      <c r="H65" s="22">
        <v>35960</v>
      </c>
      <c r="I65" s="22">
        <v>36846</v>
      </c>
      <c r="J65" s="139">
        <f t="shared" ref="J65:J69" si="61">D65</f>
        <v>42976</v>
      </c>
      <c r="K65" s="22">
        <v>50604</v>
      </c>
      <c r="L65" s="22">
        <v>33660</v>
      </c>
      <c r="M65" s="22">
        <v>34306</v>
      </c>
      <c r="N65" s="139">
        <f t="shared" ref="N65" si="62">H65</f>
        <v>35960</v>
      </c>
      <c r="O65" s="22">
        <v>41866</v>
      </c>
      <c r="P65" s="22">
        <v>44188</v>
      </c>
      <c r="Q65" s="22">
        <v>45714</v>
      </c>
      <c r="S65" s="23">
        <f t="shared" ref="S65:S68" si="63">SUM(J65:M65)</f>
        <v>161546</v>
      </c>
      <c r="T65" s="23">
        <f t="shared" ref="T65:T68" si="64">SUM(N65:Q65)</f>
        <v>167728</v>
      </c>
      <c r="U65" s="23"/>
      <c r="V65" s="25">
        <f t="shared" ref="V65:V69" si="65">SUM(T65/S65)-1</f>
        <v>3.8267737981751315E-2</v>
      </c>
    </row>
    <row r="66" spans="2:22">
      <c r="B66" s="66" t="s">
        <v>117</v>
      </c>
      <c r="C66" s="72">
        <v>54548</v>
      </c>
      <c r="D66" s="72">
        <v>53716</v>
      </c>
      <c r="E66" s="61">
        <v>50045</v>
      </c>
      <c r="G66" s="22">
        <v>43726</v>
      </c>
      <c r="H66" s="22">
        <v>47773</v>
      </c>
      <c r="I66" s="22">
        <v>46346</v>
      </c>
      <c r="J66" s="139">
        <f t="shared" si="61"/>
        <v>53716</v>
      </c>
      <c r="K66" s="22">
        <v>39199</v>
      </c>
      <c r="L66" s="22">
        <v>41492</v>
      </c>
      <c r="M66" s="22">
        <v>43405</v>
      </c>
      <c r="N66" s="139">
        <f t="shared" ref="N66:N69" si="66">E66</f>
        <v>50045</v>
      </c>
      <c r="O66" s="22">
        <v>40617</v>
      </c>
      <c r="P66" s="22">
        <v>46853</v>
      </c>
      <c r="Q66" s="22">
        <v>51686</v>
      </c>
      <c r="S66" s="23">
        <f t="shared" si="63"/>
        <v>177812</v>
      </c>
      <c r="T66" s="23">
        <f t="shared" si="64"/>
        <v>189201</v>
      </c>
      <c r="U66" s="23"/>
      <c r="V66" s="25">
        <f t="shared" si="65"/>
        <v>6.405079522191981E-2</v>
      </c>
    </row>
    <row r="67" spans="2:22">
      <c r="B67" s="66" t="s">
        <v>118</v>
      </c>
      <c r="C67" s="72">
        <v>1493</v>
      </c>
      <c r="D67" s="72">
        <v>2829</v>
      </c>
      <c r="E67" s="61">
        <v>1493</v>
      </c>
      <c r="G67" s="22">
        <v>10544</v>
      </c>
      <c r="H67" s="22">
        <v>2269</v>
      </c>
      <c r="I67" s="22">
        <v>11394</v>
      </c>
      <c r="J67" s="139">
        <f t="shared" si="61"/>
        <v>2829</v>
      </c>
      <c r="K67" s="22">
        <v>10368</v>
      </c>
      <c r="L67" s="22">
        <v>1493</v>
      </c>
      <c r="M67" s="22">
        <v>10368</v>
      </c>
      <c r="N67" s="139">
        <f t="shared" si="66"/>
        <v>1493</v>
      </c>
      <c r="O67" s="22">
        <v>10878</v>
      </c>
      <c r="P67" s="22">
        <v>5066</v>
      </c>
      <c r="Q67" s="22">
        <v>5800</v>
      </c>
      <c r="S67" s="23">
        <f t="shared" si="63"/>
        <v>25058</v>
      </c>
      <c r="T67" s="23">
        <f t="shared" si="64"/>
        <v>23237</v>
      </c>
      <c r="U67" s="23"/>
      <c r="V67" s="25">
        <f t="shared" si="65"/>
        <v>-7.2671402346556002E-2</v>
      </c>
    </row>
    <row r="68" spans="2:22">
      <c r="B68" s="66" t="s">
        <v>119</v>
      </c>
      <c r="C68" s="72">
        <v>0</v>
      </c>
      <c r="D68" s="72">
        <v>454</v>
      </c>
      <c r="E68" s="61">
        <v>483</v>
      </c>
      <c r="G68" s="22"/>
      <c r="H68" s="22"/>
      <c r="I68" s="22"/>
      <c r="J68" s="139">
        <f t="shared" si="61"/>
        <v>454</v>
      </c>
      <c r="K68" s="22">
        <v>460</v>
      </c>
      <c r="L68" s="22">
        <v>468</v>
      </c>
      <c r="M68" s="22">
        <v>475</v>
      </c>
      <c r="N68" s="139">
        <f t="shared" si="66"/>
        <v>483</v>
      </c>
      <c r="O68" s="22">
        <v>492</v>
      </c>
      <c r="P68" s="22">
        <v>145119</v>
      </c>
      <c r="Q68" s="22">
        <v>509</v>
      </c>
      <c r="S68" s="23">
        <f t="shared" si="63"/>
        <v>1857</v>
      </c>
      <c r="T68" s="23">
        <f t="shared" si="64"/>
        <v>146603</v>
      </c>
      <c r="U68" s="23"/>
      <c r="V68" s="25">
        <f t="shared" si="65"/>
        <v>77.946149703823366</v>
      </c>
    </row>
    <row r="69" spans="2:22">
      <c r="B69" s="66" t="s">
        <v>120</v>
      </c>
      <c r="C69" s="72">
        <v>209860</v>
      </c>
      <c r="D69" s="72">
        <v>217428</v>
      </c>
      <c r="E69" s="61">
        <v>228162</v>
      </c>
      <c r="G69" s="22">
        <v>206217</v>
      </c>
      <c r="H69" s="22">
        <v>188098</v>
      </c>
      <c r="I69" s="22">
        <v>165934</v>
      </c>
      <c r="J69" s="139">
        <f t="shared" si="61"/>
        <v>217428</v>
      </c>
      <c r="K69" s="22">
        <v>211768</v>
      </c>
      <c r="L69" s="22">
        <v>195817</v>
      </c>
      <c r="M69" s="22">
        <v>179167</v>
      </c>
      <c r="N69" s="139">
        <f t="shared" si="66"/>
        <v>228162</v>
      </c>
      <c r="O69" s="22">
        <v>215955</v>
      </c>
      <c r="P69" s="22">
        <v>204837</v>
      </c>
      <c r="Q69" s="22">
        <v>184402</v>
      </c>
      <c r="S69" s="23">
        <f>SUM(J69:M69)</f>
        <v>804180</v>
      </c>
      <c r="T69" s="23">
        <f>SUM(N69:Q69)</f>
        <v>833356</v>
      </c>
      <c r="U69" s="23"/>
      <c r="V69" s="25">
        <f t="shared" si="65"/>
        <v>3.6280434728543254E-2</v>
      </c>
    </row>
    <row r="70" spans="2:22">
      <c r="B70" s="41" t="s">
        <v>5</v>
      </c>
      <c r="C70" s="62">
        <f>SUM(C65:C69)</f>
        <v>311985</v>
      </c>
      <c r="D70" s="62">
        <f>SUM(D65:D69)</f>
        <v>317403</v>
      </c>
      <c r="E70" s="62">
        <f>SUM(E65:E69)</f>
        <v>323273</v>
      </c>
      <c r="G70" s="62">
        <f>SUM(G65:G69)</f>
        <v>304875</v>
      </c>
      <c r="H70" s="62">
        <f>SUM(H65:H69)</f>
        <v>274100</v>
      </c>
      <c r="I70" s="62">
        <f>SUM(I65:I69)</f>
        <v>260520</v>
      </c>
      <c r="J70" s="62">
        <f>SUM(J65:J69)</f>
        <v>317403</v>
      </c>
      <c r="K70" s="62">
        <f>SUM(K65:K69)</f>
        <v>312399</v>
      </c>
      <c r="L70" s="62">
        <f>SUM(L65:L69)</f>
        <v>272930</v>
      </c>
      <c r="M70" s="62">
        <f>SUM(M65:M69)</f>
        <v>267721</v>
      </c>
      <c r="N70" s="62">
        <f>SUM(N65:N69)</f>
        <v>316143</v>
      </c>
      <c r="O70" s="62">
        <f>SUM(O65:O69)</f>
        <v>309808</v>
      </c>
      <c r="P70" s="62">
        <f>SUM(P65:P69)</f>
        <v>446063</v>
      </c>
      <c r="Q70" s="62">
        <f>SUM(Q65:Q69)</f>
        <v>288111</v>
      </c>
      <c r="S70" s="62">
        <f>SUM(S65:S69)</f>
        <v>1170453</v>
      </c>
      <c r="T70" s="62">
        <f>SUM(T65:T69)</f>
        <v>1360125</v>
      </c>
      <c r="U70" s="29"/>
      <c r="V70" s="30">
        <f>SUM(T70/S70)-1</f>
        <v>0.1620500780467049</v>
      </c>
    </row>
    <row r="71" spans="2:22" ht="15.75">
      <c r="B71" s="38"/>
      <c r="C71" s="63"/>
      <c r="D71" s="67"/>
      <c r="E71" s="60"/>
      <c r="G71" s="60"/>
      <c r="H71" s="60"/>
      <c r="I71" s="60"/>
      <c r="J71" s="60"/>
      <c r="K71" s="60"/>
      <c r="L71" s="60"/>
      <c r="M71" s="60"/>
      <c r="N71" s="60"/>
      <c r="O71" s="60"/>
      <c r="P71" s="60"/>
      <c r="S71" s="29"/>
      <c r="T71" s="29"/>
      <c r="U71" s="29"/>
      <c r="V71" s="34"/>
    </row>
    <row r="72" spans="2:22" ht="15.75">
      <c r="B72" s="38" t="s">
        <v>51</v>
      </c>
      <c r="C72" s="63"/>
      <c r="D72" s="67"/>
      <c r="E72" s="60"/>
      <c r="G72" s="60"/>
      <c r="H72" s="60"/>
      <c r="I72" s="60"/>
      <c r="J72" s="60"/>
      <c r="K72" s="60"/>
      <c r="L72" s="60"/>
      <c r="M72" s="60"/>
      <c r="N72" s="60"/>
      <c r="O72" s="60"/>
      <c r="P72" s="60"/>
      <c r="S72" s="29"/>
      <c r="T72" s="29"/>
      <c r="U72" s="29"/>
      <c r="V72" s="34"/>
    </row>
    <row r="73" spans="2:22">
      <c r="B73" s="26" t="s">
        <v>121</v>
      </c>
      <c r="C73" s="68">
        <v>2155151</v>
      </c>
      <c r="D73" s="68">
        <v>2378560</v>
      </c>
      <c r="E73" s="22">
        <v>2182108</v>
      </c>
      <c r="F73" s="69"/>
      <c r="G73" s="22">
        <v>2361865</v>
      </c>
      <c r="H73" s="22">
        <v>2374863</v>
      </c>
      <c r="I73" s="22">
        <v>2376935</v>
      </c>
      <c r="J73" s="139">
        <f t="shared" ref="J73:J77" si="67">D73</f>
        <v>2378560</v>
      </c>
      <c r="K73" s="22">
        <v>2175918</v>
      </c>
      <c r="L73" s="22">
        <v>2177974</v>
      </c>
      <c r="M73" s="22">
        <v>2180038</v>
      </c>
      <c r="N73" s="139">
        <f t="shared" ref="N73:N77" si="68">H73</f>
        <v>2374863</v>
      </c>
      <c r="O73" s="22">
        <v>3558801</v>
      </c>
      <c r="P73" s="22">
        <v>3703381</v>
      </c>
      <c r="Q73" s="22">
        <v>4211949</v>
      </c>
      <c r="S73" s="23">
        <f t="shared" ref="S73:S77" si="69">SUM(J73:M73)</f>
        <v>8912490</v>
      </c>
      <c r="T73" s="23">
        <f t="shared" ref="T73:T77" si="70">SUM(N73:Q73)</f>
        <v>13848994</v>
      </c>
      <c r="U73" s="29"/>
      <c r="V73" s="25">
        <f t="shared" ref="V73:V76" si="71">SUM(T73/S73)-1</f>
        <v>0.5538860632662701</v>
      </c>
    </row>
    <row r="74" spans="2:22">
      <c r="B74" s="26" t="s">
        <v>120</v>
      </c>
      <c r="C74" s="68">
        <v>8089</v>
      </c>
      <c r="D74" s="68">
        <v>12763</v>
      </c>
      <c r="E74" s="22">
        <v>8524</v>
      </c>
      <c r="F74" s="69"/>
      <c r="G74" s="22">
        <v>8236</v>
      </c>
      <c r="H74" s="22">
        <v>8497</v>
      </c>
      <c r="I74" s="22">
        <v>8754</v>
      </c>
      <c r="J74" s="139">
        <f t="shared" si="67"/>
        <v>12763</v>
      </c>
      <c r="K74" s="22">
        <v>11646</v>
      </c>
      <c r="L74" s="22">
        <v>11244</v>
      </c>
      <c r="M74" s="22">
        <v>7638</v>
      </c>
      <c r="N74" s="139">
        <f t="shared" si="68"/>
        <v>8497</v>
      </c>
      <c r="O74" s="22">
        <v>6486</v>
      </c>
      <c r="P74" s="22">
        <v>5964</v>
      </c>
      <c r="Q74" s="22">
        <v>6344</v>
      </c>
      <c r="S74" s="23">
        <f t="shared" si="69"/>
        <v>43291</v>
      </c>
      <c r="T74" s="23">
        <f t="shared" si="70"/>
        <v>27291</v>
      </c>
      <c r="U74" s="29"/>
      <c r="V74" s="25">
        <f t="shared" si="71"/>
        <v>-0.36959183202051238</v>
      </c>
    </row>
    <row r="75" spans="2:22">
      <c r="B75" s="66" t="s">
        <v>6</v>
      </c>
      <c r="C75" s="68">
        <v>76608</v>
      </c>
      <c r="D75" s="68">
        <v>67344</v>
      </c>
      <c r="E75" s="22">
        <v>61086</v>
      </c>
      <c r="F75" s="69"/>
      <c r="G75" s="22">
        <v>73956</v>
      </c>
      <c r="H75" s="22">
        <v>72162</v>
      </c>
      <c r="I75" s="22">
        <v>69278</v>
      </c>
      <c r="J75" s="139">
        <f t="shared" si="67"/>
        <v>67344</v>
      </c>
      <c r="K75" s="22">
        <v>65355</v>
      </c>
      <c r="L75" s="22">
        <v>63814</v>
      </c>
      <c r="M75" s="22">
        <v>59720</v>
      </c>
      <c r="N75" s="139">
        <f t="shared" si="68"/>
        <v>72162</v>
      </c>
      <c r="O75" s="22">
        <v>58430</v>
      </c>
      <c r="P75" s="22">
        <v>56544</v>
      </c>
      <c r="Q75" s="22">
        <v>57495</v>
      </c>
      <c r="S75" s="23">
        <f t="shared" si="69"/>
        <v>256233</v>
      </c>
      <c r="T75" s="23">
        <f t="shared" si="70"/>
        <v>244631</v>
      </c>
      <c r="U75" s="23"/>
      <c r="V75" s="25">
        <f t="shared" si="71"/>
        <v>-4.527910144282743E-2</v>
      </c>
    </row>
    <row r="76" spans="2:22">
      <c r="B76" s="66" t="s">
        <v>7</v>
      </c>
      <c r="C76" s="68">
        <v>26224</v>
      </c>
      <c r="D76" s="68">
        <v>17124</v>
      </c>
      <c r="E76" s="22">
        <v>22208</v>
      </c>
      <c r="F76" s="69"/>
      <c r="G76" s="22">
        <v>26347</v>
      </c>
      <c r="H76" s="22">
        <v>25706</v>
      </c>
      <c r="I76" s="22">
        <v>30088</v>
      </c>
      <c r="J76" s="139">
        <f t="shared" si="67"/>
        <v>17124</v>
      </c>
      <c r="K76" s="22">
        <v>17675</v>
      </c>
      <c r="L76" s="22">
        <v>17826</v>
      </c>
      <c r="M76" s="22">
        <v>18231</v>
      </c>
      <c r="N76" s="139">
        <f t="shared" si="68"/>
        <v>25706</v>
      </c>
      <c r="O76" s="22">
        <v>17552</v>
      </c>
      <c r="P76" s="22">
        <v>5965</v>
      </c>
      <c r="Q76" s="22">
        <v>5676</v>
      </c>
      <c r="S76" s="23">
        <f t="shared" si="69"/>
        <v>70856</v>
      </c>
      <c r="T76" s="23">
        <f t="shared" si="70"/>
        <v>54899</v>
      </c>
      <c r="U76" s="23"/>
      <c r="V76" s="25">
        <f t="shared" si="71"/>
        <v>-0.2252032290843401</v>
      </c>
    </row>
    <row r="77" spans="2:22">
      <c r="B77" s="66" t="s">
        <v>122</v>
      </c>
      <c r="C77" s="68">
        <v>109</v>
      </c>
      <c r="D77" s="68">
        <v>198</v>
      </c>
      <c r="E77" s="22">
        <v>357</v>
      </c>
      <c r="F77" s="69"/>
      <c r="G77" s="22">
        <v>109</v>
      </c>
      <c r="H77" s="22">
        <v>105</v>
      </c>
      <c r="I77" s="22">
        <v>0</v>
      </c>
      <c r="J77" s="139">
        <f t="shared" si="67"/>
        <v>198</v>
      </c>
      <c r="K77" s="22">
        <v>198</v>
      </c>
      <c r="L77" s="22">
        <v>198</v>
      </c>
      <c r="M77" s="22">
        <v>198</v>
      </c>
      <c r="N77" s="139">
        <f t="shared" si="68"/>
        <v>105</v>
      </c>
      <c r="O77" s="22">
        <v>357</v>
      </c>
      <c r="P77" s="22">
        <v>357</v>
      </c>
      <c r="Q77" s="22">
        <v>357</v>
      </c>
      <c r="S77" s="23">
        <f t="shared" si="69"/>
        <v>792</v>
      </c>
      <c r="T77" s="23">
        <f t="shared" si="70"/>
        <v>1176</v>
      </c>
      <c r="U77" s="23"/>
      <c r="V77" s="25">
        <f>SUM(T77/S77)-1</f>
        <v>0.48484848484848486</v>
      </c>
    </row>
    <row r="78" spans="2:22">
      <c r="B78" s="41" t="s">
        <v>52</v>
      </c>
      <c r="C78" s="57">
        <f t="shared" ref="C78:E78" si="72">SUM(C73:C77)+C70</f>
        <v>2578166</v>
      </c>
      <c r="D78" s="57">
        <f t="shared" si="72"/>
        <v>2793392</v>
      </c>
      <c r="E78" s="57">
        <f t="shared" si="72"/>
        <v>2597556</v>
      </c>
      <c r="G78" s="57">
        <f t="shared" ref="G78:O78" si="73">SUM(G73:G77)+G70</f>
        <v>2775388</v>
      </c>
      <c r="H78" s="57">
        <f t="shared" si="73"/>
        <v>2755433</v>
      </c>
      <c r="I78" s="57">
        <f t="shared" si="73"/>
        <v>2745575</v>
      </c>
      <c r="J78" s="57">
        <f t="shared" si="73"/>
        <v>2793392</v>
      </c>
      <c r="K78" s="57">
        <f t="shared" si="73"/>
        <v>2583191</v>
      </c>
      <c r="L78" s="57">
        <f t="shared" si="73"/>
        <v>2543986</v>
      </c>
      <c r="M78" s="57">
        <f t="shared" si="73"/>
        <v>2533546</v>
      </c>
      <c r="N78" s="57">
        <f t="shared" si="73"/>
        <v>2797476</v>
      </c>
      <c r="O78" s="57">
        <f t="shared" si="73"/>
        <v>3951434</v>
      </c>
      <c r="P78" s="57">
        <f>SUM(P73:P77)+P70</f>
        <v>4218274</v>
      </c>
      <c r="Q78" s="57">
        <f>SUM(Q73:Q77)+Q70</f>
        <v>4569932</v>
      </c>
      <c r="S78" s="57">
        <f t="shared" ref="S78:T78" si="74">SUM(S73:S77)+S70</f>
        <v>10454115</v>
      </c>
      <c r="T78" s="57">
        <f t="shared" si="74"/>
        <v>15537116</v>
      </c>
      <c r="U78" s="29"/>
      <c r="V78" s="30">
        <f>SUM(T78/S78)-1</f>
        <v>0.48622011523691877</v>
      </c>
    </row>
    <row r="79" spans="2:22" ht="15.75">
      <c r="B79" s="38"/>
      <c r="C79" s="58"/>
      <c r="D79" s="59"/>
      <c r="E79" s="60"/>
      <c r="G79" s="60"/>
      <c r="H79" s="60"/>
      <c r="I79" s="60"/>
      <c r="J79" s="60"/>
      <c r="K79" s="60"/>
      <c r="L79" s="60"/>
      <c r="M79" s="60"/>
      <c r="N79" s="60"/>
      <c r="O79" s="60"/>
      <c r="P79" s="60"/>
      <c r="S79" s="29"/>
      <c r="T79" s="29"/>
      <c r="U79" s="29"/>
      <c r="V79" s="34"/>
    </row>
    <row r="80" spans="2:22">
      <c r="B80" s="38" t="s">
        <v>53</v>
      </c>
      <c r="C80" s="21"/>
      <c r="D80" s="70"/>
      <c r="E80" s="20"/>
      <c r="G80" s="20"/>
      <c r="H80" s="20"/>
      <c r="I80" s="20"/>
      <c r="J80" s="20"/>
      <c r="K80" s="20"/>
      <c r="L80" s="20"/>
      <c r="M80" s="20"/>
      <c r="N80" s="20"/>
      <c r="O80" s="20"/>
      <c r="P80" s="20"/>
    </row>
    <row r="81" spans="2:22">
      <c r="B81" s="66" t="s">
        <v>123</v>
      </c>
      <c r="C81" s="61">
        <v>0</v>
      </c>
      <c r="D81" s="61">
        <v>0</v>
      </c>
      <c r="E81" s="61">
        <v>0</v>
      </c>
      <c r="F81" s="71"/>
      <c r="G81" s="22">
        <v>0</v>
      </c>
      <c r="H81" s="22">
        <v>0</v>
      </c>
      <c r="I81" s="22">
        <v>0</v>
      </c>
      <c r="J81" s="139">
        <f t="shared" ref="J81:J87" si="75">D81</f>
        <v>0</v>
      </c>
      <c r="K81" s="22">
        <v>0</v>
      </c>
      <c r="L81" s="22">
        <v>0</v>
      </c>
      <c r="M81" s="22">
        <v>0</v>
      </c>
      <c r="N81" s="139">
        <f t="shared" ref="N81:N87" si="76">H81</f>
        <v>0</v>
      </c>
      <c r="O81" s="22">
        <v>0</v>
      </c>
      <c r="P81" s="22">
        <v>0</v>
      </c>
      <c r="Q81" s="22">
        <v>0</v>
      </c>
      <c r="S81" s="23">
        <f t="shared" ref="S81:S87" si="77">SUM(J81:M81)</f>
        <v>0</v>
      </c>
      <c r="T81" s="23">
        <f t="shared" ref="T81:T87" si="78">SUM(N81:Q81)</f>
        <v>0</v>
      </c>
      <c r="U81" s="23"/>
      <c r="V81" s="25" t="e">
        <f>SUM(T81/S81)-1</f>
        <v>#DIV/0!</v>
      </c>
    </row>
    <row r="82" spans="2:22">
      <c r="B82" s="66" t="s">
        <v>124</v>
      </c>
      <c r="C82" s="61">
        <v>18</v>
      </c>
      <c r="D82" s="61">
        <v>18</v>
      </c>
      <c r="E82" s="61">
        <v>24</v>
      </c>
      <c r="F82" s="71"/>
      <c r="G82" s="22">
        <v>18</v>
      </c>
      <c r="H82" s="22">
        <v>18</v>
      </c>
      <c r="I82" s="22">
        <v>18</v>
      </c>
      <c r="J82" s="139">
        <f t="shared" si="75"/>
        <v>18</v>
      </c>
      <c r="K82" s="22">
        <v>20</v>
      </c>
      <c r="L82" s="22">
        <v>21</v>
      </c>
      <c r="M82" s="22">
        <v>21</v>
      </c>
      <c r="N82" s="139">
        <f t="shared" si="76"/>
        <v>18</v>
      </c>
      <c r="O82" s="22">
        <v>24</v>
      </c>
      <c r="P82" s="22">
        <v>26</v>
      </c>
      <c r="Q82" s="22">
        <v>192</v>
      </c>
      <c r="S82" s="23">
        <f t="shared" si="77"/>
        <v>80</v>
      </c>
      <c r="T82" s="23">
        <f t="shared" si="78"/>
        <v>260</v>
      </c>
      <c r="U82" s="23"/>
      <c r="V82" s="25">
        <f t="shared" ref="V82:V85" si="79">SUM(T82/S82)-1</f>
        <v>2.25</v>
      </c>
    </row>
    <row r="83" spans="2:22">
      <c r="B83" s="66" t="s">
        <v>125</v>
      </c>
      <c r="C83" s="61">
        <v>2</v>
      </c>
      <c r="D83" s="61">
        <v>2</v>
      </c>
      <c r="E83" s="61">
        <v>2</v>
      </c>
      <c r="F83" s="71"/>
      <c r="G83" s="22">
        <v>2</v>
      </c>
      <c r="H83" s="22">
        <v>2</v>
      </c>
      <c r="I83" s="22">
        <v>2</v>
      </c>
      <c r="J83" s="139">
        <f t="shared" si="75"/>
        <v>2</v>
      </c>
      <c r="K83" s="22">
        <v>2</v>
      </c>
      <c r="L83" s="22">
        <v>2</v>
      </c>
      <c r="M83" s="22">
        <v>2</v>
      </c>
      <c r="N83" s="139">
        <f t="shared" si="76"/>
        <v>2</v>
      </c>
      <c r="O83" s="22">
        <v>2</v>
      </c>
      <c r="P83" s="22">
        <v>2</v>
      </c>
      <c r="Q83" s="22">
        <v>20</v>
      </c>
      <c r="S83" s="23">
        <f t="shared" si="77"/>
        <v>8</v>
      </c>
      <c r="T83" s="23">
        <f t="shared" si="78"/>
        <v>26</v>
      </c>
      <c r="U83" s="23"/>
      <c r="V83" s="25">
        <f t="shared" si="79"/>
        <v>2.25</v>
      </c>
    </row>
    <row r="84" spans="2:22">
      <c r="B84" s="66" t="s">
        <v>8</v>
      </c>
      <c r="C84" s="61">
        <v>1727143</v>
      </c>
      <c r="D84" s="61">
        <v>1841120</v>
      </c>
      <c r="E84" s="61">
        <v>3957728</v>
      </c>
      <c r="F84" s="71"/>
      <c r="G84" s="22">
        <v>1743944</v>
      </c>
      <c r="H84" s="22">
        <v>1760288</v>
      </c>
      <c r="I84" s="22">
        <v>1778660</v>
      </c>
      <c r="J84" s="139">
        <f t="shared" si="75"/>
        <v>1841120</v>
      </c>
      <c r="K84" s="22">
        <v>2205518</v>
      </c>
      <c r="L84" s="22">
        <v>2559268</v>
      </c>
      <c r="M84" s="22">
        <v>2726191</v>
      </c>
      <c r="N84" s="139">
        <f t="shared" si="76"/>
        <v>1760288</v>
      </c>
      <c r="O84" s="22">
        <v>4247704</v>
      </c>
      <c r="P84" s="22">
        <v>4785336</v>
      </c>
      <c r="Q84" s="22">
        <v>6060206</v>
      </c>
      <c r="S84" s="23">
        <f t="shared" si="77"/>
        <v>9332097</v>
      </c>
      <c r="T84" s="23">
        <f t="shared" si="78"/>
        <v>16853534</v>
      </c>
      <c r="U84" s="23"/>
      <c r="V84" s="25">
        <f t="shared" si="79"/>
        <v>0.80597501290438789</v>
      </c>
    </row>
    <row r="85" spans="2:22">
      <c r="B85" s="66" t="s">
        <v>126</v>
      </c>
      <c r="C85" s="61">
        <v>-782104</v>
      </c>
      <c r="D85" s="61">
        <v>-782104</v>
      </c>
      <c r="E85" s="61">
        <v>-782104</v>
      </c>
      <c r="F85" s="71"/>
      <c r="G85" s="22">
        <v>-782104</v>
      </c>
      <c r="H85" s="22">
        <v>-782104</v>
      </c>
      <c r="I85" s="22">
        <v>-782104</v>
      </c>
      <c r="J85" s="139">
        <f t="shared" si="75"/>
        <v>-782104</v>
      </c>
      <c r="K85" s="22">
        <v>-782104</v>
      </c>
      <c r="L85" s="22">
        <v>-782104</v>
      </c>
      <c r="M85" s="22">
        <v>-782104</v>
      </c>
      <c r="N85" s="139">
        <f t="shared" si="76"/>
        <v>-782104</v>
      </c>
      <c r="O85" s="22">
        <v>-782104</v>
      </c>
      <c r="P85" s="22">
        <v>-782104</v>
      </c>
      <c r="Q85" s="22">
        <v>-782104</v>
      </c>
      <c r="S85" s="23">
        <f t="shared" si="77"/>
        <v>-3128416</v>
      </c>
      <c r="T85" s="23">
        <f t="shared" si="78"/>
        <v>-3128416</v>
      </c>
      <c r="U85" s="23"/>
      <c r="V85" s="25">
        <f t="shared" si="79"/>
        <v>0</v>
      </c>
    </row>
    <row r="86" spans="2:22">
      <c r="B86" s="66" t="s">
        <v>9</v>
      </c>
      <c r="C86" s="72">
        <v>-7543</v>
      </c>
      <c r="D86" s="72">
        <v>-13801</v>
      </c>
      <c r="E86" s="73">
        <v>-11444</v>
      </c>
      <c r="F86" s="71"/>
      <c r="G86" s="74">
        <v>-9552</v>
      </c>
      <c r="H86" s="74">
        <v>-13665</v>
      </c>
      <c r="I86" s="22">
        <v>-18179</v>
      </c>
      <c r="J86" s="139">
        <f t="shared" si="75"/>
        <v>-13801</v>
      </c>
      <c r="K86" s="74">
        <v>-13063</v>
      </c>
      <c r="L86" s="74">
        <v>-13150</v>
      </c>
      <c r="M86" s="22">
        <v>-15355</v>
      </c>
      <c r="N86" s="139">
        <f t="shared" si="76"/>
        <v>-13665</v>
      </c>
      <c r="O86" s="74">
        <v>-13169</v>
      </c>
      <c r="P86" s="74">
        <v>-13550</v>
      </c>
      <c r="Q86" s="74">
        <v>-9580</v>
      </c>
      <c r="S86" s="23">
        <f t="shared" si="77"/>
        <v>-55369</v>
      </c>
      <c r="T86" s="23">
        <f t="shared" si="78"/>
        <v>-49964</v>
      </c>
      <c r="U86" s="23"/>
      <c r="V86" s="25">
        <f>SUM(T86/S86)-1</f>
        <v>-9.7617800574328562E-2</v>
      </c>
    </row>
    <row r="87" spans="2:22">
      <c r="B87" s="66" t="s">
        <v>127</v>
      </c>
      <c r="C87" s="72">
        <v>41442</v>
      </c>
      <c r="D87" s="72">
        <v>-1428355</v>
      </c>
      <c r="E87" s="61">
        <v>-999234</v>
      </c>
      <c r="F87" s="71"/>
      <c r="G87" s="22">
        <v>-89309</v>
      </c>
      <c r="H87" s="22">
        <v>-1151607</v>
      </c>
      <c r="I87" s="22">
        <v>-1178686</v>
      </c>
      <c r="J87" s="139">
        <f t="shared" si="75"/>
        <v>-1428355</v>
      </c>
      <c r="K87" s="22">
        <v>-967162</v>
      </c>
      <c r="L87" s="22">
        <v>-944919</v>
      </c>
      <c r="M87" s="22">
        <v>-1088360</v>
      </c>
      <c r="N87" s="139">
        <f t="shared" si="76"/>
        <v>-1151607</v>
      </c>
      <c r="O87" s="22">
        <v>-1052352</v>
      </c>
      <c r="P87" s="22">
        <v>-1154911</v>
      </c>
      <c r="Q87" s="22">
        <v>-1495085</v>
      </c>
      <c r="S87" s="23">
        <f t="shared" si="77"/>
        <v>-4428796</v>
      </c>
      <c r="T87" s="23">
        <f t="shared" si="78"/>
        <v>-4853955</v>
      </c>
      <c r="U87" s="23"/>
      <c r="V87" s="25">
        <f>SUM(T87/S87)-1</f>
        <v>9.5998777094271182E-2</v>
      </c>
    </row>
    <row r="88" spans="2:22">
      <c r="B88" s="41" t="s">
        <v>54</v>
      </c>
      <c r="C88" s="75">
        <f>SUM(C81:C87)</f>
        <v>978958</v>
      </c>
      <c r="D88" s="75">
        <f>SUM(D81:D87)</f>
        <v>-383120</v>
      </c>
      <c r="E88" s="75">
        <f>SUM(E81:E87)</f>
        <v>2164972</v>
      </c>
      <c r="F88" s="76"/>
      <c r="G88" s="75">
        <f t="shared" ref="G88:Q88" si="80">SUM(G81:G87)</f>
        <v>862999</v>
      </c>
      <c r="H88" s="75">
        <f t="shared" si="80"/>
        <v>-187068</v>
      </c>
      <c r="I88" s="75">
        <f t="shared" si="80"/>
        <v>-200289</v>
      </c>
      <c r="J88" s="75">
        <f t="shared" si="80"/>
        <v>-383120</v>
      </c>
      <c r="K88" s="75">
        <f t="shared" si="80"/>
        <v>443211</v>
      </c>
      <c r="L88" s="75">
        <f t="shared" si="80"/>
        <v>819118</v>
      </c>
      <c r="M88" s="75">
        <f t="shared" si="80"/>
        <v>840395</v>
      </c>
      <c r="N88" s="75">
        <f t="shared" si="80"/>
        <v>-187068</v>
      </c>
      <c r="O88" s="75">
        <f t="shared" si="80"/>
        <v>2400105</v>
      </c>
      <c r="P88" s="75">
        <f t="shared" si="80"/>
        <v>2834799</v>
      </c>
      <c r="Q88" s="75">
        <f t="shared" si="80"/>
        <v>3773649</v>
      </c>
      <c r="S88" s="75">
        <f>SUM(S81:S87)</f>
        <v>1719604</v>
      </c>
      <c r="T88" s="75">
        <f>SUM(T81:T87)</f>
        <v>8821485</v>
      </c>
      <c r="U88" s="29"/>
      <c r="V88" s="25">
        <f>SUM(T88/S88)-1</f>
        <v>4.1299514306782257</v>
      </c>
    </row>
    <row r="89" spans="2:22">
      <c r="B89" s="2" t="s">
        <v>55</v>
      </c>
      <c r="C89" s="77">
        <f>SUM(C88+C78)</f>
        <v>3557124</v>
      </c>
      <c r="D89" s="77">
        <f>SUM(D88+D78)</f>
        <v>2410272</v>
      </c>
      <c r="E89" s="77">
        <f>SUM(E88+E78)</f>
        <v>4762528</v>
      </c>
      <c r="F89" s="71"/>
      <c r="G89" s="77">
        <f t="shared" ref="G89:Q89" si="81">SUM(G88+G78)</f>
        <v>3638387</v>
      </c>
      <c r="H89" s="77">
        <f t="shared" si="81"/>
        <v>2568365</v>
      </c>
      <c r="I89" s="77">
        <f t="shared" si="81"/>
        <v>2545286</v>
      </c>
      <c r="J89" s="77">
        <f t="shared" si="81"/>
        <v>2410272</v>
      </c>
      <c r="K89" s="77">
        <f t="shared" si="81"/>
        <v>3026402</v>
      </c>
      <c r="L89" s="77">
        <f t="shared" si="81"/>
        <v>3363104</v>
      </c>
      <c r="M89" s="77">
        <f t="shared" si="81"/>
        <v>3373941</v>
      </c>
      <c r="N89" s="77">
        <f t="shared" si="81"/>
        <v>2610408</v>
      </c>
      <c r="O89" s="77">
        <f t="shared" si="81"/>
        <v>6351539</v>
      </c>
      <c r="P89" s="77">
        <f t="shared" si="81"/>
        <v>7053073</v>
      </c>
      <c r="Q89" s="77">
        <f t="shared" si="81"/>
        <v>8343581</v>
      </c>
      <c r="S89" s="77">
        <f>SUM(S88+S78)</f>
        <v>12173719</v>
      </c>
      <c r="T89" s="77">
        <f>SUM(T88+T78)</f>
        <v>24358601</v>
      </c>
      <c r="U89" s="23"/>
      <c r="V89" s="25">
        <f>SUM(T89/S89)-1</f>
        <v>1.0009169753302176</v>
      </c>
    </row>
    <row r="90" spans="2:22" ht="15.75" thickBot="1">
      <c r="B90" s="2"/>
      <c r="C90" s="77"/>
      <c r="D90" s="77"/>
      <c r="E90" s="77"/>
      <c r="F90" s="71"/>
      <c r="G90" s="77"/>
      <c r="H90" s="77"/>
      <c r="I90" s="77"/>
      <c r="J90" s="77"/>
      <c r="K90" s="77"/>
      <c r="L90" s="77"/>
      <c r="M90" s="77"/>
      <c r="N90" s="77"/>
      <c r="O90" s="77"/>
      <c r="P90" s="77"/>
      <c r="Q90" s="77"/>
      <c r="S90" s="77"/>
      <c r="T90" s="77"/>
      <c r="U90" s="23"/>
      <c r="V90" s="40"/>
    </row>
    <row r="91" spans="2:22">
      <c r="B91" s="78" t="s">
        <v>56</v>
      </c>
      <c r="C91" s="79"/>
      <c r="D91" s="79"/>
      <c r="E91" s="80"/>
      <c r="F91" s="71"/>
      <c r="G91" s="81"/>
      <c r="H91" s="79"/>
      <c r="I91" s="79"/>
      <c r="J91" s="79"/>
      <c r="K91" s="79"/>
      <c r="L91" s="79"/>
      <c r="M91" s="79"/>
      <c r="N91" s="79"/>
      <c r="O91" s="79"/>
      <c r="P91" s="79"/>
      <c r="Q91" s="80"/>
      <c r="S91" s="82"/>
      <c r="T91" s="83"/>
      <c r="U91" s="23"/>
      <c r="V91" s="40"/>
    </row>
    <row r="92" spans="2:22">
      <c r="B92" s="84" t="s">
        <v>57</v>
      </c>
      <c r="C92" s="187">
        <f>SUM(C68+C73/C62)</f>
        <v>0.60586895480731062</v>
      </c>
      <c r="D92" s="187">
        <f t="shared" ref="D92:Q92" si="82">SUM(D68+D73/D62)</f>
        <v>454.98684297871773</v>
      </c>
      <c r="E92" s="85">
        <f t="shared" si="82"/>
        <v>483.45818271304654</v>
      </c>
      <c r="F92" s="71"/>
      <c r="G92" s="86">
        <f t="shared" si="82"/>
        <v>0.64915167078158531</v>
      </c>
      <c r="H92" s="187">
        <f t="shared" si="82"/>
        <v>0.92465946234277452</v>
      </c>
      <c r="I92" s="187">
        <f t="shared" si="82"/>
        <v>0.93385772757953334</v>
      </c>
      <c r="J92" s="187">
        <f t="shared" si="82"/>
        <v>454.98684297871773</v>
      </c>
      <c r="K92" s="187">
        <f t="shared" si="82"/>
        <v>460.71897850979479</v>
      </c>
      <c r="L92" s="187">
        <f t="shared" si="82"/>
        <v>468.64760828092142</v>
      </c>
      <c r="M92" s="187">
        <f t="shared" si="82"/>
        <v>475.64613992953639</v>
      </c>
      <c r="N92" s="187">
        <f t="shared" si="82"/>
        <v>483.49865596590718</v>
      </c>
      <c r="O92" s="187">
        <f t="shared" si="82"/>
        <v>492.56030530553306</v>
      </c>
      <c r="P92" s="187">
        <f>SUM(P68+P73/P62)</f>
        <v>145119.52507339709</v>
      </c>
      <c r="Q92" s="85">
        <f t="shared" si="82"/>
        <v>509.50481310123314</v>
      </c>
      <c r="S92" s="188">
        <f>M92</f>
        <v>475.64613992953639</v>
      </c>
      <c r="T92" s="189">
        <f>Q92</f>
        <v>509.50481310123314</v>
      </c>
      <c r="U92" s="23"/>
      <c r="V92" s="25">
        <f t="shared" ref="V92:V95" si="83">SUM(T92/S92)-1</f>
        <v>7.1184585197543448E-2</v>
      </c>
    </row>
    <row r="93" spans="2:22">
      <c r="B93" s="84" t="s">
        <v>58</v>
      </c>
      <c r="C93" s="187">
        <f>SUM(C50+C51)/C70</f>
        <v>0.2065291600557719</v>
      </c>
      <c r="D93" s="187">
        <f>SUM(D50+D51)/D70</f>
        <v>0.16026313550911617</v>
      </c>
      <c r="E93" s="85">
        <f t="shared" ref="D93:Q93" si="84">SUM(E50+E51)/E70</f>
        <v>0.1505631463190554</v>
      </c>
      <c r="F93" s="71"/>
      <c r="G93" s="86">
        <f t="shared" si="84"/>
        <v>0.3245330053300533</v>
      </c>
      <c r="H93" s="187">
        <f t="shared" si="84"/>
        <v>0.27559649762860272</v>
      </c>
      <c r="I93" s="187">
        <f t="shared" si="84"/>
        <v>0.25705512052817442</v>
      </c>
      <c r="J93" s="187">
        <f t="shared" si="84"/>
        <v>0.16026313550911617</v>
      </c>
      <c r="K93" s="187">
        <f t="shared" si="84"/>
        <v>0.30878459918245577</v>
      </c>
      <c r="L93" s="187">
        <f t="shared" si="84"/>
        <v>0.24934232220715935</v>
      </c>
      <c r="M93" s="187">
        <f t="shared" si="84"/>
        <v>0.175085256666455</v>
      </c>
      <c r="N93" s="187">
        <f t="shared" si="84"/>
        <v>0.15395880977911894</v>
      </c>
      <c r="O93" s="187">
        <f t="shared" si="84"/>
        <v>0.27025770799979343</v>
      </c>
      <c r="P93" s="187">
        <f t="shared" si="84"/>
        <v>0.15424054449707778</v>
      </c>
      <c r="Q93" s="85">
        <f t="shared" si="84"/>
        <v>0.1673139866232112</v>
      </c>
      <c r="S93" s="188">
        <f t="shared" ref="S93:S95" si="85">L93</f>
        <v>0.24934232220715935</v>
      </c>
      <c r="T93" s="189">
        <f t="shared" ref="T93:T95" si="86">P93</f>
        <v>0.15424054449707778</v>
      </c>
      <c r="U93" s="23"/>
      <c r="V93" s="25">
        <f t="shared" si="83"/>
        <v>-0.38141049168166818</v>
      </c>
    </row>
    <row r="94" spans="2:22">
      <c r="B94" s="87" t="s">
        <v>59</v>
      </c>
      <c r="C94" s="187">
        <f>SUM(C54/C70)</f>
        <v>0.85890347292337776</v>
      </c>
      <c r="D94" s="187">
        <f>SUM(D54/D70)</f>
        <v>0.83353339445436869</v>
      </c>
      <c r="E94" s="85">
        <f>SUM(E54/E70)</f>
        <v>0.82869587005410283</v>
      </c>
      <c r="G94" s="86">
        <f>SUM(G54/G70)</f>
        <v>0.81012874128741286</v>
      </c>
      <c r="H94" s="187">
        <f>SUM(H54/H70)</f>
        <v>0.80146661802261954</v>
      </c>
      <c r="I94" s="187">
        <f>SUM(I54/I70)</f>
        <v>0.77649700598802396</v>
      </c>
      <c r="J94" s="187">
        <f>SUM(J54/J70)</f>
        <v>0.83353339445436869</v>
      </c>
      <c r="K94" s="187">
        <f>SUM(K54/K70)</f>
        <v>0.83123185413525646</v>
      </c>
      <c r="L94" s="187">
        <f>SUM(L54/L70)</f>
        <v>0.76808705528890187</v>
      </c>
      <c r="M94" s="187">
        <f>SUM(M54/M70)</f>
        <v>0.74542153958785451</v>
      </c>
      <c r="N94" s="187">
        <f>SUM(N54/N70)</f>
        <v>0.84738551857861788</v>
      </c>
      <c r="O94" s="187">
        <f>SUM(O54/O70)</f>
        <v>0.77981201260135313</v>
      </c>
      <c r="P94" s="187">
        <f>SUM(P54/P70)</f>
        <v>0.4669048990837617</v>
      </c>
      <c r="Q94" s="85">
        <f>SUM(Q54/Q70)</f>
        <v>0.64573029145017025</v>
      </c>
      <c r="S94" s="188">
        <f t="shared" si="85"/>
        <v>0.76808705528890187</v>
      </c>
      <c r="T94" s="189">
        <f t="shared" si="86"/>
        <v>0.4669048990837617</v>
      </c>
      <c r="V94" s="25">
        <f t="shared" si="83"/>
        <v>-0.39211981783999217</v>
      </c>
    </row>
    <row r="95" spans="2:22" ht="15.75" thickBot="1">
      <c r="B95" s="88" t="s">
        <v>60</v>
      </c>
      <c r="C95" s="89">
        <f>SUM(C50+C51)/C70</f>
        <v>0.2065291600557719</v>
      </c>
      <c r="D95" s="89">
        <f>SUM(D50+D51)/D70</f>
        <v>0.16026313550911617</v>
      </c>
      <c r="E95" s="90">
        <f>SUM(E50+E51)/E70</f>
        <v>0.1505631463190554</v>
      </c>
      <c r="F95" s="71"/>
      <c r="G95" s="91">
        <f>SUM(G50+G51)/G70</f>
        <v>0.3245330053300533</v>
      </c>
      <c r="H95" s="92">
        <f>SUM(H50+H51)/H70</f>
        <v>0.27559649762860272</v>
      </c>
      <c r="I95" s="92">
        <f>SUM(I50+I51)/I70</f>
        <v>0.25705512052817442</v>
      </c>
      <c r="J95" s="92">
        <f>SUM(J50+J51)/J70</f>
        <v>0.16026313550911617</v>
      </c>
      <c r="K95" s="92">
        <f>SUM(K50+K51)/K70</f>
        <v>0.30878459918245577</v>
      </c>
      <c r="L95" s="92">
        <f>SUM(L50+L51)/L70</f>
        <v>0.24934232220715935</v>
      </c>
      <c r="M95" s="92">
        <f>SUM(M50+M51)/M70</f>
        <v>0.175085256666455</v>
      </c>
      <c r="N95" s="92">
        <f>SUM(N50+N51)/N70</f>
        <v>0.15395880977911894</v>
      </c>
      <c r="O95" s="92">
        <f>SUM(O50+O51)/O70</f>
        <v>0.27025770799979343</v>
      </c>
      <c r="P95" s="92">
        <f>SUM(P50+P51)/P70</f>
        <v>0.15424054449707778</v>
      </c>
      <c r="Q95" s="93">
        <f>SUM(Q50+Q51)/Q70</f>
        <v>0.1673139866232112</v>
      </c>
      <c r="S95" s="190">
        <f t="shared" si="85"/>
        <v>0.24934232220715935</v>
      </c>
      <c r="T95" s="191">
        <f t="shared" si="86"/>
        <v>0.15424054449707778</v>
      </c>
      <c r="U95" s="23"/>
      <c r="V95" s="25">
        <f t="shared" si="83"/>
        <v>-0.38141049168166818</v>
      </c>
    </row>
    <row r="96" spans="2:22">
      <c r="B96" s="38"/>
      <c r="C96" s="94"/>
      <c r="D96" s="39"/>
      <c r="E96" s="39"/>
      <c r="F96" s="94"/>
    </row>
    <row r="97" spans="1:22">
      <c r="A97" s="6" t="s">
        <v>31</v>
      </c>
      <c r="B97" s="7" t="s">
        <v>61</v>
      </c>
      <c r="C97" s="13"/>
      <c r="D97" s="13"/>
      <c r="E97" s="13"/>
      <c r="F97" s="8"/>
      <c r="G97" s="8"/>
      <c r="H97" s="8"/>
      <c r="I97" s="8"/>
      <c r="J97" s="8"/>
      <c r="K97" s="8"/>
      <c r="L97" s="8"/>
      <c r="M97" s="8"/>
      <c r="N97" s="8"/>
      <c r="O97" s="8"/>
      <c r="P97" s="8"/>
      <c r="Q97" s="8"/>
      <c r="S97" s="8"/>
      <c r="T97" s="8"/>
      <c r="U97" s="8"/>
      <c r="V97" s="8"/>
    </row>
    <row r="98" spans="1:22">
      <c r="B98" s="15" t="s">
        <v>162</v>
      </c>
      <c r="C98" s="54"/>
      <c r="D98" s="54"/>
      <c r="E98" s="54"/>
      <c r="F98" s="8"/>
      <c r="G98" s="8"/>
      <c r="H98" s="8"/>
      <c r="I98" s="8"/>
      <c r="J98" s="8"/>
      <c r="K98" s="8"/>
      <c r="L98" s="8"/>
      <c r="M98" s="8"/>
      <c r="N98" s="8"/>
      <c r="O98" s="8"/>
      <c r="P98" s="8"/>
      <c r="Q98" s="8"/>
      <c r="S98" s="8"/>
      <c r="T98" s="8"/>
      <c r="U98" s="8"/>
      <c r="V98" s="8"/>
    </row>
    <row r="99" spans="1:22" ht="3" customHeight="1">
      <c r="B99" s="10"/>
      <c r="C99" s="56"/>
      <c r="D99" s="56"/>
      <c r="E99" s="56"/>
    </row>
    <row r="100" spans="1:22" ht="15.75">
      <c r="B100" s="95" t="s">
        <v>62</v>
      </c>
      <c r="C100" s="96"/>
      <c r="D100" s="96"/>
      <c r="E100" s="96"/>
    </row>
    <row r="101" spans="1:22">
      <c r="B101" s="97" t="s">
        <v>19</v>
      </c>
      <c r="C101" s="150">
        <v>-535480</v>
      </c>
      <c r="D101" s="150">
        <v>-1469797</v>
      </c>
      <c r="E101" s="150">
        <v>429121</v>
      </c>
      <c r="F101" s="4"/>
      <c r="G101" s="150">
        <v>-130751</v>
      </c>
      <c r="H101" s="1">
        <f>-1193049-G101</f>
        <v>-1062298</v>
      </c>
      <c r="I101" s="1">
        <f>-1220128-H101-G101</f>
        <v>-27079</v>
      </c>
      <c r="J101" s="4">
        <f>SUM(D101-SUM(G101:I101))</f>
        <v>-249669</v>
      </c>
      <c r="K101" s="150">
        <v>461193</v>
      </c>
      <c r="L101" s="1">
        <f>483436-K101</f>
        <v>22243</v>
      </c>
      <c r="M101" s="1">
        <f>339995-L101-K101</f>
        <v>-143441</v>
      </c>
      <c r="N101" s="4">
        <f>SUM(E101-SUM(K101:M101))</f>
        <v>89126</v>
      </c>
      <c r="O101" s="150">
        <v>-53118</v>
      </c>
      <c r="P101" s="1">
        <f>-155677-O101</f>
        <v>-102559</v>
      </c>
      <c r="Q101" s="1">
        <f>-495851-P101-O101</f>
        <v>-340174</v>
      </c>
      <c r="R101" s="177"/>
      <c r="S101" s="23">
        <f t="shared" ref="S101" si="87">SUM(J101:M101)</f>
        <v>90326</v>
      </c>
      <c r="T101" s="23">
        <f t="shared" ref="T101" si="88">SUM(N101:Q101)</f>
        <v>-406725</v>
      </c>
      <c r="U101" s="23"/>
      <c r="V101" s="30">
        <f>SUM(T101/S101)-1</f>
        <v>-5.5028563204392977</v>
      </c>
    </row>
    <row r="102" spans="1:22">
      <c r="C102" s="98"/>
      <c r="D102" s="98"/>
      <c r="E102" s="98"/>
      <c r="F102" s="23"/>
      <c r="G102" s="98"/>
      <c r="H102" s="99"/>
      <c r="I102" s="100"/>
      <c r="J102" s="98"/>
      <c r="K102" s="98"/>
      <c r="L102" s="99"/>
      <c r="M102" s="99"/>
      <c r="N102" s="98"/>
      <c r="O102" s="98"/>
      <c r="P102" s="99"/>
      <c r="Q102" s="99"/>
      <c r="R102" s="177"/>
      <c r="S102" s="23"/>
      <c r="T102" s="23"/>
      <c r="U102" s="23"/>
      <c r="V102" s="40"/>
    </row>
    <row r="103" spans="1:22">
      <c r="B103" s="3" t="s">
        <v>20</v>
      </c>
      <c r="C103" s="101"/>
      <c r="D103" s="101"/>
      <c r="E103" s="101"/>
      <c r="F103" s="23"/>
      <c r="G103" s="101"/>
      <c r="H103" s="102"/>
      <c r="I103" s="103"/>
      <c r="J103" s="101"/>
      <c r="K103" s="101"/>
      <c r="L103" s="102"/>
      <c r="M103" s="103"/>
      <c r="N103" s="101"/>
      <c r="O103" s="101"/>
      <c r="P103" s="102"/>
      <c r="Q103" s="102"/>
      <c r="R103" s="177"/>
      <c r="S103" s="102"/>
      <c r="T103" s="102"/>
      <c r="U103" s="104"/>
    </row>
    <row r="104" spans="1:22">
      <c r="B104" s="105" t="s">
        <v>21</v>
      </c>
      <c r="C104" s="150">
        <v>11358</v>
      </c>
      <c r="D104" s="150">
        <v>10874</v>
      </c>
      <c r="E104" s="150">
        <v>14527</v>
      </c>
      <c r="F104" s="4"/>
      <c r="G104" s="150">
        <v>2691</v>
      </c>
      <c r="H104" s="1">
        <f>4767-G104</f>
        <v>2076</v>
      </c>
      <c r="I104" s="1">
        <f>6917-H104-G104</f>
        <v>2150</v>
      </c>
      <c r="J104" s="4">
        <f t="shared" ref="J104:J112" si="89">SUM(D104-SUM(G104:I104))</f>
        <v>3957</v>
      </c>
      <c r="K104" s="150">
        <v>3431</v>
      </c>
      <c r="L104" s="1">
        <f>6661-K104</f>
        <v>3230</v>
      </c>
      <c r="M104" s="1">
        <f>9405-L104-K104</f>
        <v>2744</v>
      </c>
      <c r="N104" s="4">
        <f t="shared" ref="N104:N112" si="90">SUM(E104-SUM(K104:M104))</f>
        <v>5122</v>
      </c>
      <c r="O104" s="150">
        <v>3050</v>
      </c>
      <c r="P104" s="1">
        <f>6701-O104</f>
        <v>3651</v>
      </c>
      <c r="Q104" s="1">
        <f>12679-P104-O104</f>
        <v>5978</v>
      </c>
      <c r="R104" s="177"/>
      <c r="S104" s="23">
        <f t="shared" ref="S104:S112" si="91">SUM(J104:M104)</f>
        <v>13362</v>
      </c>
      <c r="T104" s="23">
        <f t="shared" ref="T104:T112" si="92">SUM(N104:Q104)</f>
        <v>17801</v>
      </c>
      <c r="U104" s="23"/>
      <c r="V104" s="25">
        <f>SUM(T104/S104)-1</f>
        <v>0.33221074689417751</v>
      </c>
    </row>
    <row r="105" spans="1:22">
      <c r="B105" s="105" t="s">
        <v>128</v>
      </c>
      <c r="C105" s="150">
        <v>8189</v>
      </c>
      <c r="D105" s="150">
        <v>8072</v>
      </c>
      <c r="E105" s="150">
        <v>8643</v>
      </c>
      <c r="F105" s="4"/>
      <c r="G105" s="150">
        <v>1994</v>
      </c>
      <c r="H105" s="1">
        <f>3990-G105</f>
        <v>1996</v>
      </c>
      <c r="I105" s="1">
        <f>6020-H105-G105</f>
        <v>2030</v>
      </c>
      <c r="J105" s="4">
        <f t="shared" si="89"/>
        <v>2052</v>
      </c>
      <c r="K105" s="150">
        <v>2124</v>
      </c>
      <c r="L105" s="1">
        <f>4320-K105</f>
        <v>2196</v>
      </c>
      <c r="M105" s="1">
        <f>6438-L105-K105</f>
        <v>2118</v>
      </c>
      <c r="N105" s="4">
        <f t="shared" si="90"/>
        <v>2205</v>
      </c>
      <c r="O105" s="150">
        <v>2110</v>
      </c>
      <c r="P105" s="1">
        <f>4126-O105</f>
        <v>2016</v>
      </c>
      <c r="Q105" s="1">
        <f>6228-P105-O105</f>
        <v>2102</v>
      </c>
      <c r="R105" s="177"/>
      <c r="S105" s="23">
        <f t="shared" si="91"/>
        <v>8490</v>
      </c>
      <c r="T105" s="23">
        <f t="shared" si="92"/>
        <v>8433</v>
      </c>
      <c r="U105" s="23"/>
      <c r="V105" s="25">
        <f>SUM(T105/S105)-1</f>
        <v>-6.7137809187278741E-3</v>
      </c>
    </row>
    <row r="106" spans="1:22">
      <c r="B106" s="105" t="s">
        <v>129</v>
      </c>
      <c r="C106" s="150">
        <v>1509</v>
      </c>
      <c r="D106" s="150">
        <v>939</v>
      </c>
      <c r="E106" s="150">
        <v>1387</v>
      </c>
      <c r="F106" s="4"/>
      <c r="G106" s="150">
        <v>272</v>
      </c>
      <c r="H106" s="1">
        <f>606-G106</f>
        <v>334</v>
      </c>
      <c r="I106" s="1">
        <f>1189-H106-G106</f>
        <v>583</v>
      </c>
      <c r="J106" s="4">
        <f t="shared" si="89"/>
        <v>-250</v>
      </c>
      <c r="K106" s="150">
        <v>21</v>
      </c>
      <c r="L106" s="1">
        <f>438-K106</f>
        <v>417</v>
      </c>
      <c r="M106" s="1">
        <f>752-L106-K106</f>
        <v>314</v>
      </c>
      <c r="N106" s="4">
        <f t="shared" si="90"/>
        <v>635</v>
      </c>
      <c r="O106" s="150">
        <v>24</v>
      </c>
      <c r="P106" s="1">
        <f>-44-O106</f>
        <v>-68</v>
      </c>
      <c r="Q106" s="1">
        <f>262-P106-O106</f>
        <v>306</v>
      </c>
      <c r="R106" s="177"/>
      <c r="S106" s="23">
        <f t="shared" si="91"/>
        <v>502</v>
      </c>
      <c r="T106" s="23">
        <f t="shared" si="92"/>
        <v>897</v>
      </c>
      <c r="U106" s="23"/>
      <c r="V106" s="25">
        <f>SUM(T106/S106)-1</f>
        <v>0.78685258964143423</v>
      </c>
    </row>
    <row r="107" spans="1:22">
      <c r="B107" s="105" t="s">
        <v>130</v>
      </c>
      <c r="C107" s="150">
        <v>-284221</v>
      </c>
      <c r="D107" s="150">
        <v>131493</v>
      </c>
      <c r="E107" s="150">
        <v>-568949</v>
      </c>
      <c r="F107" s="4"/>
      <c r="G107" s="150">
        <v>-57445</v>
      </c>
      <c r="H107" s="1">
        <f>76109-G107</f>
        <v>133554</v>
      </c>
      <c r="I107" s="1">
        <f>90166-H107-G107</f>
        <v>14057</v>
      </c>
      <c r="J107" s="4">
        <f t="shared" si="89"/>
        <v>41327</v>
      </c>
      <c r="K107" s="150">
        <v>-460061</v>
      </c>
      <c r="L107" s="1">
        <f>-530628-K107</f>
        <v>-70567</v>
      </c>
      <c r="M107" s="1">
        <f>-425986-L107-K107</f>
        <v>104642</v>
      </c>
      <c r="N107" s="4">
        <f t="shared" si="90"/>
        <v>-142963</v>
      </c>
      <c r="O107" s="150">
        <v>-161097</v>
      </c>
      <c r="P107" s="1">
        <f>-278067-O107</f>
        <v>-116970</v>
      </c>
      <c r="Q107" s="1">
        <f>-419965-P107-O107</f>
        <v>-141898</v>
      </c>
      <c r="R107" s="177"/>
      <c r="S107" s="23">
        <f t="shared" si="91"/>
        <v>-384659</v>
      </c>
      <c r="T107" s="23">
        <f t="shared" si="92"/>
        <v>-562928</v>
      </c>
      <c r="U107" s="23"/>
      <c r="V107" s="25">
        <f t="shared" ref="V107:V112" si="93">SUM(T107/S107)-1</f>
        <v>0.46344684512776246</v>
      </c>
    </row>
    <row r="108" spans="1:22">
      <c r="B108" s="105" t="s">
        <v>131</v>
      </c>
      <c r="C108" s="150">
        <v>-561</v>
      </c>
      <c r="D108" s="150">
        <v>-360</v>
      </c>
      <c r="E108" s="150">
        <v>-506</v>
      </c>
      <c r="F108" s="4"/>
      <c r="G108" s="150"/>
      <c r="H108" s="1"/>
      <c r="I108" s="1"/>
      <c r="J108" s="4">
        <f t="shared" si="89"/>
        <v>-360</v>
      </c>
      <c r="K108" s="150">
        <v>-102</v>
      </c>
      <c r="L108" s="1">
        <f>-102-K108</f>
        <v>0</v>
      </c>
      <c r="M108" s="1">
        <f>-162-L108-K108</f>
        <v>-60</v>
      </c>
      <c r="N108" s="4">
        <f t="shared" si="90"/>
        <v>-344</v>
      </c>
      <c r="O108" s="150">
        <v>-73</v>
      </c>
      <c r="P108" s="1">
        <f>-73-O108</f>
        <v>0</v>
      </c>
      <c r="Q108" s="1">
        <f>-73-P108-O108</f>
        <v>0</v>
      </c>
      <c r="R108" s="177"/>
      <c r="S108" s="23">
        <f t="shared" si="91"/>
        <v>-522</v>
      </c>
      <c r="T108" s="23">
        <f t="shared" si="92"/>
        <v>-417</v>
      </c>
      <c r="U108" s="23"/>
      <c r="V108" s="25">
        <f t="shared" si="93"/>
        <v>-0.20114942528735635</v>
      </c>
    </row>
    <row r="109" spans="1:22">
      <c r="B109" s="105" t="s">
        <v>132</v>
      </c>
      <c r="C109" s="150">
        <v>44126</v>
      </c>
      <c r="D109" s="150">
        <v>63619</v>
      </c>
      <c r="E109" s="150">
        <v>69571</v>
      </c>
      <c r="F109" s="4"/>
      <c r="G109" s="151">
        <v>14394</v>
      </c>
      <c r="H109" s="4">
        <f>29688-G109</f>
        <v>15294</v>
      </c>
      <c r="I109" s="4">
        <f>46587-H109-G109</f>
        <v>16899</v>
      </c>
      <c r="J109" s="4">
        <f t="shared" si="89"/>
        <v>17032</v>
      </c>
      <c r="K109" s="151">
        <v>17555</v>
      </c>
      <c r="L109" s="4">
        <f>33049-K109</f>
        <v>15494</v>
      </c>
      <c r="M109" s="4">
        <f>49855-L109-K109</f>
        <v>16806</v>
      </c>
      <c r="N109" s="4">
        <f t="shared" si="90"/>
        <v>19716</v>
      </c>
      <c r="O109" s="151">
        <v>17791</v>
      </c>
      <c r="P109" s="1">
        <f>38412-O109</f>
        <v>20621</v>
      </c>
      <c r="Q109" s="1">
        <f>57789-P109-O1093</f>
        <v>37168</v>
      </c>
      <c r="R109" s="177"/>
      <c r="S109" s="23">
        <f t="shared" si="91"/>
        <v>66887</v>
      </c>
      <c r="T109" s="23">
        <f t="shared" si="92"/>
        <v>95296</v>
      </c>
      <c r="U109" s="23"/>
      <c r="V109" s="25">
        <f t="shared" si="93"/>
        <v>0.42473126317520604</v>
      </c>
    </row>
    <row r="110" spans="1:22">
      <c r="B110" s="105" t="s">
        <v>133</v>
      </c>
      <c r="C110" s="150">
        <v>830621</v>
      </c>
      <c r="D110" s="150">
        <v>1286286</v>
      </c>
      <c r="E110" s="150">
        <v>115851</v>
      </c>
      <c r="F110" s="4"/>
      <c r="G110" s="151">
        <v>170091</v>
      </c>
      <c r="H110" s="4">
        <f>1087929-G110</f>
        <v>917838</v>
      </c>
      <c r="I110" s="4">
        <f>1088656-H110-G110</f>
        <v>727</v>
      </c>
      <c r="J110" s="4">
        <f t="shared" si="89"/>
        <v>197630</v>
      </c>
      <c r="K110" s="151">
        <v>18911</v>
      </c>
      <c r="L110" s="1">
        <f>43054-K110</f>
        <v>24143</v>
      </c>
      <c r="M110" s="1">
        <f>76613-L110-K110</f>
        <v>33559</v>
      </c>
      <c r="N110" s="4">
        <f t="shared" si="90"/>
        <v>39238</v>
      </c>
      <c r="O110" s="150">
        <v>191633</v>
      </c>
      <c r="P110" s="1">
        <f>371723-O110</f>
        <v>180090</v>
      </c>
      <c r="Q110" s="1">
        <f>783807-P110-O110</f>
        <v>412084</v>
      </c>
      <c r="R110" s="177"/>
      <c r="S110" s="23">
        <f t="shared" si="91"/>
        <v>274243</v>
      </c>
      <c r="T110" s="23">
        <f t="shared" si="92"/>
        <v>823045</v>
      </c>
      <c r="U110" s="23"/>
      <c r="V110" s="25">
        <f t="shared" si="93"/>
        <v>2.0011522627742551</v>
      </c>
    </row>
    <row r="111" spans="1:22">
      <c r="B111" s="105" t="s">
        <v>134</v>
      </c>
      <c r="C111" s="155">
        <v>7201</v>
      </c>
      <c r="D111" s="155">
        <v>8694</v>
      </c>
      <c r="E111" s="150">
        <v>8808</v>
      </c>
      <c r="F111" s="4"/>
      <c r="G111" s="151">
        <v>2129</v>
      </c>
      <c r="H111" s="4">
        <f>4297-G111</f>
        <v>2168</v>
      </c>
      <c r="I111" s="4">
        <f>6490-H111-G111</f>
        <v>2193</v>
      </c>
      <c r="J111" s="4">
        <f t="shared" si="89"/>
        <v>2204</v>
      </c>
      <c r="K111" s="151">
        <v>2210</v>
      </c>
      <c r="L111" s="4">
        <f>4400-K111</f>
        <v>2190</v>
      </c>
      <c r="M111" s="4">
        <f>6599-L111-K111</f>
        <v>2199</v>
      </c>
      <c r="N111" s="4">
        <f t="shared" si="90"/>
        <v>2209</v>
      </c>
      <c r="O111" s="151">
        <v>2557</v>
      </c>
      <c r="P111" s="4">
        <f>6399-O111</f>
        <v>3842</v>
      </c>
      <c r="Q111" s="4">
        <f>10231-P111-O111</f>
        <v>3832</v>
      </c>
      <c r="R111" s="177"/>
      <c r="S111" s="23">
        <f t="shared" si="91"/>
        <v>8803</v>
      </c>
      <c r="T111" s="23">
        <f t="shared" si="92"/>
        <v>12440</v>
      </c>
      <c r="U111" s="23"/>
      <c r="V111" s="25">
        <f t="shared" si="93"/>
        <v>0.41315460638418711</v>
      </c>
    </row>
    <row r="112" spans="1:22">
      <c r="B112" s="105" t="s">
        <v>106</v>
      </c>
      <c r="C112" s="150">
        <v>0</v>
      </c>
      <c r="D112" s="150">
        <v>0</v>
      </c>
      <c r="E112" s="150">
        <v>-44686</v>
      </c>
      <c r="F112" s="4"/>
      <c r="G112" s="150"/>
      <c r="H112" s="1"/>
      <c r="I112" s="1"/>
      <c r="J112" s="4">
        <f t="shared" si="89"/>
        <v>0</v>
      </c>
      <c r="K112" s="150">
        <v>-44686</v>
      </c>
      <c r="L112" s="1">
        <f>-44686-K112</f>
        <v>0</v>
      </c>
      <c r="M112" s="1">
        <f>-44686-L112-K112</f>
        <v>0</v>
      </c>
      <c r="N112" s="4">
        <f t="shared" si="90"/>
        <v>0</v>
      </c>
      <c r="O112" s="150">
        <v>0</v>
      </c>
      <c r="P112" s="1">
        <f>0-O112</f>
        <v>0</v>
      </c>
      <c r="Q112" s="1">
        <f>22933-P112-O112</f>
        <v>22933</v>
      </c>
      <c r="R112" s="177"/>
      <c r="S112" s="23">
        <f t="shared" si="91"/>
        <v>-44686</v>
      </c>
      <c r="T112" s="23">
        <f t="shared" si="92"/>
        <v>22933</v>
      </c>
      <c r="U112" s="23"/>
      <c r="V112" s="25">
        <f t="shared" si="93"/>
        <v>-1.5132032403884885</v>
      </c>
    </row>
    <row r="113" spans="2:22">
      <c r="B113"/>
      <c r="C113" s="101"/>
      <c r="D113" s="101"/>
      <c r="E113" s="101"/>
      <c r="F113" s="23"/>
      <c r="G113" s="101"/>
      <c r="H113" s="102"/>
      <c r="I113" s="103"/>
      <c r="J113" s="101"/>
      <c r="K113" s="101"/>
      <c r="L113" s="102"/>
      <c r="M113" s="103"/>
      <c r="N113" s="101"/>
      <c r="O113" s="102"/>
      <c r="P113" s="102"/>
      <c r="Q113" s="102"/>
      <c r="R113" s="177"/>
      <c r="S113" s="23"/>
      <c r="T113" s="23"/>
      <c r="U113" s="23"/>
      <c r="V113" s="40"/>
    </row>
    <row r="114" spans="2:22">
      <c r="B114" s="3" t="s">
        <v>22</v>
      </c>
      <c r="C114" s="101"/>
      <c r="D114" s="101"/>
      <c r="E114" s="101"/>
      <c r="F114" s="23"/>
      <c r="G114" s="101"/>
      <c r="H114" s="102"/>
      <c r="I114" s="103"/>
      <c r="J114" s="101"/>
      <c r="K114" s="101"/>
      <c r="L114" s="102"/>
      <c r="M114" s="103"/>
      <c r="N114" s="101"/>
      <c r="O114" s="102"/>
      <c r="P114" s="102"/>
      <c r="Q114" s="102"/>
      <c r="R114" s="177"/>
      <c r="S114" s="102"/>
      <c r="T114" s="102"/>
      <c r="U114" s="104"/>
    </row>
    <row r="115" spans="2:22">
      <c r="B115" s="105" t="s">
        <v>23</v>
      </c>
      <c r="C115" s="150">
        <v>2618</v>
      </c>
      <c r="D115" s="150">
        <v>-5292</v>
      </c>
      <c r="E115" s="150">
        <v>10307</v>
      </c>
      <c r="F115" s="4"/>
      <c r="G115" s="150">
        <v>8183</v>
      </c>
      <c r="H115" s="1">
        <f>9281-G115</f>
        <v>1098</v>
      </c>
      <c r="I115" s="1">
        <f>5586-H115-G115</f>
        <v>-3695</v>
      </c>
      <c r="J115" s="4">
        <f t="shared" ref="J115:J123" si="94">SUM(D115-SUM(G115:I115))</f>
        <v>-10878</v>
      </c>
      <c r="K115" s="150">
        <v>10241</v>
      </c>
      <c r="L115" s="1">
        <f>17737-K115</f>
        <v>7496</v>
      </c>
      <c r="M115" s="1">
        <f>6627-L115-K115</f>
        <v>-11110</v>
      </c>
      <c r="N115" s="4">
        <f t="shared" ref="N115:N123" si="95">SUM(E115-SUM(K115:M115))</f>
        <v>3680</v>
      </c>
      <c r="O115" s="150">
        <v>12166</v>
      </c>
      <c r="P115" s="1">
        <f>20119-O115</f>
        <v>7953</v>
      </c>
      <c r="Q115" s="1">
        <f>27374-P115-O115</f>
        <v>7255</v>
      </c>
      <c r="R115" s="177"/>
      <c r="S115" s="23">
        <f t="shared" ref="S115:S123" si="96">SUM(J115:M115)</f>
        <v>-4251</v>
      </c>
      <c r="T115" s="23">
        <f t="shared" ref="T115:T123" si="97">SUM(N115:Q115)</f>
        <v>31054</v>
      </c>
      <c r="U115" s="104"/>
      <c r="V115" s="25">
        <f t="shared" ref="V115:V123" si="98">SUM(T115/S115)-1</f>
        <v>-8.3051046812514713</v>
      </c>
    </row>
    <row r="116" spans="2:22">
      <c r="B116" s="105" t="s">
        <v>111</v>
      </c>
      <c r="C116" s="150">
        <v>-25</v>
      </c>
      <c r="D116" s="150">
        <v>-6342</v>
      </c>
      <c r="E116" s="150">
        <v>-11358</v>
      </c>
      <c r="F116" s="4"/>
      <c r="G116" s="150">
        <v>-2838</v>
      </c>
      <c r="H116" s="1">
        <f>-7077-G116</f>
        <v>-4239</v>
      </c>
      <c r="I116" s="1">
        <f>-7837-H116-G116</f>
        <v>-760</v>
      </c>
      <c r="J116" s="4">
        <f t="shared" si="94"/>
        <v>1495</v>
      </c>
      <c r="K116" s="150">
        <v>423</v>
      </c>
      <c r="L116" s="1">
        <f>4861-K116</f>
        <v>4438</v>
      </c>
      <c r="M116" s="1">
        <f>-99-L116-K116</f>
        <v>-4960</v>
      </c>
      <c r="N116" s="4">
        <f t="shared" si="95"/>
        <v>-11259</v>
      </c>
      <c r="O116" s="150">
        <v>-6260</v>
      </c>
      <c r="P116" s="1">
        <f>7914-O116</f>
        <v>14174</v>
      </c>
      <c r="Q116" s="1">
        <f>4868-P116-O116</f>
        <v>-3046</v>
      </c>
      <c r="R116" s="177"/>
      <c r="S116" s="23">
        <f t="shared" si="96"/>
        <v>1396</v>
      </c>
      <c r="T116" s="23">
        <f t="shared" si="97"/>
        <v>-6391</v>
      </c>
      <c r="U116" s="104"/>
      <c r="V116" s="25">
        <f t="shared" si="98"/>
        <v>-5.5780802292263614</v>
      </c>
    </row>
    <row r="117" spans="2:22">
      <c r="B117" s="105" t="s">
        <v>114</v>
      </c>
      <c r="C117" s="150">
        <v>-1713</v>
      </c>
      <c r="D117" s="150">
        <v>-7455</v>
      </c>
      <c r="E117" s="150">
        <v>-632</v>
      </c>
      <c r="F117" s="4"/>
      <c r="G117" s="150">
        <v>-5801</v>
      </c>
      <c r="H117" s="1">
        <f>-6578-G117</f>
        <v>-777</v>
      </c>
      <c r="I117" s="1">
        <f>-8314-H117-G117</f>
        <v>-1736</v>
      </c>
      <c r="J117" s="4">
        <f t="shared" si="94"/>
        <v>859</v>
      </c>
      <c r="K117" s="150">
        <v>-6</v>
      </c>
      <c r="L117" s="1">
        <f>1189-K117</f>
        <v>1195</v>
      </c>
      <c r="M117" s="1">
        <f>-321-L117-K117</f>
        <v>-1510</v>
      </c>
      <c r="N117" s="4">
        <f t="shared" si="95"/>
        <v>-311</v>
      </c>
      <c r="O117" s="150">
        <v>-5339</v>
      </c>
      <c r="P117" s="1">
        <f>-8163-O117</f>
        <v>-2824</v>
      </c>
      <c r="Q117" s="1">
        <f>-6748-P117-O117</f>
        <v>1415</v>
      </c>
      <c r="R117" s="177"/>
      <c r="S117" s="23">
        <f t="shared" si="96"/>
        <v>538</v>
      </c>
      <c r="T117" s="23">
        <f t="shared" si="97"/>
        <v>-7059</v>
      </c>
      <c r="U117" s="104"/>
      <c r="V117" s="25">
        <f t="shared" si="98"/>
        <v>-14.12081784386617</v>
      </c>
    </row>
    <row r="118" spans="2:22">
      <c r="B118" s="105" t="s">
        <v>135</v>
      </c>
      <c r="C118" s="150">
        <v>3749</v>
      </c>
      <c r="D118" s="150">
        <v>-3521</v>
      </c>
      <c r="E118" s="150">
        <v>-634</v>
      </c>
      <c r="F118" s="4"/>
      <c r="G118" s="150">
        <v>-2041</v>
      </c>
      <c r="H118" s="1">
        <f>-10216-G118</f>
        <v>-8175</v>
      </c>
      <c r="I118" s="1">
        <f>-8880-H118-G118</f>
        <v>1336</v>
      </c>
      <c r="J118" s="4">
        <f t="shared" si="94"/>
        <v>5359</v>
      </c>
      <c r="K118" s="150">
        <v>4230</v>
      </c>
      <c r="L118" s="1">
        <f>-9400-K118</f>
        <v>-13630</v>
      </c>
      <c r="M118" s="1">
        <f>-8005-L118-K118</f>
        <v>1395</v>
      </c>
      <c r="N118" s="4">
        <f t="shared" si="95"/>
        <v>7371</v>
      </c>
      <c r="O118" s="150">
        <v>-2005</v>
      </c>
      <c r="P118" s="1">
        <f>-8164-O118</f>
        <v>-6159</v>
      </c>
      <c r="Q118" s="1">
        <f>-8318-P118-O118</f>
        <v>-154</v>
      </c>
      <c r="R118" s="177"/>
      <c r="S118" s="23">
        <f t="shared" si="96"/>
        <v>-2646</v>
      </c>
      <c r="T118" s="23">
        <f t="shared" si="97"/>
        <v>-947</v>
      </c>
      <c r="U118" s="104"/>
      <c r="V118" s="25">
        <f t="shared" si="98"/>
        <v>-0.64210128495842778</v>
      </c>
    </row>
    <row r="119" spans="2:22">
      <c r="B119" s="105" t="s">
        <v>117</v>
      </c>
      <c r="C119" s="150">
        <v>2374</v>
      </c>
      <c r="D119" s="150">
        <v>-12344</v>
      </c>
      <c r="E119" s="150">
        <v>-12000</v>
      </c>
      <c r="F119" s="4"/>
      <c r="G119" s="151">
        <v>-12735</v>
      </c>
      <c r="H119" s="1">
        <f>-9802-G119</f>
        <v>2933</v>
      </c>
      <c r="I119" s="1">
        <f>-13105-H119-G119</f>
        <v>-3303</v>
      </c>
      <c r="J119" s="4">
        <f t="shared" si="94"/>
        <v>761</v>
      </c>
      <c r="K119" s="150">
        <v>-16327</v>
      </c>
      <c r="L119" s="1">
        <f>-15559-K119</f>
        <v>768</v>
      </c>
      <c r="M119" s="1">
        <f>-15186-L119-K119</f>
        <v>373</v>
      </c>
      <c r="N119" s="4">
        <f t="shared" si="95"/>
        <v>3186</v>
      </c>
      <c r="O119" s="150">
        <v>-13279</v>
      </c>
      <c r="P119" s="1">
        <f>-18059-O119</f>
        <v>-4780</v>
      </c>
      <c r="Q119" s="1">
        <f>-26383-P119-O119</f>
        <v>-8324</v>
      </c>
      <c r="R119" s="177"/>
      <c r="S119" s="23">
        <f t="shared" si="96"/>
        <v>-14425</v>
      </c>
      <c r="T119" s="23">
        <f t="shared" si="97"/>
        <v>-23197</v>
      </c>
      <c r="U119" s="104"/>
      <c r="V119" s="25">
        <f t="shared" si="98"/>
        <v>0.60811091854419419</v>
      </c>
    </row>
    <row r="120" spans="2:22">
      <c r="B120" s="105" t="s">
        <v>118</v>
      </c>
      <c r="C120" s="150">
        <v>1222</v>
      </c>
      <c r="D120" s="150">
        <v>1336</v>
      </c>
      <c r="E120" s="150">
        <v>-1336</v>
      </c>
      <c r="F120" s="4"/>
      <c r="G120" s="150">
        <v>9051</v>
      </c>
      <c r="H120" s="1">
        <f>776-G120</f>
        <v>-8275</v>
      </c>
      <c r="I120" s="1">
        <f>9901-H120-G120</f>
        <v>9125</v>
      </c>
      <c r="J120" s="4">
        <f t="shared" si="94"/>
        <v>-8565</v>
      </c>
      <c r="K120" s="150">
        <v>7539</v>
      </c>
      <c r="L120" s="1">
        <f>-1336-K120</f>
        <v>-8875</v>
      </c>
      <c r="M120" s="1">
        <f>7539-L120-K120</f>
        <v>8875</v>
      </c>
      <c r="N120" s="4">
        <f t="shared" si="95"/>
        <v>-8875</v>
      </c>
      <c r="O120" s="150">
        <v>9385</v>
      </c>
      <c r="P120" s="1">
        <f>3641-O120</f>
        <v>-5744</v>
      </c>
      <c r="Q120" s="1">
        <f>4444-P120-O120</f>
        <v>803</v>
      </c>
      <c r="R120" s="177"/>
      <c r="S120" s="23">
        <f t="shared" si="96"/>
        <v>-1026</v>
      </c>
      <c r="T120" s="23">
        <f t="shared" si="97"/>
        <v>-4431</v>
      </c>
      <c r="U120" s="104"/>
      <c r="V120" s="25">
        <f t="shared" si="98"/>
        <v>3.3187134502923978</v>
      </c>
    </row>
    <row r="121" spans="2:22">
      <c r="B121" s="105" t="s">
        <v>120</v>
      </c>
      <c r="C121" s="150">
        <v>14710</v>
      </c>
      <c r="D121" s="150">
        <v>14839</v>
      </c>
      <c r="E121" s="150">
        <v>2362</v>
      </c>
      <c r="F121" s="4"/>
      <c r="G121" s="150">
        <v>48895</v>
      </c>
      <c r="H121" s="1">
        <f>36945-G121</f>
        <v>-11950</v>
      </c>
      <c r="I121" s="1">
        <f>25401-H121-G121</f>
        <v>-11544</v>
      </c>
      <c r="J121" s="4">
        <f t="shared" si="94"/>
        <v>-10562</v>
      </c>
      <c r="K121" s="150">
        <v>33352</v>
      </c>
      <c r="L121" s="1">
        <f>26952-K121</f>
        <v>-6400</v>
      </c>
      <c r="M121" s="1">
        <f>9901-L121-K121</f>
        <v>-17051</v>
      </c>
      <c r="N121" s="4">
        <f t="shared" si="95"/>
        <v>-7539</v>
      </c>
      <c r="O121" s="151">
        <v>41560</v>
      </c>
      <c r="P121" s="4">
        <f>24994-O121</f>
        <v>-16566</v>
      </c>
      <c r="Q121" s="4">
        <f>3484-P121-O121</f>
        <v>-21510</v>
      </c>
      <c r="R121" s="177"/>
      <c r="S121" s="23">
        <f t="shared" si="96"/>
        <v>-661</v>
      </c>
      <c r="T121" s="23">
        <f t="shared" si="97"/>
        <v>-4055</v>
      </c>
      <c r="U121" s="104"/>
      <c r="V121" s="25">
        <f t="shared" si="98"/>
        <v>5.1346444780635405</v>
      </c>
    </row>
    <row r="122" spans="2:22">
      <c r="B122" s="105" t="s">
        <v>6</v>
      </c>
      <c r="C122" s="150">
        <v>-10222</v>
      </c>
      <c r="D122" s="150">
        <v>-9634</v>
      </c>
      <c r="E122" s="150">
        <v>-10218</v>
      </c>
      <c r="F122" s="4"/>
      <c r="G122" s="150">
        <v>-2382</v>
      </c>
      <c r="H122" s="1">
        <f>-4835-G122</f>
        <v>-2453</v>
      </c>
      <c r="I122" s="1">
        <f>-7390-H122-G122</f>
        <v>-2555</v>
      </c>
      <c r="J122" s="4">
        <f t="shared" si="94"/>
        <v>-2244</v>
      </c>
      <c r="K122" s="150">
        <v>-2594</v>
      </c>
      <c r="L122" s="1">
        <f>-5233-K122</f>
        <v>-2639</v>
      </c>
      <c r="M122" s="1">
        <f>-7954-L122-K122</f>
        <v>-2721</v>
      </c>
      <c r="N122" s="4">
        <f t="shared" si="95"/>
        <v>-2264</v>
      </c>
      <c r="O122" s="150">
        <v>-2896</v>
      </c>
      <c r="P122" s="1">
        <f>-5467-O122</f>
        <v>-2571</v>
      </c>
      <c r="Q122" s="1">
        <f>-7832-P122-O122</f>
        <v>-2365</v>
      </c>
      <c r="R122" s="177"/>
      <c r="S122" s="23">
        <f t="shared" si="96"/>
        <v>-10198</v>
      </c>
      <c r="T122" s="23">
        <f t="shared" si="97"/>
        <v>-10096</v>
      </c>
      <c r="U122" s="23"/>
      <c r="V122" s="25">
        <f t="shared" si="98"/>
        <v>-1.0001961168856655E-2</v>
      </c>
    </row>
    <row r="123" spans="2:22">
      <c r="B123" s="105" t="s">
        <v>7</v>
      </c>
      <c r="C123" s="150">
        <v>-1622</v>
      </c>
      <c r="D123" s="150">
        <v>-8196</v>
      </c>
      <c r="E123" s="150">
        <v>2454</v>
      </c>
      <c r="F123" s="4"/>
      <c r="G123" s="151">
        <v>-25</v>
      </c>
      <c r="H123" s="4">
        <f>32-G123</f>
        <v>57</v>
      </c>
      <c r="I123" s="4">
        <f>150-H123-G123</f>
        <v>118</v>
      </c>
      <c r="J123" s="4">
        <f t="shared" si="94"/>
        <v>-8346</v>
      </c>
      <c r="K123" s="151">
        <v>-57</v>
      </c>
      <c r="L123" s="4">
        <f>-228-K123</f>
        <v>-171</v>
      </c>
      <c r="M123" s="4">
        <f>203-L123-K123</f>
        <v>431</v>
      </c>
      <c r="N123" s="4">
        <f t="shared" si="95"/>
        <v>2251</v>
      </c>
      <c r="O123" s="151">
        <v>-7622</v>
      </c>
      <c r="P123" s="4">
        <f>-5057-O123</f>
        <v>2565</v>
      </c>
      <c r="Q123" s="4">
        <f>-4637-P123-O123</f>
        <v>420</v>
      </c>
      <c r="R123" s="177"/>
      <c r="S123" s="23">
        <f t="shared" si="96"/>
        <v>-8143</v>
      </c>
      <c r="T123" s="23">
        <f t="shared" si="97"/>
        <v>-2386</v>
      </c>
      <c r="U123" s="104"/>
      <c r="V123" s="25">
        <f t="shared" si="98"/>
        <v>-0.70698759670882971</v>
      </c>
    </row>
    <row r="124" spans="2:22" ht="15.75">
      <c r="B124" s="106" t="s">
        <v>24</v>
      </c>
      <c r="C124" s="107">
        <f>SUM(C101:C123)</f>
        <v>93833</v>
      </c>
      <c r="D124" s="107">
        <f>SUM(D101:D123)</f>
        <v>3211</v>
      </c>
      <c r="E124" s="107">
        <f>SUM(E101:E123)</f>
        <v>12712</v>
      </c>
      <c r="F124" s="36"/>
      <c r="G124" s="107">
        <f>SUM(G101:G123)</f>
        <v>43682</v>
      </c>
      <c r="H124" s="107">
        <f>SUM(H101:H123)</f>
        <v>-20819</v>
      </c>
      <c r="I124" s="107">
        <f>SUM(I101:I123)</f>
        <v>-1454</v>
      </c>
      <c r="J124" s="107">
        <f>SUM(J101:J123)</f>
        <v>-18198</v>
      </c>
      <c r="K124" s="107">
        <f>SUM(K101:K123)</f>
        <v>37397</v>
      </c>
      <c r="L124" s="107">
        <f>SUM(L101:L123)</f>
        <v>-18472</v>
      </c>
      <c r="M124" s="107">
        <f>SUM(M101:M123)</f>
        <v>-7397</v>
      </c>
      <c r="N124" s="107">
        <f>SUM(N101:N123)</f>
        <v>1184</v>
      </c>
      <c r="O124" s="107">
        <f>SUM(O101:O123)</f>
        <v>28587</v>
      </c>
      <c r="P124" s="107">
        <f>SUM(P101:P123)</f>
        <v>-23329</v>
      </c>
      <c r="Q124" s="107">
        <f>SUM(Q101:Q123)</f>
        <v>-23175</v>
      </c>
      <c r="R124" s="177"/>
      <c r="S124" s="107">
        <f>SUM(S101:S123)</f>
        <v>-6670</v>
      </c>
      <c r="T124" s="107">
        <f>SUM(T101:T123)</f>
        <v>-16733</v>
      </c>
      <c r="U124" s="29"/>
      <c r="V124" s="30">
        <f>SUM(T124/S124)-1</f>
        <v>1.508695652173913</v>
      </c>
    </row>
    <row r="125" spans="2:22" ht="15.75">
      <c r="B125" s="65"/>
      <c r="C125" s="108"/>
      <c r="D125" s="108"/>
      <c r="E125" s="108"/>
      <c r="F125" s="36"/>
      <c r="G125" s="108"/>
      <c r="H125" s="108"/>
      <c r="I125" s="108"/>
      <c r="J125" s="108"/>
      <c r="K125" s="108"/>
      <c r="L125" s="108"/>
      <c r="M125" s="108"/>
      <c r="N125" s="108"/>
      <c r="O125" s="108"/>
      <c r="P125" s="108"/>
      <c r="Q125" s="108"/>
      <c r="R125" s="177"/>
      <c r="S125" s="29"/>
      <c r="T125" s="29"/>
      <c r="U125" s="29"/>
      <c r="V125" s="40"/>
    </row>
    <row r="126" spans="2:22" ht="15.75">
      <c r="B126" s="65" t="s">
        <v>63</v>
      </c>
      <c r="C126" s="102"/>
      <c r="D126" s="102"/>
      <c r="E126" s="102"/>
      <c r="F126" s="36"/>
      <c r="G126" s="102"/>
      <c r="H126" s="102"/>
      <c r="I126" s="103"/>
      <c r="J126" s="102"/>
      <c r="K126" s="102"/>
      <c r="L126" s="102"/>
      <c r="M126" s="103"/>
      <c r="N126" s="102"/>
      <c r="O126" s="102"/>
      <c r="P126" s="102"/>
      <c r="Q126" s="102"/>
      <c r="R126" s="177"/>
      <c r="S126" s="102"/>
      <c r="T126" s="102"/>
      <c r="U126" s="104"/>
    </row>
    <row r="127" spans="2:22">
      <c r="B127" s="105" t="s">
        <v>136</v>
      </c>
      <c r="C127" s="150">
        <v>-2626529</v>
      </c>
      <c r="D127" s="150">
        <v>-287921</v>
      </c>
      <c r="E127" s="150">
        <v>-1902299</v>
      </c>
      <c r="F127" s="4"/>
      <c r="G127" s="150">
        <v>-215500</v>
      </c>
      <c r="H127" s="1">
        <f>-225500-G127</f>
        <v>-10000</v>
      </c>
      <c r="I127" s="1">
        <f>-231478-H127-G127</f>
        <v>-5978</v>
      </c>
      <c r="J127" s="4">
        <f t="shared" ref="J127:J129" si="99">SUM(D127-SUM(G127:I127))</f>
        <v>-56443</v>
      </c>
      <c r="K127" s="150">
        <v>-179275</v>
      </c>
      <c r="L127" s="1">
        <f>-526278-K127</f>
        <v>-347003</v>
      </c>
      <c r="M127" s="1">
        <f>-687959-L127-K127</f>
        <v>-161681</v>
      </c>
      <c r="N127" s="4">
        <f t="shared" ref="N127:N129" si="100">SUM(E127-SUM(K127:M127))</f>
        <v>-1214340</v>
      </c>
      <c r="O127" s="150">
        <v>-1639309</v>
      </c>
      <c r="P127" s="1">
        <f>-2433137-O127</f>
        <v>-793828</v>
      </c>
      <c r="Q127" s="1">
        <f>-4008210-P127-O127</f>
        <v>-1575073</v>
      </c>
      <c r="R127" s="177"/>
      <c r="S127" s="23">
        <f t="shared" ref="S127:S129" si="101">SUM(J127:M127)</f>
        <v>-744402</v>
      </c>
      <c r="T127" s="23">
        <f t="shared" ref="T127:T129" si="102">SUM(N127:Q127)</f>
        <v>-5222550</v>
      </c>
      <c r="U127" s="104"/>
      <c r="V127" s="25">
        <f t="shared" ref="V127:V129" si="103">SUM(T127/S127)-1</f>
        <v>6.0157656749981863</v>
      </c>
    </row>
    <row r="128" spans="2:22">
      <c r="B128" s="105" t="s">
        <v>25</v>
      </c>
      <c r="C128" s="150">
        <v>-2706</v>
      </c>
      <c r="D128" s="150">
        <v>-2486</v>
      </c>
      <c r="E128" s="150">
        <v>-2938</v>
      </c>
      <c r="F128" s="4"/>
      <c r="G128" s="150">
        <v>-641</v>
      </c>
      <c r="H128" s="1">
        <f>-1519-G128</f>
        <v>-878</v>
      </c>
      <c r="I128" s="1">
        <f>-1851-H128-G128</f>
        <v>-332</v>
      </c>
      <c r="J128" s="4">
        <f t="shared" si="99"/>
        <v>-635</v>
      </c>
      <c r="K128" s="150">
        <v>-499</v>
      </c>
      <c r="L128" s="1">
        <f>-1138-K128</f>
        <v>-639</v>
      </c>
      <c r="M128" s="1">
        <f>-2591-L128-K128</f>
        <v>-1453</v>
      </c>
      <c r="N128" s="4">
        <f t="shared" si="100"/>
        <v>-347</v>
      </c>
      <c r="O128" s="150">
        <v>-1545</v>
      </c>
      <c r="P128" s="1">
        <f>-2268-O128</f>
        <v>-723</v>
      </c>
      <c r="Q128" s="1">
        <f>-2694-P128-O128</f>
        <v>-426</v>
      </c>
      <c r="R128" s="177"/>
      <c r="S128" s="23">
        <f t="shared" si="101"/>
        <v>-3226</v>
      </c>
      <c r="T128" s="23">
        <f t="shared" si="102"/>
        <v>-3041</v>
      </c>
      <c r="U128" s="104"/>
      <c r="V128" s="25">
        <f t="shared" si="103"/>
        <v>-5.73465592064476E-2</v>
      </c>
    </row>
    <row r="129" spans="2:22">
      <c r="B129" s="105" t="s">
        <v>137</v>
      </c>
      <c r="C129" s="150">
        <v>0</v>
      </c>
      <c r="D129" s="150">
        <v>11817</v>
      </c>
      <c r="E129" s="150">
        <v>0</v>
      </c>
      <c r="F129" s="4"/>
      <c r="G129" s="150"/>
      <c r="H129" s="1"/>
      <c r="I129" s="1"/>
      <c r="J129" s="4">
        <f t="shared" si="99"/>
        <v>11817</v>
      </c>
      <c r="K129" s="151"/>
      <c r="L129" s="4"/>
      <c r="M129" s="4"/>
      <c r="N129" s="4">
        <f t="shared" si="100"/>
        <v>0</v>
      </c>
      <c r="O129" s="151"/>
      <c r="P129" s="4"/>
      <c r="Q129" s="4"/>
      <c r="R129" s="177"/>
      <c r="S129" s="23">
        <f t="shared" si="101"/>
        <v>11817</v>
      </c>
      <c r="T129" s="23">
        <f t="shared" si="102"/>
        <v>0</v>
      </c>
      <c r="U129" s="104"/>
      <c r="V129" s="25">
        <f t="shared" si="103"/>
        <v>-1</v>
      </c>
    </row>
    <row r="130" spans="2:22" ht="15.75">
      <c r="B130" s="109" t="s">
        <v>26</v>
      </c>
      <c r="C130" s="107">
        <f>SUM(C127:C129)</f>
        <v>-2629235</v>
      </c>
      <c r="D130" s="107">
        <f>SUM(D127:D129)</f>
        <v>-278590</v>
      </c>
      <c r="E130" s="107">
        <f>SUM(E127:E129)</f>
        <v>-1905237</v>
      </c>
      <c r="F130" s="36"/>
      <c r="G130" s="107">
        <f t="shared" ref="G130:Q130" si="104">SUM(G127:G129)</f>
        <v>-216141</v>
      </c>
      <c r="H130" s="107">
        <f t="shared" si="104"/>
        <v>-10878</v>
      </c>
      <c r="I130" s="107">
        <f t="shared" si="104"/>
        <v>-6310</v>
      </c>
      <c r="J130" s="107">
        <f t="shared" si="104"/>
        <v>-45261</v>
      </c>
      <c r="K130" s="107">
        <f t="shared" si="104"/>
        <v>-179774</v>
      </c>
      <c r="L130" s="107">
        <f t="shared" si="104"/>
        <v>-347642</v>
      </c>
      <c r="M130" s="107">
        <f t="shared" si="104"/>
        <v>-163134</v>
      </c>
      <c r="N130" s="107">
        <f t="shared" si="104"/>
        <v>-1214687</v>
      </c>
      <c r="O130" s="107">
        <f t="shared" si="104"/>
        <v>-1640854</v>
      </c>
      <c r="P130" s="107">
        <f t="shared" si="104"/>
        <v>-794551</v>
      </c>
      <c r="Q130" s="107">
        <f t="shared" si="104"/>
        <v>-1575499</v>
      </c>
      <c r="R130" s="177"/>
      <c r="S130" s="107">
        <f>SUM(S127:S129)</f>
        <v>-735811</v>
      </c>
      <c r="T130" s="107">
        <f>SUM(T127:T129)</f>
        <v>-5225591</v>
      </c>
      <c r="U130" s="29"/>
      <c r="V130" s="30">
        <f>SUM(T130/S130)-1</f>
        <v>6.1018114706086211</v>
      </c>
    </row>
    <row r="131" spans="2:22" ht="15.75">
      <c r="B131" s="110"/>
      <c r="C131" s="108"/>
      <c r="D131" s="108"/>
      <c r="E131" s="108"/>
      <c r="F131" s="36"/>
      <c r="G131" s="108"/>
      <c r="H131" s="108"/>
      <c r="I131" s="108"/>
      <c r="J131" s="108"/>
      <c r="K131" s="108"/>
      <c r="L131" s="108"/>
      <c r="M131" s="108"/>
      <c r="N131" s="108"/>
      <c r="O131" s="108"/>
      <c r="P131" s="108"/>
      <c r="Q131" s="108"/>
      <c r="R131" s="177"/>
      <c r="S131" s="29"/>
      <c r="T131" s="29"/>
      <c r="U131" s="29"/>
      <c r="V131" s="40"/>
    </row>
    <row r="132" spans="2:22" ht="15.75">
      <c r="B132" s="65" t="s">
        <v>64</v>
      </c>
      <c r="C132" s="111"/>
      <c r="D132" s="111"/>
      <c r="E132" s="111"/>
      <c r="F132" s="36"/>
      <c r="G132" s="111"/>
      <c r="H132" s="111"/>
      <c r="I132" s="111"/>
      <c r="J132" s="111"/>
      <c r="K132" s="111"/>
      <c r="L132" s="111"/>
      <c r="M132" s="111"/>
      <c r="N132" s="112"/>
      <c r="O132" s="111"/>
      <c r="P132" s="111"/>
      <c r="Q132" s="111"/>
      <c r="R132" s="177"/>
      <c r="S132" s="111"/>
      <c r="T132" s="111"/>
      <c r="U132" s="113"/>
    </row>
    <row r="133" spans="2:22">
      <c r="B133" s="105" t="s">
        <v>138</v>
      </c>
      <c r="C133" s="150">
        <v>1050000</v>
      </c>
      <c r="D133" s="150">
        <v>0</v>
      </c>
      <c r="E133" s="150">
        <v>0</v>
      </c>
      <c r="F133" s="4"/>
      <c r="G133" s="151"/>
      <c r="H133" s="1"/>
      <c r="I133" s="1"/>
      <c r="J133" s="4">
        <f t="shared" ref="J133:J149" si="105">SUM(D133-SUM(G133:I133))</f>
        <v>0</v>
      </c>
      <c r="K133" s="150"/>
      <c r="L133" s="1"/>
      <c r="M133" s="1"/>
      <c r="N133" s="4">
        <f t="shared" ref="N133:N149" si="106">SUM(E133-SUM(K133:M133))</f>
        <v>0</v>
      </c>
      <c r="O133" s="151">
        <v>1403750</v>
      </c>
      <c r="P133" s="1">
        <f>2203750-O133</f>
        <v>800000</v>
      </c>
      <c r="Q133" s="1">
        <f>3213750-P133-O133</f>
        <v>1010000</v>
      </c>
      <c r="R133" s="177"/>
      <c r="S133" s="23">
        <f t="shared" ref="S133:S149" si="107">SUM(J133:M133)</f>
        <v>0</v>
      </c>
      <c r="T133" s="23">
        <f t="shared" ref="T133:T149" si="108">SUM(N133:Q133)</f>
        <v>3213750</v>
      </c>
      <c r="U133" s="23"/>
      <c r="V133" s="25" t="e">
        <f t="shared" ref="V133:V149" si="109">SUM(T133/S133)-1</f>
        <v>#DIV/0!</v>
      </c>
    </row>
    <row r="134" spans="2:22">
      <c r="B134" s="105" t="s">
        <v>139</v>
      </c>
      <c r="C134" s="150">
        <v>-24796</v>
      </c>
      <c r="D134" s="150">
        <v>0</v>
      </c>
      <c r="E134" s="150">
        <v>0</v>
      </c>
      <c r="F134" s="4"/>
      <c r="G134" s="151"/>
      <c r="H134" s="1"/>
      <c r="I134" s="1"/>
      <c r="J134" s="4">
        <f t="shared" si="105"/>
        <v>0</v>
      </c>
      <c r="K134" s="150"/>
      <c r="L134" s="1"/>
      <c r="M134" s="1"/>
      <c r="N134" s="4">
        <f t="shared" si="106"/>
        <v>0</v>
      </c>
      <c r="O134" s="151">
        <v>-28071</v>
      </c>
      <c r="P134" s="1">
        <f>-42008-O134</f>
        <v>-13937</v>
      </c>
      <c r="Q134" s="1">
        <f>-53524-P134-O134</f>
        <v>-11516</v>
      </c>
      <c r="R134" s="177"/>
      <c r="S134" s="23">
        <f t="shared" si="107"/>
        <v>0</v>
      </c>
      <c r="T134" s="23">
        <f t="shared" si="108"/>
        <v>-53524</v>
      </c>
      <c r="U134" s="23"/>
      <c r="V134" s="25" t="e">
        <f t="shared" si="109"/>
        <v>#DIV/0!</v>
      </c>
    </row>
    <row r="135" spans="2:22">
      <c r="B135" s="105" t="s">
        <v>140</v>
      </c>
      <c r="C135" s="150"/>
      <c r="D135" s="150"/>
      <c r="E135" s="150"/>
      <c r="F135" s="4"/>
      <c r="G135" s="151"/>
      <c r="H135" s="1"/>
      <c r="I135" s="1"/>
      <c r="J135" s="4">
        <f t="shared" si="105"/>
        <v>0</v>
      </c>
      <c r="K135" s="150"/>
      <c r="L135" s="1"/>
      <c r="M135" s="1"/>
      <c r="N135" s="4">
        <f t="shared" si="106"/>
        <v>0</v>
      </c>
      <c r="O135" s="151"/>
      <c r="P135" s="1">
        <f>-44-O135</f>
        <v>-44</v>
      </c>
      <c r="Q135" s="1">
        <f>-398-P135-O135</f>
        <v>-354</v>
      </c>
      <c r="R135" s="177"/>
      <c r="S135" s="23">
        <f t="shared" si="107"/>
        <v>0</v>
      </c>
      <c r="T135" s="23">
        <f t="shared" si="108"/>
        <v>-398</v>
      </c>
      <c r="U135" s="23"/>
      <c r="V135" s="25" t="e">
        <f t="shared" si="109"/>
        <v>#DIV/0!</v>
      </c>
    </row>
    <row r="136" spans="2:22">
      <c r="B136" s="105" t="s">
        <v>141</v>
      </c>
      <c r="C136" s="150">
        <v>500000</v>
      </c>
      <c r="D136" s="150">
        <v>0</v>
      </c>
      <c r="E136" s="150">
        <v>0</v>
      </c>
      <c r="F136" s="4"/>
      <c r="G136" s="151"/>
      <c r="H136" s="1"/>
      <c r="I136" s="1"/>
      <c r="J136" s="4">
        <f t="shared" si="105"/>
        <v>0</v>
      </c>
      <c r="K136" s="150"/>
      <c r="L136" s="1"/>
      <c r="M136" s="1"/>
      <c r="N136" s="4">
        <f t="shared" si="106"/>
        <v>0</v>
      </c>
      <c r="O136" s="151"/>
      <c r="P136" s="1"/>
      <c r="Q136" s="1"/>
      <c r="R136" s="177"/>
      <c r="S136" s="23">
        <f t="shared" si="107"/>
        <v>0</v>
      </c>
      <c r="T136" s="23">
        <f t="shared" si="108"/>
        <v>0</v>
      </c>
      <c r="U136" s="23"/>
      <c r="V136" s="25" t="e">
        <f t="shared" si="109"/>
        <v>#DIV/0!</v>
      </c>
    </row>
    <row r="137" spans="2:22">
      <c r="B137" s="105" t="s">
        <v>142</v>
      </c>
      <c r="C137" s="150">
        <v>-12792</v>
      </c>
      <c r="D137" s="150">
        <v>0</v>
      </c>
      <c r="E137" s="150">
        <v>0</v>
      </c>
      <c r="F137" s="4"/>
      <c r="G137" s="151"/>
      <c r="H137" s="1"/>
      <c r="I137" s="1"/>
      <c r="J137" s="4">
        <f t="shared" si="105"/>
        <v>0</v>
      </c>
      <c r="K137" s="150"/>
      <c r="L137" s="1"/>
      <c r="M137" s="1"/>
      <c r="N137" s="4">
        <f t="shared" si="106"/>
        <v>0</v>
      </c>
      <c r="O137" s="151"/>
      <c r="P137" s="1"/>
      <c r="Q137" s="1"/>
      <c r="R137" s="177"/>
      <c r="S137" s="23">
        <f t="shared" si="107"/>
        <v>0</v>
      </c>
      <c r="T137" s="23">
        <f t="shared" si="108"/>
        <v>0</v>
      </c>
      <c r="U137" s="23"/>
      <c r="V137" s="25" t="e">
        <f t="shared" si="109"/>
        <v>#DIV/0!</v>
      </c>
    </row>
    <row r="138" spans="2:22">
      <c r="B138" s="105" t="s">
        <v>143</v>
      </c>
      <c r="C138" s="150">
        <v>0</v>
      </c>
      <c r="D138" s="150">
        <v>204693</v>
      </c>
      <c r="E138" s="150">
        <v>0</v>
      </c>
      <c r="F138" s="4"/>
      <c r="G138" s="151">
        <v>204693</v>
      </c>
      <c r="H138" s="1">
        <f>204693-G138</f>
        <v>0</v>
      </c>
      <c r="I138" s="1">
        <f>204693-H138-G138</f>
        <v>0</v>
      </c>
      <c r="J138" s="4">
        <f t="shared" si="105"/>
        <v>0</v>
      </c>
      <c r="K138" s="150"/>
      <c r="L138" s="1"/>
      <c r="M138" s="1"/>
      <c r="N138" s="4">
        <f t="shared" si="106"/>
        <v>0</v>
      </c>
      <c r="O138" s="151"/>
      <c r="P138" s="1"/>
      <c r="Q138" s="1"/>
      <c r="R138" s="177"/>
      <c r="S138" s="23">
        <f t="shared" si="107"/>
        <v>0</v>
      </c>
      <c r="T138" s="23">
        <f t="shared" si="108"/>
        <v>0</v>
      </c>
      <c r="U138" s="23"/>
      <c r="V138" s="25" t="e">
        <f t="shared" si="109"/>
        <v>#DIV/0!</v>
      </c>
    </row>
    <row r="139" spans="2:22">
      <c r="B139" s="105" t="s">
        <v>144</v>
      </c>
      <c r="C139" s="150">
        <v>0</v>
      </c>
      <c r="D139" s="150">
        <v>-107</v>
      </c>
      <c r="E139" s="150">
        <v>0</v>
      </c>
      <c r="F139" s="4"/>
      <c r="G139" s="151"/>
      <c r="H139" s="1">
        <f>-107-G139</f>
        <v>-107</v>
      </c>
      <c r="I139" s="1">
        <f>-107-H139-G139</f>
        <v>0</v>
      </c>
      <c r="J139" s="4">
        <f t="shared" si="105"/>
        <v>0</v>
      </c>
      <c r="K139" s="150"/>
      <c r="L139" s="1"/>
      <c r="M139" s="1"/>
      <c r="N139" s="4">
        <f t="shared" si="106"/>
        <v>0</v>
      </c>
      <c r="O139" s="151"/>
      <c r="P139" s="1"/>
      <c r="Q139" s="1"/>
      <c r="R139" s="177"/>
      <c r="S139" s="23">
        <f t="shared" si="107"/>
        <v>0</v>
      </c>
      <c r="T139" s="23">
        <f t="shared" si="108"/>
        <v>0</v>
      </c>
      <c r="U139" s="23"/>
      <c r="V139" s="25" t="e">
        <f t="shared" si="109"/>
        <v>#DIV/0!</v>
      </c>
    </row>
    <row r="140" spans="2:22">
      <c r="B140" s="105" t="s">
        <v>145</v>
      </c>
      <c r="C140" s="150">
        <v>0</v>
      </c>
      <c r="D140" s="150">
        <v>0</v>
      </c>
      <c r="E140" s="150">
        <v>-160033</v>
      </c>
      <c r="F140" s="4"/>
      <c r="G140" s="151"/>
      <c r="H140" s="1"/>
      <c r="I140" s="1"/>
      <c r="J140" s="4">
        <f t="shared" si="105"/>
        <v>0</v>
      </c>
      <c r="K140" s="150">
        <v>-159900</v>
      </c>
      <c r="L140" s="1">
        <f>-160033-K140</f>
        <v>-133</v>
      </c>
      <c r="M140" s="1">
        <f>-160033-L140-K140</f>
        <v>0</v>
      </c>
      <c r="N140" s="4">
        <f t="shared" si="106"/>
        <v>0</v>
      </c>
      <c r="O140" s="151"/>
      <c r="P140" s="1">
        <v>0</v>
      </c>
      <c r="Q140" s="1">
        <f>-515325-P140</f>
        <v>-515325</v>
      </c>
      <c r="R140" s="177"/>
      <c r="S140" s="23">
        <f t="shared" si="107"/>
        <v>-160033</v>
      </c>
      <c r="T140" s="23">
        <f t="shared" si="108"/>
        <v>-515325</v>
      </c>
      <c r="U140" s="23"/>
      <c r="V140" s="25">
        <f t="shared" si="109"/>
        <v>2.2201171008479501</v>
      </c>
    </row>
    <row r="141" spans="2:22">
      <c r="B141" s="105" t="s">
        <v>146</v>
      </c>
      <c r="C141" s="150"/>
      <c r="D141" s="150"/>
      <c r="E141" s="150"/>
      <c r="F141" s="4"/>
      <c r="G141" s="151"/>
      <c r="H141" s="1"/>
      <c r="I141" s="1"/>
      <c r="J141" s="4">
        <f t="shared" si="105"/>
        <v>0</v>
      </c>
      <c r="K141" s="150"/>
      <c r="L141" s="1"/>
      <c r="M141" s="1"/>
      <c r="N141" s="4">
        <f t="shared" si="106"/>
        <v>0</v>
      </c>
      <c r="O141" s="151"/>
      <c r="P141" s="1"/>
      <c r="Q141" s="1">
        <f>-401-P141</f>
        <v>-401</v>
      </c>
      <c r="R141" s="177"/>
      <c r="S141" s="23">
        <f t="shared" si="107"/>
        <v>0</v>
      </c>
      <c r="T141" s="23">
        <f t="shared" si="108"/>
        <v>-401</v>
      </c>
      <c r="U141" s="23"/>
      <c r="V141" s="25" t="e">
        <f t="shared" si="109"/>
        <v>#DIV/0!</v>
      </c>
    </row>
    <row r="142" spans="2:22">
      <c r="B142" s="105" t="s">
        <v>147</v>
      </c>
      <c r="C142" s="150">
        <v>0</v>
      </c>
      <c r="D142" s="150">
        <v>11100</v>
      </c>
      <c r="E142" s="150">
        <v>0</v>
      </c>
      <c r="F142" s="4"/>
      <c r="G142" s="151"/>
      <c r="H142" s="1">
        <f>11100-G142</f>
        <v>11100</v>
      </c>
      <c r="I142" s="1">
        <f>11100-H142</f>
        <v>0</v>
      </c>
      <c r="J142" s="4">
        <f t="shared" si="105"/>
        <v>0</v>
      </c>
      <c r="K142" s="150"/>
      <c r="L142" s="1"/>
      <c r="M142" s="1"/>
      <c r="N142" s="4">
        <f t="shared" si="106"/>
        <v>0</v>
      </c>
      <c r="O142" s="151"/>
      <c r="P142" s="1"/>
      <c r="Q142" s="1"/>
      <c r="R142" s="177"/>
      <c r="S142" s="23">
        <f t="shared" si="107"/>
        <v>0</v>
      </c>
      <c r="T142" s="23">
        <f t="shared" si="108"/>
        <v>0</v>
      </c>
      <c r="U142" s="23"/>
      <c r="V142" s="25" t="e">
        <f t="shared" si="109"/>
        <v>#DIV/0!</v>
      </c>
    </row>
    <row r="143" spans="2:22">
      <c r="B143" s="105" t="s">
        <v>148</v>
      </c>
      <c r="C143" s="150">
        <v>0</v>
      </c>
      <c r="D143" s="150">
        <v>-270</v>
      </c>
      <c r="E143" s="150">
        <v>0</v>
      </c>
      <c r="F143" s="4"/>
      <c r="G143" s="151"/>
      <c r="H143" s="1">
        <f>-174-G143</f>
        <v>-174</v>
      </c>
      <c r="I143" s="1">
        <f>-214-H143-G143</f>
        <v>-40</v>
      </c>
      <c r="J143" s="4">
        <f t="shared" si="105"/>
        <v>-56</v>
      </c>
      <c r="K143" s="150"/>
      <c r="L143" s="1"/>
      <c r="M143" s="1"/>
      <c r="N143" s="4">
        <f t="shared" si="106"/>
        <v>0</v>
      </c>
      <c r="O143" s="151"/>
      <c r="P143" s="1"/>
      <c r="Q143" s="1"/>
      <c r="R143" s="177"/>
      <c r="S143" s="23">
        <f t="shared" si="107"/>
        <v>-56</v>
      </c>
      <c r="T143" s="23">
        <f t="shared" si="108"/>
        <v>0</v>
      </c>
      <c r="U143" s="23"/>
      <c r="V143" s="25">
        <f t="shared" si="109"/>
        <v>-1</v>
      </c>
    </row>
    <row r="144" spans="2:22">
      <c r="B144" s="105" t="s">
        <v>149</v>
      </c>
      <c r="C144" s="150">
        <v>0</v>
      </c>
      <c r="D144" s="150">
        <v>-246</v>
      </c>
      <c r="E144" s="150">
        <v>-513</v>
      </c>
      <c r="F144" s="4"/>
      <c r="G144" s="151"/>
      <c r="H144" s="1"/>
      <c r="I144" s="1">
        <f>-121-H144-G144</f>
        <v>-121</v>
      </c>
      <c r="J144" s="4">
        <f t="shared" si="105"/>
        <v>-125</v>
      </c>
      <c r="K144" s="150">
        <v>-128</v>
      </c>
      <c r="L144" s="1">
        <f>-254-K144</f>
        <v>-126</v>
      </c>
      <c r="M144" s="1">
        <f>-382-L144-K144</f>
        <v>-128</v>
      </c>
      <c r="N144" s="4">
        <f t="shared" si="106"/>
        <v>-131</v>
      </c>
      <c r="O144" s="151">
        <v>-133</v>
      </c>
      <c r="P144" s="1">
        <f>-266-O144</f>
        <v>-133</v>
      </c>
      <c r="Q144" s="1"/>
      <c r="R144" s="177"/>
      <c r="S144" s="23">
        <f t="shared" si="107"/>
        <v>-507</v>
      </c>
      <c r="T144" s="23">
        <f t="shared" si="108"/>
        <v>-397</v>
      </c>
      <c r="U144" s="23"/>
      <c r="V144" s="25">
        <f t="shared" si="109"/>
        <v>-0.21696252465483234</v>
      </c>
    </row>
    <row r="145" spans="2:22">
      <c r="B145" s="105" t="s">
        <v>150</v>
      </c>
      <c r="C145" s="150">
        <v>1000000</v>
      </c>
      <c r="D145" s="150">
        <v>46592</v>
      </c>
      <c r="E145" s="150">
        <v>2029214</v>
      </c>
      <c r="F145" s="4"/>
      <c r="G145" s="151"/>
      <c r="H145" s="1"/>
      <c r="I145" s="1">
        <v>0</v>
      </c>
      <c r="J145" s="4">
        <f t="shared" si="105"/>
        <v>46592</v>
      </c>
      <c r="K145" s="150">
        <v>341062</v>
      </c>
      <c r="L145" s="1">
        <f>676068-K145</f>
        <v>335006</v>
      </c>
      <c r="M145" s="1">
        <f>823945-L145-K145</f>
        <v>147877</v>
      </c>
      <c r="N145" s="4">
        <f t="shared" si="106"/>
        <v>1205269</v>
      </c>
      <c r="O145" s="151">
        <v>137765</v>
      </c>
      <c r="P145" s="1">
        <f>137765-O145</f>
        <v>0</v>
      </c>
      <c r="Q145" s="1">
        <f>1246478-P145-O145</f>
        <v>1108713</v>
      </c>
      <c r="R145" s="177"/>
      <c r="S145" s="23">
        <f t="shared" si="107"/>
        <v>870537</v>
      </c>
      <c r="T145" s="23">
        <f t="shared" si="108"/>
        <v>2451747</v>
      </c>
      <c r="U145" s="23"/>
      <c r="V145" s="25">
        <f t="shared" si="109"/>
        <v>1.8163616250659076</v>
      </c>
    </row>
    <row r="146" spans="2:22">
      <c r="B146" s="105" t="s">
        <v>151</v>
      </c>
      <c r="C146" s="150">
        <v>-9537</v>
      </c>
      <c r="D146" s="150">
        <v>-358</v>
      </c>
      <c r="E146" s="150">
        <v>-9141</v>
      </c>
      <c r="F146" s="4"/>
      <c r="G146" s="151"/>
      <c r="H146" s="1"/>
      <c r="I146" s="1">
        <v>0</v>
      </c>
      <c r="J146" s="4">
        <f t="shared" si="105"/>
        <v>-358</v>
      </c>
      <c r="K146" s="150">
        <v>-2045</v>
      </c>
      <c r="L146" s="1">
        <f>-3628-K146</f>
        <v>-1583</v>
      </c>
      <c r="M146" s="1">
        <f>-4286-L146-K146</f>
        <v>-658</v>
      </c>
      <c r="N146" s="4">
        <f t="shared" si="106"/>
        <v>-4855</v>
      </c>
      <c r="O146" s="151">
        <v>-613</v>
      </c>
      <c r="P146" s="1">
        <f>-613-O146</f>
        <v>0</v>
      </c>
      <c r="Q146" s="1">
        <f>-4185-P146-O146</f>
        <v>-3572</v>
      </c>
      <c r="R146" s="177"/>
      <c r="S146" s="23">
        <f t="shared" si="107"/>
        <v>-4644</v>
      </c>
      <c r="T146" s="23">
        <f t="shared" si="108"/>
        <v>-9040</v>
      </c>
      <c r="U146" s="23"/>
      <c r="V146" s="25">
        <f t="shared" si="109"/>
        <v>0.946597760551249</v>
      </c>
    </row>
    <row r="147" spans="2:22">
      <c r="B147" s="105" t="s">
        <v>152</v>
      </c>
      <c r="C147" s="150">
        <v>40651</v>
      </c>
      <c r="D147" s="150">
        <v>1393</v>
      </c>
      <c r="E147" s="150">
        <v>30518</v>
      </c>
      <c r="F147" s="4"/>
      <c r="G147" s="150">
        <v>288</v>
      </c>
      <c r="H147" s="1">
        <f>711-G147</f>
        <v>423</v>
      </c>
      <c r="I147" s="1">
        <f>1332-H147-G147</f>
        <v>621</v>
      </c>
      <c r="J147" s="4">
        <f t="shared" si="105"/>
        <v>61</v>
      </c>
      <c r="K147" s="150">
        <v>6750</v>
      </c>
      <c r="L147" s="1">
        <f>12104-K147</f>
        <v>5354</v>
      </c>
      <c r="M147" s="1">
        <f>14217-L147-K147</f>
        <v>2113</v>
      </c>
      <c r="N147" s="4">
        <f t="shared" si="106"/>
        <v>16301</v>
      </c>
      <c r="O147" s="150">
        <v>134874</v>
      </c>
      <c r="P147" s="1">
        <f>153349-O147</f>
        <v>18475</v>
      </c>
      <c r="Q147" s="1">
        <f>157541-P147-O147</f>
        <v>4192</v>
      </c>
      <c r="R147" s="177"/>
      <c r="S147" s="23">
        <f t="shared" si="107"/>
        <v>14278</v>
      </c>
      <c r="T147" s="23">
        <f t="shared" si="108"/>
        <v>173842</v>
      </c>
      <c r="U147" s="23"/>
      <c r="V147" s="25">
        <f t="shared" si="109"/>
        <v>11.175514777980109</v>
      </c>
    </row>
    <row r="148" spans="2:22">
      <c r="B148" s="105" t="s">
        <v>153</v>
      </c>
      <c r="C148" s="150">
        <v>2854</v>
      </c>
      <c r="D148" s="150">
        <v>4473</v>
      </c>
      <c r="E148" s="150">
        <v>3955</v>
      </c>
      <c r="F148" s="4"/>
      <c r="G148" s="150">
        <v>2805</v>
      </c>
      <c r="H148" s="1">
        <f>2805-G148</f>
        <v>0</v>
      </c>
      <c r="I148" s="1">
        <f>4473-H148-G148</f>
        <v>1668</v>
      </c>
      <c r="J148" s="4">
        <f t="shared" si="105"/>
        <v>0</v>
      </c>
      <c r="K148" s="150">
        <v>2380</v>
      </c>
      <c r="L148" s="1">
        <f>2380-K148</f>
        <v>0</v>
      </c>
      <c r="M148" s="1">
        <f>3955-L148-K148</f>
        <v>1575</v>
      </c>
      <c r="N148" s="4">
        <f t="shared" si="106"/>
        <v>0</v>
      </c>
      <c r="O148" s="150">
        <v>2071</v>
      </c>
      <c r="P148" s="1">
        <f>2071-O148</f>
        <v>0</v>
      </c>
      <c r="Q148" s="1">
        <f>4304-P148-O148</f>
        <v>2233</v>
      </c>
      <c r="R148" s="177"/>
      <c r="S148" s="23">
        <f t="shared" si="107"/>
        <v>3955</v>
      </c>
      <c r="T148" s="23">
        <f t="shared" si="108"/>
        <v>4304</v>
      </c>
      <c r="U148" s="23"/>
      <c r="V148" s="25">
        <f t="shared" si="109"/>
        <v>8.8242730720606843E-2</v>
      </c>
    </row>
    <row r="149" spans="2:22">
      <c r="B149" s="105" t="s">
        <v>154</v>
      </c>
      <c r="C149" s="150">
        <v>-4695</v>
      </c>
      <c r="D149" s="150">
        <v>-2082</v>
      </c>
      <c r="E149" s="150">
        <v>-4114</v>
      </c>
      <c r="F149" s="4"/>
      <c r="G149" s="150">
        <v>-495</v>
      </c>
      <c r="H149" s="1">
        <f>-541-G149</f>
        <v>-46</v>
      </c>
      <c r="I149" s="1">
        <f>-1105-H149-G149</f>
        <v>-564</v>
      </c>
      <c r="J149" s="4">
        <f t="shared" si="105"/>
        <v>-977</v>
      </c>
      <c r="K149" s="150">
        <v>-497</v>
      </c>
      <c r="L149" s="1">
        <f>-726-K149</f>
        <v>-229</v>
      </c>
      <c r="M149" s="1">
        <f>-1391-L149-K149</f>
        <v>-665</v>
      </c>
      <c r="N149" s="4">
        <f t="shared" si="106"/>
        <v>-2723</v>
      </c>
      <c r="O149" s="150">
        <v>-1243</v>
      </c>
      <c r="P149" s="1">
        <f>-2173-O149</f>
        <v>-930</v>
      </c>
      <c r="Q149" s="1">
        <f>-2173-P149-O149</f>
        <v>0</v>
      </c>
      <c r="R149" s="177"/>
      <c r="S149" s="23">
        <f t="shared" si="107"/>
        <v>-2368</v>
      </c>
      <c r="T149" s="23">
        <f t="shared" si="108"/>
        <v>-4896</v>
      </c>
      <c r="U149" s="23"/>
      <c r="V149" s="25">
        <f t="shared" si="109"/>
        <v>1.0675675675675675</v>
      </c>
    </row>
    <row r="150" spans="2:22" ht="15.75">
      <c r="B150" s="106" t="s">
        <v>27</v>
      </c>
      <c r="C150" s="107">
        <f>SUM(C133:C149)</f>
        <v>2541685</v>
      </c>
      <c r="D150" s="107">
        <f>SUM(D133:D149)</f>
        <v>265188</v>
      </c>
      <c r="E150" s="107">
        <f>SUM(E133:E149)</f>
        <v>1889886</v>
      </c>
      <c r="F150" s="36"/>
      <c r="G150" s="107">
        <f>SUM(G133:G149)</f>
        <v>207291</v>
      </c>
      <c r="H150" s="107">
        <f>SUM(H133:H149)</f>
        <v>11196</v>
      </c>
      <c r="I150" s="107">
        <f>SUM(I133:I149)</f>
        <v>1564</v>
      </c>
      <c r="J150" s="107">
        <f>SUM(J133:J149)</f>
        <v>45137</v>
      </c>
      <c r="K150" s="107">
        <f>SUM(K133:K149)</f>
        <v>187622</v>
      </c>
      <c r="L150" s="107">
        <f>SUM(L133:L149)</f>
        <v>338289</v>
      </c>
      <c r="M150" s="107">
        <f>SUM(M133:M149)</f>
        <v>150114</v>
      </c>
      <c r="N150" s="107">
        <f>SUM(N133:N149)</f>
        <v>1213861</v>
      </c>
      <c r="O150" s="107">
        <f>SUM(O133:O149)</f>
        <v>1648400</v>
      </c>
      <c r="P150" s="107">
        <f>SUM(P133:P149)</f>
        <v>803431</v>
      </c>
      <c r="Q150" s="107">
        <f>SUM(Q133:Q149)</f>
        <v>1593970</v>
      </c>
      <c r="R150" s="177"/>
      <c r="S150" s="107">
        <f>SUM(S133:S149)</f>
        <v>721162</v>
      </c>
      <c r="T150" s="107">
        <f>SUM(T133:T149)</f>
        <v>5259662</v>
      </c>
      <c r="U150" s="29"/>
      <c r="V150" s="30">
        <f>SUM(T150/S150)-1</f>
        <v>6.2933155102459644</v>
      </c>
    </row>
    <row r="151" spans="2:22" ht="15.75">
      <c r="B151" s="65"/>
      <c r="C151" s="108"/>
      <c r="D151" s="108"/>
      <c r="E151" s="108"/>
      <c r="F151" s="36"/>
      <c r="G151" s="108"/>
      <c r="H151" s="108"/>
      <c r="I151" s="108"/>
      <c r="J151" s="108"/>
      <c r="K151" s="108"/>
      <c r="L151" s="108"/>
      <c r="M151" s="108"/>
      <c r="N151" s="108"/>
      <c r="O151" s="108"/>
      <c r="P151" s="108"/>
      <c r="Q151" s="108"/>
      <c r="R151" s="177"/>
      <c r="S151" s="29"/>
      <c r="T151" s="29"/>
      <c r="U151" s="29"/>
      <c r="V151" s="40"/>
    </row>
    <row r="152" spans="2:22">
      <c r="B152" t="s">
        <v>155</v>
      </c>
      <c r="C152" s="150">
        <v>-2608</v>
      </c>
      <c r="D152" s="150">
        <v>-3375</v>
      </c>
      <c r="E152" s="150">
        <v>444</v>
      </c>
      <c r="F152" s="4"/>
      <c r="G152" s="150">
        <v>-324</v>
      </c>
      <c r="H152" s="1">
        <f>-3224-G152</f>
        <v>-2900</v>
      </c>
      <c r="I152" s="1">
        <f>-5597-H152-G152</f>
        <v>-2373</v>
      </c>
      <c r="J152" s="4">
        <f t="shared" ref="J152" si="110">SUM(D152-SUM(G152:I152))</f>
        <v>2222</v>
      </c>
      <c r="K152" s="150">
        <v>351</v>
      </c>
      <c r="L152" s="1">
        <f>-235-K152</f>
        <v>-586</v>
      </c>
      <c r="M152" s="1">
        <f>-997-L152-K152</f>
        <v>-762</v>
      </c>
      <c r="N152" s="4">
        <f t="shared" ref="N152" si="111">SUM(E152-SUM(K152:M152))</f>
        <v>1441</v>
      </c>
      <c r="O152" s="150">
        <v>-1078</v>
      </c>
      <c r="P152" s="1">
        <f>-1556-O152</f>
        <v>-478</v>
      </c>
      <c r="Q152" s="1">
        <f>77-P152-O152</f>
        <v>1633</v>
      </c>
      <c r="R152" s="178"/>
      <c r="S152" s="23">
        <f t="shared" ref="S152" si="112">SUM(I152:L152)</f>
        <v>-386</v>
      </c>
      <c r="T152" s="23">
        <f t="shared" ref="T152" si="113">SUM(M152:P152)</f>
        <v>-877</v>
      </c>
      <c r="U152" s="23"/>
      <c r="V152" s="40"/>
    </row>
    <row r="153" spans="2:22">
      <c r="B153" t="s">
        <v>156</v>
      </c>
      <c r="C153" s="150">
        <v>3675</v>
      </c>
      <c r="D153" s="150">
        <v>-13566</v>
      </c>
      <c r="E153" s="150">
        <v>-2195</v>
      </c>
      <c r="F153" s="4"/>
      <c r="G153" s="150">
        <v>34508</v>
      </c>
      <c r="H153" s="150">
        <v>11107</v>
      </c>
      <c r="I153" s="150">
        <v>2534</v>
      </c>
      <c r="J153" s="4"/>
      <c r="K153" s="150">
        <v>45596</v>
      </c>
      <c r="L153" s="150">
        <v>17185</v>
      </c>
      <c r="M153" s="150">
        <v>-3994</v>
      </c>
      <c r="N153" s="4"/>
      <c r="O153" s="150">
        <v>35055</v>
      </c>
      <c r="P153" s="150">
        <v>20128</v>
      </c>
      <c r="Q153" s="150">
        <v>-468</v>
      </c>
      <c r="R153" s="178"/>
      <c r="S153" s="23"/>
      <c r="T153" s="23"/>
      <c r="U153" s="23"/>
      <c r="V153" s="40"/>
    </row>
    <row r="154" spans="2:22">
      <c r="B154" t="s">
        <v>157</v>
      </c>
      <c r="C154" s="150">
        <v>60759</v>
      </c>
      <c r="D154" s="150">
        <v>64434</v>
      </c>
      <c r="E154" s="150">
        <v>50868</v>
      </c>
      <c r="F154" s="4"/>
      <c r="G154" s="150">
        <v>64434</v>
      </c>
      <c r="H154" s="150">
        <v>64434</v>
      </c>
      <c r="I154" s="150">
        <v>64434</v>
      </c>
      <c r="J154" s="4"/>
      <c r="K154" s="150">
        <v>50868</v>
      </c>
      <c r="L154" s="150">
        <v>50868</v>
      </c>
      <c r="M154" s="150">
        <v>50868</v>
      </c>
      <c r="N154" s="4"/>
      <c r="O154" s="150">
        <v>48673</v>
      </c>
      <c r="P154" s="150">
        <v>48673</v>
      </c>
      <c r="Q154" s="150">
        <v>48673</v>
      </c>
      <c r="R154" s="178"/>
      <c r="S154" s="23"/>
      <c r="T154" s="23"/>
      <c r="U154" s="23"/>
      <c r="V154" s="40"/>
    </row>
    <row r="155" spans="2:22">
      <c r="B155" t="s">
        <v>158</v>
      </c>
      <c r="C155" s="150">
        <v>64434</v>
      </c>
      <c r="D155" s="150">
        <v>50868</v>
      </c>
      <c r="E155" s="150">
        <v>48673</v>
      </c>
      <c r="F155" s="4"/>
      <c r="G155" s="150">
        <v>98942</v>
      </c>
      <c r="H155" s="150">
        <v>75541</v>
      </c>
      <c r="I155" s="150">
        <v>66968</v>
      </c>
      <c r="J155" s="4"/>
      <c r="K155" s="150">
        <v>96464</v>
      </c>
      <c r="L155" s="150">
        <v>68053</v>
      </c>
      <c r="M155" s="150">
        <v>46874</v>
      </c>
      <c r="N155" s="4"/>
      <c r="O155" s="150">
        <v>83728</v>
      </c>
      <c r="P155" s="150">
        <v>68801</v>
      </c>
      <c r="Q155" s="150">
        <v>48205</v>
      </c>
      <c r="R155" s="178"/>
      <c r="S155" s="23"/>
      <c r="T155" s="23"/>
      <c r="U155" s="23"/>
      <c r="V155" s="40"/>
    </row>
    <row r="156" spans="2:22">
      <c r="B156"/>
      <c r="C156" s="114"/>
      <c r="D156" s="114"/>
      <c r="E156" s="114"/>
      <c r="F156" s="23"/>
      <c r="G156" s="114"/>
      <c r="H156" s="114"/>
      <c r="I156" s="114"/>
      <c r="J156" s="114"/>
      <c r="K156" s="114"/>
      <c r="L156" s="114"/>
      <c r="M156" s="114"/>
      <c r="N156" s="114"/>
      <c r="O156" s="156"/>
      <c r="P156" s="114"/>
      <c r="Q156" s="114"/>
      <c r="R156" s="177"/>
      <c r="S156" s="23"/>
      <c r="T156" s="23"/>
      <c r="U156" s="23"/>
      <c r="V156" s="40"/>
    </row>
    <row r="157" spans="2:22">
      <c r="B157" s="115" t="s">
        <v>159</v>
      </c>
      <c r="C157" s="103"/>
      <c r="D157" s="103"/>
      <c r="E157" s="103"/>
      <c r="F157" s="23"/>
      <c r="G157" s="103"/>
      <c r="H157" s="103"/>
      <c r="I157" s="103"/>
      <c r="J157" s="103"/>
      <c r="K157" s="103"/>
      <c r="L157" s="103"/>
      <c r="M157" s="103"/>
      <c r="N157" s="103"/>
      <c r="O157" s="101"/>
      <c r="P157" s="103"/>
      <c r="Q157" s="103"/>
      <c r="R157" s="177"/>
      <c r="S157" s="103"/>
      <c r="T157" s="103"/>
      <c r="U157" s="116"/>
    </row>
    <row r="158" spans="2:22">
      <c r="B158" t="s">
        <v>160</v>
      </c>
      <c r="C158" s="150">
        <v>20416</v>
      </c>
      <c r="D158" s="150">
        <v>43448</v>
      </c>
      <c r="E158" s="150">
        <v>41229</v>
      </c>
      <c r="F158" s="4"/>
      <c r="G158" s="150"/>
      <c r="H158" s="1"/>
      <c r="I158" s="1"/>
      <c r="J158" s="4">
        <v>43448</v>
      </c>
      <c r="K158" s="1"/>
      <c r="L158" s="1"/>
      <c r="M158" s="1"/>
      <c r="N158" s="4">
        <v>41229</v>
      </c>
      <c r="O158" s="150"/>
      <c r="P158" s="1"/>
      <c r="Q158" s="1"/>
      <c r="R158" s="177"/>
      <c r="S158" s="23">
        <f t="shared" ref="S158" si="114">SUM(I158:L158)</f>
        <v>43448</v>
      </c>
      <c r="T158" s="23">
        <f t="shared" ref="T158" si="115">SUM(M158:P158)</f>
        <v>41229</v>
      </c>
      <c r="U158" s="23"/>
      <c r="V158" s="25">
        <f t="shared" ref="V158" si="116">SUM(T158/S158)-1</f>
        <v>-5.1072546492358706E-2</v>
      </c>
    </row>
    <row r="159" spans="2:22">
      <c r="B159" s="6" t="s">
        <v>161</v>
      </c>
      <c r="C159" s="150">
        <v>7010</v>
      </c>
      <c r="D159" s="150">
        <v>21973</v>
      </c>
      <c r="E159" s="150">
        <v>30318</v>
      </c>
      <c r="F159" s="4"/>
      <c r="G159" s="150"/>
      <c r="H159" s="1"/>
      <c r="I159" s="1"/>
      <c r="J159" s="4">
        <v>21973</v>
      </c>
      <c r="K159" s="1"/>
      <c r="L159" s="1"/>
      <c r="M159" s="1"/>
      <c r="N159" s="4">
        <v>30318</v>
      </c>
      <c r="O159" s="150"/>
      <c r="P159" s="1"/>
      <c r="Q159" s="1"/>
    </row>
    <row r="160" spans="2:22" ht="15.75" thickBot="1">
      <c r="C160" s="96"/>
      <c r="D160" s="96"/>
      <c r="E160" s="96"/>
    </row>
    <row r="161" spans="2:22">
      <c r="B161" s="117" t="s">
        <v>65</v>
      </c>
      <c r="C161" s="118"/>
      <c r="D161" s="118"/>
      <c r="E161" s="119"/>
      <c r="F161" s="36"/>
      <c r="G161" s="120"/>
      <c r="H161" s="121"/>
      <c r="I161" s="121"/>
      <c r="J161" s="121"/>
      <c r="K161" s="121"/>
      <c r="L161" s="121"/>
      <c r="M161" s="121"/>
      <c r="N161" s="121"/>
      <c r="O161" s="121"/>
      <c r="P161" s="121"/>
      <c r="Q161" s="122"/>
      <c r="R161" s="177"/>
      <c r="S161" s="120"/>
      <c r="T161" s="122"/>
    </row>
    <row r="162" spans="2:22">
      <c r="B162" s="123" t="s">
        <v>66</v>
      </c>
      <c r="C162" s="124">
        <f>SUM(C124-C128)</f>
        <v>96539</v>
      </c>
      <c r="D162" s="124">
        <f t="shared" ref="D162:Q162" si="117">SUM(D124-D128)</f>
        <v>5697</v>
      </c>
      <c r="E162" s="125">
        <f t="shared" si="117"/>
        <v>15650</v>
      </c>
      <c r="F162" s="36"/>
      <c r="G162" s="126">
        <f t="shared" si="117"/>
        <v>44323</v>
      </c>
      <c r="H162" s="124">
        <f t="shared" si="117"/>
        <v>-19941</v>
      </c>
      <c r="I162" s="124">
        <f t="shared" si="117"/>
        <v>-1122</v>
      </c>
      <c r="J162" s="124">
        <f t="shared" si="117"/>
        <v>-17563</v>
      </c>
      <c r="K162" s="124">
        <f t="shared" si="117"/>
        <v>37896</v>
      </c>
      <c r="L162" s="124">
        <f t="shared" si="117"/>
        <v>-17833</v>
      </c>
      <c r="M162" s="124">
        <f t="shared" si="117"/>
        <v>-5944</v>
      </c>
      <c r="N162" s="124">
        <f t="shared" si="117"/>
        <v>1531</v>
      </c>
      <c r="O162" s="124">
        <f t="shared" si="117"/>
        <v>30132</v>
      </c>
      <c r="P162" s="124">
        <f t="shared" si="117"/>
        <v>-22606</v>
      </c>
      <c r="Q162" s="125">
        <f t="shared" si="117"/>
        <v>-22749</v>
      </c>
      <c r="R162" s="177"/>
      <c r="S162" s="127">
        <f>SUM(J162:M162)</f>
        <v>-3444</v>
      </c>
      <c r="T162" s="128">
        <f>SUM(N162:Q162)</f>
        <v>-13692</v>
      </c>
      <c r="V162" s="25">
        <f t="shared" ref="V162" si="118">SUM(T162/S162)-1</f>
        <v>2.975609756097561</v>
      </c>
    </row>
    <row r="163" spans="2:22" ht="15.75" thickBot="1">
      <c r="B163" s="129" t="s">
        <v>38</v>
      </c>
      <c r="C163" s="130"/>
      <c r="D163" s="131">
        <f>D162/C162-1</f>
        <v>-0.94098758014895534</v>
      </c>
      <c r="E163" s="132">
        <f>E162/D162-1</f>
        <v>1.7470598560645954</v>
      </c>
      <c r="G163" s="133"/>
      <c r="H163" s="131">
        <f t="shared" ref="H163:Q163" si="119">H162/G162-1</f>
        <v>-1.4499018568237709</v>
      </c>
      <c r="I163" s="131">
        <f t="shared" si="119"/>
        <v>-0.94373401534526857</v>
      </c>
      <c r="J163" s="131">
        <f t="shared" si="119"/>
        <v>14.653297682709447</v>
      </c>
      <c r="K163" s="131">
        <f t="shared" si="119"/>
        <v>-3.1577179297386553</v>
      </c>
      <c r="L163" s="131">
        <f t="shared" si="119"/>
        <v>-1.470577369643234</v>
      </c>
      <c r="M163" s="131">
        <f t="shared" si="119"/>
        <v>-0.6666853586048338</v>
      </c>
      <c r="N163" s="131">
        <f t="shared" si="119"/>
        <v>-1.2575706594885598</v>
      </c>
      <c r="O163" s="131">
        <f t="shared" si="119"/>
        <v>18.681254082299152</v>
      </c>
      <c r="P163" s="131">
        <f t="shared" si="119"/>
        <v>-1.7502323111642109</v>
      </c>
      <c r="Q163" s="132">
        <f t="shared" si="119"/>
        <v>6.3257542245420684E-3</v>
      </c>
      <c r="S163" s="133"/>
      <c r="T163" s="132">
        <f t="shared" ref="T163" si="120">T162/S162-1</f>
        <v>2.975609756097561</v>
      </c>
    </row>
    <row r="164" spans="2:22">
      <c r="C164" s="96"/>
      <c r="D164" s="96"/>
      <c r="E164" s="96"/>
    </row>
    <row r="165" spans="2:22">
      <c r="B165" s="94"/>
      <c r="C165" s="134"/>
      <c r="D165" s="134"/>
      <c r="E165" s="134"/>
    </row>
    <row r="166" spans="2:22" ht="3.75" customHeight="1">
      <c r="B166" s="94"/>
      <c r="C166" s="134"/>
      <c r="D166" s="134"/>
      <c r="E166" s="134"/>
    </row>
    <row r="167" spans="2:22">
      <c r="C167" s="96"/>
      <c r="D167" s="96"/>
      <c r="E167" s="96"/>
    </row>
    <row r="168" spans="2:22">
      <c r="C168" s="96"/>
      <c r="D168" s="96"/>
      <c r="E168" s="96"/>
    </row>
    <row r="169" spans="2:22">
      <c r="C169" s="96"/>
      <c r="D169" s="96"/>
      <c r="E169" s="96"/>
    </row>
    <row r="170" spans="2:22">
      <c r="C170" s="96"/>
      <c r="D170" s="96"/>
      <c r="E170" s="96"/>
    </row>
    <row r="171" spans="2:22">
      <c r="C171" s="96"/>
      <c r="D171" s="96"/>
      <c r="E171" s="96"/>
    </row>
    <row r="172" spans="2:22">
      <c r="C172" s="96"/>
      <c r="D172" s="96"/>
      <c r="E172" s="96"/>
    </row>
    <row r="173" spans="2:22">
      <c r="C173" s="96"/>
      <c r="D173" s="96"/>
      <c r="E173" s="96"/>
    </row>
  </sheetData>
  <mergeCells count="1">
    <mergeCell ref="V7:V8"/>
  </mergeCells>
  <conditionalFormatting sqref="C9:P9 F8">
    <cfRule type="timePeriod" dxfId="10" priority="4" timePeriod="lastWeek">
      <formula>AND(TODAY()-ROUNDDOWN(C8,0)&gt;=(WEEKDAY(TODAY())),TODAY()-ROUNDDOWN(C8,0)&lt;(WEEKDAY(TODAY())+7))</formula>
    </cfRule>
  </conditionalFormatting>
  <conditionalFormatting sqref="S8:T8">
    <cfRule type="timePeriod" dxfId="9" priority="3" timePeriod="lastWeek">
      <formula>AND(TODAY()-ROUNDDOWN(S8,0)&gt;=(WEEKDAY(TODAY())),TODAY()-ROUNDDOWN(S8,0)&lt;(WEEKDAY(TODAY())+7))</formula>
    </cfRule>
  </conditionalFormatting>
  <conditionalFormatting sqref="G8:R8">
    <cfRule type="timePeriod" dxfId="7" priority="2" timePeriod="lastWeek">
      <formula>AND(TODAY()-ROUNDDOWN(G8,0)&gt;=(WEEKDAY(TODAY())),TODAY()-ROUNDDOWN(G8,0)&lt;(WEEKDAY(TODAY())+7))</formula>
    </cfRule>
  </conditionalFormatting>
  <conditionalFormatting sqref="C8:E8">
    <cfRule type="timePeriod" dxfId="6" priority="1" timePeriod="lastWeek">
      <formula>AND(TODAY()-ROUNDDOWN(C8,0)&gt;=(WEEKDAY(TODAY())),TODAY()-ROUNDDOWN(C8,0)&lt;(WEEKDAY(TODAY())+7))</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094F6-74FE-4040-A848-785E57806080}">
  <dimension ref="A2:Y35"/>
  <sheetViews>
    <sheetView showGridLines="0" topLeftCell="A3" zoomScaleNormal="100" workbookViewId="0">
      <selection activeCell="S11" sqref="S11"/>
    </sheetView>
  </sheetViews>
  <sheetFormatPr defaultRowHeight="15"/>
  <cols>
    <col min="1" max="1" width="4.5703125" customWidth="1"/>
    <col min="2" max="2" width="60.5703125" bestFit="1" customWidth="1"/>
    <col min="3" max="5" width="12.5703125" bestFit="1" customWidth="1"/>
    <col min="6" max="6" width="1.5703125" customWidth="1"/>
    <col min="7" max="8" width="10.7109375" bestFit="1" customWidth="1"/>
    <col min="9" max="9" width="11.85546875" bestFit="1" customWidth="1"/>
    <col min="10" max="12" width="10.7109375" bestFit="1" customWidth="1"/>
    <col min="13" max="13" width="11.85546875" bestFit="1" customWidth="1"/>
    <col min="14" max="16" width="10.7109375" bestFit="1" customWidth="1"/>
    <col min="17" max="17" width="10.7109375" customWidth="1"/>
    <col min="18" max="18" width="2.140625" customWidth="1"/>
    <col min="19" max="19" width="10.7109375" bestFit="1" customWidth="1"/>
    <col min="20" max="20" width="11.140625" bestFit="1" customWidth="1"/>
    <col min="21" max="21" width="2.28515625" customWidth="1"/>
  </cols>
  <sheetData>
    <row r="2" spans="1:25">
      <c r="A2" s="6"/>
      <c r="B2" s="7" t="s">
        <v>83</v>
      </c>
      <c r="C2" s="8"/>
      <c r="D2" s="8"/>
      <c r="E2" s="8"/>
      <c r="F2" s="8"/>
      <c r="G2" s="8"/>
      <c r="H2" s="8"/>
      <c r="I2" s="8"/>
      <c r="J2" s="8"/>
      <c r="K2" s="8"/>
      <c r="L2" s="8"/>
      <c r="M2" s="8"/>
      <c r="N2" s="8"/>
      <c r="O2" s="8"/>
      <c r="P2" s="8"/>
      <c r="Q2" s="8"/>
      <c r="R2" s="8"/>
      <c r="S2" s="8"/>
      <c r="T2" s="8"/>
      <c r="U2" s="6"/>
      <c r="V2" s="6"/>
      <c r="W2" s="6"/>
      <c r="X2" s="6"/>
      <c r="Y2" s="6"/>
    </row>
    <row r="3" spans="1:25">
      <c r="A3" s="6"/>
      <c r="B3" s="9" t="s">
        <v>29</v>
      </c>
      <c r="C3" s="8"/>
      <c r="D3" s="8"/>
      <c r="E3" s="8"/>
      <c r="F3" s="8"/>
      <c r="G3" s="8"/>
      <c r="H3" s="8"/>
      <c r="I3" s="8"/>
      <c r="J3" s="8"/>
      <c r="K3" s="8"/>
      <c r="L3" s="8"/>
      <c r="M3" s="8"/>
      <c r="N3" s="8"/>
      <c r="O3" s="8"/>
      <c r="P3" s="8"/>
      <c r="Q3" s="8"/>
      <c r="R3" s="8"/>
      <c r="S3" s="8"/>
      <c r="T3" s="8"/>
      <c r="U3" s="6"/>
      <c r="V3" s="6"/>
      <c r="W3" s="6"/>
      <c r="X3" s="6"/>
      <c r="Y3" s="6"/>
    </row>
    <row r="4" spans="1:25" ht="3" customHeight="1">
      <c r="A4" s="6"/>
      <c r="B4" s="10"/>
      <c r="C4" s="6"/>
      <c r="D4" s="6"/>
      <c r="E4" s="6"/>
      <c r="F4" s="6"/>
      <c r="G4" s="6"/>
      <c r="H4" s="6"/>
      <c r="I4" s="6"/>
      <c r="J4" s="6"/>
      <c r="K4" s="6"/>
      <c r="L4" s="6"/>
      <c r="M4" s="6"/>
      <c r="N4" s="6"/>
      <c r="O4" s="6"/>
      <c r="P4" s="6"/>
      <c r="Q4" s="6"/>
      <c r="R4" s="6"/>
      <c r="S4" s="6"/>
      <c r="T4" s="6"/>
      <c r="U4" s="6"/>
      <c r="V4" s="6"/>
      <c r="W4" s="6"/>
      <c r="X4" s="6"/>
      <c r="Y4" s="6"/>
    </row>
    <row r="5" spans="1:25" ht="15.75" thickBot="1">
      <c r="A5" s="6"/>
      <c r="B5" s="11"/>
      <c r="C5" s="11" t="s">
        <v>10</v>
      </c>
      <c r="D5" s="11"/>
      <c r="E5" s="11"/>
      <c r="F5" s="6"/>
      <c r="G5" s="11" t="s">
        <v>11</v>
      </c>
      <c r="H5" s="11"/>
      <c r="I5" s="11"/>
      <c r="J5" s="11"/>
      <c r="K5" s="11"/>
      <c r="L5" s="11"/>
      <c r="M5" s="11"/>
      <c r="N5" s="11"/>
      <c r="O5" s="11"/>
      <c r="P5" s="11"/>
      <c r="Q5" s="11"/>
      <c r="R5" s="6"/>
      <c r="S5" s="11" t="s">
        <v>12</v>
      </c>
      <c r="T5" s="11"/>
      <c r="U5" s="12"/>
      <c r="V5" s="11" t="s">
        <v>30</v>
      </c>
      <c r="W5" s="6"/>
      <c r="X5" s="6"/>
      <c r="Y5" s="6"/>
    </row>
    <row r="6" spans="1:25" ht="6" customHeight="1">
      <c r="A6" s="6"/>
      <c r="B6" s="6"/>
      <c r="C6" s="6"/>
      <c r="D6" s="6"/>
      <c r="E6" s="6"/>
      <c r="F6" s="6"/>
      <c r="G6" s="6"/>
      <c r="H6" s="6"/>
      <c r="I6" s="6"/>
      <c r="J6" s="6"/>
      <c r="K6" s="6"/>
      <c r="L6" s="6"/>
      <c r="M6" s="6"/>
      <c r="N6" s="6"/>
      <c r="O6" s="6"/>
      <c r="P6" s="6"/>
      <c r="Q6" s="6"/>
      <c r="R6" s="6"/>
      <c r="S6" s="6"/>
      <c r="T6" s="6"/>
      <c r="U6" s="6"/>
      <c r="V6" s="6"/>
      <c r="W6" s="6"/>
      <c r="X6" s="6"/>
      <c r="Y6" s="6"/>
    </row>
    <row r="7" spans="1:25">
      <c r="A7" s="6" t="s">
        <v>31</v>
      </c>
      <c r="B7" s="135" t="s">
        <v>67</v>
      </c>
      <c r="C7" s="136" t="s">
        <v>33</v>
      </c>
      <c r="D7" s="136" t="s">
        <v>34</v>
      </c>
      <c r="E7" s="136" t="s">
        <v>35</v>
      </c>
      <c r="F7" s="6"/>
      <c r="G7" s="136" t="s">
        <v>92</v>
      </c>
      <c r="H7" s="136" t="s">
        <v>93</v>
      </c>
      <c r="I7" s="136" t="s">
        <v>94</v>
      </c>
      <c r="J7" s="136" t="s">
        <v>95</v>
      </c>
      <c r="K7" s="136" t="s">
        <v>96</v>
      </c>
      <c r="L7" s="136" t="s">
        <v>97</v>
      </c>
      <c r="M7" s="136" t="s">
        <v>98</v>
      </c>
      <c r="N7" s="136" t="s">
        <v>99</v>
      </c>
      <c r="O7" s="136" t="s">
        <v>100</v>
      </c>
      <c r="P7" s="136" t="s">
        <v>101</v>
      </c>
      <c r="Q7" s="136" t="s">
        <v>102</v>
      </c>
      <c r="R7" s="174"/>
      <c r="S7" s="13" t="str">
        <f>M7</f>
        <v>3Q23</v>
      </c>
      <c r="T7" s="13" t="str">
        <f>Q7</f>
        <v>3Q24</v>
      </c>
      <c r="U7" s="14"/>
      <c r="V7" s="172" t="s">
        <v>36</v>
      </c>
      <c r="W7" s="6"/>
      <c r="X7" s="6"/>
      <c r="Y7" s="6"/>
    </row>
    <row r="8" spans="1:25">
      <c r="A8" s="6"/>
      <c r="B8" s="15" t="s">
        <v>162</v>
      </c>
      <c r="C8" s="137">
        <v>44561</v>
      </c>
      <c r="D8" s="137">
        <v>44926</v>
      </c>
      <c r="E8" s="137">
        <v>45291</v>
      </c>
      <c r="F8" s="6"/>
      <c r="G8" s="138">
        <v>44651</v>
      </c>
      <c r="H8" s="138">
        <v>44742</v>
      </c>
      <c r="I8" s="138">
        <v>44834</v>
      </c>
      <c r="J8" s="138">
        <v>44926</v>
      </c>
      <c r="K8" s="138">
        <v>45016</v>
      </c>
      <c r="L8" s="138">
        <v>45107</v>
      </c>
      <c r="M8" s="138">
        <v>45199</v>
      </c>
      <c r="N8" s="138">
        <v>45291</v>
      </c>
      <c r="O8" s="138">
        <v>45382</v>
      </c>
      <c r="P8" s="138">
        <v>45473</v>
      </c>
      <c r="Q8" s="138">
        <v>45565</v>
      </c>
      <c r="R8" s="175"/>
      <c r="S8" s="16">
        <f>M8</f>
        <v>45199</v>
      </c>
      <c r="T8" s="16">
        <f>Q8</f>
        <v>45565</v>
      </c>
      <c r="U8" s="17"/>
      <c r="V8" s="172"/>
      <c r="W8" s="6"/>
      <c r="X8" s="6"/>
      <c r="Y8" s="6"/>
    </row>
    <row r="9" spans="1:25">
      <c r="A9" s="6"/>
      <c r="B9" s="2" t="s">
        <v>13</v>
      </c>
      <c r="C9" s="139">
        <f>'Base Financials '!C10</f>
        <v>510762</v>
      </c>
      <c r="D9" s="139">
        <f>'Base Financials '!D10</f>
        <v>499264</v>
      </c>
      <c r="E9" s="139">
        <f>'Base Financials '!E10</f>
        <v>496261</v>
      </c>
      <c r="F9" s="139">
        <f>'Base Financials '!F10</f>
        <v>0</v>
      </c>
      <c r="G9" s="139">
        <f>'Base Financials '!G10</f>
        <v>119277</v>
      </c>
      <c r="H9" s="139">
        <f>'Base Financials '!H10</f>
        <v>122073</v>
      </c>
      <c r="I9" s="139">
        <f>'Base Financials '!I10</f>
        <v>125360</v>
      </c>
      <c r="J9" s="139">
        <f>'Base Financials '!J10</f>
        <v>132554</v>
      </c>
      <c r="K9" s="139">
        <f>'Base Financials '!K10</f>
        <v>121915</v>
      </c>
      <c r="L9" s="139">
        <f>'Base Financials '!L10</f>
        <v>120400</v>
      </c>
      <c r="M9" s="139">
        <f>'Base Financials '!M10</f>
        <v>129462</v>
      </c>
      <c r="N9" s="139">
        <f>'Base Financials '!N10</f>
        <v>124484</v>
      </c>
      <c r="O9" s="139">
        <f>'Base Financials '!O10</f>
        <v>115246</v>
      </c>
      <c r="P9" s="139">
        <f>'Base Financials '!P10</f>
        <v>111442</v>
      </c>
      <c r="Q9" s="139">
        <f>'Base Financials '!Q10</f>
        <v>116071</v>
      </c>
      <c r="R9" s="6"/>
      <c r="S9" s="23">
        <f>SUM(J9:M9)</f>
        <v>504331</v>
      </c>
      <c r="T9" s="23">
        <f>SUM(N9:Q9)</f>
        <v>467243</v>
      </c>
      <c r="U9" s="17"/>
      <c r="V9" s="25">
        <f t="shared" ref="V9:V11" si="0">SUM(T9/S9)-1</f>
        <v>-7.3539005137499003E-2</v>
      </c>
      <c r="W9" s="6"/>
      <c r="X9" s="6"/>
      <c r="Y9" s="6"/>
    </row>
    <row r="10" spans="1:25">
      <c r="A10" s="6"/>
      <c r="B10" s="2" t="s">
        <v>14</v>
      </c>
      <c r="C10" s="139">
        <f>'Base Financials '!C15</f>
        <v>-91909</v>
      </c>
      <c r="D10" s="139">
        <f>'Base Financials '!D15</f>
        <v>-102989</v>
      </c>
      <c r="E10" s="139">
        <f>'Base Financials '!E15</f>
        <v>-109944</v>
      </c>
      <c r="F10" s="139">
        <f>'Base Financials '!F15</f>
        <v>0</v>
      </c>
      <c r="G10" s="139">
        <f>'Base Financials '!G15</f>
        <v>-25677</v>
      </c>
      <c r="H10" s="139">
        <f>'Base Financials '!H15</f>
        <v>-25204</v>
      </c>
      <c r="I10" s="139">
        <f>'Base Financials '!I15</f>
        <v>-25385</v>
      </c>
      <c r="J10" s="139">
        <f>'Base Financials '!J15</f>
        <v>-26723</v>
      </c>
      <c r="K10" s="139">
        <f>'Base Financials '!K15</f>
        <v>-27941</v>
      </c>
      <c r="L10" s="139">
        <f>'Base Financials '!L15</f>
        <v>-27121</v>
      </c>
      <c r="M10" s="139">
        <f>'Base Financials '!M15</f>
        <v>-26661</v>
      </c>
      <c r="N10" s="139">
        <f>'Base Financials '!N15</f>
        <v>-28221</v>
      </c>
      <c r="O10" s="139">
        <f>'Base Financials '!O15</f>
        <v>-30015</v>
      </c>
      <c r="P10" s="139">
        <f>'Base Financials '!P15</f>
        <v>-30935</v>
      </c>
      <c r="Q10" s="139">
        <f>'Base Financials '!Q15</f>
        <v>-34349</v>
      </c>
      <c r="R10" s="6"/>
      <c r="S10" s="23">
        <f>SUM(J10:M10)</f>
        <v>-108446</v>
      </c>
      <c r="T10" s="23">
        <f>SUM(N10:Q10)</f>
        <v>-123520</v>
      </c>
      <c r="U10" s="17"/>
      <c r="V10" s="25">
        <f t="shared" si="0"/>
        <v>0.13900005532707516</v>
      </c>
      <c r="W10" s="6"/>
      <c r="X10" s="6"/>
      <c r="Y10" s="6"/>
    </row>
    <row r="11" spans="1:25">
      <c r="A11" s="6"/>
      <c r="B11" s="41" t="s">
        <v>37</v>
      </c>
      <c r="C11" s="28">
        <f>SUM(C9:C10)</f>
        <v>418853</v>
      </c>
      <c r="D11" s="28">
        <f t="shared" ref="D11:E11" si="1">SUM(D9:D10)</f>
        <v>396275</v>
      </c>
      <c r="E11" s="28">
        <f t="shared" si="1"/>
        <v>386317</v>
      </c>
      <c r="F11" s="21"/>
      <c r="G11" s="28">
        <f t="shared" ref="G11:P11" si="2">SUM(G9:G10)</f>
        <v>93600</v>
      </c>
      <c r="H11" s="28">
        <f t="shared" si="2"/>
        <v>96869</v>
      </c>
      <c r="I11" s="28">
        <f t="shared" si="2"/>
        <v>99975</v>
      </c>
      <c r="J11" s="28">
        <f t="shared" si="2"/>
        <v>105831</v>
      </c>
      <c r="K11" s="28">
        <f t="shared" si="2"/>
        <v>93974</v>
      </c>
      <c r="L11" s="28">
        <f t="shared" si="2"/>
        <v>93279</v>
      </c>
      <c r="M11" s="28">
        <f t="shared" si="2"/>
        <v>102801</v>
      </c>
      <c r="N11" s="28">
        <f t="shared" si="2"/>
        <v>96263</v>
      </c>
      <c r="O11" s="28">
        <f t="shared" si="2"/>
        <v>85231</v>
      </c>
      <c r="P11" s="28">
        <f t="shared" si="2"/>
        <v>80507</v>
      </c>
      <c r="Q11" s="28">
        <f t="shared" ref="Q11" si="3">SUM(Q9:Q10)</f>
        <v>81722</v>
      </c>
      <c r="R11" s="6"/>
      <c r="S11" s="28">
        <f t="shared" ref="S11:T11" si="4">SUM(S9:S10)</f>
        <v>395885</v>
      </c>
      <c r="T11" s="28">
        <f t="shared" si="4"/>
        <v>343723</v>
      </c>
      <c r="U11" s="17"/>
      <c r="V11" s="30">
        <f t="shared" si="0"/>
        <v>-0.13176048599972212</v>
      </c>
      <c r="W11" s="6"/>
      <c r="X11" s="6"/>
      <c r="Y11" s="6"/>
    </row>
    <row r="12" spans="1:25" ht="15.75">
      <c r="A12" s="6"/>
      <c r="B12" s="38"/>
      <c r="C12" s="139"/>
      <c r="D12" s="139"/>
      <c r="E12" s="139"/>
      <c r="F12" s="21"/>
      <c r="G12" s="139"/>
      <c r="H12" s="139"/>
      <c r="I12" s="139"/>
      <c r="J12" s="139"/>
      <c r="K12" s="139"/>
      <c r="L12" s="139"/>
      <c r="M12" s="139"/>
      <c r="N12" s="139"/>
      <c r="O12" s="139"/>
      <c r="P12" s="139"/>
      <c r="Q12" s="139"/>
      <c r="R12" s="6"/>
      <c r="S12" s="139"/>
      <c r="T12" s="139"/>
      <c r="U12" s="17"/>
      <c r="V12" s="140"/>
      <c r="W12" s="6"/>
      <c r="X12" s="6"/>
      <c r="Y12" s="6"/>
    </row>
    <row r="13" spans="1:25">
      <c r="B13" s="38" t="s">
        <v>41</v>
      </c>
      <c r="C13" s="17"/>
      <c r="D13" s="17"/>
      <c r="E13" s="17"/>
      <c r="F13" s="6"/>
      <c r="G13" s="19"/>
      <c r="H13" s="141"/>
      <c r="I13" s="141"/>
      <c r="J13" s="33"/>
      <c r="K13" s="33"/>
      <c r="L13" s="33"/>
      <c r="M13" s="33"/>
      <c r="N13" s="33"/>
      <c r="O13" s="33"/>
      <c r="P13" s="33"/>
      <c r="Q13" s="33"/>
      <c r="R13" s="6"/>
      <c r="S13" s="19"/>
      <c r="T13" s="19"/>
    </row>
    <row r="14" spans="1:25">
      <c r="B14" s="26" t="s">
        <v>15</v>
      </c>
      <c r="C14" s="139">
        <f>'Base Financials '!C25</f>
        <v>-160141</v>
      </c>
      <c r="D14" s="139">
        <f>'Base Financials '!D25</f>
        <v>-146882</v>
      </c>
      <c r="E14" s="139">
        <f>'Base Financials '!E25</f>
        <v>-149671</v>
      </c>
      <c r="F14" s="139">
        <f>'Base Financials '!F25</f>
        <v>0</v>
      </c>
      <c r="G14" s="139">
        <f>'Base Financials '!G25</f>
        <v>-33240</v>
      </c>
      <c r="H14" s="139">
        <f>'Base Financials '!H25</f>
        <v>-36862</v>
      </c>
      <c r="I14" s="139">
        <f>'Base Financials '!I25</f>
        <v>-35409</v>
      </c>
      <c r="J14" s="139">
        <f>'Base Financials '!J25</f>
        <v>-41371</v>
      </c>
      <c r="K14" s="139">
        <f>'Base Financials '!K25</f>
        <v>-36106</v>
      </c>
      <c r="L14" s="139">
        <f>'Base Financials '!L25</f>
        <v>-37660</v>
      </c>
      <c r="M14" s="139">
        <f>'Base Financials '!M25</f>
        <v>-35606</v>
      </c>
      <c r="N14" s="139">
        <f>'Base Financials '!N25</f>
        <v>-40299</v>
      </c>
      <c r="O14" s="139">
        <f>'Base Financials '!O25</f>
        <v>-33451</v>
      </c>
      <c r="P14" s="139">
        <f>'Base Financials '!P25</f>
        <v>-34251</v>
      </c>
      <c r="Q14" s="139">
        <f>'Base Financials '!Q25</f>
        <v>-35414</v>
      </c>
      <c r="R14" s="6"/>
      <c r="S14" s="23">
        <f t="shared" ref="S14:S17" si="5">SUM(J14:M14)</f>
        <v>-150743</v>
      </c>
      <c r="T14" s="23">
        <f t="shared" ref="T14:T17" si="6">SUM(N14:Q14)</f>
        <v>-143415</v>
      </c>
      <c r="V14" s="25">
        <f t="shared" ref="V14:V18" si="7">SUM(T14/S14)-1</f>
        <v>-4.8612539222385065E-2</v>
      </c>
    </row>
    <row r="15" spans="1:25">
      <c r="B15" s="26" t="s">
        <v>17</v>
      </c>
      <c r="C15" s="139">
        <f>'Base Financials '!C26</f>
        <v>-117117</v>
      </c>
      <c r="D15" s="139">
        <f>'Base Financials '!D26</f>
        <v>-127428</v>
      </c>
      <c r="E15" s="139">
        <f>'Base Financials '!E26</f>
        <v>-120530</v>
      </c>
      <c r="F15" s="139">
        <f>'Base Financials '!F26</f>
        <v>0</v>
      </c>
      <c r="G15" s="139">
        <f>'Base Financials '!G26</f>
        <v>-33523</v>
      </c>
      <c r="H15" s="139">
        <f>'Base Financials '!H26</f>
        <v>-31790</v>
      </c>
      <c r="I15" s="139">
        <f>'Base Financials '!I26</f>
        <v>-30498</v>
      </c>
      <c r="J15" s="139">
        <f>'Base Financials '!J26</f>
        <v>-31617</v>
      </c>
      <c r="K15" s="139">
        <f>'Base Financials '!K26</f>
        <v>-31358</v>
      </c>
      <c r="L15" s="139">
        <f>'Base Financials '!L26</f>
        <v>-29354</v>
      </c>
      <c r="M15" s="139">
        <f>'Base Financials '!M26</f>
        <v>-29660</v>
      </c>
      <c r="N15" s="139">
        <f>'Base Financials '!N26</f>
        <v>-30158</v>
      </c>
      <c r="O15" s="139">
        <f>'Base Financials '!O26</f>
        <v>-29183</v>
      </c>
      <c r="P15" s="139">
        <f>'Base Financials '!P26</f>
        <v>-30311</v>
      </c>
      <c r="Q15" s="139">
        <f>'Base Financials '!Q26</f>
        <v>-33301</v>
      </c>
      <c r="R15" s="6"/>
      <c r="S15" s="23">
        <f t="shared" si="5"/>
        <v>-121989</v>
      </c>
      <c r="T15" s="23">
        <f t="shared" si="6"/>
        <v>-122953</v>
      </c>
      <c r="V15" s="25">
        <f t="shared" si="7"/>
        <v>7.9023518513965385E-3</v>
      </c>
    </row>
    <row r="16" spans="1:25">
      <c r="B16" s="26" t="s">
        <v>16</v>
      </c>
      <c r="C16" s="139">
        <f>'Base Financials '!C27</f>
        <v>-95501</v>
      </c>
      <c r="D16" s="139">
        <f>'Base Financials '!D27</f>
        <v>-111421</v>
      </c>
      <c r="E16" s="139">
        <f>'Base Financials '!E27</f>
        <v>-115312</v>
      </c>
      <c r="F16" s="139">
        <f>'Base Financials '!F27</f>
        <v>0</v>
      </c>
      <c r="G16" s="139">
        <f>'Base Financials '!G27</f>
        <v>-26706</v>
      </c>
      <c r="H16" s="139">
        <f>'Base Financials '!H27</f>
        <v>-28502</v>
      </c>
      <c r="I16" s="139">
        <f>'Base Financials '!I27</f>
        <v>-27283</v>
      </c>
      <c r="J16" s="139">
        <f>'Base Financials '!J27</f>
        <v>-28930</v>
      </c>
      <c r="K16" s="139">
        <f>'Base Financials '!K27</f>
        <v>-27906</v>
      </c>
      <c r="L16" s="139">
        <f>'Base Financials '!L27</f>
        <v>-28830</v>
      </c>
      <c r="M16" s="139">
        <f>'Base Financials '!M27</f>
        <v>-29223</v>
      </c>
      <c r="N16" s="139">
        <f>'Base Financials '!N27</f>
        <v>-29353</v>
      </c>
      <c r="O16" s="139">
        <f>'Base Financials '!O27</f>
        <v>-34666</v>
      </c>
      <c r="P16" s="139">
        <f>'Base Financials '!P27</f>
        <v>-36129</v>
      </c>
      <c r="Q16" s="139">
        <f>'Base Financials '!Q27</f>
        <v>-33505</v>
      </c>
      <c r="R16" s="6"/>
      <c r="S16" s="23">
        <f t="shared" si="5"/>
        <v>-114889</v>
      </c>
      <c r="T16" s="23">
        <f t="shared" si="6"/>
        <v>-133653</v>
      </c>
      <c r="V16" s="25">
        <f t="shared" si="7"/>
        <v>0.16332285945564839</v>
      </c>
    </row>
    <row r="17" spans="2:22">
      <c r="B17" s="26" t="s">
        <v>104</v>
      </c>
      <c r="C17" s="139">
        <f>'Base Financials '!C28</f>
        <v>-830621</v>
      </c>
      <c r="D17" s="139">
        <f>'Base Financials '!D28</f>
        <v>-1286286</v>
      </c>
      <c r="E17" s="139">
        <f>'Base Financials '!E28</f>
        <v>-115851</v>
      </c>
      <c r="F17" s="139">
        <f>'Base Financials '!F28</f>
        <v>0</v>
      </c>
      <c r="G17" s="139">
        <f>'Base Financials '!G28</f>
        <v>-170091</v>
      </c>
      <c r="H17" s="139">
        <f>'Base Financials '!H28</f>
        <v>-917838</v>
      </c>
      <c r="I17" s="139">
        <f>'Base Financials '!I28</f>
        <v>-727</v>
      </c>
      <c r="J17" s="139">
        <f>'Base Financials '!J28</f>
        <v>-197630</v>
      </c>
      <c r="K17" s="139">
        <f>'Base Financials '!K28</f>
        <v>-18911</v>
      </c>
      <c r="L17" s="139">
        <f>'Base Financials '!L28</f>
        <v>-24143</v>
      </c>
      <c r="M17" s="139">
        <f>'Base Financials '!M28</f>
        <v>-33559</v>
      </c>
      <c r="N17" s="139">
        <f>'Base Financials '!N28</f>
        <v>-39238</v>
      </c>
      <c r="O17" s="139">
        <f>'Base Financials '!O28</f>
        <v>-191633</v>
      </c>
      <c r="P17" s="139">
        <f>'Base Financials '!P28</f>
        <v>-180090</v>
      </c>
      <c r="Q17" s="139">
        <f>'Base Financials '!Q28</f>
        <v>-412084</v>
      </c>
      <c r="R17" s="6"/>
      <c r="S17" s="23">
        <f t="shared" si="5"/>
        <v>-274243</v>
      </c>
      <c r="T17" s="23">
        <f t="shared" si="6"/>
        <v>-823045</v>
      </c>
      <c r="V17" s="25">
        <f t="shared" si="7"/>
        <v>2.0011522627742551</v>
      </c>
    </row>
    <row r="18" spans="2:22">
      <c r="B18" s="41" t="s">
        <v>42</v>
      </c>
      <c r="C18" s="28">
        <f>SUM(C11+SUM((C14:C17)))</f>
        <v>-784527</v>
      </c>
      <c r="D18" s="28">
        <f t="shared" ref="D18:E18" si="8">SUM(D11+SUM((D14:D17)))</f>
        <v>-1275742</v>
      </c>
      <c r="E18" s="28">
        <f t="shared" si="8"/>
        <v>-115047</v>
      </c>
      <c r="F18" s="21"/>
      <c r="G18" s="28">
        <f t="shared" ref="G18:P18" si="9">SUM(G11+SUM((G14:G17)))</f>
        <v>-169960</v>
      </c>
      <c r="H18" s="28">
        <f t="shared" si="9"/>
        <v>-918123</v>
      </c>
      <c r="I18" s="28">
        <f t="shared" si="9"/>
        <v>6058</v>
      </c>
      <c r="J18" s="28">
        <f t="shared" si="9"/>
        <v>-193717</v>
      </c>
      <c r="K18" s="28">
        <f t="shared" si="9"/>
        <v>-20307</v>
      </c>
      <c r="L18" s="28">
        <f t="shared" si="9"/>
        <v>-26708</v>
      </c>
      <c r="M18" s="28">
        <f t="shared" si="9"/>
        <v>-25247</v>
      </c>
      <c r="N18" s="28">
        <f t="shared" si="9"/>
        <v>-42785</v>
      </c>
      <c r="O18" s="28">
        <f t="shared" si="9"/>
        <v>-203702</v>
      </c>
      <c r="P18" s="28">
        <f t="shared" si="9"/>
        <v>-200274</v>
      </c>
      <c r="Q18" s="28">
        <f t="shared" ref="Q18" si="10">SUM(Q11+SUM((Q14:Q17)))</f>
        <v>-432582</v>
      </c>
      <c r="R18" s="6"/>
      <c r="S18" s="28">
        <f t="shared" ref="S18:T18" si="11">SUM(S11+SUM((S14:S17)))</f>
        <v>-265979</v>
      </c>
      <c r="T18" s="28">
        <f t="shared" si="11"/>
        <v>-879343</v>
      </c>
      <c r="V18" s="30">
        <f t="shared" si="7"/>
        <v>2.3060617567552324</v>
      </c>
    </row>
    <row r="19" spans="2:22">
      <c r="B19" s="31" t="s">
        <v>38</v>
      </c>
      <c r="C19" s="32"/>
      <c r="D19" s="33">
        <f>D18/C18-1</f>
        <v>0.6261288649084098</v>
      </c>
      <c r="E19" s="33">
        <f>E18/D18-1</f>
        <v>-0.90981954031457768</v>
      </c>
      <c r="F19" s="33"/>
      <c r="G19" s="33"/>
      <c r="H19" s="33">
        <f t="shared" ref="H19:Q19" si="12">H18/G18-1</f>
        <v>4.4019945869616377</v>
      </c>
      <c r="I19" s="33">
        <f t="shared" si="12"/>
        <v>-1.0065982444617987</v>
      </c>
      <c r="J19" s="33">
        <f t="shared" si="12"/>
        <v>-32.977055133707495</v>
      </c>
      <c r="K19" s="33">
        <f t="shared" si="12"/>
        <v>-0.89517182281369212</v>
      </c>
      <c r="L19" s="33">
        <f t="shared" si="12"/>
        <v>0.31521150342246518</v>
      </c>
      <c r="M19" s="33">
        <f t="shared" si="12"/>
        <v>-5.4702710798262721E-2</v>
      </c>
      <c r="N19" s="33">
        <f>N18/M18-1</f>
        <v>0.69465679090585031</v>
      </c>
      <c r="O19" s="33">
        <f t="shared" si="12"/>
        <v>3.7610611195512442</v>
      </c>
      <c r="P19" s="33">
        <f t="shared" si="12"/>
        <v>-1.6828504383854859E-2</v>
      </c>
      <c r="Q19" s="33">
        <f t="shared" si="12"/>
        <v>1.1599508673117827</v>
      </c>
      <c r="R19" s="6"/>
      <c r="S19" s="6"/>
      <c r="T19" s="33">
        <f>T18/S18-1</f>
        <v>2.3060617567552324</v>
      </c>
    </row>
    <row r="20" spans="2:22">
      <c r="B20" s="38" t="s">
        <v>18</v>
      </c>
    </row>
    <row r="21" spans="2:22">
      <c r="B21" s="26" t="s">
        <v>106</v>
      </c>
      <c r="C21" s="139">
        <f>'Base Financials '!C35</f>
        <v>0</v>
      </c>
      <c r="D21" s="139">
        <f>'Base Financials '!D35</f>
        <v>0</v>
      </c>
      <c r="E21" s="139">
        <f>'Base Financials '!E35</f>
        <v>44686</v>
      </c>
      <c r="F21" s="139">
        <f>'Base Financials '!F35</f>
        <v>0</v>
      </c>
      <c r="G21" s="139">
        <f>'Base Financials '!G35</f>
        <v>0</v>
      </c>
      <c r="H21" s="139">
        <f>'Base Financials '!H35</f>
        <v>0</v>
      </c>
      <c r="I21" s="139">
        <f>'Base Financials '!I35</f>
        <v>0</v>
      </c>
      <c r="J21" s="139">
        <f>'Base Financials '!J35</f>
        <v>0</v>
      </c>
      <c r="K21" s="139">
        <f>'Base Financials '!K35</f>
        <v>44686</v>
      </c>
      <c r="L21" s="139">
        <f>'Base Financials '!L35</f>
        <v>0</v>
      </c>
      <c r="M21" s="139">
        <f>'Base Financials '!M35</f>
        <v>0</v>
      </c>
      <c r="N21" s="139">
        <f>'Base Financials '!N35</f>
        <v>0</v>
      </c>
      <c r="O21" s="139">
        <f>'Base Financials '!O35</f>
        <v>0</v>
      </c>
      <c r="P21" s="139">
        <f>'Base Financials '!P35</f>
        <v>0</v>
      </c>
      <c r="Q21" s="139">
        <f>'Base Financials '!Q35</f>
        <v>-22933</v>
      </c>
      <c r="R21" s="6"/>
      <c r="S21" s="23">
        <f t="shared" ref="S21:S22" si="13">SUM(J21:M21)</f>
        <v>44686</v>
      </c>
      <c r="T21" s="23">
        <f t="shared" ref="T21:T22" si="14">SUM(N21:Q21)</f>
        <v>-22933</v>
      </c>
      <c r="V21" s="25">
        <f t="shared" ref="V21:V22" si="15">SUM(T21/S21)-1</f>
        <v>-1.5132032403884885</v>
      </c>
    </row>
    <row r="22" spans="2:22">
      <c r="B22" s="26" t="s">
        <v>18</v>
      </c>
      <c r="C22" s="139">
        <f>'Base Financials '!C36</f>
        <v>2287</v>
      </c>
      <c r="D22" s="139">
        <f>'Base Financials '!D36</f>
        <v>6413</v>
      </c>
      <c r="E22" s="139">
        <f>'Base Financials '!E36</f>
        <v>-5204</v>
      </c>
      <c r="F22" s="139">
        <f>'Base Financials '!F36</f>
        <v>0</v>
      </c>
      <c r="G22" s="139">
        <f>'Base Financials '!G36</f>
        <v>2225</v>
      </c>
      <c r="H22" s="139">
        <f>'Base Financials '!H36</f>
        <v>5120</v>
      </c>
      <c r="I22" s="139">
        <f>'Base Financials '!I36</f>
        <v>4897</v>
      </c>
      <c r="J22" s="139">
        <f>'Base Financials '!J36</f>
        <v>-5829</v>
      </c>
      <c r="K22" s="139">
        <f>'Base Financials '!K36</f>
        <v>-1443</v>
      </c>
      <c r="L22" s="139">
        <f>'Base Financials '!L36</f>
        <v>-250</v>
      </c>
      <c r="M22" s="139">
        <f>'Base Financials '!M36</f>
        <v>2419</v>
      </c>
      <c r="N22" s="139">
        <f>'Base Financials '!N36</f>
        <v>-5930</v>
      </c>
      <c r="O22" s="139">
        <f>'Base Financials '!O36</f>
        <v>1696</v>
      </c>
      <c r="P22" s="139">
        <f>'Base Financials '!P36</f>
        <v>694</v>
      </c>
      <c r="Q22" s="139">
        <f>'Base Financials '!Q36</f>
        <v>-5034</v>
      </c>
      <c r="R22" s="6"/>
      <c r="S22" s="23">
        <f t="shared" si="13"/>
        <v>-5103</v>
      </c>
      <c r="T22" s="23">
        <f t="shared" si="14"/>
        <v>-8574</v>
      </c>
      <c r="V22" s="25">
        <f t="shared" si="15"/>
        <v>0.68018812463256917</v>
      </c>
    </row>
    <row r="23" spans="2:22">
      <c r="B23" s="41" t="s">
        <v>68</v>
      </c>
      <c r="C23" s="28">
        <f>SUM(C18+SUM(C21:C22))</f>
        <v>-782240</v>
      </c>
      <c r="D23" s="28">
        <f>SUM(D18+SUM(D21:D22))</f>
        <v>-1269329</v>
      </c>
      <c r="E23" s="28">
        <f>SUM(E18+SUM(E21:E22))</f>
        <v>-75565</v>
      </c>
      <c r="F23" s="6"/>
      <c r="G23" s="28">
        <f>SUM(G18+SUM(G21:G22))</f>
        <v>-167735</v>
      </c>
      <c r="H23" s="28">
        <f>SUM(H18+SUM(H21:H22))</f>
        <v>-913003</v>
      </c>
      <c r="I23" s="28">
        <f>SUM(I18+SUM(I21:I22))</f>
        <v>10955</v>
      </c>
      <c r="J23" s="28">
        <f>SUM(J18+SUM(J21:J22))</f>
        <v>-199546</v>
      </c>
      <c r="K23" s="28">
        <f>SUM(K18+SUM(K21:K22))</f>
        <v>22936</v>
      </c>
      <c r="L23" s="28">
        <f>SUM(L18+SUM(L21:L22))</f>
        <v>-26958</v>
      </c>
      <c r="M23" s="28">
        <f>SUM(M18+SUM(M21:M22))</f>
        <v>-22828</v>
      </c>
      <c r="N23" s="28">
        <f>SUM(N18+SUM(N21:N22))</f>
        <v>-48715</v>
      </c>
      <c r="O23" s="28">
        <f>SUM(O18+SUM(O21:O22))</f>
        <v>-202006</v>
      </c>
      <c r="P23" s="28">
        <f>SUM(P18+SUM(P21:P22))</f>
        <v>-199580</v>
      </c>
      <c r="Q23" s="28">
        <f>SUM(Q18+SUM(Q21:Q22))</f>
        <v>-460549</v>
      </c>
      <c r="R23" s="6"/>
      <c r="S23" s="28">
        <f>SUM(S18+SUM(S21:S22))</f>
        <v>-226396</v>
      </c>
      <c r="T23" s="28">
        <f>SUM(T18+SUM(T21:T22))</f>
        <v>-910850</v>
      </c>
      <c r="V23" s="30">
        <f t="shared" ref="V23" si="16">SUM(T23/S23)-1</f>
        <v>3.0232601282708176</v>
      </c>
    </row>
    <row r="24" spans="2:22">
      <c r="B24" s="31" t="s">
        <v>38</v>
      </c>
      <c r="C24" s="42"/>
      <c r="D24" s="33">
        <f>D23/C23-1</f>
        <v>0.62268485375332383</v>
      </c>
      <c r="E24" s="33">
        <f>E23/D23-1</f>
        <v>-0.94046854676762293</v>
      </c>
      <c r="F24" s="33"/>
      <c r="G24" s="33"/>
      <c r="H24" s="33">
        <f t="shared" ref="H24:Q24" si="17">H23/G23-1</f>
        <v>4.4431275523891856</v>
      </c>
      <c r="I24" s="33">
        <f t="shared" si="17"/>
        <v>-1.0119988652830276</v>
      </c>
      <c r="J24" s="33">
        <f t="shared" si="17"/>
        <v>-19.215061615700595</v>
      </c>
      <c r="K24" s="33">
        <f t="shared" si="17"/>
        <v>-1.1149409158790455</v>
      </c>
      <c r="L24" s="33">
        <f t="shared" si="17"/>
        <v>-2.1753575165678409</v>
      </c>
      <c r="M24" s="33">
        <f t="shared" si="17"/>
        <v>-0.15320127605905487</v>
      </c>
      <c r="N24" s="33">
        <f t="shared" si="17"/>
        <v>1.1340021026809182</v>
      </c>
      <c r="O24" s="33">
        <f t="shared" si="17"/>
        <v>3.1466899312326797</v>
      </c>
      <c r="P24" s="33">
        <f t="shared" si="17"/>
        <v>-1.2009544270962236E-2</v>
      </c>
      <c r="Q24" s="33">
        <f t="shared" si="17"/>
        <v>1.3075909409760498</v>
      </c>
      <c r="R24" s="6"/>
      <c r="S24" s="6"/>
      <c r="T24" s="33">
        <f>T23/S23-1</f>
        <v>3.0232601282708176</v>
      </c>
    </row>
    <row r="25" spans="2:22">
      <c r="B25" s="3" t="s">
        <v>69</v>
      </c>
      <c r="C25" s="42"/>
      <c r="D25" s="33"/>
      <c r="E25" s="33"/>
      <c r="F25" s="33"/>
      <c r="G25" s="33"/>
      <c r="H25" s="33"/>
      <c r="I25" s="33"/>
      <c r="J25" s="33"/>
      <c r="K25" s="33"/>
      <c r="L25" s="33"/>
      <c r="M25" s="33"/>
      <c r="N25" s="33"/>
      <c r="O25" s="33"/>
      <c r="P25" s="33"/>
      <c r="Q25" s="33"/>
      <c r="R25" s="6"/>
      <c r="S25" s="6"/>
      <c r="T25" s="33"/>
    </row>
    <row r="26" spans="2:22">
      <c r="B26" s="105" t="str">
        <f>'[1]3-Statement Model '!B101</f>
        <v>Depreciation and amortization</v>
      </c>
      <c r="C26" s="139">
        <f>'Base Financials '!C104</f>
        <v>11358</v>
      </c>
      <c r="D26" s="139">
        <f>'Base Financials '!D104</f>
        <v>10874</v>
      </c>
      <c r="E26" s="139">
        <f>'Base Financials '!E104</f>
        <v>14527</v>
      </c>
      <c r="F26" s="139">
        <f>'Base Financials '!F104</f>
        <v>0</v>
      </c>
      <c r="G26" s="139">
        <f>'Base Financials '!G104</f>
        <v>2691</v>
      </c>
      <c r="H26" s="139">
        <f>'Base Financials '!H104</f>
        <v>2076</v>
      </c>
      <c r="I26" s="139">
        <f>'Base Financials '!I104</f>
        <v>2150</v>
      </c>
      <c r="J26" s="139">
        <f>'Base Financials '!J104</f>
        <v>3957</v>
      </c>
      <c r="K26" s="139">
        <f>'Base Financials '!K104</f>
        <v>3431</v>
      </c>
      <c r="L26" s="139">
        <f>'Base Financials '!L104</f>
        <v>3230</v>
      </c>
      <c r="M26" s="139">
        <f>'Base Financials '!M104</f>
        <v>2744</v>
      </c>
      <c r="N26" s="139">
        <f>'Base Financials '!N104</f>
        <v>5122</v>
      </c>
      <c r="O26" s="139">
        <f>'Base Financials '!O104</f>
        <v>3050</v>
      </c>
      <c r="P26" s="139">
        <f>'Base Financials '!P104</f>
        <v>3651</v>
      </c>
      <c r="Q26" s="139">
        <f>'Base Financials '!Q104</f>
        <v>5978</v>
      </c>
      <c r="R26" s="6"/>
      <c r="S26" s="23">
        <f>SUM(J26:M26)</f>
        <v>13362</v>
      </c>
      <c r="T26" s="23">
        <f>SUM(N26:Q26)</f>
        <v>17801</v>
      </c>
      <c r="V26" s="25">
        <f t="shared" ref="V26:V27" si="18">SUM(T26/S26)-1</f>
        <v>0.33221074689417751</v>
      </c>
    </row>
    <row r="27" spans="2:22">
      <c r="B27" s="45" t="s">
        <v>70</v>
      </c>
      <c r="C27" s="142">
        <f>SUM(C23+C26)</f>
        <v>-770882</v>
      </c>
      <c r="D27" s="142">
        <f>SUM(D23+D26)</f>
        <v>-1258455</v>
      </c>
      <c r="E27" s="142">
        <f t="shared" ref="D27:E27" si="19">SUM(E23+E26)</f>
        <v>-61038</v>
      </c>
      <c r="G27" s="142">
        <f t="shared" ref="G27:P27" si="20">SUM(G23+G26)</f>
        <v>-165044</v>
      </c>
      <c r="H27" s="142">
        <f t="shared" si="20"/>
        <v>-910927</v>
      </c>
      <c r="I27" s="142">
        <f t="shared" si="20"/>
        <v>13105</v>
      </c>
      <c r="J27" s="142">
        <f t="shared" si="20"/>
        <v>-195589</v>
      </c>
      <c r="K27" s="142">
        <f t="shared" si="20"/>
        <v>26367</v>
      </c>
      <c r="L27" s="142">
        <f t="shared" si="20"/>
        <v>-23728</v>
      </c>
      <c r="M27" s="142">
        <f t="shared" si="20"/>
        <v>-20084</v>
      </c>
      <c r="N27" s="142">
        <f t="shared" si="20"/>
        <v>-43593</v>
      </c>
      <c r="O27" s="142">
        <f t="shared" si="20"/>
        <v>-198956</v>
      </c>
      <c r="P27" s="142">
        <f t="shared" si="20"/>
        <v>-195929</v>
      </c>
      <c r="Q27" s="142">
        <f t="shared" ref="Q27:T27" si="21">SUM(Q23+Q26)</f>
        <v>-454571</v>
      </c>
      <c r="S27" s="142">
        <f t="shared" si="21"/>
        <v>-213034</v>
      </c>
      <c r="T27" s="142">
        <f t="shared" si="21"/>
        <v>-893049</v>
      </c>
      <c r="V27" s="30">
        <f t="shared" si="18"/>
        <v>3.1920491564726756</v>
      </c>
    </row>
    <row r="28" spans="2:22">
      <c r="B28" s="31" t="s">
        <v>38</v>
      </c>
      <c r="C28" s="42"/>
      <c r="D28" s="33">
        <f>D27/C27-1</f>
        <v>0.6324872029701043</v>
      </c>
      <c r="E28" s="33">
        <f>E27/D27-1</f>
        <v>-0.95149766976173167</v>
      </c>
      <c r="F28" s="33"/>
      <c r="G28" s="33"/>
      <c r="H28" s="33">
        <f t="shared" ref="H28:Q28" si="22">H27/G27-1</f>
        <v>4.5192978842005767</v>
      </c>
      <c r="I28" s="33">
        <f t="shared" si="22"/>
        <v>-1.0143864436996597</v>
      </c>
      <c r="J28" s="33">
        <f t="shared" si="22"/>
        <v>-15.924761541396414</v>
      </c>
      <c r="K28" s="33">
        <f t="shared" si="22"/>
        <v>-1.1348081947348778</v>
      </c>
      <c r="L28" s="33">
        <f t="shared" si="22"/>
        <v>-1.8999127697500664</v>
      </c>
      <c r="M28" s="33">
        <f t="shared" si="22"/>
        <v>-0.15357383681726233</v>
      </c>
      <c r="N28" s="33">
        <f t="shared" si="22"/>
        <v>1.1705337582154951</v>
      </c>
      <c r="O28" s="33">
        <f t="shared" si="22"/>
        <v>3.5639437524373179</v>
      </c>
      <c r="P28" s="33">
        <f t="shared" si="22"/>
        <v>-1.5214419268582025E-2</v>
      </c>
      <c r="Q28" s="33">
        <f t="shared" si="22"/>
        <v>1.3200802331456805</v>
      </c>
      <c r="R28" s="6"/>
      <c r="S28" s="6"/>
      <c r="T28" s="33">
        <f>T27/S27-1</f>
        <v>3.1920491564726756</v>
      </c>
    </row>
    <row r="29" spans="2:22">
      <c r="B29" s="31" t="s">
        <v>71</v>
      </c>
      <c r="C29" s="33">
        <f>SUM(C27/C9)</f>
        <v>-1.5092782939999452</v>
      </c>
      <c r="D29" s="33">
        <f>SUM(D27/D9)</f>
        <v>-2.5206203531598512</v>
      </c>
      <c r="E29" s="33">
        <f>SUM(E27/E9)</f>
        <v>-0.12299576231055835</v>
      </c>
      <c r="F29" s="33"/>
      <c r="G29" s="33">
        <f>SUM(G27/G9)</f>
        <v>-1.383703480134477</v>
      </c>
      <c r="H29" s="33">
        <f>SUM(H27/H9)</f>
        <v>-7.4621496973122641</v>
      </c>
      <c r="I29" s="33">
        <f>SUM(I27/I9)</f>
        <v>0.10453892788768347</v>
      </c>
      <c r="J29" s="33">
        <f>SUM(J27/J9)</f>
        <v>-1.475542043242754</v>
      </c>
      <c r="K29" s="33">
        <f>SUM(K27/K9)</f>
        <v>0.21627363326908092</v>
      </c>
      <c r="L29" s="33">
        <f>SUM(L27/L9)</f>
        <v>-0.1970764119601329</v>
      </c>
      <c r="M29" s="33">
        <f>SUM(M27/M9)</f>
        <v>-0.15513432513015402</v>
      </c>
      <c r="N29" s="33">
        <f>SUM(N27/N9)</f>
        <v>-0.35018958259696026</v>
      </c>
      <c r="O29" s="33">
        <f>SUM(O27/O9)</f>
        <v>-1.7263592662652065</v>
      </c>
      <c r="P29" s="33">
        <f>SUM(P27/P9)</f>
        <v>-1.7581253028481183</v>
      </c>
      <c r="Q29" s="33">
        <f>SUM(Q27/Q9)</f>
        <v>-3.9163184602527763</v>
      </c>
      <c r="R29" s="6"/>
      <c r="S29" s="33">
        <f>SUM(S27/S9)</f>
        <v>-0.42240909244127367</v>
      </c>
      <c r="T29" s="33">
        <f>SUM(T27/T9)</f>
        <v>-1.9113159533690178</v>
      </c>
    </row>
    <row r="30" spans="2:22">
      <c r="B30" s="3" t="s">
        <v>72</v>
      </c>
      <c r="C30" s="42"/>
      <c r="D30" s="33"/>
      <c r="E30" s="33"/>
      <c r="F30" s="33"/>
      <c r="G30" s="33"/>
      <c r="H30" s="33"/>
      <c r="I30" s="33"/>
      <c r="J30" s="33"/>
      <c r="K30" s="33"/>
      <c r="L30" s="33"/>
      <c r="M30" s="33"/>
      <c r="N30" s="33"/>
      <c r="O30" s="33"/>
      <c r="P30" s="33"/>
      <c r="Q30" s="33"/>
      <c r="R30" s="6"/>
      <c r="S30" s="6"/>
      <c r="T30" s="33"/>
    </row>
    <row r="31" spans="2:22">
      <c r="B31" s="105" t="str">
        <f>'[1]3-Statement Model '!B102</f>
        <v>Stock-based compensation</v>
      </c>
      <c r="C31" s="139">
        <f>'Base Financials '!C109</f>
        <v>44126</v>
      </c>
      <c r="D31" s="139">
        <f>'Base Financials '!D109</f>
        <v>63619</v>
      </c>
      <c r="E31" s="139">
        <f>'Base Financials '!E109</f>
        <v>69571</v>
      </c>
      <c r="F31" s="139">
        <f>'Base Financials '!F109</f>
        <v>0</v>
      </c>
      <c r="G31" s="139">
        <f>'Base Financials '!G109</f>
        <v>14394</v>
      </c>
      <c r="H31" s="139">
        <f>'Base Financials '!H109</f>
        <v>15294</v>
      </c>
      <c r="I31" s="139">
        <f>'Base Financials '!I109</f>
        <v>16899</v>
      </c>
      <c r="J31" s="139">
        <f>'Base Financials '!J109</f>
        <v>17032</v>
      </c>
      <c r="K31" s="139">
        <f>'Base Financials '!K109</f>
        <v>17555</v>
      </c>
      <c r="L31" s="139">
        <f>'Base Financials '!L109</f>
        <v>15494</v>
      </c>
      <c r="M31" s="139">
        <f>'Base Financials '!M109</f>
        <v>16806</v>
      </c>
      <c r="N31" s="139">
        <f>'Base Financials '!N109</f>
        <v>19716</v>
      </c>
      <c r="O31" s="139">
        <f>'Base Financials '!O109</f>
        <v>17791</v>
      </c>
      <c r="P31" s="139">
        <f>'Base Financials '!P109</f>
        <v>20621</v>
      </c>
      <c r="Q31" s="139">
        <f>'Base Financials '!Q109</f>
        <v>37168</v>
      </c>
      <c r="S31" s="23">
        <f>SUM(J31:M31)</f>
        <v>66887</v>
      </c>
      <c r="T31" s="23">
        <f>SUM(N31:Q31)</f>
        <v>95296</v>
      </c>
      <c r="V31" s="25">
        <f t="shared" ref="V31:V32" si="23">SUM(T31/S31)-1</f>
        <v>0.42473126317520604</v>
      </c>
    </row>
    <row r="32" spans="2:22">
      <c r="B32" s="45" t="s">
        <v>73</v>
      </c>
      <c r="C32" s="142">
        <f>SUM(C27+C31)</f>
        <v>-726756</v>
      </c>
      <c r="D32" s="142">
        <f>SUM(D27+D31)</f>
        <v>-1194836</v>
      </c>
      <c r="E32" s="142">
        <f t="shared" ref="D32:E32" si="24">SUM(E27+E31)</f>
        <v>8533</v>
      </c>
      <c r="G32" s="142">
        <f t="shared" ref="G32:P32" si="25">SUM(G27+G31)</f>
        <v>-150650</v>
      </c>
      <c r="H32" s="142">
        <f t="shared" si="25"/>
        <v>-895633</v>
      </c>
      <c r="I32" s="142">
        <f t="shared" si="25"/>
        <v>30004</v>
      </c>
      <c r="J32" s="142">
        <f t="shared" si="25"/>
        <v>-178557</v>
      </c>
      <c r="K32" s="142">
        <f t="shared" si="25"/>
        <v>43922</v>
      </c>
      <c r="L32" s="142">
        <f t="shared" si="25"/>
        <v>-8234</v>
      </c>
      <c r="M32" s="142">
        <f t="shared" si="25"/>
        <v>-3278</v>
      </c>
      <c r="N32" s="142">
        <f t="shared" si="25"/>
        <v>-23877</v>
      </c>
      <c r="O32" s="142">
        <f t="shared" si="25"/>
        <v>-181165</v>
      </c>
      <c r="P32" s="142">
        <f t="shared" si="25"/>
        <v>-175308</v>
      </c>
      <c r="Q32" s="142">
        <f t="shared" ref="Q32:T32" si="26">SUM(Q27+Q31)</f>
        <v>-417403</v>
      </c>
      <c r="S32" s="142">
        <f t="shared" si="26"/>
        <v>-146147</v>
      </c>
      <c r="T32" s="142">
        <f t="shared" si="26"/>
        <v>-797753</v>
      </c>
      <c r="V32" s="30">
        <f>SUM(T32/S32)-1</f>
        <v>4.4585656907086699</v>
      </c>
    </row>
    <row r="33" spans="2:20">
      <c r="B33" s="31" t="s">
        <v>38</v>
      </c>
      <c r="C33" s="42"/>
      <c r="D33" s="33">
        <f>D32/C32-1</f>
        <v>0.64406761003693114</v>
      </c>
      <c r="E33" s="33">
        <f>E32/D32-1</f>
        <v>-1.0071415658718017</v>
      </c>
      <c r="F33" s="33"/>
      <c r="G33" s="33"/>
      <c r="H33" s="33">
        <f t="shared" ref="H33:Q33" si="27">H32/G32-1</f>
        <v>4.9451244606704279</v>
      </c>
      <c r="I33" s="33">
        <f t="shared" si="27"/>
        <v>-1.0335003288177189</v>
      </c>
      <c r="J33" s="33">
        <f t="shared" si="27"/>
        <v>-6.9511065191307821</v>
      </c>
      <c r="K33" s="33">
        <f t="shared" si="27"/>
        <v>-1.245983075432495</v>
      </c>
      <c r="L33" s="33">
        <f t="shared" si="27"/>
        <v>-1.1874686945038933</v>
      </c>
      <c r="M33" s="33">
        <f t="shared" si="27"/>
        <v>-0.60189458343453972</v>
      </c>
      <c r="N33" s="33">
        <f t="shared" si="27"/>
        <v>6.2840146430750456</v>
      </c>
      <c r="O33" s="33">
        <f t="shared" si="27"/>
        <v>6.5874272312267035</v>
      </c>
      <c r="P33" s="33">
        <f t="shared" si="27"/>
        <v>-3.2329644246957168E-2</v>
      </c>
      <c r="Q33" s="33">
        <f t="shared" si="27"/>
        <v>1.3809694936911034</v>
      </c>
      <c r="R33" s="6"/>
      <c r="S33" s="6"/>
      <c r="T33" s="33">
        <f>T32/S32-1</f>
        <v>4.4585656907086699</v>
      </c>
    </row>
    <row r="34" spans="2:20">
      <c r="B34" s="31" t="s">
        <v>74</v>
      </c>
      <c r="C34" s="33">
        <f>C32/C9</f>
        <v>-1.4228858059135174</v>
      </c>
      <c r="D34" s="33">
        <f>D32/D9</f>
        <v>-2.3931947827201641</v>
      </c>
      <c r="E34" s="33">
        <f>E32/E9</f>
        <v>1.7194581077296021E-2</v>
      </c>
      <c r="F34" s="33"/>
      <c r="G34" s="33">
        <f>G32/G9</f>
        <v>-1.2630264007310714</v>
      </c>
      <c r="H34" s="33">
        <f>H32/H9</f>
        <v>-7.3368640076020091</v>
      </c>
      <c r="I34" s="33">
        <f>I32/I9</f>
        <v>0.23934269304403319</v>
      </c>
      <c r="J34" s="33">
        <f>J32/J9</f>
        <v>-1.3470510131719904</v>
      </c>
      <c r="K34" s="33">
        <f>K32/K9</f>
        <v>0.36026739941762703</v>
      </c>
      <c r="L34" s="33">
        <f>L32/L9</f>
        <v>-6.8388704318936872E-2</v>
      </c>
      <c r="M34" s="33">
        <f>M32/M9</f>
        <v>-2.5320171169918585E-2</v>
      </c>
      <c r="N34" s="33">
        <f>N32/N9</f>
        <v>-0.19180778252626843</v>
      </c>
      <c r="O34" s="33">
        <f>O32/O9</f>
        <v>-1.5719851448206446</v>
      </c>
      <c r="P34" s="33">
        <f>P32/P9</f>
        <v>-1.5730873458839576</v>
      </c>
      <c r="Q34" s="33">
        <f>Q32/Q9</f>
        <v>-3.5961006625255232</v>
      </c>
      <c r="S34" s="33">
        <f>S32/S9</f>
        <v>-0.28978389192811865</v>
      </c>
      <c r="T34" s="33">
        <f>T32/T9</f>
        <v>-1.707362122064964</v>
      </c>
    </row>
    <row r="35" spans="2:20">
      <c r="B35" s="3"/>
    </row>
  </sheetData>
  <mergeCells count="1">
    <mergeCell ref="V7:V8"/>
  </mergeCells>
  <conditionalFormatting sqref="C13:I13 K13:Q13">
    <cfRule type="timePeriod" dxfId="5" priority="5" timePeriod="lastWeek">
      <formula>AND(TODAY()-ROUNDDOWN(C13,0)&gt;=(WEEKDAY(TODAY())),TODAY()-ROUNDDOWN(C13,0)&lt;(WEEKDAY(TODAY())+7))</formula>
    </cfRule>
  </conditionalFormatting>
  <conditionalFormatting sqref="F8">
    <cfRule type="timePeriod" dxfId="3" priority="4" timePeriod="lastWeek">
      <formula>AND(TODAY()-ROUNDDOWN(F8,0)&gt;=(WEEKDAY(TODAY())),TODAY()-ROUNDDOWN(F8,0)&lt;(WEEKDAY(TODAY())+7))</formula>
    </cfRule>
  </conditionalFormatting>
  <conditionalFormatting sqref="S8:T8">
    <cfRule type="timePeriod" dxfId="2" priority="3" timePeriod="lastWeek">
      <formula>AND(TODAY()-ROUNDDOWN(S8,0)&gt;=(WEEKDAY(TODAY())),TODAY()-ROUNDDOWN(S8,0)&lt;(WEEKDAY(TODAY())+7))</formula>
    </cfRule>
  </conditionalFormatting>
  <conditionalFormatting sqref="G8:R8">
    <cfRule type="timePeriod" dxfId="1" priority="2" timePeriod="lastWeek">
      <formula>AND(TODAY()-ROUNDDOWN(G8,0)&gt;=(WEEKDAY(TODAY())),TODAY()-ROUNDDOWN(G8,0)&lt;(WEEKDAY(TODAY())+7))</formula>
    </cfRule>
  </conditionalFormatting>
  <conditionalFormatting sqref="C8:E8">
    <cfRule type="timePeriod" dxfId="0" priority="1" timePeriod="lastWeek">
      <formula>AND(TODAY()-ROUNDDOWN(C8,0)&gt;=(WEEKDAY(TODAY())),TODAY()-ROUNDDOWN(C8,0)&lt;(WEEKDAY(TODAY())+7))</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Firm Background</vt:lpstr>
      <vt:lpstr>Base Financials </vt:lpstr>
      <vt:lpstr>Adjusted EBITDA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Garcia</dc:creator>
  <cp:lastModifiedBy>Felix Garcia</cp:lastModifiedBy>
  <dcterms:created xsi:type="dcterms:W3CDTF">2024-12-28T10:46:35Z</dcterms:created>
  <dcterms:modified xsi:type="dcterms:W3CDTF">2024-12-30T08:13:11Z</dcterms:modified>
</cp:coreProperties>
</file>