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x\Downloads\"/>
    </mc:Choice>
  </mc:AlternateContent>
  <xr:revisionPtr revIDLastSave="0" documentId="8_{3E369D86-F3C4-4D2C-B12E-CF670183A663}" xr6:coauthVersionLast="47" xr6:coauthVersionMax="47" xr10:uidLastSave="{00000000-0000-0000-0000-000000000000}"/>
  <bookViews>
    <workbookView xWindow="-120" yWindow="-120" windowWidth="29040" windowHeight="15720" xr2:uid="{D8DF2202-62BF-453D-A849-EFD132DF8234}"/>
  </bookViews>
  <sheets>
    <sheet name="Base Financials " sheetId="4" r:id="rId1"/>
    <sheet name="Adjusted EBITDA Analysis" sheetId="5" r:id="rId2"/>
  </sheets>
  <externalReferences>
    <externalReference r:id="rId3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5" l="1"/>
  <c r="V10" i="5"/>
  <c r="W9" i="5"/>
  <c r="V9" i="5"/>
  <c r="W16" i="5"/>
  <c r="V16" i="5"/>
  <c r="W15" i="5"/>
  <c r="V15" i="5"/>
  <c r="W14" i="5"/>
  <c r="V14" i="5"/>
  <c r="W22" i="5"/>
  <c r="V22" i="5"/>
  <c r="W21" i="5"/>
  <c r="V21" i="5"/>
  <c r="W20" i="5"/>
  <c r="V20" i="5"/>
  <c r="W26" i="5"/>
  <c r="V26" i="5"/>
  <c r="V31" i="5"/>
  <c r="W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2" i="5"/>
  <c r="B21" i="5"/>
  <c r="B20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6" i="5"/>
  <c r="B15" i="5"/>
  <c r="B14" i="5"/>
  <c r="T10" i="5"/>
  <c r="S10" i="5"/>
  <c r="S11" i="5" s="1"/>
  <c r="S17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D11" i="5" s="1"/>
  <c r="C9" i="5"/>
  <c r="C11" i="5" l="1"/>
  <c r="C17" i="5" s="1"/>
  <c r="C23" i="5" s="1"/>
  <c r="C27" i="5" s="1"/>
  <c r="C32" i="5" s="1"/>
  <c r="C34" i="5" s="1"/>
  <c r="D17" i="5"/>
  <c r="D23" i="5" s="1"/>
  <c r="D27" i="5" s="1"/>
  <c r="D32" i="5" s="1"/>
  <c r="D34" i="5" s="1"/>
  <c r="S23" i="5"/>
  <c r="D29" i="5" l="1"/>
  <c r="C29" i="5"/>
  <c r="S27" i="5"/>
  <c r="S32" i="5" l="1"/>
  <c r="S29" i="5"/>
  <c r="S34" i="5" l="1"/>
  <c r="I29" i="4" l="1"/>
  <c r="J29" i="4"/>
  <c r="K29" i="4"/>
  <c r="C29" i="4"/>
  <c r="D29" i="4"/>
  <c r="M29" i="4"/>
  <c r="N29" i="4"/>
  <c r="O29" i="4"/>
  <c r="E29" i="4"/>
  <c r="Q29" i="4"/>
  <c r="R29" i="4"/>
  <c r="L28" i="4"/>
  <c r="P28" i="4"/>
  <c r="V28" i="4" s="1"/>
  <c r="S29" i="4"/>
  <c r="F29" i="4"/>
  <c r="G29" i="4"/>
  <c r="T28" i="4"/>
  <c r="W28" i="4" s="1"/>
  <c r="L175" i="4"/>
  <c r="V175" i="4" s="1"/>
  <c r="L170" i="4"/>
  <c r="V170" i="4" s="1"/>
  <c r="L169" i="4"/>
  <c r="L168" i="4"/>
  <c r="L163" i="4"/>
  <c r="L162" i="4"/>
  <c r="L161" i="4"/>
  <c r="L159" i="4"/>
  <c r="L160" i="4"/>
  <c r="J97" i="4"/>
  <c r="L97" i="4" s="1"/>
  <c r="J100" i="4"/>
  <c r="J101" i="4"/>
  <c r="L101" i="4" s="1"/>
  <c r="J102" i="4"/>
  <c r="J103" i="4"/>
  <c r="J104" i="4"/>
  <c r="L104" i="4" s="1"/>
  <c r="J105" i="4"/>
  <c r="L105" i="4" s="1"/>
  <c r="J106" i="4"/>
  <c r="L106" i="4" s="1"/>
  <c r="J115" i="4"/>
  <c r="J114" i="4"/>
  <c r="L114" i="4" s="1"/>
  <c r="J113" i="4"/>
  <c r="L113" i="4" s="1"/>
  <c r="J112" i="4"/>
  <c r="L112" i="4" s="1"/>
  <c r="J111" i="4"/>
  <c r="J110" i="4"/>
  <c r="L110" i="4" s="1"/>
  <c r="J109" i="4"/>
  <c r="L109" i="4" s="1"/>
  <c r="J126" i="4"/>
  <c r="L126" i="4" s="1"/>
  <c r="J125" i="4"/>
  <c r="L125" i="4" s="1"/>
  <c r="J124" i="4"/>
  <c r="L124" i="4" s="1"/>
  <c r="J123" i="4"/>
  <c r="L123" i="4" s="1"/>
  <c r="J122" i="4"/>
  <c r="L122" i="4" s="1"/>
  <c r="J121" i="4"/>
  <c r="L121" i="4" s="1"/>
  <c r="J120" i="4"/>
  <c r="L120" i="4" s="1"/>
  <c r="J119" i="4"/>
  <c r="J140" i="4"/>
  <c r="K140" i="4" s="1"/>
  <c r="L140" i="4" s="1"/>
  <c r="J139" i="4"/>
  <c r="K139" i="4" s="1"/>
  <c r="L139" i="4" s="1"/>
  <c r="J138" i="4"/>
  <c r="K138" i="4" s="1"/>
  <c r="L138" i="4" s="1"/>
  <c r="J137" i="4"/>
  <c r="K137" i="4" s="1"/>
  <c r="L137" i="4" s="1"/>
  <c r="J136" i="4"/>
  <c r="K136" i="4" s="1"/>
  <c r="L136" i="4" s="1"/>
  <c r="J135" i="4"/>
  <c r="J134" i="4"/>
  <c r="K134" i="4" s="1"/>
  <c r="L134" i="4" s="1"/>
  <c r="J133" i="4"/>
  <c r="K133" i="4" s="1"/>
  <c r="L133" i="4" s="1"/>
  <c r="J132" i="4"/>
  <c r="K132" i="4" s="1"/>
  <c r="L132" i="4" s="1"/>
  <c r="J131" i="4"/>
  <c r="K131" i="4" s="1"/>
  <c r="L131" i="4" s="1"/>
  <c r="J130" i="4"/>
  <c r="K130" i="4" s="1"/>
  <c r="L130" i="4" s="1"/>
  <c r="K135" i="4"/>
  <c r="L135" i="4" s="1"/>
  <c r="L179" i="4"/>
  <c r="L174" i="4"/>
  <c r="L167" i="4"/>
  <c r="L158" i="4"/>
  <c r="L146" i="4"/>
  <c r="L145" i="4"/>
  <c r="L144" i="4"/>
  <c r="L143" i="4"/>
  <c r="L119" i="4"/>
  <c r="L115" i="4"/>
  <c r="L111" i="4"/>
  <c r="L103" i="4"/>
  <c r="L102" i="4"/>
  <c r="L100" i="4"/>
  <c r="L33" i="4"/>
  <c r="L31" i="4"/>
  <c r="L27" i="4"/>
  <c r="L21" i="4"/>
  <c r="L20" i="4"/>
  <c r="L19" i="4"/>
  <c r="L13" i="4"/>
  <c r="L12" i="4"/>
  <c r="L11" i="4"/>
  <c r="L83" i="4"/>
  <c r="L82" i="4"/>
  <c r="L81" i="4"/>
  <c r="L80" i="4"/>
  <c r="L76" i="4"/>
  <c r="L75" i="4"/>
  <c r="L74" i="4"/>
  <c r="L73" i="4"/>
  <c r="L72" i="4"/>
  <c r="L68" i="4"/>
  <c r="L67" i="4"/>
  <c r="L66" i="4"/>
  <c r="L65" i="4"/>
  <c r="L64" i="4"/>
  <c r="L63" i="4"/>
  <c r="L59" i="4"/>
  <c r="V59" i="4" s="1"/>
  <c r="L58" i="4"/>
  <c r="V58" i="4" s="1"/>
  <c r="L57" i="4"/>
  <c r="V57" i="4" s="1"/>
  <c r="L56" i="4"/>
  <c r="L55" i="4"/>
  <c r="L54" i="4"/>
  <c r="L50" i="4"/>
  <c r="L49" i="4"/>
  <c r="L48" i="4"/>
  <c r="L47" i="4"/>
  <c r="L46" i="4"/>
  <c r="L45" i="4"/>
  <c r="N140" i="4"/>
  <c r="O140" i="4" s="1"/>
  <c r="P140" i="4" s="1"/>
  <c r="V140" i="4" s="1"/>
  <c r="N139" i="4"/>
  <c r="O139" i="4" s="1"/>
  <c r="P139" i="4" s="1"/>
  <c r="V139" i="4" s="1"/>
  <c r="N138" i="4"/>
  <c r="O138" i="4" s="1"/>
  <c r="P138" i="4" s="1"/>
  <c r="V138" i="4" s="1"/>
  <c r="N137" i="4"/>
  <c r="O137" i="4" s="1"/>
  <c r="P137" i="4" s="1"/>
  <c r="V137" i="4" s="1"/>
  <c r="N136" i="4"/>
  <c r="O136" i="4" s="1"/>
  <c r="N135" i="4"/>
  <c r="O135" i="4" s="1"/>
  <c r="N134" i="4"/>
  <c r="O134" i="4" s="1"/>
  <c r="P134" i="4" s="1"/>
  <c r="V134" i="4" s="1"/>
  <c r="N133" i="4"/>
  <c r="O133" i="4" s="1"/>
  <c r="P133" i="4" s="1"/>
  <c r="V133" i="4" s="1"/>
  <c r="N132" i="4"/>
  <c r="O132" i="4" s="1"/>
  <c r="P132" i="4" s="1"/>
  <c r="V132" i="4" s="1"/>
  <c r="N131" i="4"/>
  <c r="O131" i="4" s="1"/>
  <c r="P131" i="4" s="1"/>
  <c r="N130" i="4"/>
  <c r="O130" i="4" s="1"/>
  <c r="P130" i="4" s="1"/>
  <c r="V130" i="4" s="1"/>
  <c r="N126" i="4"/>
  <c r="O126" i="4" s="1"/>
  <c r="P126" i="4" s="1"/>
  <c r="V126" i="4" s="1"/>
  <c r="N125" i="4"/>
  <c r="O125" i="4" s="1"/>
  <c r="P125" i="4" s="1"/>
  <c r="V125" i="4" s="1"/>
  <c r="N124" i="4"/>
  <c r="O124" i="4" s="1"/>
  <c r="P124" i="4" s="1"/>
  <c r="V124" i="4" s="1"/>
  <c r="N123" i="4"/>
  <c r="O123" i="4" s="1"/>
  <c r="P123" i="4" s="1"/>
  <c r="V123" i="4" s="1"/>
  <c r="N122" i="4"/>
  <c r="O122" i="4" s="1"/>
  <c r="P122" i="4" s="1"/>
  <c r="V122" i="4" s="1"/>
  <c r="N121" i="4"/>
  <c r="O121" i="4" s="1"/>
  <c r="P121" i="4" s="1"/>
  <c r="V121" i="4" s="1"/>
  <c r="N120" i="4"/>
  <c r="O120" i="4" s="1"/>
  <c r="P120" i="4" s="1"/>
  <c r="V120" i="4" s="1"/>
  <c r="N119" i="4"/>
  <c r="O119" i="4" s="1"/>
  <c r="P119" i="4" s="1"/>
  <c r="V119" i="4" s="1"/>
  <c r="N115" i="4"/>
  <c r="O115" i="4" s="1"/>
  <c r="P115" i="4" s="1"/>
  <c r="V115" i="4" s="1"/>
  <c r="N114" i="4"/>
  <c r="O114" i="4" s="1"/>
  <c r="P114" i="4" s="1"/>
  <c r="V114" i="4" s="1"/>
  <c r="N113" i="4"/>
  <c r="O113" i="4" s="1"/>
  <c r="N112" i="4"/>
  <c r="O112" i="4" s="1"/>
  <c r="P112" i="4" s="1"/>
  <c r="V112" i="4" s="1"/>
  <c r="N111" i="4"/>
  <c r="O111" i="4" s="1"/>
  <c r="P111" i="4" s="1"/>
  <c r="N110" i="4"/>
  <c r="O110" i="4" s="1"/>
  <c r="N109" i="4"/>
  <c r="N106" i="4"/>
  <c r="O106" i="4" s="1"/>
  <c r="P106" i="4" s="1"/>
  <c r="V106" i="4" s="1"/>
  <c r="N105" i="4"/>
  <c r="O105" i="4" s="1"/>
  <c r="P105" i="4" s="1"/>
  <c r="V105" i="4" s="1"/>
  <c r="N104" i="4"/>
  <c r="O104" i="4" s="1"/>
  <c r="P104" i="4" s="1"/>
  <c r="V104" i="4" s="1"/>
  <c r="N103" i="4"/>
  <c r="O103" i="4" s="1"/>
  <c r="P103" i="4" s="1"/>
  <c r="V103" i="4" s="1"/>
  <c r="N102" i="4"/>
  <c r="O102" i="4" s="1"/>
  <c r="N101" i="4"/>
  <c r="P101" i="4" s="1"/>
  <c r="V101" i="4" s="1"/>
  <c r="N100" i="4"/>
  <c r="O100" i="4" s="1"/>
  <c r="P100" i="4" s="1"/>
  <c r="V100" i="4" s="1"/>
  <c r="N97" i="4"/>
  <c r="O109" i="4"/>
  <c r="P109" i="4" s="1"/>
  <c r="V109" i="4" s="1"/>
  <c r="O97" i="4"/>
  <c r="P97" i="4" s="1"/>
  <c r="V97" i="4" s="1"/>
  <c r="P179" i="4"/>
  <c r="V179" i="4" s="1"/>
  <c r="P175" i="4"/>
  <c r="W175" i="4" s="1"/>
  <c r="P170" i="4"/>
  <c r="W170" i="4" s="1"/>
  <c r="P169" i="4"/>
  <c r="P168" i="4"/>
  <c r="W168" i="4" s="1"/>
  <c r="P174" i="4"/>
  <c r="W174" i="4" s="1"/>
  <c r="P167" i="4"/>
  <c r="V167" i="4" s="1"/>
  <c r="P163" i="4"/>
  <c r="V163" i="4" s="1"/>
  <c r="P162" i="4"/>
  <c r="P161" i="4"/>
  <c r="V161" i="4" s="1"/>
  <c r="P160" i="4"/>
  <c r="V160" i="4" s="1"/>
  <c r="P159" i="4"/>
  <c r="V159" i="4" s="1"/>
  <c r="P158" i="4"/>
  <c r="V158" i="4" s="1"/>
  <c r="P146" i="4"/>
  <c r="P145" i="4"/>
  <c r="P144" i="4"/>
  <c r="P143" i="4"/>
  <c r="V143" i="4" s="1"/>
  <c r="P83" i="4"/>
  <c r="V83" i="4" s="1"/>
  <c r="P82" i="4"/>
  <c r="V82" i="4" s="1"/>
  <c r="P81" i="4"/>
  <c r="V81" i="4" s="1"/>
  <c r="P80" i="4"/>
  <c r="V80" i="4" s="1"/>
  <c r="P76" i="4"/>
  <c r="V76" i="4" s="1"/>
  <c r="P75" i="4"/>
  <c r="V75" i="4" s="1"/>
  <c r="P74" i="4"/>
  <c r="V74" i="4" s="1"/>
  <c r="P73" i="4"/>
  <c r="V73" i="4" s="1"/>
  <c r="P72" i="4"/>
  <c r="V72" i="4" s="1"/>
  <c r="P68" i="4"/>
  <c r="V68" i="4" s="1"/>
  <c r="P67" i="4"/>
  <c r="P66" i="4"/>
  <c r="P65" i="4"/>
  <c r="P64" i="4"/>
  <c r="P63" i="4"/>
  <c r="V63" i="4" s="1"/>
  <c r="P59" i="4"/>
  <c r="W59" i="4" s="1"/>
  <c r="P58" i="4"/>
  <c r="W58" i="4" s="1"/>
  <c r="P57" i="4"/>
  <c r="P56" i="4"/>
  <c r="P55" i="4"/>
  <c r="W55" i="4" s="1"/>
  <c r="P54" i="4"/>
  <c r="P50" i="4"/>
  <c r="V50" i="4" s="1"/>
  <c r="P49" i="4"/>
  <c r="P48" i="4"/>
  <c r="V48" i="4" s="1"/>
  <c r="P47" i="4"/>
  <c r="V47" i="4" s="1"/>
  <c r="P46" i="4"/>
  <c r="V46" i="4" s="1"/>
  <c r="P45" i="4"/>
  <c r="V45" i="4" s="1"/>
  <c r="P39" i="4"/>
  <c r="P33" i="4"/>
  <c r="V33" i="4" s="1"/>
  <c r="P31" i="4"/>
  <c r="V31" i="4" s="1"/>
  <c r="P29" i="4"/>
  <c r="V29" i="4" s="1"/>
  <c r="P27" i="4"/>
  <c r="V27" i="4" s="1"/>
  <c r="P21" i="4"/>
  <c r="V21" i="4" s="1"/>
  <c r="P20" i="4"/>
  <c r="V20" i="4" s="1"/>
  <c r="P19" i="4"/>
  <c r="V19" i="4" s="1"/>
  <c r="P13" i="4"/>
  <c r="V13" i="4" s="1"/>
  <c r="P12" i="4"/>
  <c r="V12" i="4" s="1"/>
  <c r="P11" i="4"/>
  <c r="V11" i="4" s="1"/>
  <c r="Q10" i="4"/>
  <c r="O10" i="4"/>
  <c r="N10" i="4"/>
  <c r="M10" i="4"/>
  <c r="K10" i="4"/>
  <c r="J10" i="4"/>
  <c r="I10" i="4"/>
  <c r="R140" i="4"/>
  <c r="R139" i="4"/>
  <c r="S139" i="4" s="1"/>
  <c r="T139" i="4" s="1"/>
  <c r="W139" i="4" s="1"/>
  <c r="R138" i="4"/>
  <c r="S138" i="4" s="1"/>
  <c r="T138" i="4" s="1"/>
  <c r="W138" i="4" s="1"/>
  <c r="R137" i="4"/>
  <c r="S137" i="4" s="1"/>
  <c r="T137" i="4" s="1"/>
  <c r="W137" i="4" s="1"/>
  <c r="R136" i="4"/>
  <c r="S136" i="4" s="1"/>
  <c r="R135" i="4"/>
  <c r="S135" i="4" s="1"/>
  <c r="T135" i="4" s="1"/>
  <c r="W135" i="4" s="1"/>
  <c r="R134" i="4"/>
  <c r="S134" i="4" s="1"/>
  <c r="T134" i="4" s="1"/>
  <c r="W134" i="4" s="1"/>
  <c r="R133" i="4"/>
  <c r="S133" i="4" s="1"/>
  <c r="T133" i="4" s="1"/>
  <c r="R132" i="4"/>
  <c r="S132" i="4" s="1"/>
  <c r="T132" i="4" s="1"/>
  <c r="W132" i="4" s="1"/>
  <c r="R131" i="4"/>
  <c r="S131" i="4" s="1"/>
  <c r="T131" i="4" s="1"/>
  <c r="W131" i="4" s="1"/>
  <c r="R130" i="4"/>
  <c r="S130" i="4" s="1"/>
  <c r="T130" i="4" s="1"/>
  <c r="W130" i="4" s="1"/>
  <c r="S126" i="4"/>
  <c r="S124" i="4"/>
  <c r="S121" i="4"/>
  <c r="T121" i="4" s="1"/>
  <c r="W121" i="4" s="1"/>
  <c r="R115" i="4"/>
  <c r="S115" i="4" s="1"/>
  <c r="R114" i="4"/>
  <c r="S114" i="4" s="1"/>
  <c r="T114" i="4" s="1"/>
  <c r="W114" i="4" s="1"/>
  <c r="R113" i="4"/>
  <c r="S113" i="4" s="1"/>
  <c r="T113" i="4" s="1"/>
  <c r="W113" i="4" s="1"/>
  <c r="R112" i="4"/>
  <c r="S112" i="4" s="1"/>
  <c r="R111" i="4"/>
  <c r="S111" i="4" s="1"/>
  <c r="T111" i="4" s="1"/>
  <c r="W111" i="4" s="1"/>
  <c r="R110" i="4"/>
  <c r="S110" i="4" s="1"/>
  <c r="T110" i="4" s="1"/>
  <c r="W110" i="4" s="1"/>
  <c r="R109" i="4"/>
  <c r="S109" i="4" s="1"/>
  <c r="T109" i="4" s="1"/>
  <c r="R106" i="4"/>
  <c r="R105" i="4"/>
  <c r="S105" i="4" s="1"/>
  <c r="T105" i="4" s="1"/>
  <c r="W105" i="4" s="1"/>
  <c r="R104" i="4"/>
  <c r="S104" i="4" s="1"/>
  <c r="T104" i="4" s="1"/>
  <c r="W104" i="4" s="1"/>
  <c r="R103" i="4"/>
  <c r="S103" i="4" s="1"/>
  <c r="T103" i="4" s="1"/>
  <c r="W103" i="4" s="1"/>
  <c r="R102" i="4"/>
  <c r="S102" i="4" s="1"/>
  <c r="T102" i="4" s="1"/>
  <c r="W102" i="4" s="1"/>
  <c r="R101" i="4"/>
  <c r="S101" i="4" s="1"/>
  <c r="R100" i="4"/>
  <c r="S100" i="4" s="1"/>
  <c r="T100" i="4" s="1"/>
  <c r="W100" i="4" s="1"/>
  <c r="R97" i="4"/>
  <c r="S97" i="4" s="1"/>
  <c r="T97" i="4" s="1"/>
  <c r="S106" i="4"/>
  <c r="T106" i="4" s="1"/>
  <c r="T39" i="4"/>
  <c r="R10" i="4"/>
  <c r="T33" i="4"/>
  <c r="W33" i="4" s="1"/>
  <c r="Y33" i="4" s="1"/>
  <c r="T31" i="4"/>
  <c r="W31" i="4" s="1"/>
  <c r="T29" i="4"/>
  <c r="W29" i="4" s="1"/>
  <c r="T27" i="4"/>
  <c r="W27" i="4" s="1"/>
  <c r="T21" i="4"/>
  <c r="W21" i="4" s="1"/>
  <c r="T20" i="4"/>
  <c r="W20" i="4" s="1"/>
  <c r="T19" i="4"/>
  <c r="W19" i="4" s="1"/>
  <c r="T13" i="4"/>
  <c r="W13" i="4" s="1"/>
  <c r="T12" i="4"/>
  <c r="W12" i="4" s="1"/>
  <c r="T11" i="4"/>
  <c r="W11" i="4" s="1"/>
  <c r="T179" i="4"/>
  <c r="W179" i="4" s="1"/>
  <c r="T174" i="4"/>
  <c r="T175" i="4"/>
  <c r="T170" i="4"/>
  <c r="T169" i="4"/>
  <c r="T168" i="4"/>
  <c r="T167" i="4"/>
  <c r="W167" i="4" s="1"/>
  <c r="T163" i="4"/>
  <c r="W163" i="4" s="1"/>
  <c r="T162" i="4"/>
  <c r="W162" i="4" s="1"/>
  <c r="T161" i="4"/>
  <c r="W161" i="4" s="1"/>
  <c r="T160" i="4"/>
  <c r="W160" i="4" s="1"/>
  <c r="T159" i="4"/>
  <c r="W159" i="4" s="1"/>
  <c r="T158" i="4"/>
  <c r="W158" i="4" s="1"/>
  <c r="T146" i="4"/>
  <c r="T145" i="4"/>
  <c r="T144" i="4"/>
  <c r="T143" i="4"/>
  <c r="W143" i="4" s="1"/>
  <c r="S125" i="4"/>
  <c r="T125" i="4" s="1"/>
  <c r="W125" i="4" s="1"/>
  <c r="S123" i="4"/>
  <c r="T123" i="4" s="1"/>
  <c r="W123" i="4" s="1"/>
  <c r="S122" i="4"/>
  <c r="T122" i="4" s="1"/>
  <c r="W122" i="4" s="1"/>
  <c r="S120" i="4"/>
  <c r="T120" i="4" s="1"/>
  <c r="W120" i="4" s="1"/>
  <c r="V67" i="4"/>
  <c r="V66" i="4"/>
  <c r="V65" i="4"/>
  <c r="V64" i="4"/>
  <c r="V54" i="4"/>
  <c r="V49" i="4"/>
  <c r="T83" i="4"/>
  <c r="W83" i="4" s="1"/>
  <c r="T82" i="4"/>
  <c r="W82" i="4" s="1"/>
  <c r="T81" i="4"/>
  <c r="T80" i="4"/>
  <c r="W80" i="4" s="1"/>
  <c r="T76" i="4"/>
  <c r="W76" i="4" s="1"/>
  <c r="T75" i="4"/>
  <c r="W75" i="4" s="1"/>
  <c r="T74" i="4"/>
  <c r="W74" i="4" s="1"/>
  <c r="T73" i="4"/>
  <c r="W73" i="4" s="1"/>
  <c r="T72" i="4"/>
  <c r="W72" i="4" s="1"/>
  <c r="T50" i="4"/>
  <c r="W50" i="4" s="1"/>
  <c r="T49" i="4"/>
  <c r="W49" i="4" s="1"/>
  <c r="T48" i="4"/>
  <c r="W48" i="4" s="1"/>
  <c r="T47" i="4"/>
  <c r="W47" i="4" s="1"/>
  <c r="T46" i="4"/>
  <c r="W46" i="4" s="1"/>
  <c r="T45" i="4"/>
  <c r="W45" i="4" s="1"/>
  <c r="T59" i="4"/>
  <c r="T58" i="4"/>
  <c r="T57" i="4"/>
  <c r="T56" i="4"/>
  <c r="T55" i="4"/>
  <c r="T54" i="4"/>
  <c r="W54" i="4" s="1"/>
  <c r="T67" i="4"/>
  <c r="W67" i="4" s="1"/>
  <c r="T68" i="4"/>
  <c r="W68" i="4" s="1"/>
  <c r="T66" i="4"/>
  <c r="W66" i="4" s="1"/>
  <c r="T65" i="4"/>
  <c r="W65" i="4" s="1"/>
  <c r="T64" i="4"/>
  <c r="W64" i="4" s="1"/>
  <c r="T63" i="4"/>
  <c r="W63" i="4" s="1"/>
  <c r="X34" i="4"/>
  <c r="S10" i="4"/>
  <c r="W169" i="4"/>
  <c r="V169" i="4"/>
  <c r="V168" i="4"/>
  <c r="S176" i="4"/>
  <c r="R176" i="4"/>
  <c r="Q176" i="4"/>
  <c r="O176" i="4"/>
  <c r="N176" i="4"/>
  <c r="M176" i="4"/>
  <c r="K176" i="4"/>
  <c r="J176" i="4"/>
  <c r="S171" i="4"/>
  <c r="R171" i="4"/>
  <c r="Q171" i="4"/>
  <c r="O171" i="4"/>
  <c r="N171" i="4"/>
  <c r="M171" i="4"/>
  <c r="K171" i="4"/>
  <c r="J171" i="4"/>
  <c r="S164" i="4"/>
  <c r="R164" i="4"/>
  <c r="Q164" i="4"/>
  <c r="O164" i="4"/>
  <c r="N164" i="4"/>
  <c r="M164" i="4"/>
  <c r="K164" i="4"/>
  <c r="J164" i="4"/>
  <c r="S155" i="4"/>
  <c r="R155" i="4"/>
  <c r="Q155" i="4"/>
  <c r="O155" i="4"/>
  <c r="N155" i="4"/>
  <c r="M155" i="4"/>
  <c r="K155" i="4"/>
  <c r="J155" i="4"/>
  <c r="I176" i="4"/>
  <c r="I171" i="4"/>
  <c r="I164" i="4"/>
  <c r="I155" i="4"/>
  <c r="G155" i="4"/>
  <c r="F155" i="4"/>
  <c r="E155" i="4"/>
  <c r="D155" i="4"/>
  <c r="C155" i="4"/>
  <c r="G171" i="4"/>
  <c r="F171" i="4"/>
  <c r="E171" i="4"/>
  <c r="D171" i="4"/>
  <c r="C171" i="4"/>
  <c r="G176" i="4"/>
  <c r="F176" i="4"/>
  <c r="E176" i="4"/>
  <c r="D176" i="4"/>
  <c r="C176" i="4"/>
  <c r="G164" i="4"/>
  <c r="F164" i="4"/>
  <c r="E164" i="4"/>
  <c r="D164" i="4"/>
  <c r="C164" i="4"/>
  <c r="C141" i="4"/>
  <c r="C127" i="4"/>
  <c r="C116" i="4"/>
  <c r="C149" i="4" s="1"/>
  <c r="C84" i="4"/>
  <c r="C69" i="4"/>
  <c r="C77" i="4" s="1"/>
  <c r="C51" i="4"/>
  <c r="C60" i="4" s="1"/>
  <c r="C10" i="4"/>
  <c r="D141" i="4"/>
  <c r="D127" i="4"/>
  <c r="D116" i="4"/>
  <c r="D149" i="4" s="1"/>
  <c r="D84" i="4"/>
  <c r="D69" i="4"/>
  <c r="D91" i="4" s="1"/>
  <c r="D51" i="4"/>
  <c r="D10" i="4"/>
  <c r="D14" i="4" s="1"/>
  <c r="D22" i="4" s="1"/>
  <c r="E10" i="4"/>
  <c r="E51" i="4"/>
  <c r="E60" i="4" s="1"/>
  <c r="E69" i="4"/>
  <c r="E77" i="4" s="1"/>
  <c r="E84" i="4"/>
  <c r="E116" i="4"/>
  <c r="E149" i="4" s="1"/>
  <c r="E127" i="4"/>
  <c r="E141" i="4"/>
  <c r="W8" i="5"/>
  <c r="V8" i="5"/>
  <c r="W7" i="5"/>
  <c r="V7" i="5"/>
  <c r="W57" i="4"/>
  <c r="V55" i="4"/>
  <c r="S84" i="4"/>
  <c r="S69" i="4"/>
  <c r="S91" i="4" s="1"/>
  <c r="S51" i="4"/>
  <c r="S60" i="4" s="1"/>
  <c r="S88" i="4" s="1"/>
  <c r="W88" i="4" s="1"/>
  <c r="W39" i="4"/>
  <c r="V39" i="4"/>
  <c r="V7" i="4"/>
  <c r="V8" i="4"/>
  <c r="W8" i="4"/>
  <c r="W7" i="4"/>
  <c r="L39" i="4"/>
  <c r="G10" i="4"/>
  <c r="F10" i="4"/>
  <c r="B31" i="5"/>
  <c r="B26" i="5"/>
  <c r="G141" i="4"/>
  <c r="F141" i="4"/>
  <c r="I141" i="4"/>
  <c r="I127" i="4"/>
  <c r="G127" i="4"/>
  <c r="F127" i="4"/>
  <c r="G116" i="4"/>
  <c r="G149" i="4" s="1"/>
  <c r="F116" i="4"/>
  <c r="F149" i="4" s="1"/>
  <c r="R84" i="4"/>
  <c r="Q84" i="4"/>
  <c r="O84" i="4"/>
  <c r="N84" i="4"/>
  <c r="M84" i="4"/>
  <c r="K84" i="4"/>
  <c r="J84" i="4"/>
  <c r="I84" i="4"/>
  <c r="G84" i="4"/>
  <c r="F84" i="4"/>
  <c r="R69" i="4"/>
  <c r="R77" i="4" s="1"/>
  <c r="Q69" i="4"/>
  <c r="Q77" i="4" s="1"/>
  <c r="O69" i="4"/>
  <c r="O77" i="4" s="1"/>
  <c r="N69" i="4"/>
  <c r="N77" i="4" s="1"/>
  <c r="M69" i="4"/>
  <c r="M77" i="4" s="1"/>
  <c r="K69" i="4"/>
  <c r="K77" i="4" s="1"/>
  <c r="J69" i="4"/>
  <c r="J77" i="4" s="1"/>
  <c r="I69" i="4"/>
  <c r="I77" i="4" s="1"/>
  <c r="G69" i="4"/>
  <c r="G77" i="4" s="1"/>
  <c r="F69" i="4"/>
  <c r="F77" i="4" s="1"/>
  <c r="R51" i="4"/>
  <c r="Q51" i="4"/>
  <c r="O51" i="4"/>
  <c r="O60" i="4" s="1"/>
  <c r="O88" i="4" s="1"/>
  <c r="V88" i="4" s="1"/>
  <c r="N51" i="4"/>
  <c r="N60" i="4" s="1"/>
  <c r="N88" i="4" s="1"/>
  <c r="M51" i="4"/>
  <c r="M60" i="4" s="1"/>
  <c r="M88" i="4" s="1"/>
  <c r="K51" i="4"/>
  <c r="K60" i="4" s="1"/>
  <c r="K88" i="4" s="1"/>
  <c r="J51" i="4"/>
  <c r="I51" i="4"/>
  <c r="G51" i="4"/>
  <c r="G60" i="4" s="1"/>
  <c r="F51" i="4"/>
  <c r="L29" i="4" l="1"/>
  <c r="Y28" i="4"/>
  <c r="L84" i="4"/>
  <c r="L164" i="4"/>
  <c r="L171" i="4"/>
  <c r="L176" i="4"/>
  <c r="V174" i="4"/>
  <c r="Y174" i="4" s="1"/>
  <c r="Y169" i="4"/>
  <c r="E178" i="4"/>
  <c r="L10" i="4"/>
  <c r="L155" i="4"/>
  <c r="P135" i="4"/>
  <c r="V135" i="4" s="1"/>
  <c r="Y135" i="4" s="1"/>
  <c r="P102" i="4"/>
  <c r="V102" i="4" s="1"/>
  <c r="P136" i="4"/>
  <c r="V136" i="4" s="1"/>
  <c r="P113" i="4"/>
  <c r="V113" i="4" s="1"/>
  <c r="P110" i="4"/>
  <c r="V110" i="4" s="1"/>
  <c r="V111" i="4"/>
  <c r="V131" i="4"/>
  <c r="Y131" i="4" s="1"/>
  <c r="F178" i="4"/>
  <c r="P171" i="4"/>
  <c r="P164" i="4"/>
  <c r="V164" i="4" s="1"/>
  <c r="V162" i="4"/>
  <c r="Y162" i="4" s="1"/>
  <c r="Y179" i="4"/>
  <c r="P176" i="4"/>
  <c r="P155" i="4"/>
  <c r="V155" i="4" s="1"/>
  <c r="V171" i="4"/>
  <c r="Y160" i="4"/>
  <c r="Y159" i="4"/>
  <c r="Y122" i="4"/>
  <c r="Y120" i="4"/>
  <c r="D178" i="4"/>
  <c r="P10" i="4"/>
  <c r="V10" i="4" s="1"/>
  <c r="Y163" i="4"/>
  <c r="Y170" i="4"/>
  <c r="T51" i="4"/>
  <c r="T60" i="4" s="1"/>
  <c r="T88" i="4" s="1"/>
  <c r="T84" i="4"/>
  <c r="Y121" i="4"/>
  <c r="G178" i="4"/>
  <c r="T10" i="4"/>
  <c r="W10" i="4" s="1"/>
  <c r="W81" i="4"/>
  <c r="Y81" i="4" s="1"/>
  <c r="Y123" i="4"/>
  <c r="Y175" i="4"/>
  <c r="C178" i="4"/>
  <c r="T69" i="4"/>
  <c r="T77" i="4" s="1"/>
  <c r="N11" i="5"/>
  <c r="N17" i="5" s="1"/>
  <c r="T136" i="4"/>
  <c r="W136" i="4" s="1"/>
  <c r="T115" i="4"/>
  <c r="W115" i="4" s="1"/>
  <c r="S140" i="4"/>
  <c r="S141" i="4" s="1"/>
  <c r="T124" i="4"/>
  <c r="W124" i="4" s="1"/>
  <c r="Y124" i="4" s="1"/>
  <c r="T126" i="4"/>
  <c r="W126" i="4" s="1"/>
  <c r="S119" i="4"/>
  <c r="T119" i="4" s="1"/>
  <c r="W109" i="4"/>
  <c r="T101" i="4"/>
  <c r="W101" i="4" s="1"/>
  <c r="W106" i="4"/>
  <c r="W171" i="4"/>
  <c r="T171" i="4"/>
  <c r="Y161" i="4"/>
  <c r="T176" i="4"/>
  <c r="T164" i="4"/>
  <c r="T155" i="4"/>
  <c r="W155" i="4" s="1"/>
  <c r="W133" i="4"/>
  <c r="Y133" i="4" s="1"/>
  <c r="T112" i="4"/>
  <c r="W112" i="4" s="1"/>
  <c r="W97" i="4"/>
  <c r="Y168" i="4"/>
  <c r="Y158" i="4"/>
  <c r="W176" i="4"/>
  <c r="O178" i="4"/>
  <c r="M178" i="4"/>
  <c r="J178" i="4"/>
  <c r="R178" i="4"/>
  <c r="N178" i="4"/>
  <c r="K178" i="4"/>
  <c r="S178" i="4"/>
  <c r="Q178" i="4"/>
  <c r="I178" i="4"/>
  <c r="E88" i="4"/>
  <c r="C88" i="4"/>
  <c r="F60" i="4"/>
  <c r="F88" i="4" s="1"/>
  <c r="G88" i="4"/>
  <c r="D60" i="4"/>
  <c r="D88" i="4" s="1"/>
  <c r="D77" i="4"/>
  <c r="D85" i="4" s="1"/>
  <c r="E14" i="4"/>
  <c r="E15" i="4" s="1"/>
  <c r="C89" i="4"/>
  <c r="E91" i="4"/>
  <c r="E90" i="4"/>
  <c r="C14" i="4"/>
  <c r="C22" i="4" s="1"/>
  <c r="D23" i="4" s="1"/>
  <c r="C85" i="4"/>
  <c r="C90" i="4"/>
  <c r="C91" i="4"/>
  <c r="D24" i="4"/>
  <c r="D30" i="4"/>
  <c r="D89" i="4"/>
  <c r="D90" i="4"/>
  <c r="D16" i="4"/>
  <c r="Y138" i="4"/>
  <c r="F14" i="4"/>
  <c r="E89" i="4"/>
  <c r="Q14" i="4"/>
  <c r="Q22" i="4" s="1"/>
  <c r="Q30" i="4" s="1"/>
  <c r="Q32" i="4" s="1"/>
  <c r="Q34" i="4" s="1"/>
  <c r="E85" i="4"/>
  <c r="E11" i="5"/>
  <c r="E17" i="5" s="1"/>
  <c r="E23" i="5" s="1"/>
  <c r="E27" i="5" s="1"/>
  <c r="E29" i="5" s="1"/>
  <c r="T11" i="5"/>
  <c r="T17" i="5" s="1"/>
  <c r="T23" i="5" s="1"/>
  <c r="F11" i="5"/>
  <c r="F17" i="5" s="1"/>
  <c r="F23" i="5" s="1"/>
  <c r="F27" i="5" s="1"/>
  <c r="F32" i="5" s="1"/>
  <c r="J14" i="4"/>
  <c r="J22" i="4" s="1"/>
  <c r="J30" i="4" s="1"/>
  <c r="J32" i="4" s="1"/>
  <c r="J34" i="4" s="1"/>
  <c r="G14" i="4"/>
  <c r="S14" i="4"/>
  <c r="S16" i="4" s="1"/>
  <c r="Q11" i="5"/>
  <c r="Q17" i="5" s="1"/>
  <c r="I14" i="4"/>
  <c r="I22" i="4" s="1"/>
  <c r="I30" i="4" s="1"/>
  <c r="I32" i="4" s="1"/>
  <c r="I34" i="4" s="1"/>
  <c r="J11" i="5"/>
  <c r="J17" i="5" s="1"/>
  <c r="J23" i="5" s="1"/>
  <c r="F89" i="4"/>
  <c r="Y132" i="4"/>
  <c r="Y134" i="4"/>
  <c r="Y139" i="4"/>
  <c r="P127" i="4"/>
  <c r="O89" i="4"/>
  <c r="G89" i="4"/>
  <c r="N89" i="4"/>
  <c r="V89" i="4" s="1"/>
  <c r="I89" i="4"/>
  <c r="Q89" i="4"/>
  <c r="J89" i="4"/>
  <c r="R89" i="4"/>
  <c r="W89" i="4" s="1"/>
  <c r="K89" i="4"/>
  <c r="S89" i="4"/>
  <c r="M89" i="4"/>
  <c r="S77" i="4"/>
  <c r="S85" i="4" s="1"/>
  <c r="S90" i="4"/>
  <c r="Y11" i="4"/>
  <c r="M14" i="4"/>
  <c r="M22" i="4" s="1"/>
  <c r="R14" i="4"/>
  <c r="R16" i="4" s="1"/>
  <c r="Y12" i="4"/>
  <c r="O14" i="4"/>
  <c r="O16" i="4" s="1"/>
  <c r="N14" i="4"/>
  <c r="K14" i="4"/>
  <c r="K22" i="4" s="1"/>
  <c r="K30" i="4" s="1"/>
  <c r="K32" i="4" s="1"/>
  <c r="K34" i="4" s="1"/>
  <c r="M11" i="5"/>
  <c r="M17" i="5" s="1"/>
  <c r="I11" i="5"/>
  <c r="I17" i="5" s="1"/>
  <c r="I23" i="5" s="1"/>
  <c r="G11" i="5"/>
  <c r="G17" i="5" s="1"/>
  <c r="J127" i="4"/>
  <c r="O11" i="5"/>
  <c r="O17" i="5" s="1"/>
  <c r="O23" i="5" s="1"/>
  <c r="R11" i="5"/>
  <c r="R17" i="5" s="1"/>
  <c r="R23" i="5" s="1"/>
  <c r="K11" i="5"/>
  <c r="K17" i="5" s="1"/>
  <c r="I90" i="4"/>
  <c r="L69" i="4"/>
  <c r="L77" i="4" s="1"/>
  <c r="P84" i="4"/>
  <c r="V69" i="4"/>
  <c r="V77" i="4" s="1"/>
  <c r="Y64" i="4"/>
  <c r="Y80" i="4"/>
  <c r="P69" i="4"/>
  <c r="P91" i="4" s="1"/>
  <c r="Q90" i="4"/>
  <c r="L51" i="4"/>
  <c r="Y72" i="4"/>
  <c r="P51" i="4"/>
  <c r="P60" i="4" s="1"/>
  <c r="P88" i="4" s="1"/>
  <c r="Y49" i="4"/>
  <c r="Y58" i="4"/>
  <c r="Y46" i="4"/>
  <c r="Y76" i="4"/>
  <c r="Y57" i="4"/>
  <c r="J90" i="4"/>
  <c r="R90" i="4"/>
  <c r="W90" i="4" s="1"/>
  <c r="Y59" i="4"/>
  <c r="Y82" i="4"/>
  <c r="G150" i="4"/>
  <c r="Y45" i="4"/>
  <c r="Y74" i="4"/>
  <c r="Y54" i="4"/>
  <c r="Y75" i="4"/>
  <c r="Y63" i="4"/>
  <c r="K85" i="4"/>
  <c r="Y27" i="4"/>
  <c r="Y73" i="4"/>
  <c r="J91" i="4"/>
  <c r="M85" i="4"/>
  <c r="K91" i="4"/>
  <c r="Y68" i="4"/>
  <c r="Y55" i="4"/>
  <c r="Y19" i="4"/>
  <c r="Y21" i="4"/>
  <c r="Y29" i="4"/>
  <c r="Y31" i="4"/>
  <c r="J85" i="4"/>
  <c r="R85" i="4"/>
  <c r="Y83" i="4"/>
  <c r="I91" i="4"/>
  <c r="Q91" i="4"/>
  <c r="Y50" i="4"/>
  <c r="I60" i="4"/>
  <c r="I88" i="4" s="1"/>
  <c r="R91" i="4"/>
  <c r="W91" i="4" s="1"/>
  <c r="M127" i="4"/>
  <c r="V51" i="4"/>
  <c r="V60" i="4" s="1"/>
  <c r="K90" i="4"/>
  <c r="I85" i="4"/>
  <c r="Q85" i="4"/>
  <c r="J60" i="4"/>
  <c r="J88" i="4" s="1"/>
  <c r="Q127" i="4"/>
  <c r="R127" i="4"/>
  <c r="Q141" i="4"/>
  <c r="R141" i="4"/>
  <c r="Q60" i="4"/>
  <c r="Q88" i="4" s="1"/>
  <c r="Q116" i="4"/>
  <c r="Q149" i="4" s="1"/>
  <c r="Y20" i="4"/>
  <c r="R60" i="4"/>
  <c r="R88" i="4" s="1"/>
  <c r="M91" i="4"/>
  <c r="I116" i="4"/>
  <c r="I149" i="4" s="1"/>
  <c r="F150" i="4"/>
  <c r="M141" i="4"/>
  <c r="F91" i="4"/>
  <c r="N91" i="4"/>
  <c r="V91" i="4" s="1"/>
  <c r="F85" i="4"/>
  <c r="N85" i="4"/>
  <c r="N141" i="4"/>
  <c r="G91" i="4"/>
  <c r="O91" i="4"/>
  <c r="G85" i="4"/>
  <c r="O85" i="4"/>
  <c r="M90" i="4"/>
  <c r="F90" i="4"/>
  <c r="N90" i="4"/>
  <c r="V90" i="4" s="1"/>
  <c r="G90" i="4"/>
  <c r="O90" i="4"/>
  <c r="Q23" i="5" l="1"/>
  <c r="S24" i="5" s="1"/>
  <c r="S18" i="5"/>
  <c r="K23" i="5"/>
  <c r="K27" i="5" s="1"/>
  <c r="T89" i="4"/>
  <c r="V176" i="4"/>
  <c r="L178" i="4"/>
  <c r="T85" i="4"/>
  <c r="Y136" i="4"/>
  <c r="W84" i="4"/>
  <c r="P178" i="4"/>
  <c r="Y171" i="4"/>
  <c r="V178" i="4"/>
  <c r="D15" i="4"/>
  <c r="T14" i="4"/>
  <c r="T16" i="4" s="1"/>
  <c r="T91" i="4"/>
  <c r="T90" i="4"/>
  <c r="M24" i="4"/>
  <c r="M30" i="4"/>
  <c r="M32" i="4" s="1"/>
  <c r="M34" i="4" s="1"/>
  <c r="S127" i="4"/>
  <c r="T140" i="4"/>
  <c r="W119" i="4"/>
  <c r="T127" i="4"/>
  <c r="T116" i="4"/>
  <c r="T149" i="4" s="1"/>
  <c r="T178" i="4"/>
  <c r="W164" i="4"/>
  <c r="Y164" i="4" s="1"/>
  <c r="Y176" i="4"/>
  <c r="Y155" i="4"/>
  <c r="G16" i="4"/>
  <c r="G22" i="4"/>
  <c r="G30" i="4" s="1"/>
  <c r="Q38" i="4"/>
  <c r="I38" i="4"/>
  <c r="K38" i="4"/>
  <c r="F16" i="4"/>
  <c r="F22" i="4"/>
  <c r="F30" i="4" s="1"/>
  <c r="E16" i="4"/>
  <c r="E22" i="4"/>
  <c r="D32" i="4"/>
  <c r="D34" i="4" s="1"/>
  <c r="Y20" i="5"/>
  <c r="Y137" i="4"/>
  <c r="Q16" i="4"/>
  <c r="Q24" i="4"/>
  <c r="C16" i="4"/>
  <c r="S116" i="4"/>
  <c r="S149" i="4" s="1"/>
  <c r="Y125" i="4"/>
  <c r="C30" i="4"/>
  <c r="C24" i="4"/>
  <c r="Y113" i="4"/>
  <c r="S22" i="4"/>
  <c r="S30" i="4" s="1"/>
  <c r="S32" i="4" s="1"/>
  <c r="S34" i="4" s="1"/>
  <c r="I16" i="4"/>
  <c r="Y101" i="4"/>
  <c r="J15" i="4"/>
  <c r="J16" i="4"/>
  <c r="G15" i="4"/>
  <c r="Y109" i="4"/>
  <c r="Y111" i="4"/>
  <c r="L127" i="4"/>
  <c r="Y115" i="4"/>
  <c r="S15" i="4"/>
  <c r="Y67" i="4"/>
  <c r="Y22" i="5"/>
  <c r="T18" i="5"/>
  <c r="T27" i="5"/>
  <c r="T24" i="5"/>
  <c r="Y89" i="4"/>
  <c r="Y91" i="4"/>
  <c r="O22" i="4"/>
  <c r="O30" i="4" s="1"/>
  <c r="O32" i="4" s="1"/>
  <c r="O34" i="4" s="1"/>
  <c r="L89" i="4"/>
  <c r="P89" i="4"/>
  <c r="Y90" i="4"/>
  <c r="O15" i="4"/>
  <c r="K16" i="4"/>
  <c r="K15" i="4"/>
  <c r="R22" i="4"/>
  <c r="R30" i="4" s="1"/>
  <c r="R32" i="4" s="1"/>
  <c r="R34" i="4" s="1"/>
  <c r="M16" i="4"/>
  <c r="R15" i="4"/>
  <c r="N15" i="4"/>
  <c r="I24" i="4"/>
  <c r="N22" i="4"/>
  <c r="N30" i="4" s="1"/>
  <c r="N32" i="4" s="1"/>
  <c r="N34" i="4" s="1"/>
  <c r="N16" i="4"/>
  <c r="K24" i="4"/>
  <c r="L14" i="4"/>
  <c r="M15" i="4" s="1"/>
  <c r="P14" i="4"/>
  <c r="P22" i="4" s="1"/>
  <c r="F15" i="4"/>
  <c r="Y112" i="4"/>
  <c r="Y16" i="5"/>
  <c r="Y14" i="5"/>
  <c r="Y15" i="5"/>
  <c r="N18" i="5"/>
  <c r="L141" i="4"/>
  <c r="Y110" i="4"/>
  <c r="G18" i="5"/>
  <c r="G23" i="5"/>
  <c r="G24" i="5" s="1"/>
  <c r="E32" i="5"/>
  <c r="E34" i="5" s="1"/>
  <c r="F18" i="5"/>
  <c r="K18" i="5"/>
  <c r="M23" i="5"/>
  <c r="O18" i="5"/>
  <c r="J18" i="5"/>
  <c r="N23" i="5"/>
  <c r="O24" i="5" s="1"/>
  <c r="R18" i="5"/>
  <c r="Y66" i="4"/>
  <c r="P141" i="4"/>
  <c r="L91" i="4"/>
  <c r="L85" i="4"/>
  <c r="P77" i="4"/>
  <c r="P85" i="4" s="1"/>
  <c r="L90" i="4"/>
  <c r="V84" i="4"/>
  <c r="V85" i="4" s="1"/>
  <c r="W69" i="4"/>
  <c r="W77" i="4" s="1"/>
  <c r="Y77" i="4" s="1"/>
  <c r="L60" i="4"/>
  <c r="L88" i="4" s="1"/>
  <c r="Y88" i="4"/>
  <c r="P90" i="4"/>
  <c r="W51" i="4"/>
  <c r="Y51" i="4" s="1"/>
  <c r="Y102" i="4"/>
  <c r="R116" i="4"/>
  <c r="R149" i="4" s="1"/>
  <c r="K127" i="4"/>
  <c r="Y126" i="4"/>
  <c r="N127" i="4"/>
  <c r="Y114" i="4"/>
  <c r="J23" i="4"/>
  <c r="J24" i="4"/>
  <c r="K23" i="4"/>
  <c r="N116" i="4"/>
  <c r="N149" i="4" s="1"/>
  <c r="J27" i="5"/>
  <c r="J24" i="5"/>
  <c r="K24" i="5"/>
  <c r="F24" i="5"/>
  <c r="I27" i="5"/>
  <c r="O27" i="5"/>
  <c r="R27" i="5"/>
  <c r="R24" i="5"/>
  <c r="J116" i="4"/>
  <c r="O141" i="4"/>
  <c r="V127" i="4"/>
  <c r="O127" i="4"/>
  <c r="J141" i="4"/>
  <c r="M116" i="4"/>
  <c r="M149" i="4" s="1"/>
  <c r="Q27" i="5" l="1"/>
  <c r="S28" i="5" s="1"/>
  <c r="T15" i="4"/>
  <c r="T22" i="4"/>
  <c r="T30" i="4" s="1"/>
  <c r="T32" i="4" s="1"/>
  <c r="T34" i="4" s="1"/>
  <c r="T36" i="4" s="1"/>
  <c r="D38" i="4"/>
  <c r="E24" i="4"/>
  <c r="E23" i="4"/>
  <c r="P24" i="4"/>
  <c r="P30" i="4"/>
  <c r="P32" i="4" s="1"/>
  <c r="P34" i="4" s="1"/>
  <c r="T150" i="4"/>
  <c r="W140" i="4"/>
  <c r="Y140" i="4" s="1"/>
  <c r="T141" i="4"/>
  <c r="W178" i="4"/>
  <c r="Y178" i="4" s="1"/>
  <c r="E30" i="4"/>
  <c r="E32" i="4" s="1"/>
  <c r="E34" i="4" s="1"/>
  <c r="E35" i="4" s="1"/>
  <c r="Q36" i="4"/>
  <c r="K36" i="4"/>
  <c r="S38" i="4"/>
  <c r="W38" i="4" s="1"/>
  <c r="M38" i="4"/>
  <c r="I36" i="4"/>
  <c r="O38" i="4"/>
  <c r="V38" i="4" s="1"/>
  <c r="J38" i="4"/>
  <c r="D36" i="4"/>
  <c r="R36" i="4"/>
  <c r="G32" i="4"/>
  <c r="G34" i="4" s="1"/>
  <c r="G38" i="4" s="1"/>
  <c r="F32" i="4"/>
  <c r="F34" i="4" s="1"/>
  <c r="F38" i="4" s="1"/>
  <c r="C32" i="4"/>
  <c r="C34" i="4" s="1"/>
  <c r="C38" i="4" s="1"/>
  <c r="V14" i="4"/>
  <c r="V22" i="4" s="1"/>
  <c r="V30" i="4" s="1"/>
  <c r="V32" i="4" s="1"/>
  <c r="V34" i="4" s="1"/>
  <c r="F24" i="4"/>
  <c r="G24" i="4"/>
  <c r="F23" i="4"/>
  <c r="Y13" i="4"/>
  <c r="S24" i="4"/>
  <c r="G23" i="4"/>
  <c r="O24" i="4"/>
  <c r="Y31" i="5"/>
  <c r="W14" i="4"/>
  <c r="W22" i="4" s="1"/>
  <c r="W30" i="4" s="1"/>
  <c r="W32" i="4" s="1"/>
  <c r="W34" i="4" s="1"/>
  <c r="Y10" i="4"/>
  <c r="J149" i="4"/>
  <c r="J150" i="4" s="1"/>
  <c r="T32" i="5"/>
  <c r="T29" i="5"/>
  <c r="T28" i="5"/>
  <c r="O23" i="4"/>
  <c r="R23" i="4"/>
  <c r="R150" i="4"/>
  <c r="S150" i="4"/>
  <c r="S23" i="4"/>
  <c r="R24" i="4"/>
  <c r="N23" i="4"/>
  <c r="N24" i="4"/>
  <c r="L15" i="4"/>
  <c r="L16" i="4"/>
  <c r="L22" i="4"/>
  <c r="P11" i="5"/>
  <c r="P17" i="5" s="1"/>
  <c r="P18" i="5" s="1"/>
  <c r="W11" i="5"/>
  <c r="W17" i="5" s="1"/>
  <c r="Y9" i="5"/>
  <c r="Y26" i="5"/>
  <c r="P23" i="4"/>
  <c r="V11" i="5"/>
  <c r="V17" i="5" s="1"/>
  <c r="P15" i="4"/>
  <c r="P16" i="4"/>
  <c r="Q23" i="4"/>
  <c r="Q15" i="4"/>
  <c r="L11" i="5"/>
  <c r="L17" i="5" s="1"/>
  <c r="L23" i="5" s="1"/>
  <c r="L24" i="5" s="1"/>
  <c r="Y104" i="4"/>
  <c r="Y103" i="4"/>
  <c r="G27" i="5"/>
  <c r="G29" i="5" s="1"/>
  <c r="P116" i="4"/>
  <c r="L116" i="4"/>
  <c r="N24" i="5"/>
  <c r="N27" i="5"/>
  <c r="N29" i="5" s="1"/>
  <c r="M27" i="5"/>
  <c r="M29" i="5" s="1"/>
  <c r="Y84" i="4"/>
  <c r="Y69" i="4"/>
  <c r="W60" i="4"/>
  <c r="Y60" i="4" s="1"/>
  <c r="W85" i="4"/>
  <c r="Y85" i="4" s="1"/>
  <c r="Q32" i="5"/>
  <c r="S33" i="5" s="1"/>
  <c r="Q29" i="5"/>
  <c r="O29" i="5"/>
  <c r="O32" i="5"/>
  <c r="K28" i="5"/>
  <c r="K29" i="5"/>
  <c r="K32" i="5"/>
  <c r="J32" i="5"/>
  <c r="J28" i="5"/>
  <c r="J29" i="5"/>
  <c r="I32" i="5"/>
  <c r="I29" i="5"/>
  <c r="R32" i="5"/>
  <c r="R28" i="5"/>
  <c r="R29" i="5"/>
  <c r="F29" i="5"/>
  <c r="F28" i="5"/>
  <c r="O116" i="4"/>
  <c r="O149" i="4" s="1"/>
  <c r="Y97" i="4"/>
  <c r="Y119" i="4"/>
  <c r="W127" i="4"/>
  <c r="Y127" i="4" s="1"/>
  <c r="K141" i="4"/>
  <c r="N150" i="4"/>
  <c r="T38" i="4" l="1"/>
  <c r="T23" i="4"/>
  <c r="T24" i="4"/>
  <c r="D35" i="4"/>
  <c r="L24" i="4"/>
  <c r="L30" i="4"/>
  <c r="L32" i="4" s="1"/>
  <c r="L34" i="4" s="1"/>
  <c r="Y34" i="4"/>
  <c r="T35" i="4"/>
  <c r="M36" i="4"/>
  <c r="G36" i="4"/>
  <c r="R38" i="4"/>
  <c r="Y38" i="4"/>
  <c r="S35" i="4"/>
  <c r="R35" i="4"/>
  <c r="S36" i="4"/>
  <c r="E38" i="4"/>
  <c r="E36" i="4"/>
  <c r="F36" i="4"/>
  <c r="V16" i="4"/>
  <c r="V24" i="4"/>
  <c r="J35" i="4"/>
  <c r="V36" i="4"/>
  <c r="J36" i="4"/>
  <c r="N38" i="4"/>
  <c r="O36" i="4"/>
  <c r="K35" i="4"/>
  <c r="Q35" i="4"/>
  <c r="C36" i="4"/>
  <c r="G35" i="4"/>
  <c r="F35" i="4"/>
  <c r="Y105" i="4"/>
  <c r="Y14" i="4"/>
  <c r="W16" i="4"/>
  <c r="W24" i="4"/>
  <c r="W15" i="4"/>
  <c r="P149" i="4"/>
  <c r="W149" i="4" s="1"/>
  <c r="L149" i="4"/>
  <c r="V149" i="4" s="1"/>
  <c r="T34" i="5"/>
  <c r="T33" i="5"/>
  <c r="M23" i="4"/>
  <c r="Q18" i="5"/>
  <c r="L23" i="4"/>
  <c r="M18" i="5"/>
  <c r="P23" i="5"/>
  <c r="Q24" i="5" s="1"/>
  <c r="Y10" i="5"/>
  <c r="Y22" i="4"/>
  <c r="W23" i="4"/>
  <c r="M24" i="5"/>
  <c r="L27" i="5"/>
  <c r="L29" i="5" s="1"/>
  <c r="L18" i="5"/>
  <c r="V23" i="5"/>
  <c r="V27" i="5" s="1"/>
  <c r="V32" i="5" s="1"/>
  <c r="V34" i="5" s="1"/>
  <c r="Y11" i="5"/>
  <c r="G28" i="5"/>
  <c r="G32" i="5"/>
  <c r="G34" i="5" s="1"/>
  <c r="N32" i="5"/>
  <c r="N34" i="5" s="1"/>
  <c r="W141" i="4"/>
  <c r="N28" i="5"/>
  <c r="M32" i="5"/>
  <c r="O28" i="5"/>
  <c r="R33" i="5"/>
  <c r="R34" i="5"/>
  <c r="F34" i="5"/>
  <c r="F33" i="5"/>
  <c r="Q34" i="5"/>
  <c r="K33" i="5"/>
  <c r="K34" i="5"/>
  <c r="I34" i="5"/>
  <c r="O34" i="5"/>
  <c r="J33" i="5"/>
  <c r="J34" i="5"/>
  <c r="W23" i="5"/>
  <c r="W27" i="5" s="1"/>
  <c r="W32" i="5" s="1"/>
  <c r="W18" i="5"/>
  <c r="Y17" i="5"/>
  <c r="V141" i="4"/>
  <c r="Y130" i="4"/>
  <c r="K116" i="4"/>
  <c r="K149" i="4" s="1"/>
  <c r="O150" i="4"/>
  <c r="Y100" i="4"/>
  <c r="W116" i="4"/>
  <c r="O35" i="4" l="1"/>
  <c r="N35" i="4"/>
  <c r="P38" i="4"/>
  <c r="Y32" i="4"/>
  <c r="Y24" i="4"/>
  <c r="P35" i="4"/>
  <c r="Y16" i="4"/>
  <c r="P36" i="4"/>
  <c r="N36" i="4"/>
  <c r="L38" i="4"/>
  <c r="M150" i="4"/>
  <c r="Q150" i="4"/>
  <c r="P150" i="4"/>
  <c r="V29" i="5"/>
  <c r="Y32" i="5"/>
  <c r="P24" i="5"/>
  <c r="P27" i="5"/>
  <c r="P32" i="5" s="1"/>
  <c r="Y30" i="4"/>
  <c r="L32" i="5"/>
  <c r="L33" i="5" s="1"/>
  <c r="L28" i="5"/>
  <c r="M28" i="5"/>
  <c r="G33" i="5"/>
  <c r="Y141" i="4"/>
  <c r="O33" i="5"/>
  <c r="N33" i="5"/>
  <c r="M34" i="5"/>
  <c r="Y27" i="5"/>
  <c r="W29" i="5"/>
  <c r="W28" i="5"/>
  <c r="Y23" i="5"/>
  <c r="W24" i="5"/>
  <c r="W34" i="5"/>
  <c r="W33" i="5"/>
  <c r="Y106" i="4"/>
  <c r="V116" i="4"/>
  <c r="Y116" i="4" s="1"/>
  <c r="K150" i="4"/>
  <c r="L150" i="4"/>
  <c r="W36" i="4"/>
  <c r="Y36" i="4" s="1"/>
  <c r="W35" i="4"/>
  <c r="L36" i="4" l="1"/>
  <c r="L35" i="4"/>
  <c r="M35" i="4"/>
  <c r="P28" i="5"/>
  <c r="Q28" i="5"/>
  <c r="P29" i="5"/>
  <c r="M33" i="5"/>
  <c r="L34" i="5"/>
  <c r="Q33" i="5"/>
  <c r="P33" i="5"/>
  <c r="P34" i="5"/>
  <c r="W150" i="4"/>
  <c r="Y149" i="4"/>
</calcChain>
</file>

<file path=xl/sharedStrings.xml><?xml version="1.0" encoding="utf-8"?>
<sst xmlns="http://schemas.openxmlformats.org/spreadsheetml/2006/main" count="223" uniqueCount="165">
  <si>
    <t>Cash and cash equivalents</t>
  </si>
  <si>
    <t>Total current assets</t>
  </si>
  <si>
    <t>Total assets</t>
  </si>
  <si>
    <t>Total current liabilities</t>
  </si>
  <si>
    <t>FYE</t>
  </si>
  <si>
    <t>Quarterly</t>
  </si>
  <si>
    <t>LTM</t>
  </si>
  <si>
    <t>Revenue</t>
  </si>
  <si>
    <t>Cost of revenue</t>
  </si>
  <si>
    <t>Research and development</t>
  </si>
  <si>
    <t>Other income (expense), net</t>
  </si>
  <si>
    <t>Net cash used in operating activities</t>
  </si>
  <si>
    <t>Net cash used in investing activities</t>
  </si>
  <si>
    <t>Net cash provided by financing activities</t>
  </si>
  <si>
    <t>V</t>
  </si>
  <si>
    <t>(In Thousands)</t>
  </si>
  <si>
    <t>LTM VAR</t>
  </si>
  <si>
    <t>X</t>
  </si>
  <si>
    <t xml:space="preserve">Income Statement </t>
  </si>
  <si>
    <t>FY2021</t>
  </si>
  <si>
    <t>FY2022</t>
  </si>
  <si>
    <t>FY2023</t>
  </si>
  <si>
    <t>VAR</t>
  </si>
  <si>
    <t>Gross Profit</t>
  </si>
  <si>
    <t>Y/Y Growth, Q/Q Growth</t>
  </si>
  <si>
    <t>Gross Margin</t>
  </si>
  <si>
    <t>Interest income</t>
  </si>
  <si>
    <t>Operating expenses:</t>
  </si>
  <si>
    <t>Profit From Operations</t>
  </si>
  <si>
    <t>Operating Margin</t>
  </si>
  <si>
    <t>Net loss</t>
  </si>
  <si>
    <t>Net Margin</t>
  </si>
  <si>
    <t xml:space="preserve">Balance Sheet Statement </t>
  </si>
  <si>
    <t>Current Assets</t>
  </si>
  <si>
    <t>Long-Term Assets</t>
  </si>
  <si>
    <t>Current Liabilities</t>
  </si>
  <si>
    <t>Long-Term Liabilities</t>
  </si>
  <si>
    <t>Total Liabilities</t>
  </si>
  <si>
    <t>Stockholders’ equity (deficit):</t>
  </si>
  <si>
    <t>Total stockholders' equity</t>
  </si>
  <si>
    <t>Total liabilities and stockholders' equity</t>
  </si>
  <si>
    <t>Ratio Analysis</t>
  </si>
  <si>
    <t>Debt-to Asset</t>
  </si>
  <si>
    <t>Quick Ratio</t>
  </si>
  <si>
    <t>Current Ratio</t>
  </si>
  <si>
    <t>Cash Ratio</t>
  </si>
  <si>
    <t>Cash-Flows Statement</t>
  </si>
  <si>
    <t>CASH FLOWS FROM OPERATING ACTIVITIES:</t>
  </si>
  <si>
    <t>Cash flows from investing activities:</t>
  </si>
  <si>
    <t>Cash flows from financing activities:</t>
  </si>
  <si>
    <t>Cash-Flows Analysis</t>
  </si>
  <si>
    <t>Free-Cash Flow</t>
  </si>
  <si>
    <t>Earnings Before Interest &amp; Taxes (EBIT)</t>
  </si>
  <si>
    <t>EBITDA Add-Backs:</t>
  </si>
  <si>
    <t>EBITDA</t>
  </si>
  <si>
    <t>EBITDA Margin</t>
  </si>
  <si>
    <t>Adjusted EBITDA Add-Backs:</t>
  </si>
  <si>
    <t>Adjusted EBITDA</t>
  </si>
  <si>
    <t>Adjusted EBITDA Margin</t>
  </si>
  <si>
    <t>Microstrategy (NASDAQ: MSTR)</t>
  </si>
  <si>
    <t>1Q22</t>
  </si>
  <si>
    <t>2Q22</t>
  </si>
  <si>
    <t>3Q22</t>
  </si>
  <si>
    <t>4Q22</t>
  </si>
  <si>
    <t>1Q23</t>
  </si>
  <si>
    <t>2Q23</t>
  </si>
  <si>
    <t>3Q23</t>
  </si>
  <si>
    <t>4Q23</t>
  </si>
  <si>
    <t>1Q24</t>
  </si>
  <si>
    <t>2Q24</t>
  </si>
  <si>
    <t>3Q24</t>
  </si>
  <si>
    <t>Operating Expenses</t>
  </si>
  <si>
    <t>Weighted average shares outstanding used in computing diluted earnings (loss) per share</t>
  </si>
  <si>
    <t xml:space="preserve">Diluted earnings (loss) per share </t>
  </si>
  <si>
    <t>Accounts receivable, net</t>
  </si>
  <si>
    <t>Share-based compensation expense</t>
  </si>
  <si>
    <t xml:space="preserve"> USD ($) shares in Thousands</t>
  </si>
  <si>
    <t>FY2020</t>
  </si>
  <si>
    <t>Equipment and services</t>
  </si>
  <si>
    <t>Licensing</t>
  </si>
  <si>
    <t>FY2024</t>
  </si>
  <si>
    <t>Selling, general and administrative</t>
  </si>
  <si>
    <t>Interest expense</t>
  </si>
  <si>
    <t>Investment and other income (expense), net</t>
  </si>
  <si>
    <t>Income from continuing operations before income taxes</t>
  </si>
  <si>
    <t>Income tax expense</t>
  </si>
  <si>
    <t>Income from continuing operations</t>
  </si>
  <si>
    <t>Discontinued operations, net of income taxes</t>
  </si>
  <si>
    <t>Marketable securities</t>
  </si>
  <si>
    <t>Inventories</t>
  </si>
  <si>
    <t>Held for sale assets</t>
  </si>
  <si>
    <t>Other current assets</t>
  </si>
  <si>
    <t>Deferred tax assets</t>
  </si>
  <si>
    <t>Property, plant and equipment, net</t>
  </si>
  <si>
    <t>Goodwill</t>
  </si>
  <si>
    <t>Other intangible assets, net</t>
  </si>
  <si>
    <t>Other assets</t>
  </si>
  <si>
    <t>Trade accounts payable</t>
  </si>
  <si>
    <t>Payroll and other benefits related liabilities</t>
  </si>
  <si>
    <t>Unearned revenues</t>
  </si>
  <si>
    <t>Short-term debt</t>
  </si>
  <si>
    <t>Held for sale liabilities</t>
  </si>
  <si>
    <t>Other current liabilities</t>
  </si>
  <si>
    <t>Income taxes payable</t>
  </si>
  <si>
    <t>Long-term debt</t>
  </si>
  <si>
    <t>Other liabilities</t>
  </si>
  <si>
    <t>Preferred stock</t>
  </si>
  <si>
    <t xml:space="preserve">Common stock </t>
  </si>
  <si>
    <t>Retained earnings</t>
  </si>
  <si>
    <t>Accumulated other comprehensive income</t>
  </si>
  <si>
    <t>Net income from continuing operations</t>
  </si>
  <si>
    <t>Depreciation and amortization expense</t>
  </si>
  <si>
    <t>Indefinite and long-lived asset impairment charges</t>
  </si>
  <si>
    <t>Income tax provision less than income tax payments</t>
  </si>
  <si>
    <t>Net (gains) losses on marketable securities and other investments</t>
  </si>
  <si>
    <t>Impairment losses on other investments</t>
  </si>
  <si>
    <t>Other items, net</t>
  </si>
  <si>
    <t>Adjustments to reconcile net income to net cash provided by operating Activities:</t>
  </si>
  <si>
    <t>Changes in assets and liabilities:</t>
  </si>
  <si>
    <t>Payroll, benefits and other liabilities</t>
  </si>
  <si>
    <t>Net cash used by operating activities from discontinued operations</t>
  </si>
  <si>
    <t>Capital expenditures</t>
  </si>
  <si>
    <t>Purchases of debt and equity marketable securities</t>
  </si>
  <si>
    <t>Proceeds from sales and maturities of debt and equity marketable securities</t>
  </si>
  <si>
    <t>Acquisitions and other investments, net of cash acquired</t>
  </si>
  <si>
    <t>Proceeds from sales of property, plant and equipment</t>
  </si>
  <si>
    <t>Proceeds from other investments</t>
  </si>
  <si>
    <t>Net cash provided (used) by investing activities from discontinued operations</t>
  </si>
  <si>
    <t>Proceeds from short-term debt</t>
  </si>
  <si>
    <t>Repayment of short-term debt</t>
  </si>
  <si>
    <t>Repayment of debt of acquired company</t>
  </si>
  <si>
    <t>Proceeds from long-term debt</t>
  </si>
  <si>
    <t>Repayment of long-term debt</t>
  </si>
  <si>
    <t>Proceeds from issuance of common stock</t>
  </si>
  <si>
    <t>Repurchases and retirements of common stock</t>
  </si>
  <si>
    <t>Dividends paid</t>
  </si>
  <si>
    <t>Payments of tax withholdings related to vesting of share-based awards</t>
  </si>
  <si>
    <t>Net cash provided (used) by financing activities from discontinued operations</t>
  </si>
  <si>
    <t>Effect of exchange rate changes on cash and cash equivalents</t>
  </si>
  <si>
    <t>Net (decrease) increase in total cash and cash equivalents</t>
  </si>
  <si>
    <t>Total cash and cash equivalents at beginning of period</t>
  </si>
  <si>
    <t>Total cash and cash equivalents at end of period</t>
  </si>
  <si>
    <t xml:space="preserve">Statement of Shareholder Equity </t>
  </si>
  <si>
    <t>Balance at beginning of period</t>
  </si>
  <si>
    <t>Common stock issued under employee benefit plans</t>
  </si>
  <si>
    <t>Share-based compensation</t>
  </si>
  <si>
    <t>Tax withholdings related to vesting of share-based payments</t>
  </si>
  <si>
    <t>Common stock issued in acquisition</t>
  </si>
  <si>
    <t>Balance at end of period</t>
  </si>
  <si>
    <t>Net income</t>
  </si>
  <si>
    <t>Dividends</t>
  </si>
  <si>
    <t>Other comprehensive income (loss)</t>
  </si>
  <si>
    <t>Total stockholders' equity, ending balance</t>
  </si>
  <si>
    <t>Dividends per share announced</t>
  </si>
  <si>
    <t>Total stockholders' equity, beginning balance</t>
  </si>
  <si>
    <t>Accumulated other comprehensive income (loss)</t>
  </si>
  <si>
    <t>Common stock and paid-in capital</t>
  </si>
  <si>
    <t>4Q24</t>
  </si>
  <si>
    <t>Other Expenses</t>
  </si>
  <si>
    <t>Qualcomm (NASDAQ: QCOM)</t>
  </si>
  <si>
    <t>(In Millions)</t>
  </si>
  <si>
    <t>Interest and dividend income</t>
  </si>
  <si>
    <t>FY2019</t>
  </si>
  <si>
    <t>EBITDA Analysis</t>
  </si>
  <si>
    <t xml:space="preserve"> USD ($) shares 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</si>
</sst>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 &quot;#,##0_);_(&quot;$ &quot;\(#,##0\)"/>
    <numFmt numFmtId="165" formatCode="&quot;$&quot;#,##0"/>
    <numFmt numFmtId="166" formatCode="0.00&quot;x&quot;"/>
    <numFmt numFmtId="167" formatCode="_(* #,##0_);_(* \(#,##0\);_(* &quot;-&quot;??_);_(@_)"/>
  </numFmts>
  <fonts count="3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1"/>
      <color theme="0"/>
      <name val="Calibri"/>
      <family val="2"/>
    </font>
    <font>
      <sz val="11"/>
      <color rgb="FF0000CC"/>
      <name val="Calibri"/>
      <family val="2"/>
    </font>
    <font>
      <sz val="11"/>
      <color rgb="FF0000FF"/>
      <name val="Calibri"/>
      <family val="2"/>
    </font>
    <font>
      <sz val="11"/>
      <color theme="1"/>
      <name val="Calibri"/>
      <family val="2"/>
    </font>
    <font>
      <i/>
      <sz val="9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i/>
      <sz val="9"/>
      <color theme="1"/>
      <name val="Aptos Narrow"/>
      <family val="2"/>
      <scheme val="minor"/>
    </font>
    <font>
      <i/>
      <sz val="10"/>
      <name val="Calibri"/>
      <family val="2"/>
    </font>
    <font>
      <sz val="10"/>
      <name val="Calibri"/>
      <family val="2"/>
    </font>
    <font>
      <sz val="11"/>
      <color rgb="FF0000E1"/>
      <name val="Calibri"/>
      <family val="2"/>
    </font>
    <font>
      <sz val="11"/>
      <color theme="9" tint="-0.249977111117893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1"/>
      <color rgb="FF0000CC"/>
      <name val="Calibri"/>
      <family val="2"/>
    </font>
    <font>
      <sz val="11"/>
      <color rgb="FF0000CC"/>
      <name val="Aptos Narrow"/>
      <family val="2"/>
      <scheme val="minor"/>
    </font>
    <font>
      <b/>
      <sz val="12"/>
      <color indexed="8"/>
      <name val="Calibri"/>
      <family val="2"/>
      <charset val="1"/>
    </font>
    <font>
      <b/>
      <sz val="11"/>
      <color rgb="FF0000FF"/>
      <name val="Calibri"/>
      <family val="2"/>
    </font>
    <font>
      <sz val="11"/>
      <color rgb="FF0000FF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7">
    <xf numFmtId="0" fontId="0" fillId="0" borderId="0" xfId="0"/>
    <xf numFmtId="37" fontId="6" fillId="0" borderId="0" xfId="0" applyNumberFormat="1" applyFont="1" applyAlignment="1">
      <alignment horizontal="right" vertical="top"/>
    </xf>
    <xf numFmtId="0" fontId="6" fillId="0" borderId="0" xfId="0" applyFont="1" applyAlignment="1">
      <alignment vertical="top" wrapText="1"/>
    </xf>
    <xf numFmtId="0" fontId="3" fillId="0" borderId="0" xfId="0" applyFont="1"/>
    <xf numFmtId="37" fontId="0" fillId="0" borderId="0" xfId="0" applyNumberFormat="1"/>
    <xf numFmtId="37" fontId="3" fillId="0" borderId="0" xfId="0" applyNumberFormat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3" fillId="0" borderId="2" xfId="0" applyFont="1" applyBorder="1" applyAlignment="1">
      <alignment horizontal="centerContinuous" wrapText="1"/>
    </xf>
    <xf numFmtId="0" fontId="3" fillId="0" borderId="0" xfId="0" applyFont="1" applyAlignment="1">
      <alignment horizontal="centerContinuous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9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9" fillId="0" borderId="0" xfId="0" applyFont="1" applyAlignment="1">
      <alignment vertical="center" wrapText="1"/>
    </xf>
    <xf numFmtId="14" fontId="2" fillId="0" borderId="0" xfId="0" applyNumberFormat="1" applyFont="1" applyAlignment="1">
      <alignment horizontal="center" wrapText="1"/>
    </xf>
    <xf numFmtId="37" fontId="10" fillId="0" borderId="0" xfId="0" applyNumberFormat="1" applyFont="1" applyAlignment="1">
      <alignment horizontal="right" vertical="top" wrapText="1"/>
    </xf>
    <xf numFmtId="37" fontId="0" fillId="0" borderId="0" xfId="0" applyNumberFormat="1" applyAlignment="1">
      <alignment wrapText="1"/>
    </xf>
    <xf numFmtId="37" fontId="11" fillId="0" borderId="0" xfId="0" applyNumberFormat="1" applyFont="1" applyAlignment="1">
      <alignment horizontal="right" vertical="top" wrapText="1"/>
    </xf>
    <xf numFmtId="37" fontId="12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0" fontId="13" fillId="3" borderId="0" xfId="2" applyNumberFormat="1" applyFont="1" applyFill="1" applyAlignment="1">
      <alignment horizontal="center" wrapText="1"/>
    </xf>
    <xf numFmtId="0" fontId="6" fillId="0" borderId="0" xfId="0" applyFont="1" applyAlignment="1">
      <alignment horizontal="left" vertical="top" wrapText="1" indent="1"/>
    </xf>
    <xf numFmtId="165" fontId="5" fillId="0" borderId="1" xfId="0" applyNumberFormat="1" applyFont="1" applyBorder="1" applyAlignment="1">
      <alignment vertical="top" wrapText="1"/>
    </xf>
    <xf numFmtId="37" fontId="5" fillId="0" borderId="1" xfId="0" applyNumberFormat="1" applyFont="1" applyBorder="1" applyAlignment="1">
      <alignment horizontal="right" vertical="top" wrapText="1"/>
    </xf>
    <xf numFmtId="164" fontId="14" fillId="0" borderId="0" xfId="0" applyNumberFormat="1" applyFont="1" applyAlignment="1">
      <alignment wrapText="1"/>
    </xf>
    <xf numFmtId="10" fontId="15" fillId="3" borderId="0" xfId="2" applyNumberFormat="1" applyFont="1" applyFill="1" applyAlignment="1">
      <alignment horizontal="center" wrapText="1"/>
    </xf>
    <xf numFmtId="0" fontId="16" fillId="0" borderId="0" xfId="0" applyFont="1" applyAlignment="1">
      <alignment horizontal="right" vertical="center" wrapText="1"/>
    </xf>
    <xf numFmtId="165" fontId="5" fillId="0" borderId="0" xfId="0" applyNumberFormat="1" applyFont="1" applyAlignment="1">
      <alignment horizontal="right" vertical="top" wrapText="1"/>
    </xf>
    <xf numFmtId="9" fontId="17" fillId="0" borderId="0" xfId="2" applyFont="1" applyBorder="1" applyAlignment="1">
      <alignment horizontal="right" vertical="center" wrapText="1"/>
    </xf>
    <xf numFmtId="10" fontId="15" fillId="0" borderId="0" xfId="2" applyNumberFormat="1" applyFont="1" applyFill="1" applyAlignment="1">
      <alignment horizontal="center" wrapText="1"/>
    </xf>
    <xf numFmtId="165" fontId="5" fillId="0" borderId="0" xfId="0" applyNumberFormat="1" applyFont="1" applyAlignment="1">
      <alignment vertical="top"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vertical="top" wrapText="1"/>
    </xf>
    <xf numFmtId="37" fontId="6" fillId="0" borderId="0" xfId="0" applyNumberFormat="1" applyFont="1" applyAlignment="1">
      <alignment horizontal="right" vertical="top" wrapText="1"/>
    </xf>
    <xf numFmtId="10" fontId="13" fillId="0" borderId="0" xfId="2" applyNumberFormat="1" applyFont="1" applyFill="1" applyAlignment="1">
      <alignment horizontal="center" wrapText="1"/>
    </xf>
    <xf numFmtId="0" fontId="5" fillId="0" borderId="1" xfId="0" applyFont="1" applyBorder="1" applyAlignment="1">
      <alignment vertical="top" wrapText="1"/>
    </xf>
    <xf numFmtId="39" fontId="17" fillId="0" borderId="0" xfId="0" applyNumberFormat="1" applyFont="1" applyAlignment="1">
      <alignment horizontal="right" vertical="center" wrapText="1"/>
    </xf>
    <xf numFmtId="9" fontId="17" fillId="0" borderId="0" xfId="2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top" wrapText="1"/>
    </xf>
    <xf numFmtId="0" fontId="3" fillId="0" borderId="1" xfId="0" applyFont="1" applyBorder="1"/>
    <xf numFmtId="0" fontId="0" fillId="0" borderId="3" xfId="0" applyBorder="1"/>
    <xf numFmtId="9" fontId="6" fillId="0" borderId="0" xfId="2" applyFont="1" applyBorder="1" applyAlignment="1">
      <alignment horizontal="right" vertical="center"/>
    </xf>
    <xf numFmtId="0" fontId="0" fillId="0" borderId="6" xfId="0" applyBorder="1"/>
    <xf numFmtId="37" fontId="18" fillId="0" borderId="2" xfId="0" applyNumberFormat="1" applyFont="1" applyBorder="1" applyAlignment="1">
      <alignment horizontal="right" vertical="center"/>
    </xf>
    <xf numFmtId="37" fontId="18" fillId="0" borderId="2" xfId="2" applyNumberFormat="1" applyFont="1" applyBorder="1" applyAlignment="1">
      <alignment horizontal="right" vertical="center"/>
    </xf>
    <xf numFmtId="37" fontId="18" fillId="0" borderId="7" xfId="2" applyNumberFormat="1" applyFont="1" applyBorder="1" applyAlignment="1">
      <alignment horizontal="right" vertical="center"/>
    </xf>
    <xf numFmtId="37" fontId="19" fillId="0" borderId="2" xfId="2" applyNumberFormat="1" applyFont="1" applyBorder="1" applyAlignment="1">
      <alignment horizontal="right" vertical="center"/>
    </xf>
    <xf numFmtId="0" fontId="20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37" fontId="3" fillId="0" borderId="1" xfId="0" applyNumberFormat="1" applyFont="1" applyBorder="1" applyAlignment="1">
      <alignment wrapText="1"/>
    </xf>
    <xf numFmtId="37" fontId="21" fillId="0" borderId="0" xfId="0" applyNumberFormat="1" applyFont="1" applyAlignment="1">
      <alignment wrapText="1"/>
    </xf>
    <xf numFmtId="37" fontId="3" fillId="0" borderId="0" xfId="0" applyNumberFormat="1" applyFont="1" applyAlignment="1">
      <alignment wrapText="1"/>
    </xf>
    <xf numFmtId="37" fontId="5" fillId="0" borderId="0" xfId="0" applyNumberFormat="1" applyFont="1" applyAlignment="1">
      <alignment horizontal="right" vertical="top" wrapText="1"/>
    </xf>
    <xf numFmtId="37" fontId="18" fillId="0" borderId="0" xfId="0" applyNumberFormat="1" applyFont="1" applyAlignment="1">
      <alignment horizontal="right" vertical="top" wrapText="1"/>
    </xf>
    <xf numFmtId="37" fontId="22" fillId="0" borderId="1" xfId="0" applyNumberFormat="1" applyFont="1" applyBorder="1" applyAlignment="1">
      <alignment wrapText="1"/>
    </xf>
    <xf numFmtId="37" fontId="23" fillId="0" borderId="0" xfId="0" applyNumberFormat="1" applyFont="1" applyAlignment="1">
      <alignment wrapText="1"/>
    </xf>
    <xf numFmtId="37" fontId="24" fillId="0" borderId="0" xfId="0" applyNumberFormat="1" applyFont="1" applyAlignment="1">
      <alignment horizontal="right" vertical="top" wrapText="1"/>
    </xf>
    <xf numFmtId="0" fontId="21" fillId="0" borderId="0" xfId="0" applyFont="1" applyAlignment="1">
      <alignment wrapText="1"/>
    </xf>
    <xf numFmtId="0" fontId="6" fillId="0" borderId="0" xfId="0" applyFont="1" applyAlignment="1">
      <alignment horizontal="left" vertical="top" indent="1"/>
    </xf>
    <xf numFmtId="37" fontId="22" fillId="0" borderId="0" xfId="0" applyNumberFormat="1" applyFont="1" applyAlignment="1">
      <alignment wrapText="1"/>
    </xf>
    <xf numFmtId="37" fontId="11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37" fontId="25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37" fontId="18" fillId="0" borderId="0" xfId="0" applyNumberFormat="1" applyFont="1" applyAlignment="1">
      <alignment wrapText="1"/>
    </xf>
    <xf numFmtId="37" fontId="18" fillId="0" borderId="0" xfId="0" applyNumberFormat="1" applyFont="1" applyAlignment="1">
      <alignment vertical="top" wrapText="1"/>
    </xf>
    <xf numFmtId="37" fontId="11" fillId="0" borderId="0" xfId="0" applyNumberFormat="1" applyFont="1" applyAlignment="1">
      <alignment vertical="top" wrapText="1"/>
    </xf>
    <xf numFmtId="37" fontId="5" fillId="0" borderId="1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37" fontId="6" fillId="0" borderId="0" xfId="0" applyNumberFormat="1" applyFont="1" applyAlignment="1">
      <alignment wrapText="1"/>
    </xf>
    <xf numFmtId="0" fontId="5" fillId="4" borderId="3" xfId="0" applyFont="1" applyFill="1" applyBorder="1" applyAlignment="1">
      <alignment vertical="top"/>
    </xf>
    <xf numFmtId="37" fontId="6" fillId="4" borderId="4" xfId="0" applyNumberFormat="1" applyFont="1" applyFill="1" applyBorder="1"/>
    <xf numFmtId="37" fontId="6" fillId="4" borderId="5" xfId="0" applyNumberFormat="1" applyFont="1" applyFill="1" applyBorder="1"/>
    <xf numFmtId="37" fontId="6" fillId="4" borderId="3" xfId="0" applyNumberFormat="1" applyFont="1" applyFill="1" applyBorder="1"/>
    <xf numFmtId="37" fontId="6" fillId="4" borderId="3" xfId="0" applyNumberFormat="1" applyFont="1" applyFill="1" applyBorder="1" applyAlignment="1">
      <alignment wrapText="1"/>
    </xf>
    <xf numFmtId="37" fontId="6" fillId="4" borderId="5" xfId="0" applyNumberFormat="1" applyFont="1" applyFill="1" applyBorder="1" applyAlignment="1">
      <alignment wrapText="1"/>
    </xf>
    <xf numFmtId="0" fontId="6" fillId="4" borderId="8" xfId="0" applyFont="1" applyFill="1" applyBorder="1" applyAlignment="1">
      <alignment horizontal="left" vertical="top" indent="1"/>
    </xf>
    <xf numFmtId="166" fontId="6" fillId="4" borderId="9" xfId="0" applyNumberFormat="1" applyFont="1" applyFill="1" applyBorder="1" applyAlignment="1">
      <alignment horizontal="center" vertical="center"/>
    </xf>
    <xf numFmtId="166" fontId="6" fillId="4" borderId="8" xfId="0" applyNumberFormat="1" applyFont="1" applyFill="1" applyBorder="1" applyAlignment="1">
      <alignment horizontal="center" vertical="center"/>
    </xf>
    <xf numFmtId="0" fontId="0" fillId="4" borderId="8" xfId="0" applyFill="1" applyBorder="1" applyAlignment="1">
      <alignment horizontal="left" indent="1"/>
    </xf>
    <xf numFmtId="0" fontId="6" fillId="4" borderId="6" xfId="0" applyFont="1" applyFill="1" applyBorder="1" applyAlignment="1">
      <alignment horizontal="left" vertical="top" indent="1"/>
    </xf>
    <xf numFmtId="166" fontId="6" fillId="4" borderId="2" xfId="0" applyNumberFormat="1" applyFont="1" applyFill="1" applyBorder="1" applyAlignment="1">
      <alignment horizontal="center" vertical="center"/>
    </xf>
    <xf numFmtId="166" fontId="6" fillId="4" borderId="7" xfId="0" applyNumberFormat="1" applyFont="1" applyFill="1" applyBorder="1" applyAlignment="1">
      <alignment horizontal="center" vertical="center"/>
    </xf>
    <xf numFmtId="166" fontId="6" fillId="4" borderId="6" xfId="0" applyNumberFormat="1" applyFont="1" applyFill="1" applyBorder="1" applyAlignment="1">
      <alignment horizontal="center"/>
    </xf>
    <xf numFmtId="166" fontId="6" fillId="4" borderId="2" xfId="0" applyNumberFormat="1" applyFont="1" applyFill="1" applyBorder="1" applyAlignment="1">
      <alignment horizontal="center"/>
    </xf>
    <xf numFmtId="166" fontId="6" fillId="4" borderId="7" xfId="0" applyNumberFormat="1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26" fillId="0" borderId="0" xfId="0" applyFont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0" xfId="0" applyAlignment="1">
      <alignment horizontal="left" wrapText="1" indent="1"/>
    </xf>
    <xf numFmtId="37" fontId="11" fillId="0" borderId="0" xfId="0" applyNumberFormat="1" applyFont="1"/>
    <xf numFmtId="37" fontId="12" fillId="0" borderId="0" xfId="0" applyNumberFormat="1" applyFont="1"/>
    <xf numFmtId="37" fontId="6" fillId="0" borderId="0" xfId="0" applyNumberFormat="1" applyFont="1"/>
    <xf numFmtId="37" fontId="11" fillId="0" borderId="0" xfId="1" applyNumberFormat="1" applyFont="1" applyBorder="1" applyAlignment="1">
      <alignment wrapText="1"/>
    </xf>
    <xf numFmtId="37" fontId="10" fillId="0" borderId="0" xfId="1" applyNumberFormat="1" applyFont="1" applyBorder="1" applyAlignment="1">
      <alignment wrapText="1"/>
    </xf>
    <xf numFmtId="37" fontId="6" fillId="0" borderId="0" xfId="1" applyNumberFormat="1" applyFont="1" applyBorder="1" applyAlignment="1">
      <alignment wrapText="1"/>
    </xf>
    <xf numFmtId="37" fontId="10" fillId="0" borderId="0" xfId="1" applyNumberFormat="1" applyFont="1" applyFill="1" applyBorder="1" applyAlignment="1">
      <alignment wrapText="1"/>
    </xf>
    <xf numFmtId="0" fontId="0" fillId="0" borderId="0" xfId="0" applyAlignment="1">
      <alignment horizontal="left" indent="1"/>
    </xf>
    <xf numFmtId="0" fontId="21" fillId="0" borderId="1" xfId="0" applyFont="1" applyBorder="1" applyAlignment="1">
      <alignment wrapText="1"/>
    </xf>
    <xf numFmtId="37" fontId="5" fillId="0" borderId="1" xfId="1" applyNumberFormat="1" applyFont="1" applyBorder="1" applyAlignment="1">
      <alignment wrapText="1"/>
    </xf>
    <xf numFmtId="37" fontId="5" fillId="0" borderId="0" xfId="1" applyNumberFormat="1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23" fillId="0" borderId="0" xfId="0" applyFont="1" applyAlignment="1">
      <alignment wrapText="1"/>
    </xf>
    <xf numFmtId="37" fontId="14" fillId="0" borderId="0" xfId="1" applyNumberFormat="1" applyFont="1" applyBorder="1" applyAlignment="1">
      <alignment wrapText="1"/>
    </xf>
    <xf numFmtId="37" fontId="27" fillId="0" borderId="0" xfId="1" applyNumberFormat="1" applyFont="1" applyBorder="1" applyAlignment="1">
      <alignment wrapText="1"/>
    </xf>
    <xf numFmtId="37" fontId="14" fillId="0" borderId="0" xfId="1" applyNumberFormat="1" applyFont="1" applyFill="1" applyBorder="1" applyAlignment="1">
      <alignment wrapText="1"/>
    </xf>
    <xf numFmtId="37" fontId="18" fillId="0" borderId="0" xfId="1" applyNumberFormat="1" applyFont="1" applyFill="1" applyBorder="1" applyAlignment="1">
      <alignment wrapText="1"/>
    </xf>
    <xf numFmtId="0" fontId="14" fillId="4" borderId="3" xfId="0" applyFont="1" applyFill="1" applyBorder="1" applyAlignment="1">
      <alignment wrapText="1"/>
    </xf>
    <xf numFmtId="167" fontId="12" fillId="4" borderId="4" xfId="1" applyNumberFormat="1" applyFont="1" applyFill="1" applyBorder="1" applyAlignment="1">
      <alignment wrapText="1"/>
    </xf>
    <xf numFmtId="167" fontId="12" fillId="4" borderId="5" xfId="1" applyNumberFormat="1" applyFont="1" applyFill="1" applyBorder="1" applyAlignment="1">
      <alignment wrapText="1"/>
    </xf>
    <xf numFmtId="0" fontId="12" fillId="4" borderId="3" xfId="0" applyFont="1" applyFill="1" applyBorder="1" applyAlignment="1">
      <alignment wrapText="1"/>
    </xf>
    <xf numFmtId="0" fontId="12" fillId="4" borderId="4" xfId="0" applyFont="1" applyFill="1" applyBorder="1" applyAlignment="1">
      <alignment wrapText="1"/>
    </xf>
    <xf numFmtId="0" fontId="12" fillId="4" borderId="5" xfId="0" applyFont="1" applyFill="1" applyBorder="1" applyAlignment="1">
      <alignment wrapText="1"/>
    </xf>
    <xf numFmtId="0" fontId="12" fillId="4" borderId="8" xfId="0" applyFont="1" applyFill="1" applyBorder="1" applyAlignment="1">
      <alignment horizontal="left" wrapText="1" indent="1"/>
    </xf>
    <xf numFmtId="167" fontId="12" fillId="4" borderId="0" xfId="1" applyNumberFormat="1" applyFont="1" applyFill="1" applyBorder="1" applyAlignment="1">
      <alignment wrapText="1"/>
    </xf>
    <xf numFmtId="167" fontId="12" fillId="4" borderId="9" xfId="1" applyNumberFormat="1" applyFont="1" applyFill="1" applyBorder="1" applyAlignment="1">
      <alignment wrapText="1"/>
    </xf>
    <xf numFmtId="167" fontId="12" fillId="4" borderId="8" xfId="1" applyNumberFormat="1" applyFont="1" applyFill="1" applyBorder="1" applyAlignment="1">
      <alignment wrapText="1"/>
    </xf>
    <xf numFmtId="37" fontId="14" fillId="4" borderId="8" xfId="0" applyNumberFormat="1" applyFont="1" applyFill="1" applyBorder="1" applyAlignment="1">
      <alignment wrapText="1"/>
    </xf>
    <xf numFmtId="37" fontId="14" fillId="4" borderId="9" xfId="0" applyNumberFormat="1" applyFont="1" applyFill="1" applyBorder="1" applyAlignment="1">
      <alignment wrapText="1"/>
    </xf>
    <xf numFmtId="0" fontId="16" fillId="4" borderId="6" xfId="0" applyFont="1" applyFill="1" applyBorder="1" applyAlignment="1">
      <alignment horizontal="right" vertical="center" wrapText="1"/>
    </xf>
    <xf numFmtId="165" fontId="5" fillId="4" borderId="2" xfId="0" applyNumberFormat="1" applyFont="1" applyFill="1" applyBorder="1" applyAlignment="1">
      <alignment horizontal="right" vertical="top" wrapText="1"/>
    </xf>
    <xf numFmtId="9" fontId="17" fillId="4" borderId="2" xfId="2" applyFont="1" applyFill="1" applyBorder="1" applyAlignment="1">
      <alignment horizontal="right" vertical="center" wrapText="1"/>
    </xf>
    <xf numFmtId="9" fontId="17" fillId="4" borderId="7" xfId="2" applyFont="1" applyFill="1" applyBorder="1" applyAlignment="1">
      <alignment horizontal="right" vertical="center" wrapText="1"/>
    </xf>
    <xf numFmtId="9" fontId="17" fillId="4" borderId="6" xfId="2" applyFont="1" applyFill="1" applyBorder="1" applyAlignment="1">
      <alignment horizontal="right" vertic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37" fontId="19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horizontal="center" vertical="center" wrapText="1"/>
    </xf>
    <xf numFmtId="10" fontId="22" fillId="0" borderId="0" xfId="0" applyNumberFormat="1" applyFont="1" applyAlignment="1">
      <alignment horizontal="center" wrapText="1"/>
    </xf>
    <xf numFmtId="37" fontId="3" fillId="0" borderId="1" xfId="0" applyNumberFormat="1" applyFont="1" applyBorder="1"/>
    <xf numFmtId="37" fontId="11" fillId="0" borderId="0" xfId="0" applyNumberFormat="1" applyFont="1" applyAlignment="1">
      <alignment horizontal="right" vertical="top"/>
    </xf>
    <xf numFmtId="37" fontId="28" fillId="0" borderId="0" xfId="0" applyNumberFormat="1" applyFont="1"/>
    <xf numFmtId="37" fontId="29" fillId="0" borderId="0" xfId="0" applyNumberFormat="1" applyFont="1"/>
    <xf numFmtId="37" fontId="17" fillId="0" borderId="0" xfId="2" applyNumberFormat="1" applyFont="1" applyBorder="1" applyAlignment="1">
      <alignment horizontal="right" vertical="center" wrapText="1"/>
    </xf>
    <xf numFmtId="0" fontId="28" fillId="0" borderId="0" xfId="0" applyFont="1"/>
    <xf numFmtId="37" fontId="11" fillId="0" borderId="0" xfId="1" applyNumberFormat="1" applyFont="1" applyFill="1" applyBorder="1" applyAlignment="1">
      <alignment wrapText="1"/>
    </xf>
    <xf numFmtId="37" fontId="11" fillId="0" borderId="2" xfId="2" applyNumberFormat="1" applyFont="1" applyBorder="1" applyAlignment="1">
      <alignment horizontal="right" vertical="center"/>
    </xf>
    <xf numFmtId="37" fontId="11" fillId="0" borderId="6" xfId="2" applyNumberFormat="1" applyFont="1" applyBorder="1" applyAlignment="1">
      <alignment horizontal="right" vertical="center"/>
    </xf>
    <xf numFmtId="39" fontId="6" fillId="0" borderId="3" xfId="2" applyNumberFormat="1" applyFont="1" applyBorder="1" applyAlignment="1">
      <alignment horizontal="right" vertical="center"/>
    </xf>
    <xf numFmtId="39" fontId="6" fillId="0" borderId="4" xfId="2" applyNumberFormat="1" applyFont="1" applyBorder="1" applyAlignment="1">
      <alignment horizontal="right" vertical="center"/>
    </xf>
    <xf numFmtId="39" fontId="6" fillId="0" borderId="5" xfId="2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top" wrapText="1"/>
    </xf>
    <xf numFmtId="39" fontId="0" fillId="0" borderId="3" xfId="0" applyNumberFormat="1" applyBorder="1" applyAlignment="1">
      <alignment wrapText="1"/>
    </xf>
    <xf numFmtId="37" fontId="0" fillId="0" borderId="6" xfId="0" applyNumberFormat="1" applyBorder="1" applyAlignment="1">
      <alignment wrapText="1"/>
    </xf>
    <xf numFmtId="39" fontId="0" fillId="0" borderId="5" xfId="0" applyNumberFormat="1" applyBorder="1" applyAlignment="1">
      <alignment wrapText="1"/>
    </xf>
    <xf numFmtId="37" fontId="0" fillId="0" borderId="7" xfId="0" applyNumberFormat="1" applyBorder="1" applyAlignment="1">
      <alignment wrapText="1"/>
    </xf>
    <xf numFmtId="166" fontId="6" fillId="4" borderId="0" xfId="0" applyNumberFormat="1" applyFont="1" applyFill="1" applyAlignment="1">
      <alignment horizontal="center" vertical="center"/>
    </xf>
    <xf numFmtId="166" fontId="14" fillId="4" borderId="8" xfId="0" applyNumberFormat="1" applyFont="1" applyFill="1" applyBorder="1" applyAlignment="1">
      <alignment horizontal="center" vertical="center"/>
    </xf>
    <xf numFmtId="166" fontId="14" fillId="4" borderId="9" xfId="0" applyNumberFormat="1" applyFont="1" applyFill="1" applyBorder="1" applyAlignment="1">
      <alignment horizontal="center" vertical="center"/>
    </xf>
    <xf numFmtId="166" fontId="14" fillId="4" borderId="6" xfId="0" applyNumberFormat="1" applyFont="1" applyFill="1" applyBorder="1" applyAlignment="1">
      <alignment horizontal="center" vertical="center"/>
    </xf>
    <xf numFmtId="166" fontId="14" fillId="4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10" xfId="0" applyFont="1" applyBorder="1" applyAlignment="1">
      <alignment horizontal="left" indent="1"/>
    </xf>
    <xf numFmtId="37" fontId="27" fillId="0" borderId="10" xfId="0" applyNumberFormat="1" applyFont="1" applyBorder="1" applyAlignment="1">
      <alignment horizontal="right" vertical="top"/>
    </xf>
    <xf numFmtId="0" fontId="3" fillId="0" borderId="0" xfId="0" applyFont="1" applyAlignment="1">
      <alignment horizontal="left"/>
    </xf>
    <xf numFmtId="37" fontId="27" fillId="0" borderId="0" xfId="0" applyNumberFormat="1" applyFont="1" applyAlignment="1">
      <alignment horizontal="right" vertical="top"/>
    </xf>
    <xf numFmtId="44" fontId="11" fillId="0" borderId="0" xfId="3" applyFont="1" applyAlignment="1">
      <alignment horizontal="right" vertical="top"/>
    </xf>
    <xf numFmtId="0" fontId="3" fillId="0" borderId="2" xfId="0" applyFont="1" applyBorder="1"/>
    <xf numFmtId="37" fontId="5" fillId="0" borderId="1" xfId="0" applyNumberFormat="1" applyFont="1" applyBorder="1" applyAlignment="1">
      <alignment horizontal="right" vertical="top"/>
    </xf>
    <xf numFmtId="0" fontId="3" fillId="0" borderId="10" xfId="0" applyFont="1" applyBorder="1" applyAlignment="1">
      <alignment horizontal="left" indent="2"/>
    </xf>
    <xf numFmtId="0" fontId="0" fillId="0" borderId="2" xfId="0" applyBorder="1" applyAlignment="1">
      <alignment wrapText="1"/>
    </xf>
    <xf numFmtId="37" fontId="11" fillId="0" borderId="2" xfId="0" applyNumberFormat="1" applyFont="1" applyBorder="1" applyAlignment="1">
      <alignment horizontal="right" vertical="top"/>
    </xf>
    <xf numFmtId="37" fontId="5" fillId="0" borderId="2" xfId="1" applyNumberFormat="1" applyFont="1" applyBorder="1" applyAlignment="1">
      <alignment wrapText="1"/>
    </xf>
    <xf numFmtId="37" fontId="5" fillId="0" borderId="0" xfId="0" applyNumberFormat="1" applyFont="1" applyAlignment="1">
      <alignment horizontal="right" vertical="top"/>
    </xf>
    <xf numFmtId="37" fontId="12" fillId="0" borderId="1" xfId="0" applyNumberFormat="1" applyFont="1" applyBorder="1" applyAlignment="1">
      <alignment wrapText="1"/>
    </xf>
    <xf numFmtId="43" fontId="30" fillId="0" borderId="0" xfId="0" applyNumberFormat="1" applyFont="1" applyAlignment="1">
      <alignment vertical="top"/>
    </xf>
    <xf numFmtId="44" fontId="6" fillId="0" borderId="0" xfId="3" applyFont="1" applyBorder="1" applyAlignment="1">
      <alignment horizontal="right" vertical="top"/>
    </xf>
    <xf numFmtId="37" fontId="14" fillId="0" borderId="2" xfId="0" applyNumberFormat="1" applyFont="1" applyBorder="1" applyAlignment="1">
      <alignment wrapText="1"/>
    </xf>
    <xf numFmtId="37" fontId="14" fillId="0" borderId="1" xfId="0" applyNumberFormat="1" applyFont="1" applyBorder="1" applyAlignment="1">
      <alignment wrapText="1"/>
    </xf>
    <xf numFmtId="37" fontId="14" fillId="0" borderId="10" xfId="0" applyNumberFormat="1" applyFont="1" applyBorder="1" applyAlignment="1">
      <alignment wrapText="1"/>
    </xf>
    <xf numFmtId="44" fontId="12" fillId="0" borderId="0" xfId="3" applyFont="1" applyAlignment="1">
      <alignment wrapText="1"/>
    </xf>
    <xf numFmtId="37" fontId="19" fillId="0" borderId="7" xfId="2" applyNumberFormat="1" applyFont="1" applyBorder="1" applyAlignment="1">
      <alignment horizontal="right" vertical="center"/>
    </xf>
    <xf numFmtId="37" fontId="5" fillId="0" borderId="10" xfId="0" applyNumberFormat="1" applyFont="1" applyBorder="1" applyAlignment="1">
      <alignment horizontal="right" vertical="top"/>
    </xf>
    <xf numFmtId="0" fontId="8" fillId="2" borderId="0" xfId="0" applyFont="1" applyFill="1" applyAlignment="1">
      <alignment horizontal="center" vertical="center" wrapText="1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elix\Downloads\Rigetti%20Computing%20Financials.xlsx" TargetMode="External"/><Relationship Id="rId1" Type="http://schemas.openxmlformats.org/officeDocument/2006/relationships/externalLinkPath" Target="Rigetti%20Computing%20Financ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rm Background"/>
      <sheetName val="3-Statement Model "/>
      <sheetName val="EBITDA &amp; FCF Analysis"/>
      <sheetName val="DCF"/>
      <sheetName val="Peer Comps "/>
    </sheetNames>
    <sheetDataSet>
      <sheetData sheetId="0"/>
      <sheetData sheetId="1">
        <row r="101">
          <cell r="B101" t="str">
            <v>Depreciation and amortization</v>
          </cell>
        </row>
        <row r="102">
          <cell r="B102" t="str">
            <v>Stock-based compensation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19A9-859E-45EB-AC60-BF3EE31E83E5}">
  <dimension ref="A1:Y179"/>
  <sheetViews>
    <sheetView showGridLines="0" tabSelected="1" zoomScale="10" zoomScaleNormal="10" workbookViewId="0">
      <selection activeCell="DG112" sqref="DG112"/>
    </sheetView>
  </sheetViews>
  <sheetFormatPr defaultRowHeight="15" outlineLevelCol="1"/>
  <cols>
    <col min="1" max="1" width="2.42578125" style="6" customWidth="1"/>
    <col min="2" max="2" width="60" style="6" customWidth="1"/>
    <col min="3" max="7" width="12" style="6" bestFit="1" customWidth="1"/>
    <col min="8" max="8" width="3.140625" style="6" customWidth="1"/>
    <col min="9" max="12" width="13.5703125" style="6" customWidth="1" outlineLevel="1"/>
    <col min="13" max="14" width="13.5703125" style="6" customWidth="1"/>
    <col min="15" max="15" width="13" style="6" customWidth="1"/>
    <col min="16" max="16" width="13.5703125" style="6" customWidth="1"/>
    <col min="17" max="17" width="13" style="6" bestFit="1" customWidth="1"/>
    <col min="18" max="18" width="13.5703125" style="6" bestFit="1" customWidth="1"/>
    <col min="19" max="20" width="11.140625" style="6" bestFit="1" customWidth="1"/>
    <col min="21" max="21" width="3.140625" style="6" customWidth="1"/>
    <col min="22" max="22" width="11.85546875" style="6" bestFit="1" customWidth="1"/>
    <col min="23" max="23" width="11.7109375" style="6" bestFit="1" customWidth="1"/>
    <col min="24" max="24" width="1.42578125" style="6" customWidth="1"/>
    <col min="25" max="25" width="11.42578125" style="6" bestFit="1" customWidth="1"/>
    <col min="26" max="26" width="1.5703125" style="6" customWidth="1"/>
    <col min="27" max="16384" width="9.140625" style="6"/>
  </cols>
  <sheetData>
    <row r="1" spans="1:25" ht="6" customHeight="1">
      <c r="A1" s="6" t="s">
        <v>14</v>
      </c>
    </row>
    <row r="2" spans="1:25">
      <c r="B2" s="7" t="s">
        <v>159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>
      <c r="B3" s="9" t="s">
        <v>160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5.25" customHeight="1">
      <c r="B4" s="10"/>
    </row>
    <row r="5" spans="1:25" ht="15.75" thickBot="1">
      <c r="B5" s="11"/>
      <c r="C5" s="11" t="s">
        <v>4</v>
      </c>
      <c r="D5" s="11"/>
      <c r="E5" s="11"/>
      <c r="F5" s="11"/>
      <c r="G5" s="11"/>
      <c r="I5" s="11" t="s">
        <v>5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V5" s="11" t="s">
        <v>6</v>
      </c>
      <c r="W5" s="11"/>
      <c r="X5" s="12"/>
      <c r="Y5" s="11" t="s">
        <v>16</v>
      </c>
    </row>
    <row r="6" spans="1:25" ht="4.5" customHeight="1"/>
    <row r="7" spans="1:25">
      <c r="A7" s="6" t="s">
        <v>17</v>
      </c>
      <c r="B7" s="7" t="s">
        <v>18</v>
      </c>
      <c r="C7" s="133" t="s">
        <v>77</v>
      </c>
      <c r="D7" s="133" t="s">
        <v>19</v>
      </c>
      <c r="E7" s="133" t="s">
        <v>20</v>
      </c>
      <c r="F7" s="133" t="s">
        <v>21</v>
      </c>
      <c r="G7" s="133" t="s">
        <v>80</v>
      </c>
      <c r="I7" s="133" t="s">
        <v>60</v>
      </c>
      <c r="J7" s="133" t="s">
        <v>61</v>
      </c>
      <c r="K7" s="133" t="s">
        <v>62</v>
      </c>
      <c r="L7" s="133" t="s">
        <v>63</v>
      </c>
      <c r="M7" s="133" t="s">
        <v>64</v>
      </c>
      <c r="N7" s="133" t="s">
        <v>65</v>
      </c>
      <c r="O7" s="133" t="s">
        <v>66</v>
      </c>
      <c r="P7" s="133" t="s">
        <v>67</v>
      </c>
      <c r="Q7" s="133" t="s">
        <v>68</v>
      </c>
      <c r="R7" s="133" t="s">
        <v>69</v>
      </c>
      <c r="S7" s="133" t="s">
        <v>70</v>
      </c>
      <c r="T7" s="133" t="s">
        <v>157</v>
      </c>
      <c r="U7" s="151"/>
      <c r="V7" s="13" t="str">
        <f>O7</f>
        <v>3Q23</v>
      </c>
      <c r="W7" s="13" t="str">
        <f>S7</f>
        <v>3Q24</v>
      </c>
      <c r="X7" s="14"/>
      <c r="Y7" s="186" t="s">
        <v>22</v>
      </c>
    </row>
    <row r="8" spans="1:25">
      <c r="B8" s="15" t="s">
        <v>164</v>
      </c>
      <c r="C8" s="134">
        <v>44196</v>
      </c>
      <c r="D8" s="134">
        <v>44561</v>
      </c>
      <c r="E8" s="134">
        <v>44926</v>
      </c>
      <c r="F8" s="134">
        <v>45291</v>
      </c>
      <c r="G8" s="134">
        <v>45657</v>
      </c>
      <c r="I8" s="135">
        <v>44651</v>
      </c>
      <c r="J8" s="135">
        <v>44742</v>
      </c>
      <c r="K8" s="135">
        <v>44834</v>
      </c>
      <c r="L8" s="135">
        <v>44926</v>
      </c>
      <c r="M8" s="135">
        <v>45016</v>
      </c>
      <c r="N8" s="135">
        <v>45107</v>
      </c>
      <c r="O8" s="135">
        <v>45199</v>
      </c>
      <c r="P8" s="135">
        <v>45291</v>
      </c>
      <c r="Q8" s="135">
        <v>45382</v>
      </c>
      <c r="R8" s="135">
        <v>45473</v>
      </c>
      <c r="S8" s="135">
        <v>45565</v>
      </c>
      <c r="T8" s="135">
        <v>45657</v>
      </c>
      <c r="U8" s="152"/>
      <c r="V8" s="16">
        <f>O8</f>
        <v>45199</v>
      </c>
      <c r="W8" s="16">
        <f>S8</f>
        <v>45565</v>
      </c>
      <c r="X8" s="17"/>
      <c r="Y8" s="186"/>
    </row>
    <row r="9" spans="1:25" ht="3.75" customHeight="1">
      <c r="B9" s="18"/>
      <c r="C9" s="17"/>
      <c r="D9" s="17"/>
      <c r="E9" s="17"/>
      <c r="F9" s="17"/>
      <c r="G9" s="17"/>
      <c r="I9" s="19"/>
      <c r="J9" s="19"/>
      <c r="K9" s="19"/>
      <c r="L9" s="19"/>
      <c r="M9" s="19"/>
      <c r="N9" s="19"/>
      <c r="O9" s="19"/>
      <c r="P9" s="19"/>
      <c r="Q9" s="19"/>
      <c r="R9" s="19"/>
      <c r="V9" s="19"/>
      <c r="W9" s="19"/>
      <c r="X9" s="19"/>
    </row>
    <row r="10" spans="1:25">
      <c r="B10" s="38" t="s">
        <v>7</v>
      </c>
      <c r="C10" s="39">
        <f>SUM(C11:C12)</f>
        <v>23531</v>
      </c>
      <c r="D10" s="39">
        <f>SUM(D11:D12)</f>
        <v>33566</v>
      </c>
      <c r="E10" s="39">
        <f>SUM(E11:E12)</f>
        <v>44200</v>
      </c>
      <c r="F10" s="39">
        <f>SUM(F11:F12)</f>
        <v>35820</v>
      </c>
      <c r="G10" s="39">
        <f>SUM(G11:G12)</f>
        <v>38962</v>
      </c>
      <c r="H10" s="23"/>
      <c r="I10" s="39">
        <f t="shared" ref="I10" si="0">SUM(I11:I12)</f>
        <v>10705</v>
      </c>
      <c r="J10" s="39">
        <f t="shared" ref="J10" si="1">SUM(J11:J12)</f>
        <v>11164</v>
      </c>
      <c r="K10" s="39">
        <f t="shared" ref="K10" si="2">SUM(K11:K12)</f>
        <v>10936</v>
      </c>
      <c r="L10" s="1">
        <f>SUM(E10-SUM(I10:K10))</f>
        <v>11395</v>
      </c>
      <c r="M10" s="39">
        <f t="shared" ref="M10" si="3">SUM(M11:M12)</f>
        <v>9463</v>
      </c>
      <c r="N10" s="39">
        <f t="shared" ref="N10" si="4">SUM(N11:N12)</f>
        <v>9275</v>
      </c>
      <c r="O10" s="39">
        <f t="shared" ref="O10" si="5">SUM(O11:O12)</f>
        <v>8451</v>
      </c>
      <c r="P10" s="1">
        <f>SUM(F10-SUM(M10:O10))</f>
        <v>8631</v>
      </c>
      <c r="Q10" s="39">
        <f t="shared" ref="Q10:R10" si="6">SUM(Q11:Q12)</f>
        <v>9935</v>
      </c>
      <c r="R10" s="39">
        <f t="shared" si="6"/>
        <v>9389</v>
      </c>
      <c r="S10" s="39">
        <f>SUM(S11:S12)</f>
        <v>9393</v>
      </c>
      <c r="T10" s="1">
        <f t="shared" ref="T10:T13" si="7">SUM(G10-SUM(Q10:S10))</f>
        <v>10245</v>
      </c>
      <c r="V10" s="23">
        <f t="shared" ref="V10:V13" si="8">SUM(M10:P10)</f>
        <v>35820</v>
      </c>
      <c r="W10" s="23">
        <f t="shared" ref="W10:W13" si="9">SUM(Q10:T10)</f>
        <v>38962</v>
      </c>
      <c r="X10" s="24"/>
      <c r="Y10" s="25">
        <f>SUM(W10/V10)-1</f>
        <v>8.7716359575656044E-2</v>
      </c>
    </row>
    <row r="11" spans="1:25">
      <c r="B11" s="26" t="s">
        <v>78</v>
      </c>
      <c r="C11" s="20">
        <v>16298</v>
      </c>
      <c r="D11" s="20">
        <v>26741</v>
      </c>
      <c r="E11" s="20">
        <v>37171</v>
      </c>
      <c r="F11" s="20">
        <v>30028</v>
      </c>
      <c r="G11" s="20">
        <v>32791</v>
      </c>
      <c r="H11" s="23"/>
      <c r="I11" s="22">
        <v>8682</v>
      </c>
      <c r="J11" s="22">
        <v>9417</v>
      </c>
      <c r="K11" s="22">
        <v>9266</v>
      </c>
      <c r="L11" s="1">
        <f t="shared" ref="L11:L13" si="10">SUM(E11-SUM(I11:K11))</f>
        <v>9806</v>
      </c>
      <c r="M11" s="22">
        <v>7784</v>
      </c>
      <c r="N11" s="22">
        <v>7846</v>
      </c>
      <c r="O11" s="22">
        <v>7108</v>
      </c>
      <c r="P11" s="1">
        <f t="shared" ref="P11:P13" si="11">SUM(F11-SUM(M11:O11))</f>
        <v>7290</v>
      </c>
      <c r="Q11" s="22">
        <v>8316</v>
      </c>
      <c r="R11" s="22">
        <v>7950</v>
      </c>
      <c r="S11" s="22">
        <v>7993</v>
      </c>
      <c r="T11" s="1">
        <f t="shared" si="7"/>
        <v>8532</v>
      </c>
      <c r="V11" s="23">
        <f t="shared" si="8"/>
        <v>30028</v>
      </c>
      <c r="W11" s="23">
        <f t="shared" si="9"/>
        <v>32791</v>
      </c>
      <c r="X11" s="24"/>
      <c r="Y11" s="25">
        <f t="shared" ref="Y11:Y13" si="12">SUM(W11/V11)-1</f>
        <v>9.2014120154522372E-2</v>
      </c>
    </row>
    <row r="12" spans="1:25">
      <c r="B12" s="26" t="s">
        <v>79</v>
      </c>
      <c r="C12" s="20">
        <v>7233</v>
      </c>
      <c r="D12" s="20">
        <v>6825</v>
      </c>
      <c r="E12" s="20">
        <v>7029</v>
      </c>
      <c r="F12" s="20">
        <v>5792</v>
      </c>
      <c r="G12" s="20">
        <v>6171</v>
      </c>
      <c r="H12" s="23"/>
      <c r="I12" s="22">
        <v>2023</v>
      </c>
      <c r="J12" s="22">
        <v>1747</v>
      </c>
      <c r="K12" s="22">
        <v>1670</v>
      </c>
      <c r="L12" s="1">
        <f t="shared" si="10"/>
        <v>1589</v>
      </c>
      <c r="M12" s="22">
        <v>1679</v>
      </c>
      <c r="N12" s="22">
        <v>1429</v>
      </c>
      <c r="O12" s="22">
        <v>1343</v>
      </c>
      <c r="P12" s="1">
        <f t="shared" si="11"/>
        <v>1341</v>
      </c>
      <c r="Q12" s="22">
        <v>1619</v>
      </c>
      <c r="R12" s="22">
        <v>1439</v>
      </c>
      <c r="S12" s="22">
        <v>1400</v>
      </c>
      <c r="T12" s="1">
        <f t="shared" si="7"/>
        <v>1713</v>
      </c>
      <c r="V12" s="23">
        <f t="shared" si="8"/>
        <v>5792</v>
      </c>
      <c r="W12" s="23">
        <f t="shared" si="9"/>
        <v>6171</v>
      </c>
      <c r="X12" s="24"/>
      <c r="Y12" s="25">
        <f t="shared" si="12"/>
        <v>6.5435082872928207E-2</v>
      </c>
    </row>
    <row r="13" spans="1:25">
      <c r="B13" s="153" t="s">
        <v>8</v>
      </c>
      <c r="C13" s="39">
        <v>-9255</v>
      </c>
      <c r="D13" s="39">
        <v>-14262</v>
      </c>
      <c r="E13" s="39">
        <v>-18635</v>
      </c>
      <c r="F13" s="39">
        <v>-15869</v>
      </c>
      <c r="G13" s="39">
        <v>-17060</v>
      </c>
      <c r="H13" s="23"/>
      <c r="I13" s="39">
        <v>-4303</v>
      </c>
      <c r="J13" s="39">
        <v>-4648</v>
      </c>
      <c r="K13" s="39">
        <v>-4816</v>
      </c>
      <c r="L13" s="1">
        <f t="shared" si="10"/>
        <v>-4868</v>
      </c>
      <c r="M13" s="39">
        <v>-4044</v>
      </c>
      <c r="N13" s="39">
        <v>-4153</v>
      </c>
      <c r="O13" s="39">
        <v>-3792</v>
      </c>
      <c r="P13" s="1">
        <f t="shared" si="11"/>
        <v>-3880</v>
      </c>
      <c r="Q13" s="39">
        <v>-4312</v>
      </c>
      <c r="R13" s="39">
        <v>-4106</v>
      </c>
      <c r="S13" s="39">
        <v>-4174</v>
      </c>
      <c r="T13" s="1">
        <f t="shared" si="7"/>
        <v>-4468</v>
      </c>
      <c r="V13" s="23">
        <f t="shared" si="8"/>
        <v>-15869</v>
      </c>
      <c r="W13" s="23">
        <f t="shared" si="9"/>
        <v>-17060</v>
      </c>
      <c r="X13" s="23"/>
      <c r="Y13" s="25">
        <f t="shared" si="12"/>
        <v>7.5051988153002736E-2</v>
      </c>
    </row>
    <row r="14" spans="1:25">
      <c r="B14" s="27" t="s">
        <v>23</v>
      </c>
      <c r="C14" s="28">
        <f>SUM(C10+C13)</f>
        <v>14276</v>
      </c>
      <c r="D14" s="28">
        <f>SUM(D10+D13)</f>
        <v>19304</v>
      </c>
      <c r="E14" s="28">
        <f>SUM(E10+E13)</f>
        <v>25565</v>
      </c>
      <c r="F14" s="28">
        <f>SUM(F10+F13)</f>
        <v>19951</v>
      </c>
      <c r="G14" s="28">
        <f>SUM(G10+G13)</f>
        <v>21902</v>
      </c>
      <c r="H14" s="21"/>
      <c r="I14" s="28">
        <f t="shared" ref="I14:T14" si="13">SUM(I10+I13)</f>
        <v>6402</v>
      </c>
      <c r="J14" s="28">
        <f t="shared" si="13"/>
        <v>6516</v>
      </c>
      <c r="K14" s="28">
        <f t="shared" si="13"/>
        <v>6120</v>
      </c>
      <c r="L14" s="28">
        <f t="shared" si="13"/>
        <v>6527</v>
      </c>
      <c r="M14" s="28">
        <f t="shared" si="13"/>
        <v>5419</v>
      </c>
      <c r="N14" s="28">
        <f t="shared" si="13"/>
        <v>5122</v>
      </c>
      <c r="O14" s="28">
        <f t="shared" si="13"/>
        <v>4659</v>
      </c>
      <c r="P14" s="28">
        <f t="shared" si="13"/>
        <v>4751</v>
      </c>
      <c r="Q14" s="28">
        <f t="shared" si="13"/>
        <v>5623</v>
      </c>
      <c r="R14" s="28">
        <f t="shared" si="13"/>
        <v>5283</v>
      </c>
      <c r="S14" s="28">
        <f t="shared" si="13"/>
        <v>5219</v>
      </c>
      <c r="T14" s="28">
        <f t="shared" si="13"/>
        <v>5777</v>
      </c>
      <c r="V14" s="28">
        <f>SUM(V10+V13)</f>
        <v>19951</v>
      </c>
      <c r="W14" s="28">
        <f>SUM(W10+W13)</f>
        <v>21902</v>
      </c>
      <c r="X14" s="29"/>
      <c r="Y14" s="30">
        <f>SUM(W14/V14)-1</f>
        <v>9.778958448198094E-2</v>
      </c>
    </row>
    <row r="15" spans="1:25">
      <c r="B15" s="31" t="s">
        <v>24</v>
      </c>
      <c r="C15" s="32"/>
      <c r="D15" s="33">
        <f t="shared" ref="D15:E15" si="14">D14/C14-1</f>
        <v>0.35219949565704689</v>
      </c>
      <c r="E15" s="33">
        <f t="shared" si="14"/>
        <v>0.32433692498963951</v>
      </c>
      <c r="F15" s="33">
        <f>F14/E14-1</f>
        <v>-0.21959710541756305</v>
      </c>
      <c r="G15" s="33">
        <f>G14/F14-1</f>
        <v>9.778958448198094E-2</v>
      </c>
      <c r="H15" s="33"/>
      <c r="I15" s="33"/>
      <c r="J15" s="33">
        <f t="shared" ref="J15:T15" si="15">J14/I14-1</f>
        <v>1.7806935332708607E-2</v>
      </c>
      <c r="K15" s="33">
        <f t="shared" si="15"/>
        <v>-6.0773480662983381E-2</v>
      </c>
      <c r="L15" s="33">
        <f t="shared" si="15"/>
        <v>6.6503267973856195E-2</v>
      </c>
      <c r="M15" s="33">
        <f t="shared" si="15"/>
        <v>-0.16975639650681784</v>
      </c>
      <c r="N15" s="33">
        <f t="shared" si="15"/>
        <v>-5.4807159992618537E-2</v>
      </c>
      <c r="O15" s="33">
        <f t="shared" si="15"/>
        <v>-9.0394377196407638E-2</v>
      </c>
      <c r="P15" s="33">
        <f>P14/O14-1</f>
        <v>1.9746726765400346E-2</v>
      </c>
      <c r="Q15" s="33">
        <f t="shared" si="15"/>
        <v>0.18354030730372561</v>
      </c>
      <c r="R15" s="33">
        <f t="shared" si="15"/>
        <v>-6.0465943446558756E-2</v>
      </c>
      <c r="S15" s="33">
        <f t="shared" si="15"/>
        <v>-1.2114328979746403E-2</v>
      </c>
      <c r="T15" s="33">
        <f t="shared" si="15"/>
        <v>0.1069170339145431</v>
      </c>
      <c r="W15" s="33">
        <f>W14/V14-1</f>
        <v>9.778958448198094E-2</v>
      </c>
      <c r="X15" s="29"/>
      <c r="Y15" s="34"/>
    </row>
    <row r="16" spans="1:25">
      <c r="B16" s="31" t="s">
        <v>25</v>
      </c>
      <c r="C16" s="33">
        <f>SUM(C14/C10)</f>
        <v>0.606689048489227</v>
      </c>
      <c r="D16" s="33">
        <f>SUM(D14/D10)</f>
        <v>0.57510576178275641</v>
      </c>
      <c r="E16" s="33">
        <f>SUM(E14/E10)</f>
        <v>0.5783936651583711</v>
      </c>
      <c r="F16" s="33">
        <f>SUM(F14/F10)</f>
        <v>0.55697934115019543</v>
      </c>
      <c r="G16" s="33">
        <f>SUM(G14/G10)</f>
        <v>0.56213746727580716</v>
      </c>
      <c r="H16" s="33"/>
      <c r="I16" s="33">
        <f t="shared" ref="I16:T16" si="16">SUM(I14/I10)</f>
        <v>0.59803829985987855</v>
      </c>
      <c r="J16" s="33">
        <f t="shared" si="16"/>
        <v>0.58366176997491936</v>
      </c>
      <c r="K16" s="33">
        <f t="shared" si="16"/>
        <v>0.55961960497439645</v>
      </c>
      <c r="L16" s="33">
        <f t="shared" si="16"/>
        <v>0.57279508556384384</v>
      </c>
      <c r="M16" s="33">
        <f t="shared" si="16"/>
        <v>0.57265137905526786</v>
      </c>
      <c r="N16" s="33">
        <f t="shared" si="16"/>
        <v>0.55223719676549865</v>
      </c>
      <c r="O16" s="33">
        <f t="shared" si="16"/>
        <v>0.55129570465033728</v>
      </c>
      <c r="P16" s="33">
        <f t="shared" si="16"/>
        <v>0.55045765264743363</v>
      </c>
      <c r="Q16" s="33">
        <f t="shared" si="16"/>
        <v>0.56597886260694519</v>
      </c>
      <c r="R16" s="33">
        <f t="shared" si="16"/>
        <v>0.56267973160080942</v>
      </c>
      <c r="S16" s="33">
        <f t="shared" si="16"/>
        <v>0.555626530394975</v>
      </c>
      <c r="T16" s="33">
        <f t="shared" si="16"/>
        <v>0.56388482186432409</v>
      </c>
      <c r="V16" s="33">
        <f>SUM(V14/V10)</f>
        <v>0.55697934115019543</v>
      </c>
      <c r="W16" s="33">
        <f>SUM(W14/W10)</f>
        <v>0.56213746727580716</v>
      </c>
      <c r="X16" s="29"/>
      <c r="Y16" s="25">
        <f>SUM(W16/V16)-1</f>
        <v>9.2608930790141208E-3</v>
      </c>
    </row>
    <row r="17" spans="2:25" ht="2.25" customHeight="1">
      <c r="B17" s="35" t="s">
        <v>26</v>
      </c>
      <c r="C17" s="32">
        <v>49</v>
      </c>
      <c r="D17" s="32">
        <v>49</v>
      </c>
      <c r="E17" s="32">
        <v>49</v>
      </c>
      <c r="F17" s="32">
        <v>2777</v>
      </c>
      <c r="G17" s="32">
        <v>7833</v>
      </c>
      <c r="I17" s="32"/>
      <c r="J17" s="32"/>
      <c r="K17" s="32"/>
      <c r="L17" s="32"/>
      <c r="M17" s="32">
        <v>-28777</v>
      </c>
      <c r="N17" s="32">
        <v>-27879</v>
      </c>
      <c r="O17" s="32"/>
      <c r="P17" s="32">
        <v>-19934</v>
      </c>
      <c r="Q17" s="32">
        <v>-61402</v>
      </c>
      <c r="R17" s="32"/>
      <c r="V17" s="36"/>
      <c r="W17" s="36"/>
      <c r="X17" s="36"/>
      <c r="Y17" s="37"/>
    </row>
    <row r="18" spans="2:25">
      <c r="B18" s="38" t="s">
        <v>71</v>
      </c>
      <c r="C18" s="20"/>
      <c r="D18" s="20"/>
      <c r="E18" s="20"/>
      <c r="F18" s="20"/>
      <c r="G18" s="20"/>
      <c r="I18" s="20"/>
      <c r="J18" s="20"/>
      <c r="K18" s="39"/>
      <c r="L18" s="20"/>
      <c r="M18" s="20"/>
      <c r="N18" s="20"/>
      <c r="O18" s="39"/>
      <c r="P18" s="20"/>
      <c r="Q18" s="20"/>
      <c r="R18" s="20"/>
      <c r="V18" s="23"/>
      <c r="W18" s="23"/>
      <c r="X18" s="23"/>
      <c r="Y18" s="40"/>
    </row>
    <row r="19" spans="2:25">
      <c r="B19" s="26" t="s">
        <v>9</v>
      </c>
      <c r="C19" s="140">
        <v>-5975</v>
      </c>
      <c r="D19" s="140">
        <v>-7176</v>
      </c>
      <c r="E19" s="140">
        <v>-8194</v>
      </c>
      <c r="F19" s="140">
        <v>-8818</v>
      </c>
      <c r="G19" s="140">
        <v>-8893</v>
      </c>
      <c r="H19" s="141"/>
      <c r="I19" s="140">
        <v>-1930</v>
      </c>
      <c r="J19" s="140">
        <v>-2034</v>
      </c>
      <c r="K19" s="140">
        <v>-2052</v>
      </c>
      <c r="L19" s="1">
        <f t="shared" ref="L19:L21" si="17">SUM(E19-SUM(I19:K19))</f>
        <v>-2178</v>
      </c>
      <c r="M19" s="140">
        <v>-2251</v>
      </c>
      <c r="N19" s="140">
        <v>-2210</v>
      </c>
      <c r="O19" s="140">
        <v>-2222</v>
      </c>
      <c r="P19" s="1">
        <f t="shared" ref="P19:P21" si="18">SUM(F19-SUM(M19:O19))</f>
        <v>-2135</v>
      </c>
      <c r="Q19" s="140">
        <v>-2096</v>
      </c>
      <c r="R19" s="140">
        <v>-2236</v>
      </c>
      <c r="S19" s="140">
        <v>-2259</v>
      </c>
      <c r="T19" s="1">
        <f t="shared" ref="T19:T21" si="19">SUM(G19-SUM(Q19:S19))</f>
        <v>-2302</v>
      </c>
      <c r="V19" s="23">
        <f>SUM(M19:P19)</f>
        <v>-8818</v>
      </c>
      <c r="W19" s="23">
        <f>SUM(Q19:T19)</f>
        <v>-8893</v>
      </c>
      <c r="X19" s="23"/>
      <c r="Y19" s="25">
        <f t="shared" ref="Y19:Y21" si="20">SUM(W19/V19)-1</f>
        <v>8.5053300068043125E-3</v>
      </c>
    </row>
    <row r="20" spans="2:25">
      <c r="B20" s="26" t="s">
        <v>81</v>
      </c>
      <c r="C20" s="140">
        <v>-2074</v>
      </c>
      <c r="D20" s="140">
        <v>-2339</v>
      </c>
      <c r="E20" s="140">
        <v>-2570</v>
      </c>
      <c r="F20" s="140">
        <v>-2483</v>
      </c>
      <c r="G20" s="140">
        <v>-2759</v>
      </c>
      <c r="H20" s="141"/>
      <c r="I20" s="140">
        <v>-608</v>
      </c>
      <c r="J20" s="140">
        <v>-624</v>
      </c>
      <c r="K20" s="140">
        <v>-655</v>
      </c>
      <c r="L20" s="1">
        <f t="shared" si="17"/>
        <v>-683</v>
      </c>
      <c r="M20" s="140">
        <v>-623</v>
      </c>
      <c r="N20" s="140">
        <v>-614</v>
      </c>
      <c r="O20" s="140">
        <v>-618</v>
      </c>
      <c r="P20" s="1">
        <f t="shared" si="18"/>
        <v>-628</v>
      </c>
      <c r="Q20" s="140">
        <v>-627</v>
      </c>
      <c r="R20" s="140">
        <v>-707</v>
      </c>
      <c r="S20" s="140">
        <v>-664</v>
      </c>
      <c r="T20" s="1">
        <f t="shared" si="19"/>
        <v>-761</v>
      </c>
      <c r="V20" s="23">
        <f t="shared" ref="V20:V21" si="21">SUM(M20:P20)</f>
        <v>-2483</v>
      </c>
      <c r="W20" s="23">
        <f t="shared" ref="W20:W21" si="22">SUM(Q20:T20)</f>
        <v>-2759</v>
      </c>
      <c r="X20" s="23"/>
      <c r="Y20" s="25">
        <f t="shared" si="20"/>
        <v>0.1111558598469593</v>
      </c>
    </row>
    <row r="21" spans="2:25">
      <c r="B21" s="26" t="s">
        <v>158</v>
      </c>
      <c r="C21" s="140">
        <v>28</v>
      </c>
      <c r="D21" s="140">
        <v>0</v>
      </c>
      <c r="E21" s="140">
        <v>1059</v>
      </c>
      <c r="F21" s="140">
        <v>-862</v>
      </c>
      <c r="G21" s="140">
        <v>-179</v>
      </c>
      <c r="H21" s="141"/>
      <c r="I21" s="140">
        <v>0</v>
      </c>
      <c r="J21" s="140">
        <v>0</v>
      </c>
      <c r="K21" s="140">
        <v>1059</v>
      </c>
      <c r="L21" s="1">
        <f t="shared" si="17"/>
        <v>0</v>
      </c>
      <c r="M21" s="140">
        <v>-80</v>
      </c>
      <c r="N21" s="140">
        <v>-208</v>
      </c>
      <c r="O21" s="140">
        <v>4</v>
      </c>
      <c r="P21" s="1">
        <f t="shared" si="18"/>
        <v>-578</v>
      </c>
      <c r="Q21" s="140">
        <v>28</v>
      </c>
      <c r="R21" s="140">
        <v>0</v>
      </c>
      <c r="S21" s="140">
        <v>-75</v>
      </c>
      <c r="T21" s="1">
        <f t="shared" si="19"/>
        <v>-132</v>
      </c>
      <c r="V21" s="23">
        <f t="shared" si="21"/>
        <v>-862</v>
      </c>
      <c r="W21" s="23">
        <f t="shared" si="22"/>
        <v>-179</v>
      </c>
      <c r="X21" s="23"/>
      <c r="Y21" s="25">
        <f t="shared" si="20"/>
        <v>-0.79234338747099764</v>
      </c>
    </row>
    <row r="22" spans="2:25">
      <c r="B22" s="41" t="s">
        <v>28</v>
      </c>
      <c r="C22" s="28">
        <f>SUM(C19:C21)+C14</f>
        <v>6255</v>
      </c>
      <c r="D22" s="28">
        <f t="shared" ref="D22:G22" si="23">SUM(D19:D21)+D14</f>
        <v>9789</v>
      </c>
      <c r="E22" s="28">
        <f t="shared" si="23"/>
        <v>15860</v>
      </c>
      <c r="F22" s="28">
        <f t="shared" si="23"/>
        <v>7788</v>
      </c>
      <c r="G22" s="28">
        <f t="shared" si="23"/>
        <v>10071</v>
      </c>
      <c r="I22" s="28">
        <f t="shared" ref="I22:T22" si="24">SUM(I14+SUM(I19:I21))</f>
        <v>3864</v>
      </c>
      <c r="J22" s="28">
        <f t="shared" si="24"/>
        <v>3858</v>
      </c>
      <c r="K22" s="28">
        <f t="shared" si="24"/>
        <v>4472</v>
      </c>
      <c r="L22" s="28">
        <f t="shared" si="24"/>
        <v>3666</v>
      </c>
      <c r="M22" s="28">
        <f t="shared" si="24"/>
        <v>2465</v>
      </c>
      <c r="N22" s="28">
        <f t="shared" si="24"/>
        <v>2090</v>
      </c>
      <c r="O22" s="28">
        <f t="shared" si="24"/>
        <v>1823</v>
      </c>
      <c r="P22" s="28">
        <f t="shared" si="24"/>
        <v>1410</v>
      </c>
      <c r="Q22" s="28">
        <f t="shared" si="24"/>
        <v>2928</v>
      </c>
      <c r="R22" s="28">
        <f t="shared" si="24"/>
        <v>2340</v>
      </c>
      <c r="S22" s="28">
        <f t="shared" si="24"/>
        <v>2221</v>
      </c>
      <c r="T22" s="28">
        <f t="shared" si="24"/>
        <v>2582</v>
      </c>
      <c r="V22" s="28">
        <f>SUM(V14+SUM(V19:V21))</f>
        <v>7788</v>
      </c>
      <c r="W22" s="28">
        <f>SUM(W14+SUM(W19:W21))</f>
        <v>10071</v>
      </c>
      <c r="X22" s="29"/>
      <c r="Y22" s="30">
        <f>SUM(W22/V22)-1</f>
        <v>0.29314329738058542</v>
      </c>
    </row>
    <row r="23" spans="2:25">
      <c r="B23" s="31" t="s">
        <v>24</v>
      </c>
      <c r="C23" s="42"/>
      <c r="D23" s="33">
        <f t="shared" ref="D23:E23" si="25">D22/C22-1</f>
        <v>0.56498800959232609</v>
      </c>
      <c r="E23" s="33">
        <f t="shared" si="25"/>
        <v>0.62018592297476749</v>
      </c>
      <c r="F23" s="33">
        <f>F22/E22-1</f>
        <v>-0.50895334174022699</v>
      </c>
      <c r="G23" s="33">
        <f>G22/F22-1</f>
        <v>0.29314329738058542</v>
      </c>
      <c r="H23" s="33"/>
      <c r="I23" s="33"/>
      <c r="J23" s="33">
        <f t="shared" ref="J23:T23" si="26">J22/I22-1</f>
        <v>-1.5527950310558758E-3</v>
      </c>
      <c r="K23" s="33">
        <f t="shared" si="26"/>
        <v>0.1591498185588387</v>
      </c>
      <c r="L23" s="33">
        <f t="shared" si="26"/>
        <v>-0.18023255813953487</v>
      </c>
      <c r="M23" s="33">
        <f t="shared" si="26"/>
        <v>-0.32760501909438078</v>
      </c>
      <c r="N23" s="33">
        <f t="shared" si="26"/>
        <v>-0.15212981744421905</v>
      </c>
      <c r="O23" s="33">
        <f t="shared" si="26"/>
        <v>-0.12775119617224884</v>
      </c>
      <c r="P23" s="33">
        <f t="shared" si="26"/>
        <v>-0.22654964344487105</v>
      </c>
      <c r="Q23" s="33">
        <f t="shared" si="26"/>
        <v>1.076595744680851</v>
      </c>
      <c r="R23" s="33">
        <f t="shared" si="26"/>
        <v>-0.20081967213114749</v>
      </c>
      <c r="S23" s="33">
        <f t="shared" si="26"/>
        <v>-5.0854700854700896E-2</v>
      </c>
      <c r="T23" s="33">
        <f t="shared" si="26"/>
        <v>0.16253939666816741</v>
      </c>
      <c r="W23" s="33">
        <f>W22/V22-1</f>
        <v>0.29314329738058542</v>
      </c>
      <c r="X23" s="43"/>
      <c r="Y23" s="40"/>
    </row>
    <row r="24" spans="2:25">
      <c r="B24" s="31" t="s">
        <v>29</v>
      </c>
      <c r="C24" s="33">
        <f>SUM(C22/C10)</f>
        <v>0.26581955717989036</v>
      </c>
      <c r="D24" s="33">
        <f>SUM(D22/D10)</f>
        <v>0.2916343919442293</v>
      </c>
      <c r="E24" s="33">
        <f>SUM(E22/E10)</f>
        <v>0.35882352941176471</v>
      </c>
      <c r="F24" s="33">
        <f>SUM(F22/F10)</f>
        <v>0.21742043551088777</v>
      </c>
      <c r="G24" s="33">
        <f>SUM(G22/G10)</f>
        <v>0.25848262409527234</v>
      </c>
      <c r="H24" s="33"/>
      <c r="I24" s="33">
        <f t="shared" ref="I24:T24" si="27">SUM(I22/I10)</f>
        <v>0.36095282578234472</v>
      </c>
      <c r="J24" s="33">
        <f t="shared" si="27"/>
        <v>0.34557506270154065</v>
      </c>
      <c r="K24" s="33">
        <f t="shared" si="27"/>
        <v>0.40892465252377469</v>
      </c>
      <c r="L24" s="33">
        <f t="shared" si="27"/>
        <v>0.32172005265467313</v>
      </c>
      <c r="M24" s="33">
        <f t="shared" si="27"/>
        <v>0.26048821726725141</v>
      </c>
      <c r="N24" s="33">
        <f t="shared" si="27"/>
        <v>0.22533692722371967</v>
      </c>
      <c r="O24" s="33">
        <f t="shared" si="27"/>
        <v>0.21571411667258314</v>
      </c>
      <c r="P24" s="33">
        <f t="shared" si="27"/>
        <v>0.16336461591936044</v>
      </c>
      <c r="Q24" s="33">
        <f t="shared" si="27"/>
        <v>0.29471565173628583</v>
      </c>
      <c r="R24" s="33">
        <f t="shared" si="27"/>
        <v>0.24922781978911493</v>
      </c>
      <c r="S24" s="33">
        <f t="shared" si="27"/>
        <v>0.23645267752581708</v>
      </c>
      <c r="T24" s="33">
        <f t="shared" si="27"/>
        <v>0.25202537823328452</v>
      </c>
      <c r="V24" s="33">
        <f>SUM(V22/V10)</f>
        <v>0.21742043551088777</v>
      </c>
      <c r="W24" s="33">
        <f>SUM(W22/W10)</f>
        <v>0.25848262409527234</v>
      </c>
      <c r="X24" s="43"/>
      <c r="Y24" s="25">
        <f>SUM(W24/V24)-1</f>
        <v>0.18886075951369485</v>
      </c>
    </row>
    <row r="25" spans="2:25" ht="2.25" customHeight="1">
      <c r="B25" s="35" t="s">
        <v>26</v>
      </c>
      <c r="C25" s="32">
        <v>49</v>
      </c>
      <c r="D25" s="32">
        <v>49</v>
      </c>
      <c r="E25" s="32">
        <v>49</v>
      </c>
      <c r="F25" s="32">
        <v>2777</v>
      </c>
      <c r="G25" s="32">
        <v>7833</v>
      </c>
      <c r="I25" s="32"/>
      <c r="J25" s="32"/>
      <c r="K25" s="32"/>
      <c r="L25" s="32"/>
      <c r="M25" s="32">
        <v>-28777</v>
      </c>
      <c r="N25" s="32">
        <v>-27879</v>
      </c>
      <c r="O25" s="32"/>
      <c r="P25" s="32">
        <v>-19934</v>
      </c>
      <c r="Q25" s="32">
        <v>-61402</v>
      </c>
      <c r="R25" s="32"/>
      <c r="S25" s="32"/>
      <c r="T25" s="32"/>
      <c r="V25" s="36"/>
      <c r="W25" s="36"/>
      <c r="X25" s="36"/>
      <c r="Y25" s="37"/>
    </row>
    <row r="26" spans="2:25">
      <c r="B26" s="38" t="s">
        <v>10</v>
      </c>
      <c r="C26" s="42"/>
      <c r="D26" s="42"/>
      <c r="E26" s="42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W26" s="33"/>
      <c r="X26" s="43"/>
      <c r="Y26" s="40"/>
    </row>
    <row r="27" spans="2:25">
      <c r="B27" s="26" t="s">
        <v>82</v>
      </c>
      <c r="C27" s="140">
        <v>-602</v>
      </c>
      <c r="D27" s="140">
        <v>-559</v>
      </c>
      <c r="E27" s="140">
        <v>-490</v>
      </c>
      <c r="F27" s="140">
        <v>-694</v>
      </c>
      <c r="G27" s="140">
        <v>-697</v>
      </c>
      <c r="H27" s="4"/>
      <c r="I27" s="140">
        <v>-139</v>
      </c>
      <c r="J27" s="140">
        <v>-137</v>
      </c>
      <c r="K27" s="140">
        <v>-70</v>
      </c>
      <c r="L27" s="1">
        <f t="shared" ref="L27:L29" si="28">SUM(E27-SUM(I27:K27))</f>
        <v>-144</v>
      </c>
      <c r="M27" s="140">
        <v>-170</v>
      </c>
      <c r="N27" s="140">
        <v>-179</v>
      </c>
      <c r="O27" s="140">
        <v>-172</v>
      </c>
      <c r="P27" s="1">
        <f t="shared" ref="P27:P29" si="29">SUM(F27-SUM(M27:O27))</f>
        <v>-173</v>
      </c>
      <c r="Q27" s="140">
        <v>-178</v>
      </c>
      <c r="R27" s="140">
        <v>-172</v>
      </c>
      <c r="S27" s="140">
        <v>-168</v>
      </c>
      <c r="T27" s="1">
        <f t="shared" ref="T27:T33" si="30">SUM(G27-SUM(Q27:S27))</f>
        <v>-179</v>
      </c>
      <c r="V27" s="23">
        <f t="shared" ref="V27:V29" si="31">SUM(M27:P27)</f>
        <v>-694</v>
      </c>
      <c r="W27" s="23">
        <f t="shared" ref="W27:W29" si="32">SUM(Q27:T27)</f>
        <v>-697</v>
      </c>
      <c r="X27" s="43"/>
      <c r="Y27" s="25">
        <f t="shared" ref="Y27:Y31" si="33">SUM(W27/V27)-1</f>
        <v>4.3227665706051521E-3</v>
      </c>
    </row>
    <row r="28" spans="2:25">
      <c r="B28" s="26" t="s">
        <v>161</v>
      </c>
      <c r="C28" s="140">
        <v>156</v>
      </c>
      <c r="D28" s="140">
        <v>83</v>
      </c>
      <c r="E28" s="140">
        <v>91</v>
      </c>
      <c r="F28" s="140">
        <v>313</v>
      </c>
      <c r="G28" s="140">
        <v>675</v>
      </c>
      <c r="H28" s="4"/>
      <c r="I28" s="140">
        <v>17</v>
      </c>
      <c r="J28" s="140">
        <v>20</v>
      </c>
      <c r="K28" s="140">
        <v>22</v>
      </c>
      <c r="L28" s="1">
        <f t="shared" si="28"/>
        <v>32</v>
      </c>
      <c r="M28" s="140">
        <v>55</v>
      </c>
      <c r="N28" s="140">
        <v>59</v>
      </c>
      <c r="O28" s="140">
        <v>79</v>
      </c>
      <c r="P28" s="1">
        <f t="shared" si="29"/>
        <v>120</v>
      </c>
      <c r="Q28" s="140">
        <v>149</v>
      </c>
      <c r="R28" s="140">
        <v>160</v>
      </c>
      <c r="S28" s="140">
        <v>182</v>
      </c>
      <c r="T28" s="1">
        <f t="shared" si="30"/>
        <v>184</v>
      </c>
      <c r="V28" s="23">
        <f t="shared" ref="V28" si="34">SUM(M28:P28)</f>
        <v>313</v>
      </c>
      <c r="W28" s="23">
        <f t="shared" ref="W28" si="35">SUM(Q28:T28)</f>
        <v>675</v>
      </c>
      <c r="X28" s="43"/>
      <c r="Y28" s="25">
        <f t="shared" si="33"/>
        <v>1.1565495207667733</v>
      </c>
    </row>
    <row r="29" spans="2:25">
      <c r="B29" s="26" t="s">
        <v>83</v>
      </c>
      <c r="C29" s="140">
        <f>66-C28</f>
        <v>-90</v>
      </c>
      <c r="D29" s="140">
        <f>1044-D28</f>
        <v>961</v>
      </c>
      <c r="E29" s="140">
        <f>-372-E28</f>
        <v>-463</v>
      </c>
      <c r="F29" s="140">
        <f>349-F28</f>
        <v>36</v>
      </c>
      <c r="G29" s="140">
        <f>962-G28</f>
        <v>287</v>
      </c>
      <c r="H29" s="4"/>
      <c r="I29" s="140">
        <f>140-I28</f>
        <v>123</v>
      </c>
      <c r="J29" s="140">
        <f>-298-J28</f>
        <v>-318</v>
      </c>
      <c r="K29" s="140">
        <f>-163-K28</f>
        <v>-185</v>
      </c>
      <c r="L29" s="1">
        <f t="shared" si="28"/>
        <v>-83</v>
      </c>
      <c r="M29" s="140">
        <f>76-M28</f>
        <v>21</v>
      </c>
      <c r="N29" s="140">
        <f>-16-N28</f>
        <v>-75</v>
      </c>
      <c r="O29" s="140">
        <f>106-O28</f>
        <v>27</v>
      </c>
      <c r="P29" s="1">
        <f t="shared" si="29"/>
        <v>63</v>
      </c>
      <c r="Q29" s="140">
        <f>212-Q28</f>
        <v>63</v>
      </c>
      <c r="R29" s="140">
        <f>330-R28</f>
        <v>170</v>
      </c>
      <c r="S29" s="140">
        <f>226-S28</f>
        <v>44</v>
      </c>
      <c r="T29" s="1">
        <f t="shared" si="30"/>
        <v>10</v>
      </c>
      <c r="V29" s="23">
        <f t="shared" si="31"/>
        <v>36</v>
      </c>
      <c r="W29" s="23">
        <f t="shared" si="32"/>
        <v>287</v>
      </c>
      <c r="X29" s="43"/>
      <c r="Y29" s="25">
        <f t="shared" si="33"/>
        <v>6.9722222222222223</v>
      </c>
    </row>
    <row r="30" spans="2:25">
      <c r="B30" s="41" t="s">
        <v>84</v>
      </c>
      <c r="C30" s="139">
        <f>SUM(C27:C29)+C22</f>
        <v>5719</v>
      </c>
      <c r="D30" s="139">
        <f>SUM(D27:D29)+D22</f>
        <v>10274</v>
      </c>
      <c r="E30" s="139">
        <f>SUM(E27:E29)+E22</f>
        <v>14998</v>
      </c>
      <c r="F30" s="139">
        <f>SUM(F27:F29)+F22</f>
        <v>7443</v>
      </c>
      <c r="G30" s="139">
        <f>SUM(G27:G29)+G22</f>
        <v>10336</v>
      </c>
      <c r="H30" s="143"/>
      <c r="I30" s="139">
        <f t="shared" ref="I30:T30" si="36">SUM(I27:I29)+I22</f>
        <v>3865</v>
      </c>
      <c r="J30" s="139">
        <f t="shared" si="36"/>
        <v>3423</v>
      </c>
      <c r="K30" s="139">
        <f t="shared" si="36"/>
        <v>4239</v>
      </c>
      <c r="L30" s="139">
        <f t="shared" si="36"/>
        <v>3471</v>
      </c>
      <c r="M30" s="139">
        <f t="shared" si="36"/>
        <v>2371</v>
      </c>
      <c r="N30" s="139">
        <f t="shared" si="36"/>
        <v>1895</v>
      </c>
      <c r="O30" s="139">
        <f t="shared" si="36"/>
        <v>1757</v>
      </c>
      <c r="P30" s="139">
        <f t="shared" si="36"/>
        <v>1420</v>
      </c>
      <c r="Q30" s="139">
        <f t="shared" si="36"/>
        <v>2962</v>
      </c>
      <c r="R30" s="139">
        <f t="shared" si="36"/>
        <v>2498</v>
      </c>
      <c r="S30" s="139">
        <f t="shared" si="36"/>
        <v>2279</v>
      </c>
      <c r="T30" s="139">
        <f t="shared" si="36"/>
        <v>2597</v>
      </c>
      <c r="V30" s="139">
        <f t="shared" ref="V30" si="37">SUM(V27:V29)+V22</f>
        <v>7443</v>
      </c>
      <c r="W30" s="139">
        <f t="shared" ref="W30" si="38">SUM(W27:W29)+W22</f>
        <v>10336</v>
      </c>
      <c r="X30" s="43"/>
      <c r="Y30" s="30">
        <f>SUM(W30/V30)-1</f>
        <v>0.38868735724842129</v>
      </c>
    </row>
    <row r="31" spans="2:25">
      <c r="B31" s="44" t="s">
        <v>85</v>
      </c>
      <c r="C31" s="140">
        <v>-521</v>
      </c>
      <c r="D31" s="140">
        <v>-1231</v>
      </c>
      <c r="E31" s="140">
        <v>-2012</v>
      </c>
      <c r="F31" s="140">
        <v>-104</v>
      </c>
      <c r="G31" s="140">
        <v>-226</v>
      </c>
      <c r="H31" s="144"/>
      <c r="I31" s="140">
        <v>-466</v>
      </c>
      <c r="J31" s="140">
        <v>-489</v>
      </c>
      <c r="K31" s="140">
        <v>-509</v>
      </c>
      <c r="L31" s="1">
        <f t="shared" ref="L31" si="39">SUM(E31-SUM(I31:K31))</f>
        <v>-548</v>
      </c>
      <c r="M31" s="140">
        <v>-98</v>
      </c>
      <c r="N31" s="140">
        <v>-193</v>
      </c>
      <c r="O31" s="140">
        <v>-22</v>
      </c>
      <c r="P31" s="1">
        <f t="shared" ref="P31" si="40">SUM(F31-SUM(M31:O31))</f>
        <v>209</v>
      </c>
      <c r="Q31" s="140">
        <v>-151</v>
      </c>
      <c r="R31" s="140">
        <v>-223</v>
      </c>
      <c r="S31" s="140">
        <v>-171</v>
      </c>
      <c r="T31" s="1">
        <f t="shared" si="30"/>
        <v>319</v>
      </c>
      <c r="V31" s="23">
        <f>SUM(M31:P31)</f>
        <v>-104</v>
      </c>
      <c r="W31" s="23">
        <f>SUM(Q31:T31)</f>
        <v>-226</v>
      </c>
      <c r="X31" s="43"/>
      <c r="Y31" s="25">
        <f t="shared" si="33"/>
        <v>1.1730769230769229</v>
      </c>
    </row>
    <row r="32" spans="2:25">
      <c r="B32" s="41" t="s">
        <v>86</v>
      </c>
      <c r="C32" s="139">
        <f>SUM(C30:C31)</f>
        <v>5198</v>
      </c>
      <c r="D32" s="139">
        <f t="shared" ref="D32:G32" si="41">SUM(D30:D31)</f>
        <v>9043</v>
      </c>
      <c r="E32" s="139">
        <f t="shared" si="41"/>
        <v>12986</v>
      </c>
      <c r="F32" s="139">
        <f t="shared" si="41"/>
        <v>7339</v>
      </c>
      <c r="G32" s="139">
        <f t="shared" si="41"/>
        <v>10110</v>
      </c>
      <c r="H32" s="143"/>
      <c r="I32" s="139">
        <f t="shared" ref="I32" si="42">SUM(I30:I31)</f>
        <v>3399</v>
      </c>
      <c r="J32" s="139">
        <f t="shared" ref="J32" si="43">SUM(J30:J31)</f>
        <v>2934</v>
      </c>
      <c r="K32" s="139">
        <f t="shared" ref="K32" si="44">SUM(K30:K31)</f>
        <v>3730</v>
      </c>
      <c r="L32" s="139">
        <f t="shared" ref="L32" si="45">SUM(L30:L31)</f>
        <v>2923</v>
      </c>
      <c r="M32" s="139">
        <f t="shared" ref="M32" si="46">SUM(M30:M31)</f>
        <v>2273</v>
      </c>
      <c r="N32" s="139">
        <f t="shared" ref="N32" si="47">SUM(N30:N31)</f>
        <v>1702</v>
      </c>
      <c r="O32" s="139">
        <f t="shared" ref="O32" si="48">SUM(O30:O31)</f>
        <v>1735</v>
      </c>
      <c r="P32" s="139">
        <f t="shared" ref="P32" si="49">SUM(P30:P31)</f>
        <v>1629</v>
      </c>
      <c r="Q32" s="139">
        <f t="shared" ref="Q32" si="50">SUM(Q30:Q31)</f>
        <v>2811</v>
      </c>
      <c r="R32" s="139">
        <f t="shared" ref="R32" si="51">SUM(R30:R31)</f>
        <v>2275</v>
      </c>
      <c r="S32" s="139">
        <f t="shared" ref="S32" si="52">SUM(S30:S31)</f>
        <v>2108</v>
      </c>
      <c r="T32" s="139">
        <f t="shared" ref="T32" si="53">SUM(T30:T31)</f>
        <v>2916</v>
      </c>
      <c r="V32" s="139">
        <f t="shared" ref="V32" si="54">SUM(V30:V31)</f>
        <v>7339</v>
      </c>
      <c r="W32" s="139">
        <f t="shared" ref="W32" si="55">SUM(W30:W31)</f>
        <v>10110</v>
      </c>
      <c r="X32" s="43"/>
      <c r="Y32" s="30">
        <f>SUM(W32/V32)-1</f>
        <v>0.37757187627742206</v>
      </c>
    </row>
    <row r="33" spans="1:25">
      <c r="B33" s="44" t="s">
        <v>87</v>
      </c>
      <c r="C33" s="140">
        <v>0</v>
      </c>
      <c r="D33" s="140">
        <v>0</v>
      </c>
      <c r="E33" s="140">
        <v>-50</v>
      </c>
      <c r="F33" s="140">
        <v>-107</v>
      </c>
      <c r="G33" s="140">
        <v>32</v>
      </c>
      <c r="H33" s="144"/>
      <c r="I33" s="140">
        <v>0</v>
      </c>
      <c r="J33" s="140">
        <v>0</v>
      </c>
      <c r="K33" s="140">
        <v>0</v>
      </c>
      <c r="L33" s="1">
        <f t="shared" ref="L33" si="56">SUM(E33-SUM(I33:K33))</f>
        <v>-50</v>
      </c>
      <c r="M33" s="140">
        <v>-38</v>
      </c>
      <c r="N33" s="140">
        <v>2</v>
      </c>
      <c r="O33" s="140">
        <v>68</v>
      </c>
      <c r="P33" s="1">
        <f t="shared" ref="P33" si="57">SUM(F33-SUM(M33:O33))</f>
        <v>-139</v>
      </c>
      <c r="Q33" s="140">
        <v>-44</v>
      </c>
      <c r="R33" s="140">
        <v>51</v>
      </c>
      <c r="S33" s="140">
        <v>21</v>
      </c>
      <c r="T33" s="1">
        <f t="shared" si="30"/>
        <v>4</v>
      </c>
      <c r="V33" s="23">
        <f>SUM(M33:P33)</f>
        <v>-107</v>
      </c>
      <c r="W33" s="23">
        <f>SUM(Q33:T33)</f>
        <v>32</v>
      </c>
      <c r="X33" s="43"/>
      <c r="Y33" s="30">
        <f>SUM(W33/V33)-1</f>
        <v>-1.2990654205607477</v>
      </c>
    </row>
    <row r="34" spans="1:25">
      <c r="B34" s="41" t="s">
        <v>30</v>
      </c>
      <c r="C34" s="139">
        <f>C32+C33</f>
        <v>5198</v>
      </c>
      <c r="D34" s="139">
        <f t="shared" ref="D34:G34" si="58">D32+D33</f>
        <v>9043</v>
      </c>
      <c r="E34" s="139">
        <f t="shared" si="58"/>
        <v>12936</v>
      </c>
      <c r="F34" s="139">
        <f t="shared" si="58"/>
        <v>7232</v>
      </c>
      <c r="G34" s="139">
        <f t="shared" si="58"/>
        <v>10142</v>
      </c>
      <c r="H34" s="5"/>
      <c r="I34" s="139">
        <f t="shared" ref="I34" si="59">I32+I33</f>
        <v>3399</v>
      </c>
      <c r="J34" s="139">
        <f t="shared" ref="J34" si="60">J32+J33</f>
        <v>2934</v>
      </c>
      <c r="K34" s="139">
        <f t="shared" ref="K34" si="61">K32+K33</f>
        <v>3730</v>
      </c>
      <c r="L34" s="139">
        <f t="shared" ref="L34" si="62">L32+L33</f>
        <v>2873</v>
      </c>
      <c r="M34" s="139">
        <f t="shared" ref="M34" si="63">M32+M33</f>
        <v>2235</v>
      </c>
      <c r="N34" s="139">
        <f t="shared" ref="N34" si="64">N32+N33</f>
        <v>1704</v>
      </c>
      <c r="O34" s="139">
        <f t="shared" ref="O34" si="65">O32+O33</f>
        <v>1803</v>
      </c>
      <c r="P34" s="139">
        <f t="shared" ref="P34" si="66">P32+P33</f>
        <v>1490</v>
      </c>
      <c r="Q34" s="139">
        <f t="shared" ref="Q34" si="67">Q32+Q33</f>
        <v>2767</v>
      </c>
      <c r="R34" s="139">
        <f t="shared" ref="R34" si="68">R32+R33</f>
        <v>2326</v>
      </c>
      <c r="S34" s="139">
        <f t="shared" ref="S34" si="69">S32+S33</f>
        <v>2129</v>
      </c>
      <c r="T34" s="139">
        <f t="shared" ref="T34" si="70">T32+T33</f>
        <v>2920</v>
      </c>
      <c r="U34" s="21"/>
      <c r="V34" s="139">
        <f t="shared" ref="V34" si="71">V32+V33</f>
        <v>7232</v>
      </c>
      <c r="W34" s="139">
        <f t="shared" ref="W34" si="72">W32+W33</f>
        <v>10142</v>
      </c>
      <c r="X34" s="45">
        <f t="shared" ref="X34" si="73">SUM(X31-X30)</f>
        <v>0</v>
      </c>
      <c r="Y34" s="30">
        <f>SUM(W34/V34)-1</f>
        <v>0.4023783185840708</v>
      </c>
    </row>
    <row r="35" spans="1:25">
      <c r="B35" s="31" t="s">
        <v>24</v>
      </c>
      <c r="C35" s="42"/>
      <c r="D35" s="33">
        <f t="shared" ref="D35:E35" si="74">D34/C34-1</f>
        <v>0.73970757983839941</v>
      </c>
      <c r="E35" s="33">
        <f t="shared" si="74"/>
        <v>0.43049872829813118</v>
      </c>
      <c r="F35" s="33">
        <f>F34/E34-1</f>
        <v>-0.44094001236858382</v>
      </c>
      <c r="G35" s="33">
        <f>G34/F34-1</f>
        <v>0.4023783185840708</v>
      </c>
      <c r="H35" s="33"/>
      <c r="I35" s="33"/>
      <c r="J35" s="33">
        <f t="shared" ref="J35:T35" si="75">J34/I34-1</f>
        <v>-0.13680494263018539</v>
      </c>
      <c r="K35" s="33">
        <f t="shared" si="75"/>
        <v>0.27130197682344925</v>
      </c>
      <c r="L35" s="33">
        <f t="shared" si="75"/>
        <v>-0.22975871313672924</v>
      </c>
      <c r="M35" s="33">
        <f t="shared" si="75"/>
        <v>-0.22206752523494599</v>
      </c>
      <c r="N35" s="33">
        <f t="shared" si="75"/>
        <v>-0.23758389261744961</v>
      </c>
      <c r="O35" s="33">
        <f t="shared" si="75"/>
        <v>5.8098591549295753E-2</v>
      </c>
      <c r="P35" s="33">
        <f t="shared" si="75"/>
        <v>-0.17359955629506374</v>
      </c>
      <c r="Q35" s="33">
        <f t="shared" si="75"/>
        <v>0.85704697986577183</v>
      </c>
      <c r="R35" s="33">
        <f t="shared" si="75"/>
        <v>-0.15937838814600647</v>
      </c>
      <c r="S35" s="33">
        <f t="shared" si="75"/>
        <v>-8.4694754944110051E-2</v>
      </c>
      <c r="T35" s="33">
        <f t="shared" si="75"/>
        <v>0.37153593236261151</v>
      </c>
      <c r="W35" s="33">
        <f>W34/V34-1</f>
        <v>0.4023783185840708</v>
      </c>
      <c r="X35" s="3"/>
      <c r="Y35" s="34"/>
    </row>
    <row r="36" spans="1:25">
      <c r="B36" s="31" t="s">
        <v>31</v>
      </c>
      <c r="C36" s="33">
        <f>SUM(C34/C10)</f>
        <v>0.22090008924397603</v>
      </c>
      <c r="D36" s="33">
        <f>SUM(D34/D10)</f>
        <v>0.2694095215396532</v>
      </c>
      <c r="E36" s="33">
        <f>SUM(E34/E10)</f>
        <v>0.29266968325791853</v>
      </c>
      <c r="F36" s="33">
        <f>SUM(F34/F10)</f>
        <v>0.20189838079285316</v>
      </c>
      <c r="G36" s="33">
        <f>SUM(G34/G10)</f>
        <v>0.26030491247882553</v>
      </c>
      <c r="H36" s="33"/>
      <c r="I36" s="33">
        <f t="shared" ref="I36:T36" si="76">SUM(I34/I10)</f>
        <v>0.31751517982251287</v>
      </c>
      <c r="J36" s="33">
        <f t="shared" si="76"/>
        <v>0.26280902902185599</v>
      </c>
      <c r="K36" s="33">
        <f t="shared" si="76"/>
        <v>0.34107534747622531</v>
      </c>
      <c r="L36" s="33">
        <f t="shared" si="76"/>
        <v>0.25212812637121546</v>
      </c>
      <c r="M36" s="33">
        <f t="shared" si="76"/>
        <v>0.23618302863785268</v>
      </c>
      <c r="N36" s="33">
        <f t="shared" si="76"/>
        <v>0.18371967654986524</v>
      </c>
      <c r="O36" s="33">
        <f t="shared" si="76"/>
        <v>0.21334753283635072</v>
      </c>
      <c r="P36" s="33">
        <f t="shared" si="76"/>
        <v>0.17263353029776388</v>
      </c>
      <c r="Q36" s="33">
        <f t="shared" si="76"/>
        <v>0.2785103170608958</v>
      </c>
      <c r="R36" s="33">
        <f t="shared" si="76"/>
        <v>0.24773671317499202</v>
      </c>
      <c r="S36" s="33">
        <f t="shared" si="76"/>
        <v>0.22665814968593634</v>
      </c>
      <c r="T36" s="33">
        <f t="shared" si="76"/>
        <v>0.28501708150317229</v>
      </c>
      <c r="V36" s="33">
        <f>SUM(V34/V10)</f>
        <v>0.20189838079285316</v>
      </c>
      <c r="W36" s="33">
        <f>SUM(W34/W10)</f>
        <v>0.26030491247882553</v>
      </c>
      <c r="X36" s="43"/>
      <c r="Y36" s="25">
        <f t="shared" ref="Y36:Y38" si="77">SUM(W36/V36)-1</f>
        <v>0.2892867761326785</v>
      </c>
    </row>
    <row r="37" spans="1:25" ht="15.75" thickBot="1">
      <c r="B37" s="31"/>
      <c r="C37" s="42"/>
      <c r="D37" s="42"/>
      <c r="E37" s="42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W37" s="33"/>
      <c r="X37" s="43"/>
      <c r="Y37" s="40"/>
    </row>
    <row r="38" spans="1:25">
      <c r="B38" s="46" t="s">
        <v>73</v>
      </c>
      <c r="C38" s="149">
        <f t="shared" ref="C38" si="78">SUM(C34/C39)</f>
        <v>4.5239338555265451</v>
      </c>
      <c r="D38" s="149">
        <f t="shared" ref="D38" si="79">SUM(D34/D39)</f>
        <v>7.8703220191470846</v>
      </c>
      <c r="E38" s="149">
        <f t="shared" ref="E38:G38" si="80">SUM(E34/E39)</f>
        <v>11.37730870712401</v>
      </c>
      <c r="F38" s="149">
        <f t="shared" si="80"/>
        <v>6.4227353463587926</v>
      </c>
      <c r="G38" s="150">
        <f t="shared" si="80"/>
        <v>8.9752212389380528</v>
      </c>
      <c r="H38" s="47"/>
      <c r="I38" s="148">
        <f>SUM(I34/I39)</f>
        <v>2.9763572679509633</v>
      </c>
      <c r="J38" s="149">
        <f t="shared" ref="J38:S38" si="81">SUM(J34/J39)</f>
        <v>2.5736842105263156</v>
      </c>
      <c r="K38" s="149">
        <f t="shared" si="81"/>
        <v>3.2892416225749561</v>
      </c>
      <c r="L38" s="149">
        <f t="shared" si="81"/>
        <v>2.5515097690941384</v>
      </c>
      <c r="M38" s="149">
        <f t="shared" si="81"/>
        <v>1.9761273209549071</v>
      </c>
      <c r="N38" s="149">
        <f t="shared" si="81"/>
        <v>1.5173642030276047</v>
      </c>
      <c r="O38" s="149">
        <f t="shared" si="81"/>
        <v>1.6040925266903914</v>
      </c>
      <c r="P38" s="149">
        <f t="shared" si="81"/>
        <v>1.3232682060390764</v>
      </c>
      <c r="Q38" s="149">
        <f t="shared" si="81"/>
        <v>2.4551907719609583</v>
      </c>
      <c r="R38" s="149">
        <f t="shared" si="81"/>
        <v>2.0584070796460177</v>
      </c>
      <c r="S38" s="149">
        <f t="shared" si="81"/>
        <v>1.8774250440917108</v>
      </c>
      <c r="T38" s="150">
        <f t="shared" ref="T38" si="82">SUM(T34/T39)</f>
        <v>2.584070796460177</v>
      </c>
      <c r="V38" s="154">
        <f>O38</f>
        <v>1.6040925266903914</v>
      </c>
      <c r="W38" s="156">
        <f>S38</f>
        <v>1.8774250440917108</v>
      </c>
      <c r="X38" s="43"/>
      <c r="Y38" s="30">
        <f t="shared" si="77"/>
        <v>0.17039697701557577</v>
      </c>
    </row>
    <row r="39" spans="1:25" ht="15.75" thickBot="1">
      <c r="B39" s="48" t="s">
        <v>72</v>
      </c>
      <c r="C39" s="49">
        <v>1149</v>
      </c>
      <c r="D39" s="49">
        <v>1149</v>
      </c>
      <c r="E39" s="49">
        <v>1137</v>
      </c>
      <c r="F39" s="50">
        <v>1126</v>
      </c>
      <c r="G39" s="51">
        <v>1130</v>
      </c>
      <c r="H39" s="47"/>
      <c r="I39" s="147">
        <v>1142</v>
      </c>
      <c r="J39" s="146">
        <v>1140</v>
      </c>
      <c r="K39" s="146">
        <v>1134</v>
      </c>
      <c r="L39" s="52">
        <f>F39</f>
        <v>1126</v>
      </c>
      <c r="M39" s="146">
        <v>1131</v>
      </c>
      <c r="N39" s="146">
        <v>1123</v>
      </c>
      <c r="O39" s="146">
        <v>1124</v>
      </c>
      <c r="P39" s="52">
        <f>F39</f>
        <v>1126</v>
      </c>
      <c r="Q39" s="146">
        <v>1127</v>
      </c>
      <c r="R39" s="146">
        <v>1130</v>
      </c>
      <c r="S39" s="146">
        <v>1134</v>
      </c>
      <c r="T39" s="184">
        <f>G39</f>
        <v>1130</v>
      </c>
      <c r="V39" s="155">
        <f>O39</f>
        <v>1124</v>
      </c>
      <c r="W39" s="157">
        <f>S39</f>
        <v>1134</v>
      </c>
      <c r="X39" s="43"/>
      <c r="Y39" s="40"/>
    </row>
    <row r="40" spans="1:25">
      <c r="B40" s="31"/>
      <c r="C40" s="42"/>
      <c r="D40" s="42"/>
      <c r="E40" s="4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W40" s="33"/>
      <c r="X40" s="43"/>
      <c r="Y40" s="40"/>
    </row>
    <row r="41" spans="1:25">
      <c r="A41" s="6" t="s">
        <v>17</v>
      </c>
      <c r="B41" s="7" t="s">
        <v>32</v>
      </c>
      <c r="C41" s="53"/>
      <c r="D41" s="53"/>
      <c r="E41" s="53"/>
      <c r="F41" s="53"/>
      <c r="G41" s="53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>
      <c r="B42" s="15" t="s">
        <v>164</v>
      </c>
      <c r="C42" s="54"/>
      <c r="D42" s="54"/>
      <c r="E42" s="54"/>
      <c r="F42" s="54"/>
      <c r="G42" s="54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3.75" customHeight="1">
      <c r="B43" s="55"/>
      <c r="C43" s="56"/>
      <c r="D43" s="56"/>
      <c r="E43" s="56"/>
      <c r="F43" s="56"/>
      <c r="G43" s="56"/>
    </row>
    <row r="44" spans="1:25">
      <c r="B44" s="38" t="s">
        <v>33</v>
      </c>
      <c r="F44" s="20"/>
      <c r="G44" s="20"/>
    </row>
    <row r="45" spans="1:25">
      <c r="B45" s="26" t="s">
        <v>0</v>
      </c>
      <c r="C45" s="72">
        <v>6707</v>
      </c>
      <c r="D45" s="72">
        <v>7116</v>
      </c>
      <c r="E45" s="72">
        <v>2773</v>
      </c>
      <c r="F45" s="72">
        <v>8450</v>
      </c>
      <c r="G45" s="20">
        <v>7849</v>
      </c>
      <c r="I45" s="22">
        <v>6607</v>
      </c>
      <c r="J45" s="22">
        <v>7173</v>
      </c>
      <c r="K45" s="22">
        <v>2676</v>
      </c>
      <c r="L45" s="136">
        <f>E45</f>
        <v>2773</v>
      </c>
      <c r="M45" s="22">
        <v>4808</v>
      </c>
      <c r="N45" s="22">
        <v>3488</v>
      </c>
      <c r="O45" s="22">
        <v>6087</v>
      </c>
      <c r="P45" s="136">
        <f>F45</f>
        <v>8450</v>
      </c>
      <c r="Q45" s="22">
        <v>8133</v>
      </c>
      <c r="R45" s="22">
        <v>9219</v>
      </c>
      <c r="S45" s="22">
        <v>7770</v>
      </c>
      <c r="T45" s="136">
        <f>G45</f>
        <v>7849</v>
      </c>
      <c r="V45" s="23">
        <f>SUM(M45:P45)</f>
        <v>22833</v>
      </c>
      <c r="W45" s="23">
        <f>SUM(Q45:T45)</f>
        <v>32971</v>
      </c>
      <c r="X45" s="23"/>
      <c r="Y45" s="25">
        <f t="shared" ref="Y45:Y60" si="83">SUM(W45/V45)-1</f>
        <v>0.44400648184645042</v>
      </c>
    </row>
    <row r="46" spans="1:25">
      <c r="B46" s="26" t="s">
        <v>88</v>
      </c>
      <c r="C46" s="72">
        <v>4507</v>
      </c>
      <c r="D46" s="72">
        <v>5298</v>
      </c>
      <c r="E46" s="72">
        <v>3609</v>
      </c>
      <c r="F46" s="72">
        <v>2874</v>
      </c>
      <c r="G46" s="20">
        <v>5451</v>
      </c>
      <c r="I46" s="22">
        <v>4703</v>
      </c>
      <c r="J46" s="22">
        <v>4373</v>
      </c>
      <c r="K46" s="22">
        <v>4172</v>
      </c>
      <c r="L46" s="136">
        <f t="shared" ref="L46:L50" si="84">E46</f>
        <v>3609</v>
      </c>
      <c r="M46" s="22">
        <v>3430</v>
      </c>
      <c r="N46" s="22">
        <v>3188</v>
      </c>
      <c r="O46" s="22">
        <v>2544</v>
      </c>
      <c r="P46" s="136">
        <f t="shared" ref="P46:P50" si="85">F46</f>
        <v>2874</v>
      </c>
      <c r="Q46" s="22">
        <v>3921</v>
      </c>
      <c r="R46" s="22">
        <v>4632</v>
      </c>
      <c r="S46" s="22">
        <v>5262</v>
      </c>
      <c r="T46" s="136">
        <f t="shared" ref="T46:T50" si="86">G46</f>
        <v>5451</v>
      </c>
      <c r="V46" s="23">
        <f t="shared" ref="V46:V50" si="87">SUM(M46:P46)</f>
        <v>12036</v>
      </c>
      <c r="W46" s="23">
        <f t="shared" ref="W46:W50" si="88">SUM(Q46:T46)</f>
        <v>19266</v>
      </c>
      <c r="X46" s="23"/>
      <c r="Y46" s="25">
        <f t="shared" si="83"/>
        <v>0.6006979062811566</v>
      </c>
    </row>
    <row r="47" spans="1:25">
      <c r="B47" s="26" t="s">
        <v>74</v>
      </c>
      <c r="C47" s="72">
        <v>4003</v>
      </c>
      <c r="D47" s="72">
        <v>3579</v>
      </c>
      <c r="E47" s="72">
        <v>5643</v>
      </c>
      <c r="F47" s="72">
        <v>3183</v>
      </c>
      <c r="G47" s="20">
        <v>3929</v>
      </c>
      <c r="I47" s="22">
        <v>4032</v>
      </c>
      <c r="J47" s="22">
        <v>4084</v>
      </c>
      <c r="K47" s="22">
        <v>3804</v>
      </c>
      <c r="L47" s="136">
        <f t="shared" si="84"/>
        <v>5643</v>
      </c>
      <c r="M47" s="22">
        <v>3960</v>
      </c>
      <c r="N47" s="22">
        <v>3691</v>
      </c>
      <c r="O47" s="22">
        <v>3850</v>
      </c>
      <c r="P47" s="136">
        <f t="shared" si="85"/>
        <v>3183</v>
      </c>
      <c r="Q47" s="22">
        <v>3513</v>
      </c>
      <c r="R47" s="22">
        <v>3054</v>
      </c>
      <c r="S47" s="22">
        <v>2948</v>
      </c>
      <c r="T47" s="136">
        <f t="shared" si="86"/>
        <v>3929</v>
      </c>
      <c r="V47" s="23">
        <f t="shared" si="87"/>
        <v>14684</v>
      </c>
      <c r="W47" s="23">
        <f t="shared" si="88"/>
        <v>13444</v>
      </c>
      <c r="X47" s="23"/>
      <c r="Y47" s="25"/>
    </row>
    <row r="48" spans="1:25">
      <c r="B48" s="26" t="s">
        <v>89</v>
      </c>
      <c r="C48" s="72">
        <v>2598</v>
      </c>
      <c r="D48" s="72">
        <v>3228</v>
      </c>
      <c r="E48" s="72">
        <v>6341</v>
      </c>
      <c r="F48" s="72">
        <v>6422</v>
      </c>
      <c r="G48" s="20">
        <v>6423</v>
      </c>
      <c r="I48" s="22">
        <v>3861</v>
      </c>
      <c r="J48" s="22">
        <v>4555</v>
      </c>
      <c r="K48" s="22">
        <v>5418</v>
      </c>
      <c r="L48" s="136">
        <f t="shared" si="84"/>
        <v>6341</v>
      </c>
      <c r="M48" s="22">
        <v>6932</v>
      </c>
      <c r="N48" s="22">
        <v>6858</v>
      </c>
      <c r="O48" s="22">
        <v>6628</v>
      </c>
      <c r="P48" s="136">
        <f t="shared" si="85"/>
        <v>6422</v>
      </c>
      <c r="Q48" s="22">
        <v>6247</v>
      </c>
      <c r="R48" s="22">
        <v>6087</v>
      </c>
      <c r="S48" s="22">
        <v>6020</v>
      </c>
      <c r="T48" s="136">
        <f t="shared" si="86"/>
        <v>6423</v>
      </c>
      <c r="V48" s="23">
        <f t="shared" si="87"/>
        <v>26840</v>
      </c>
      <c r="W48" s="23">
        <f t="shared" si="88"/>
        <v>24777</v>
      </c>
      <c r="X48" s="23"/>
      <c r="Y48" s="25"/>
    </row>
    <row r="49" spans="2:25">
      <c r="B49" s="26" t="s">
        <v>90</v>
      </c>
      <c r="C49" s="72">
        <v>0</v>
      </c>
      <c r="D49" s="72">
        <v>0</v>
      </c>
      <c r="E49" s="72">
        <v>733</v>
      </c>
      <c r="F49" s="72">
        <v>341</v>
      </c>
      <c r="G49" s="20">
        <v>0</v>
      </c>
      <c r="I49" s="22">
        <v>0</v>
      </c>
      <c r="J49" s="22">
        <v>0</v>
      </c>
      <c r="K49" s="22">
        <v>950</v>
      </c>
      <c r="L49" s="136">
        <f t="shared" si="84"/>
        <v>733</v>
      </c>
      <c r="M49" s="22">
        <v>721</v>
      </c>
      <c r="N49" s="22">
        <v>816</v>
      </c>
      <c r="O49" s="22">
        <v>317</v>
      </c>
      <c r="P49" s="136">
        <f t="shared" si="85"/>
        <v>341</v>
      </c>
      <c r="Q49" s="22">
        <v>337</v>
      </c>
      <c r="R49" s="22">
        <v>0</v>
      </c>
      <c r="S49" s="22">
        <v>0</v>
      </c>
      <c r="T49" s="136">
        <f t="shared" si="86"/>
        <v>0</v>
      </c>
      <c r="V49" s="23">
        <f t="shared" si="87"/>
        <v>2195</v>
      </c>
      <c r="W49" s="23">
        <f t="shared" si="88"/>
        <v>337</v>
      </c>
      <c r="X49" s="23"/>
      <c r="Y49" s="25">
        <f t="shared" si="83"/>
        <v>-0.84646924829157177</v>
      </c>
    </row>
    <row r="50" spans="2:25">
      <c r="B50" s="26" t="s">
        <v>91</v>
      </c>
      <c r="C50" s="72">
        <v>704</v>
      </c>
      <c r="D50" s="72">
        <v>854</v>
      </c>
      <c r="E50" s="72">
        <v>1625</v>
      </c>
      <c r="F50" s="72">
        <v>1194</v>
      </c>
      <c r="G50" s="20">
        <v>1579</v>
      </c>
      <c r="I50" s="22">
        <v>1019</v>
      </c>
      <c r="J50" s="22">
        <v>1425</v>
      </c>
      <c r="K50" s="22">
        <v>1979</v>
      </c>
      <c r="L50" s="136">
        <f t="shared" si="84"/>
        <v>1625</v>
      </c>
      <c r="M50" s="22">
        <v>1247</v>
      </c>
      <c r="N50" s="22">
        <v>1032</v>
      </c>
      <c r="O50" s="22">
        <v>1050</v>
      </c>
      <c r="P50" s="136">
        <f t="shared" si="85"/>
        <v>1194</v>
      </c>
      <c r="Q50" s="22">
        <v>1288</v>
      </c>
      <c r="R50" s="22">
        <v>1240</v>
      </c>
      <c r="S50" s="22">
        <v>1332</v>
      </c>
      <c r="T50" s="136">
        <f t="shared" si="86"/>
        <v>1579</v>
      </c>
      <c r="V50" s="23">
        <f t="shared" si="87"/>
        <v>4523</v>
      </c>
      <c r="W50" s="23">
        <f t="shared" si="88"/>
        <v>5439</v>
      </c>
      <c r="X50" s="23"/>
      <c r="Y50" s="25">
        <f t="shared" si="83"/>
        <v>0.2025204510280787</v>
      </c>
    </row>
    <row r="51" spans="2:25">
      <c r="B51" s="41" t="s">
        <v>1</v>
      </c>
      <c r="C51" s="57">
        <f>SUM(C45:C50)</f>
        <v>18519</v>
      </c>
      <c r="D51" s="57">
        <f>SUM(D45:D50)</f>
        <v>20075</v>
      </c>
      <c r="E51" s="57">
        <f>SUM(E45:E50)</f>
        <v>20724</v>
      </c>
      <c r="F51" s="57">
        <f>SUM(F45:F50)</f>
        <v>22464</v>
      </c>
      <c r="G51" s="57">
        <f>SUM(G45:G50)</f>
        <v>25231</v>
      </c>
      <c r="I51" s="57">
        <f t="shared" ref="I51:T51" si="89">SUM(I45:I50)</f>
        <v>20222</v>
      </c>
      <c r="J51" s="57">
        <f t="shared" si="89"/>
        <v>21610</v>
      </c>
      <c r="K51" s="57">
        <f t="shared" si="89"/>
        <v>18999</v>
      </c>
      <c r="L51" s="57">
        <f t="shared" si="89"/>
        <v>20724</v>
      </c>
      <c r="M51" s="57">
        <f t="shared" si="89"/>
        <v>21098</v>
      </c>
      <c r="N51" s="57">
        <f t="shared" si="89"/>
        <v>19073</v>
      </c>
      <c r="O51" s="57">
        <f t="shared" si="89"/>
        <v>20476</v>
      </c>
      <c r="P51" s="57">
        <f>SUM(P45:P50)</f>
        <v>22464</v>
      </c>
      <c r="Q51" s="57">
        <f t="shared" si="89"/>
        <v>23439</v>
      </c>
      <c r="R51" s="57">
        <f t="shared" si="89"/>
        <v>24232</v>
      </c>
      <c r="S51" s="57">
        <f t="shared" si="89"/>
        <v>23332</v>
      </c>
      <c r="T51" s="57">
        <f t="shared" si="89"/>
        <v>25231</v>
      </c>
      <c r="V51" s="57">
        <f>SUM(V45:V50)</f>
        <v>83111</v>
      </c>
      <c r="W51" s="57">
        <f>SUM(W45:W50)</f>
        <v>96234</v>
      </c>
      <c r="X51" s="29"/>
      <c r="Y51" s="30">
        <f t="shared" si="83"/>
        <v>0.15789726991613628</v>
      </c>
    </row>
    <row r="52" spans="2:25" ht="15.75">
      <c r="B52" s="38"/>
      <c r="C52" s="58"/>
      <c r="D52" s="58"/>
      <c r="E52" s="58"/>
      <c r="F52" s="59"/>
      <c r="G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V52" s="29"/>
      <c r="W52" s="29"/>
      <c r="X52" s="29"/>
      <c r="Y52" s="34"/>
    </row>
    <row r="53" spans="2:25" ht="15.75">
      <c r="B53" s="38" t="s">
        <v>34</v>
      </c>
      <c r="C53" s="58"/>
      <c r="D53" s="58"/>
      <c r="E53" s="58"/>
      <c r="F53" s="59"/>
      <c r="G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V53" s="29"/>
      <c r="W53" s="29"/>
      <c r="X53" s="29"/>
      <c r="Y53" s="34"/>
    </row>
    <row r="54" spans="2:25">
      <c r="B54" s="26" t="s">
        <v>92</v>
      </c>
      <c r="C54" s="72">
        <v>1351</v>
      </c>
      <c r="D54" s="72">
        <v>1591</v>
      </c>
      <c r="E54" s="72">
        <v>1803</v>
      </c>
      <c r="F54" s="72">
        <v>3310</v>
      </c>
      <c r="G54" s="61">
        <v>5162</v>
      </c>
      <c r="I54" s="22">
        <v>1454</v>
      </c>
      <c r="J54" s="22">
        <v>1545</v>
      </c>
      <c r="K54" s="22">
        <v>1778</v>
      </c>
      <c r="L54" s="136">
        <f>E54</f>
        <v>1803</v>
      </c>
      <c r="M54" s="22">
        <v>2092</v>
      </c>
      <c r="N54" s="22">
        <v>2477</v>
      </c>
      <c r="O54" s="22">
        <v>2773</v>
      </c>
      <c r="P54" s="136">
        <f>F54</f>
        <v>3310</v>
      </c>
      <c r="Q54" s="22">
        <v>3579</v>
      </c>
      <c r="R54" s="22">
        <v>3978</v>
      </c>
      <c r="S54" s="22">
        <v>4420</v>
      </c>
      <c r="T54" s="136">
        <f t="shared" ref="T54:T59" si="90">G54</f>
        <v>5162</v>
      </c>
      <c r="V54" s="23">
        <f t="shared" ref="V54" si="91">SUM(M54:P54)</f>
        <v>10652</v>
      </c>
      <c r="W54" s="23">
        <f t="shared" ref="W54" si="92">SUM(Q54:T54)</f>
        <v>17139</v>
      </c>
      <c r="X54" s="23"/>
      <c r="Y54" s="25">
        <f t="shared" si="83"/>
        <v>0.60899361622230574</v>
      </c>
    </row>
    <row r="55" spans="2:25">
      <c r="B55" s="26" t="s">
        <v>93</v>
      </c>
      <c r="C55" s="72">
        <v>3711</v>
      </c>
      <c r="D55" s="72">
        <v>4559</v>
      </c>
      <c r="E55" s="72">
        <v>5168</v>
      </c>
      <c r="F55" s="72">
        <v>5042</v>
      </c>
      <c r="G55" s="61">
        <v>4665</v>
      </c>
      <c r="I55" s="22">
        <v>4723</v>
      </c>
      <c r="J55" s="22">
        <v>4893</v>
      </c>
      <c r="K55" s="22">
        <v>5038</v>
      </c>
      <c r="L55" s="136">
        <f t="shared" ref="L55:L59" si="93">E55</f>
        <v>5168</v>
      </c>
      <c r="M55" s="22">
        <v>5215</v>
      </c>
      <c r="N55" s="22">
        <v>5281</v>
      </c>
      <c r="O55" s="22">
        <v>5216</v>
      </c>
      <c r="P55" s="136">
        <f t="shared" ref="P55:P59" si="94">F55</f>
        <v>5042</v>
      </c>
      <c r="Q55" s="22">
        <v>4907</v>
      </c>
      <c r="R55" s="22">
        <v>4724</v>
      </c>
      <c r="S55" s="22">
        <v>4744</v>
      </c>
      <c r="T55" s="136">
        <f t="shared" si="90"/>
        <v>4665</v>
      </c>
      <c r="V55" s="23">
        <f t="shared" ref="V55:V59" si="95">SUM(L55:O55)</f>
        <v>20880</v>
      </c>
      <c r="W55" s="23">
        <f t="shared" ref="W55:W59" si="96">SUM(P55:S55)</f>
        <v>19417</v>
      </c>
      <c r="X55" s="23"/>
      <c r="Y55" s="25">
        <f t="shared" si="83"/>
        <v>-7.0067049808429149E-2</v>
      </c>
    </row>
    <row r="56" spans="2:25">
      <c r="B56" s="26" t="s">
        <v>94</v>
      </c>
      <c r="C56" s="72">
        <v>6323</v>
      </c>
      <c r="D56" s="72">
        <v>7246</v>
      </c>
      <c r="E56" s="72">
        <v>10508</v>
      </c>
      <c r="F56" s="72">
        <v>10642</v>
      </c>
      <c r="G56" s="61">
        <v>10799</v>
      </c>
      <c r="I56" s="22">
        <v>7264</v>
      </c>
      <c r="J56" s="22">
        <v>7261</v>
      </c>
      <c r="K56" s="22">
        <v>10719</v>
      </c>
      <c r="L56" s="136">
        <f t="shared" si="93"/>
        <v>10508</v>
      </c>
      <c r="M56" s="22">
        <v>10566</v>
      </c>
      <c r="N56" s="22">
        <v>10579</v>
      </c>
      <c r="O56" s="22">
        <v>10591</v>
      </c>
      <c r="P56" s="136">
        <f t="shared" si="94"/>
        <v>10642</v>
      </c>
      <c r="Q56" s="22">
        <v>10722</v>
      </c>
      <c r="R56" s="22">
        <v>10760</v>
      </c>
      <c r="S56" s="22">
        <v>10770</v>
      </c>
      <c r="T56" s="136">
        <f t="shared" si="90"/>
        <v>10799</v>
      </c>
      <c r="V56" s="23"/>
      <c r="W56" s="23"/>
      <c r="X56" s="23"/>
      <c r="Y56" s="25"/>
    </row>
    <row r="57" spans="2:25">
      <c r="B57" s="26" t="s">
        <v>95</v>
      </c>
      <c r="C57" s="72">
        <v>1653</v>
      </c>
      <c r="D57" s="72">
        <v>1458</v>
      </c>
      <c r="E57" s="72">
        <v>1882</v>
      </c>
      <c r="F57" s="72">
        <v>1408</v>
      </c>
      <c r="G57" s="61">
        <v>1244</v>
      </c>
      <c r="I57" s="22">
        <v>1373</v>
      </c>
      <c r="J57" s="22">
        <v>1258</v>
      </c>
      <c r="K57" s="22">
        <v>1954</v>
      </c>
      <c r="L57" s="136">
        <f t="shared" si="93"/>
        <v>1882</v>
      </c>
      <c r="M57" s="22">
        <v>1796</v>
      </c>
      <c r="N57" s="22">
        <v>1727</v>
      </c>
      <c r="O57" s="22">
        <v>1618</v>
      </c>
      <c r="P57" s="136">
        <f t="shared" si="94"/>
        <v>1408</v>
      </c>
      <c r="Q57" s="22">
        <v>1387</v>
      </c>
      <c r="R57" s="22">
        <v>1331</v>
      </c>
      <c r="S57" s="22">
        <v>1296</v>
      </c>
      <c r="T57" s="136">
        <f t="shared" si="90"/>
        <v>1244</v>
      </c>
      <c r="V57" s="23">
        <f t="shared" si="95"/>
        <v>7023</v>
      </c>
      <c r="W57" s="23">
        <f t="shared" si="96"/>
        <v>5422</v>
      </c>
      <c r="X57" s="23"/>
      <c r="Y57" s="25">
        <f t="shared" si="83"/>
        <v>-0.22796525701267267</v>
      </c>
    </row>
    <row r="58" spans="2:25">
      <c r="B58" s="26" t="s">
        <v>90</v>
      </c>
      <c r="C58" s="72">
        <v>0</v>
      </c>
      <c r="D58" s="72">
        <v>0</v>
      </c>
      <c r="E58" s="72">
        <v>1200</v>
      </c>
      <c r="F58" s="72">
        <v>88</v>
      </c>
      <c r="G58" s="61">
        <v>0</v>
      </c>
      <c r="I58" s="22">
        <v>0</v>
      </c>
      <c r="J58" s="22">
        <v>0</v>
      </c>
      <c r="K58" s="22">
        <v>916</v>
      </c>
      <c r="L58" s="136">
        <f t="shared" si="93"/>
        <v>1200</v>
      </c>
      <c r="M58" s="22">
        <v>1199</v>
      </c>
      <c r="N58" s="22">
        <v>1251</v>
      </c>
      <c r="O58" s="22">
        <v>218</v>
      </c>
      <c r="P58" s="136">
        <f t="shared" si="94"/>
        <v>88</v>
      </c>
      <c r="Q58" s="22">
        <v>69</v>
      </c>
      <c r="R58" s="22">
        <v>0</v>
      </c>
      <c r="S58" s="22">
        <v>0</v>
      </c>
      <c r="T58" s="136">
        <f t="shared" si="90"/>
        <v>0</v>
      </c>
      <c r="V58" s="23">
        <f t="shared" si="95"/>
        <v>3868</v>
      </c>
      <c r="W58" s="23">
        <f t="shared" si="96"/>
        <v>157</v>
      </c>
      <c r="X58" s="23"/>
      <c r="Y58" s="25">
        <f t="shared" si="83"/>
        <v>-0.95941054808686665</v>
      </c>
    </row>
    <row r="59" spans="2:25">
      <c r="B59" s="26" t="s">
        <v>96</v>
      </c>
      <c r="C59" s="72">
        <v>4037</v>
      </c>
      <c r="D59" s="72">
        <v>6311</v>
      </c>
      <c r="E59" s="72">
        <v>7729</v>
      </c>
      <c r="F59" s="72">
        <v>8086</v>
      </c>
      <c r="G59" s="61">
        <v>8053</v>
      </c>
      <c r="I59" s="22">
        <v>7784</v>
      </c>
      <c r="J59" s="22">
        <v>7735</v>
      </c>
      <c r="K59" s="22">
        <v>7616</v>
      </c>
      <c r="L59" s="136">
        <f t="shared" si="93"/>
        <v>7729</v>
      </c>
      <c r="M59" s="22">
        <v>8048</v>
      </c>
      <c r="N59" s="22">
        <v>7974</v>
      </c>
      <c r="O59" s="22">
        <v>8110</v>
      </c>
      <c r="P59" s="136">
        <f t="shared" si="94"/>
        <v>8086</v>
      </c>
      <c r="Q59" s="22">
        <v>8032</v>
      </c>
      <c r="R59" s="22">
        <v>8142</v>
      </c>
      <c r="S59" s="22">
        <v>8179</v>
      </c>
      <c r="T59" s="136">
        <f t="shared" si="90"/>
        <v>8053</v>
      </c>
      <c r="V59" s="23">
        <f t="shared" si="95"/>
        <v>31861</v>
      </c>
      <c r="W59" s="23">
        <f t="shared" si="96"/>
        <v>32439</v>
      </c>
      <c r="X59" s="23"/>
      <c r="Y59" s="25">
        <f t="shared" si="83"/>
        <v>1.814130127742386E-2</v>
      </c>
    </row>
    <row r="60" spans="2:25">
      <c r="B60" s="41" t="s">
        <v>2</v>
      </c>
      <c r="C60" s="62">
        <f>SUM(C54:C59)+C51</f>
        <v>35594</v>
      </c>
      <c r="D60" s="62">
        <f>SUM(D54:D59)+D51</f>
        <v>41240</v>
      </c>
      <c r="E60" s="62">
        <f>SUM(E54:E59)+E51</f>
        <v>49014</v>
      </c>
      <c r="F60" s="62">
        <f>SUM(F54:F59)+F51</f>
        <v>51040</v>
      </c>
      <c r="G60" s="62">
        <f>SUM(G54:G59)+G51</f>
        <v>55154</v>
      </c>
      <c r="I60" s="62">
        <f t="shared" ref="I60:R60" si="97">SUM(I54:I59)+I51</f>
        <v>42820</v>
      </c>
      <c r="J60" s="62">
        <f t="shared" si="97"/>
        <v>44302</v>
      </c>
      <c r="K60" s="62">
        <f t="shared" si="97"/>
        <v>47020</v>
      </c>
      <c r="L60" s="62">
        <f t="shared" si="97"/>
        <v>49014</v>
      </c>
      <c r="M60" s="62">
        <f t="shared" si="97"/>
        <v>50014</v>
      </c>
      <c r="N60" s="62">
        <f t="shared" si="97"/>
        <v>48362</v>
      </c>
      <c r="O60" s="62">
        <f t="shared" si="97"/>
        <v>49002</v>
      </c>
      <c r="P60" s="62">
        <f t="shared" si="97"/>
        <v>51040</v>
      </c>
      <c r="Q60" s="62">
        <f t="shared" si="97"/>
        <v>52135</v>
      </c>
      <c r="R60" s="62">
        <f t="shared" si="97"/>
        <v>53167</v>
      </c>
      <c r="S60" s="62">
        <f t="shared" ref="S60:T60" si="98">SUM(S54:S59)+S51</f>
        <v>52741</v>
      </c>
      <c r="T60" s="62">
        <f t="shared" si="98"/>
        <v>55154</v>
      </c>
      <c r="V60" s="62">
        <f t="shared" ref="V60:W60" si="99">SUM(V54:V59)+V51</f>
        <v>157395</v>
      </c>
      <c r="W60" s="62">
        <f t="shared" si="99"/>
        <v>170808</v>
      </c>
      <c r="X60" s="29"/>
      <c r="Y60" s="30">
        <f t="shared" si="83"/>
        <v>8.5218717240064912E-2</v>
      </c>
    </row>
    <row r="61" spans="2:25" ht="15.75">
      <c r="B61" s="38"/>
      <c r="C61" s="63"/>
      <c r="D61" s="63"/>
      <c r="E61" s="63"/>
      <c r="F61" s="63"/>
      <c r="G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V61" s="29"/>
      <c r="W61" s="29"/>
      <c r="X61" s="29"/>
      <c r="Y61" s="34"/>
    </row>
    <row r="62" spans="2:25" s="65" customFormat="1" ht="15.75">
      <c r="B62" s="38" t="s">
        <v>35</v>
      </c>
      <c r="C62" s="58"/>
      <c r="D62" s="58"/>
      <c r="E62" s="58"/>
      <c r="F62" s="58"/>
      <c r="G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V62" s="64"/>
      <c r="W62" s="64"/>
      <c r="X62" s="64"/>
    </row>
    <row r="63" spans="2:25">
      <c r="B63" s="66" t="s">
        <v>97</v>
      </c>
      <c r="C63" s="72">
        <v>2248</v>
      </c>
      <c r="D63" s="72">
        <v>2750</v>
      </c>
      <c r="E63" s="72">
        <v>3796</v>
      </c>
      <c r="F63" s="72">
        <v>1912</v>
      </c>
      <c r="G63" s="61">
        <v>2584</v>
      </c>
      <c r="I63" s="22">
        <v>3526</v>
      </c>
      <c r="J63" s="22">
        <v>3724</v>
      </c>
      <c r="K63" s="22">
        <v>3752</v>
      </c>
      <c r="L63" s="136">
        <f>E63</f>
        <v>3796</v>
      </c>
      <c r="M63" s="22">
        <v>2562</v>
      </c>
      <c r="N63" s="22">
        <v>1430</v>
      </c>
      <c r="O63" s="22">
        <v>1744</v>
      </c>
      <c r="P63" s="136">
        <f>F63</f>
        <v>1912</v>
      </c>
      <c r="Q63" s="22">
        <v>2147</v>
      </c>
      <c r="R63" s="22">
        <v>2314</v>
      </c>
      <c r="S63" s="22">
        <v>2586</v>
      </c>
      <c r="T63" s="136">
        <f>G63</f>
        <v>2584</v>
      </c>
      <c r="V63" s="23">
        <f t="shared" ref="V63:V68" si="100">SUM(M63:P63)</f>
        <v>7648</v>
      </c>
      <c r="W63" s="23">
        <f t="shared" ref="W63:W68" si="101">SUM(Q63:T63)</f>
        <v>9631</v>
      </c>
      <c r="X63" s="23"/>
      <c r="Y63" s="25">
        <f t="shared" ref="Y63:Y68" si="102">SUM(W63/V63)-1</f>
        <v>0.25928347280334729</v>
      </c>
    </row>
    <row r="64" spans="2:25">
      <c r="B64" s="66" t="s">
        <v>98</v>
      </c>
      <c r="C64" s="72">
        <v>1053</v>
      </c>
      <c r="D64" s="72">
        <v>1531</v>
      </c>
      <c r="E64" s="72">
        <v>1486</v>
      </c>
      <c r="F64" s="72">
        <v>1685</v>
      </c>
      <c r="G64" s="61">
        <v>1834</v>
      </c>
      <c r="I64" s="22">
        <v>1440</v>
      </c>
      <c r="J64" s="22">
        <v>1124</v>
      </c>
      <c r="K64" s="22">
        <v>1578</v>
      </c>
      <c r="L64" s="136">
        <f t="shared" ref="L64:L68" si="103">E64</f>
        <v>1486</v>
      </c>
      <c r="M64" s="22">
        <v>1460</v>
      </c>
      <c r="N64" s="22">
        <v>1227</v>
      </c>
      <c r="O64" s="22">
        <v>1546</v>
      </c>
      <c r="P64" s="136">
        <f t="shared" ref="P64:P68" si="104">F64</f>
        <v>1685</v>
      </c>
      <c r="Q64" s="22">
        <v>1757</v>
      </c>
      <c r="R64" s="22">
        <v>1253</v>
      </c>
      <c r="S64" s="22">
        <v>1780</v>
      </c>
      <c r="T64" s="136">
        <f t="shared" ref="T64:T68" si="105">G64</f>
        <v>1834</v>
      </c>
      <c r="V64" s="23">
        <f t="shared" si="100"/>
        <v>5918</v>
      </c>
      <c r="W64" s="23">
        <f t="shared" si="101"/>
        <v>6624</v>
      </c>
      <c r="X64" s="23"/>
      <c r="Y64" s="25">
        <f t="shared" si="102"/>
        <v>0.11929705981750582</v>
      </c>
    </row>
    <row r="65" spans="2:25">
      <c r="B65" s="66" t="s">
        <v>99</v>
      </c>
      <c r="C65" s="72">
        <v>568</v>
      </c>
      <c r="D65" s="72">
        <v>612</v>
      </c>
      <c r="E65" s="72">
        <v>369</v>
      </c>
      <c r="F65" s="72">
        <v>293</v>
      </c>
      <c r="G65" s="61">
        <v>297</v>
      </c>
      <c r="I65" s="22">
        <v>604</v>
      </c>
      <c r="J65" s="22">
        <v>534</v>
      </c>
      <c r="K65" s="22">
        <v>463</v>
      </c>
      <c r="L65" s="136">
        <f t="shared" si="103"/>
        <v>369</v>
      </c>
      <c r="M65" s="22">
        <v>289</v>
      </c>
      <c r="N65" s="22">
        <v>277</v>
      </c>
      <c r="O65" s="22">
        <v>249</v>
      </c>
      <c r="P65" s="136">
        <f t="shared" si="104"/>
        <v>293</v>
      </c>
      <c r="Q65" s="22">
        <v>210</v>
      </c>
      <c r="R65" s="22">
        <v>253</v>
      </c>
      <c r="S65" s="22">
        <v>263</v>
      </c>
      <c r="T65" s="136">
        <f t="shared" si="105"/>
        <v>297</v>
      </c>
      <c r="V65" s="23">
        <f t="shared" si="100"/>
        <v>1108</v>
      </c>
      <c r="W65" s="23">
        <f t="shared" si="101"/>
        <v>1023</v>
      </c>
      <c r="X65" s="23"/>
      <c r="Y65" s="25"/>
    </row>
    <row r="66" spans="2:25">
      <c r="B66" s="66" t="s">
        <v>100</v>
      </c>
      <c r="C66" s="72">
        <v>500</v>
      </c>
      <c r="D66" s="72">
        <v>2044</v>
      </c>
      <c r="E66" s="72">
        <v>1945</v>
      </c>
      <c r="F66" s="72">
        <v>914</v>
      </c>
      <c r="G66" s="61">
        <v>1364</v>
      </c>
      <c r="I66" s="22">
        <v>2042</v>
      </c>
      <c r="J66" s="22">
        <v>3485</v>
      </c>
      <c r="K66" s="22">
        <v>1945</v>
      </c>
      <c r="L66" s="136">
        <f t="shared" si="103"/>
        <v>1945</v>
      </c>
      <c r="M66" s="22">
        <v>1446</v>
      </c>
      <c r="N66" s="22">
        <v>499</v>
      </c>
      <c r="O66" s="22">
        <v>914</v>
      </c>
      <c r="P66" s="136">
        <f t="shared" si="104"/>
        <v>914</v>
      </c>
      <c r="Q66" s="22">
        <v>914</v>
      </c>
      <c r="R66" s="22">
        <v>914</v>
      </c>
      <c r="S66" s="22">
        <v>1364</v>
      </c>
      <c r="T66" s="136">
        <f t="shared" si="105"/>
        <v>1364</v>
      </c>
      <c r="V66" s="23">
        <f t="shared" si="100"/>
        <v>3773</v>
      </c>
      <c r="W66" s="23">
        <f t="shared" si="101"/>
        <v>4556</v>
      </c>
      <c r="X66" s="23"/>
      <c r="Y66" s="25">
        <f t="shared" si="102"/>
        <v>0.20752716671084026</v>
      </c>
    </row>
    <row r="67" spans="2:25">
      <c r="B67" s="66" t="s">
        <v>101</v>
      </c>
      <c r="C67" s="72"/>
      <c r="D67" s="72">
        <v>0</v>
      </c>
      <c r="E67" s="72">
        <v>581</v>
      </c>
      <c r="F67" s="72">
        <v>333</v>
      </c>
      <c r="G67" s="178">
        <v>0</v>
      </c>
      <c r="I67" s="22">
        <v>0</v>
      </c>
      <c r="J67" s="22">
        <v>0</v>
      </c>
      <c r="K67" s="22">
        <v>677</v>
      </c>
      <c r="L67" s="136">
        <f t="shared" si="103"/>
        <v>581</v>
      </c>
      <c r="M67" s="22">
        <v>646</v>
      </c>
      <c r="N67" s="22">
        <v>648</v>
      </c>
      <c r="O67" s="22">
        <v>300</v>
      </c>
      <c r="P67" s="136">
        <f t="shared" si="104"/>
        <v>333</v>
      </c>
      <c r="Q67" s="22">
        <v>336</v>
      </c>
      <c r="R67" s="22">
        <v>0</v>
      </c>
      <c r="S67" s="178">
        <v>0</v>
      </c>
      <c r="T67" s="136">
        <f t="shared" si="105"/>
        <v>0</v>
      </c>
      <c r="V67" s="23">
        <f t="shared" si="100"/>
        <v>1927</v>
      </c>
      <c r="W67" s="23">
        <f t="shared" si="101"/>
        <v>336</v>
      </c>
      <c r="X67" s="23"/>
      <c r="Y67" s="25">
        <f t="shared" si="102"/>
        <v>-0.82563570316554236</v>
      </c>
    </row>
    <row r="68" spans="2:25">
      <c r="B68" s="66" t="s">
        <v>102</v>
      </c>
      <c r="C68" s="72">
        <v>4303</v>
      </c>
      <c r="D68" s="72">
        <v>5014</v>
      </c>
      <c r="E68" s="72">
        <v>3689</v>
      </c>
      <c r="F68" s="72">
        <v>4491</v>
      </c>
      <c r="G68" s="61">
        <v>4425</v>
      </c>
      <c r="I68" s="22">
        <v>4661</v>
      </c>
      <c r="J68" s="22">
        <v>4565</v>
      </c>
      <c r="K68" s="22">
        <v>3414</v>
      </c>
      <c r="L68" s="136">
        <f t="shared" si="103"/>
        <v>3689</v>
      </c>
      <c r="M68" s="22">
        <v>3678</v>
      </c>
      <c r="N68" s="22">
        <v>3785</v>
      </c>
      <c r="O68" s="22">
        <v>3710</v>
      </c>
      <c r="P68" s="136">
        <f t="shared" si="104"/>
        <v>4491</v>
      </c>
      <c r="Q68" s="22">
        <v>3805</v>
      </c>
      <c r="R68" s="22">
        <v>4409</v>
      </c>
      <c r="S68" s="22">
        <v>3754</v>
      </c>
      <c r="T68" s="136">
        <f t="shared" si="105"/>
        <v>4425</v>
      </c>
      <c r="V68" s="23">
        <f t="shared" si="100"/>
        <v>15664</v>
      </c>
      <c r="W68" s="23">
        <f t="shared" si="101"/>
        <v>16393</v>
      </c>
      <c r="X68" s="23"/>
      <c r="Y68" s="25">
        <f t="shared" si="102"/>
        <v>4.6539836567926374E-2</v>
      </c>
    </row>
    <row r="69" spans="2:25">
      <c r="B69" s="41" t="s">
        <v>3</v>
      </c>
      <c r="C69" s="62">
        <f>SUM(C63:C68)</f>
        <v>8672</v>
      </c>
      <c r="D69" s="62">
        <f>SUM(D63:D68)</f>
        <v>11951</v>
      </c>
      <c r="E69" s="62">
        <f>SUM(E63:E68)</f>
        <v>11866</v>
      </c>
      <c r="F69" s="62">
        <f>SUM(F63:F68)</f>
        <v>9628</v>
      </c>
      <c r="G69" s="62">
        <f>SUM(G63:G68)</f>
        <v>10504</v>
      </c>
      <c r="I69" s="62">
        <f t="shared" ref="I69:T69" si="106">SUM(I63:I68)</f>
        <v>12273</v>
      </c>
      <c r="J69" s="62">
        <f t="shared" si="106"/>
        <v>13432</v>
      </c>
      <c r="K69" s="62">
        <f t="shared" si="106"/>
        <v>11829</v>
      </c>
      <c r="L69" s="62">
        <f t="shared" si="106"/>
        <v>11866</v>
      </c>
      <c r="M69" s="62">
        <f t="shared" si="106"/>
        <v>10081</v>
      </c>
      <c r="N69" s="62">
        <f t="shared" si="106"/>
        <v>7866</v>
      </c>
      <c r="O69" s="62">
        <f t="shared" si="106"/>
        <v>8463</v>
      </c>
      <c r="P69" s="62">
        <f t="shared" si="106"/>
        <v>9628</v>
      </c>
      <c r="Q69" s="62">
        <f t="shared" si="106"/>
        <v>9169</v>
      </c>
      <c r="R69" s="62">
        <f t="shared" si="106"/>
        <v>9143</v>
      </c>
      <c r="S69" s="62">
        <f t="shared" si="106"/>
        <v>9747</v>
      </c>
      <c r="T69" s="62">
        <f t="shared" si="106"/>
        <v>10504</v>
      </c>
      <c r="V69" s="62">
        <f>SUM(V63:V68)</f>
        <v>36038</v>
      </c>
      <c r="W69" s="62">
        <f>SUM(W63:W68)</f>
        <v>38563</v>
      </c>
      <c r="X69" s="29"/>
      <c r="Y69" s="30">
        <f>SUM(W69/V69)-1</f>
        <v>7.006493146123538E-2</v>
      </c>
    </row>
    <row r="70" spans="2:25" ht="15.75">
      <c r="B70" s="38"/>
      <c r="C70" s="63"/>
      <c r="D70" s="63"/>
      <c r="E70" s="63"/>
      <c r="F70" s="67"/>
      <c r="G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V70" s="29"/>
      <c r="W70" s="29"/>
      <c r="X70" s="29"/>
      <c r="Y70" s="34"/>
    </row>
    <row r="71" spans="2:25" ht="15.75">
      <c r="B71" s="38" t="s">
        <v>36</v>
      </c>
      <c r="C71" s="63"/>
      <c r="D71" s="63"/>
      <c r="E71" s="63"/>
      <c r="F71" s="67"/>
      <c r="G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V71" s="29"/>
      <c r="W71" s="29"/>
      <c r="X71" s="29"/>
      <c r="Y71" s="34"/>
    </row>
    <row r="72" spans="2:25">
      <c r="B72" s="26" t="s">
        <v>99</v>
      </c>
      <c r="C72" s="68">
        <v>761</v>
      </c>
      <c r="D72" s="68">
        <v>364</v>
      </c>
      <c r="E72" s="68">
        <v>144</v>
      </c>
      <c r="F72" s="68">
        <v>99</v>
      </c>
      <c r="G72" s="22">
        <v>88</v>
      </c>
      <c r="H72" s="69"/>
      <c r="I72" s="22">
        <v>257</v>
      </c>
      <c r="J72" s="22">
        <v>228</v>
      </c>
      <c r="K72" s="22">
        <v>180</v>
      </c>
      <c r="L72" s="136">
        <f t="shared" ref="L72:L76" si="107">E72</f>
        <v>144</v>
      </c>
      <c r="M72" s="22">
        <v>105</v>
      </c>
      <c r="N72" s="22">
        <v>104</v>
      </c>
      <c r="O72" s="22">
        <v>92</v>
      </c>
      <c r="P72" s="136">
        <f t="shared" ref="P72:P76" si="108">F72</f>
        <v>99</v>
      </c>
      <c r="Q72" s="22">
        <v>93</v>
      </c>
      <c r="R72" s="22">
        <v>135</v>
      </c>
      <c r="S72" s="22">
        <v>108</v>
      </c>
      <c r="T72" s="136">
        <f t="shared" ref="T72:T76" si="109">G72</f>
        <v>88</v>
      </c>
      <c r="V72" s="23">
        <f t="shared" ref="V72:V76" si="110">SUM(M72:P72)</f>
        <v>400</v>
      </c>
      <c r="W72" s="23">
        <f t="shared" ref="W72:W76" si="111">SUM(Q72:T72)</f>
        <v>424</v>
      </c>
      <c r="X72" s="29"/>
      <c r="Y72" s="25">
        <f t="shared" ref="Y72:Y75" si="112">SUM(W72/V72)-1</f>
        <v>6.0000000000000053E-2</v>
      </c>
    </row>
    <row r="73" spans="2:25">
      <c r="B73" s="26" t="s">
        <v>103</v>
      </c>
      <c r="C73" s="68">
        <v>1872</v>
      </c>
      <c r="D73" s="68">
        <v>1713</v>
      </c>
      <c r="E73" s="68">
        <v>1472</v>
      </c>
      <c r="F73" s="68">
        <v>0</v>
      </c>
      <c r="G73" s="22">
        <v>0</v>
      </c>
      <c r="H73" s="69"/>
      <c r="I73" s="22">
        <v>1687</v>
      </c>
      <c r="J73" s="22">
        <v>1479</v>
      </c>
      <c r="K73" s="22">
        <v>1480</v>
      </c>
      <c r="L73" s="136">
        <f t="shared" si="107"/>
        <v>1472</v>
      </c>
      <c r="M73" s="22">
        <v>1472</v>
      </c>
      <c r="N73" s="22">
        <v>1084</v>
      </c>
      <c r="O73" s="22">
        <v>1098</v>
      </c>
      <c r="P73" s="136">
        <f t="shared" si="108"/>
        <v>0</v>
      </c>
      <c r="Q73" s="22">
        <v>1056</v>
      </c>
      <c r="R73" s="22">
        <v>526</v>
      </c>
      <c r="S73" s="22">
        <v>526</v>
      </c>
      <c r="T73" s="136">
        <f t="shared" si="109"/>
        <v>0</v>
      </c>
      <c r="V73" s="23">
        <f t="shared" si="110"/>
        <v>3654</v>
      </c>
      <c r="W73" s="23">
        <f t="shared" si="111"/>
        <v>2108</v>
      </c>
      <c r="X73" s="29"/>
      <c r="Y73" s="25">
        <f t="shared" si="112"/>
        <v>-0.42309797482211275</v>
      </c>
    </row>
    <row r="74" spans="2:25">
      <c r="B74" s="66" t="s">
        <v>104</v>
      </c>
      <c r="C74" s="68">
        <v>15226</v>
      </c>
      <c r="D74" s="68">
        <v>13701</v>
      </c>
      <c r="E74" s="68">
        <v>13537</v>
      </c>
      <c r="F74" s="68">
        <v>14484</v>
      </c>
      <c r="G74" s="22">
        <v>13270</v>
      </c>
      <c r="H74" s="69"/>
      <c r="I74" s="22">
        <v>13708</v>
      </c>
      <c r="J74" s="22">
        <v>12195</v>
      </c>
      <c r="K74" s="22">
        <v>13600</v>
      </c>
      <c r="L74" s="136">
        <f t="shared" si="107"/>
        <v>13537</v>
      </c>
      <c r="M74" s="22">
        <v>15431</v>
      </c>
      <c r="N74" s="22">
        <v>15486</v>
      </c>
      <c r="O74" s="22">
        <v>14530</v>
      </c>
      <c r="P74" s="136">
        <f t="shared" si="108"/>
        <v>14484</v>
      </c>
      <c r="Q74" s="22">
        <v>14566</v>
      </c>
      <c r="R74" s="22">
        <v>14543</v>
      </c>
      <c r="S74" s="22">
        <v>13190</v>
      </c>
      <c r="T74" s="136">
        <f t="shared" si="109"/>
        <v>13270</v>
      </c>
      <c r="V74" s="23">
        <f t="shared" si="110"/>
        <v>59931</v>
      </c>
      <c r="W74" s="23">
        <f t="shared" si="111"/>
        <v>55569</v>
      </c>
      <c r="X74" s="23"/>
      <c r="Y74" s="25">
        <f t="shared" si="112"/>
        <v>-7.2783701256444955E-2</v>
      </c>
    </row>
    <row r="75" spans="2:25">
      <c r="B75" s="66" t="s">
        <v>101</v>
      </c>
      <c r="C75" s="68">
        <v>0</v>
      </c>
      <c r="D75" s="68">
        <v>0</v>
      </c>
      <c r="E75" s="68">
        <v>119</v>
      </c>
      <c r="F75" s="68">
        <v>38</v>
      </c>
      <c r="G75" s="22">
        <v>0</v>
      </c>
      <c r="H75" s="69"/>
      <c r="I75" s="22">
        <v>0</v>
      </c>
      <c r="J75" s="22">
        <v>0</v>
      </c>
      <c r="K75" s="22">
        <v>128</v>
      </c>
      <c r="L75" s="136">
        <f t="shared" si="107"/>
        <v>119</v>
      </c>
      <c r="M75" s="22">
        <v>111</v>
      </c>
      <c r="N75" s="22">
        <v>116</v>
      </c>
      <c r="O75" s="22">
        <v>36</v>
      </c>
      <c r="P75" s="136">
        <f t="shared" si="108"/>
        <v>38</v>
      </c>
      <c r="Q75" s="22">
        <v>43</v>
      </c>
      <c r="R75" s="22">
        <v>0</v>
      </c>
      <c r="S75" s="178">
        <v>0</v>
      </c>
      <c r="T75" s="136">
        <f t="shared" si="109"/>
        <v>0</v>
      </c>
      <c r="V75" s="23">
        <f t="shared" si="110"/>
        <v>301</v>
      </c>
      <c r="W75" s="23">
        <f t="shared" si="111"/>
        <v>43</v>
      </c>
      <c r="X75" s="23"/>
      <c r="Y75" s="25">
        <f t="shared" si="112"/>
        <v>-0.85714285714285721</v>
      </c>
    </row>
    <row r="76" spans="2:25">
      <c r="B76" s="66" t="s">
        <v>105</v>
      </c>
      <c r="C76" s="68">
        <v>2986</v>
      </c>
      <c r="D76" s="68">
        <v>3561</v>
      </c>
      <c r="E76" s="68">
        <v>3863</v>
      </c>
      <c r="F76" s="68">
        <v>5210</v>
      </c>
      <c r="G76" s="22">
        <v>5018</v>
      </c>
      <c r="H76" s="69"/>
      <c r="I76" s="22">
        <v>3562</v>
      </c>
      <c r="J76" s="22">
        <v>3640</v>
      </c>
      <c r="K76" s="22">
        <v>3755</v>
      </c>
      <c r="L76" s="136">
        <f t="shared" si="107"/>
        <v>3863</v>
      </c>
      <c r="M76" s="22">
        <v>4004</v>
      </c>
      <c r="N76" s="22">
        <v>4008</v>
      </c>
      <c r="O76" s="22">
        <v>4113</v>
      </c>
      <c r="P76" s="136">
        <f t="shared" si="108"/>
        <v>5210</v>
      </c>
      <c r="Q76" s="22">
        <v>4150</v>
      </c>
      <c r="R76" s="22">
        <v>4351</v>
      </c>
      <c r="S76" s="22">
        <v>4500</v>
      </c>
      <c r="T76" s="136">
        <f t="shared" si="109"/>
        <v>5018</v>
      </c>
      <c r="V76" s="23">
        <f t="shared" si="110"/>
        <v>17335</v>
      </c>
      <c r="W76" s="23">
        <f t="shared" si="111"/>
        <v>18019</v>
      </c>
      <c r="X76" s="23"/>
      <c r="Y76" s="25">
        <f>SUM(W76/V76)-1</f>
        <v>3.9457744447649157E-2</v>
      </c>
    </row>
    <row r="77" spans="2:25">
      <c r="B77" s="41" t="s">
        <v>37</v>
      </c>
      <c r="C77" s="57">
        <f t="shared" ref="C77" si="113">SUM(C72:C76)+C69</f>
        <v>29517</v>
      </c>
      <c r="D77" s="57">
        <f t="shared" ref="D77" si="114">SUM(D72:D76)+D69</f>
        <v>31290</v>
      </c>
      <c r="E77" s="57">
        <f t="shared" ref="E77:G77" si="115">SUM(E72:E76)+E69</f>
        <v>31001</v>
      </c>
      <c r="F77" s="57">
        <f t="shared" si="115"/>
        <v>29459</v>
      </c>
      <c r="G77" s="57">
        <f t="shared" si="115"/>
        <v>28880</v>
      </c>
      <c r="I77" s="57">
        <f t="shared" ref="I77:Q77" si="116">SUM(I72:I76)+I69</f>
        <v>31487</v>
      </c>
      <c r="J77" s="57">
        <f t="shared" si="116"/>
        <v>30974</v>
      </c>
      <c r="K77" s="57">
        <f t="shared" si="116"/>
        <v>30972</v>
      </c>
      <c r="L77" s="57">
        <f t="shared" si="116"/>
        <v>31001</v>
      </c>
      <c r="M77" s="57">
        <f t="shared" si="116"/>
        <v>31204</v>
      </c>
      <c r="N77" s="57">
        <f>SUM(N72:N76)+N69</f>
        <v>28664</v>
      </c>
      <c r="O77" s="57">
        <f t="shared" si="116"/>
        <v>28332</v>
      </c>
      <c r="P77" s="57">
        <f t="shared" si="116"/>
        <v>29459</v>
      </c>
      <c r="Q77" s="57">
        <f t="shared" si="116"/>
        <v>29077</v>
      </c>
      <c r="R77" s="57">
        <f>SUM(R72:R76)+R69</f>
        <v>28698</v>
      </c>
      <c r="S77" s="57">
        <f>SUM(S72:S76)+S69</f>
        <v>28071</v>
      </c>
      <c r="T77" s="57">
        <f>SUM(T72:T76)+T69</f>
        <v>28880</v>
      </c>
      <c r="V77" s="57">
        <f t="shared" ref="V77:W77" si="117">SUM(V72:V76)+V69</f>
        <v>117659</v>
      </c>
      <c r="W77" s="57">
        <f t="shared" si="117"/>
        <v>114726</v>
      </c>
      <c r="X77" s="29"/>
      <c r="Y77" s="30">
        <f>SUM(W77/V77)-1</f>
        <v>-2.4927969811064155E-2</v>
      </c>
    </row>
    <row r="78" spans="2:25" ht="15.75">
      <c r="B78" s="38"/>
      <c r="C78" s="58"/>
      <c r="D78" s="58"/>
      <c r="E78" s="58"/>
      <c r="F78" s="59"/>
      <c r="G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V78" s="29"/>
      <c r="W78" s="29"/>
      <c r="X78" s="29"/>
      <c r="Y78" s="34"/>
    </row>
    <row r="79" spans="2:25">
      <c r="B79" s="38" t="s">
        <v>38</v>
      </c>
      <c r="C79" s="21"/>
      <c r="D79" s="21"/>
      <c r="E79" s="21"/>
      <c r="F79" s="70"/>
      <c r="G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2:25">
      <c r="B80" s="66" t="s">
        <v>106</v>
      </c>
      <c r="C80" s="178">
        <v>0</v>
      </c>
      <c r="D80" s="178">
        <v>0</v>
      </c>
      <c r="E80" s="178">
        <v>0</v>
      </c>
      <c r="F80" s="178">
        <v>0</v>
      </c>
      <c r="G80" s="178">
        <v>0</v>
      </c>
      <c r="H80" s="71"/>
      <c r="I80" s="178">
        <v>0</v>
      </c>
      <c r="J80" s="178">
        <v>0</v>
      </c>
      <c r="K80" s="178">
        <v>0</v>
      </c>
      <c r="L80" s="136">
        <f t="shared" ref="L80:L83" si="118">E80</f>
        <v>0</v>
      </c>
      <c r="M80" s="178">
        <v>0</v>
      </c>
      <c r="N80" s="178">
        <v>0</v>
      </c>
      <c r="O80" s="178">
        <v>0</v>
      </c>
      <c r="P80" s="136">
        <f t="shared" ref="P80:P83" si="119">F80</f>
        <v>0</v>
      </c>
      <c r="Q80" s="178">
        <v>0</v>
      </c>
      <c r="R80" s="178">
        <v>0</v>
      </c>
      <c r="S80" s="178">
        <v>0</v>
      </c>
      <c r="T80" s="136">
        <f t="shared" ref="T80:T83" si="120">G80</f>
        <v>0</v>
      </c>
      <c r="V80" s="23">
        <f t="shared" ref="V80:V83" si="121">SUM(M80:P80)</f>
        <v>0</v>
      </c>
      <c r="W80" s="23">
        <f t="shared" ref="W80:W83" si="122">SUM(Q80:T80)</f>
        <v>0</v>
      </c>
      <c r="X80" s="23"/>
      <c r="Y80" s="25" t="e">
        <f>SUM(W80/V80)-1</f>
        <v>#DIV/0!</v>
      </c>
    </row>
    <row r="81" spans="1:25">
      <c r="B81" s="66" t="s">
        <v>107</v>
      </c>
      <c r="C81" s="61">
        <v>586</v>
      </c>
      <c r="D81" s="61">
        <v>0</v>
      </c>
      <c r="E81" s="61">
        <v>195</v>
      </c>
      <c r="F81" s="61">
        <v>490</v>
      </c>
      <c r="G81" s="178">
        <v>0</v>
      </c>
      <c r="H81" s="71"/>
      <c r="I81" s="178">
        <v>0</v>
      </c>
      <c r="J81" s="178">
        <v>0</v>
      </c>
      <c r="K81" s="178">
        <v>0</v>
      </c>
      <c r="L81" s="136">
        <f t="shared" si="118"/>
        <v>195</v>
      </c>
      <c r="M81" s="178">
        <v>0</v>
      </c>
      <c r="N81" s="178">
        <v>0</v>
      </c>
      <c r="O81" s="22">
        <v>77</v>
      </c>
      <c r="P81" s="136">
        <f t="shared" si="119"/>
        <v>490</v>
      </c>
      <c r="Q81" s="178">
        <v>0</v>
      </c>
      <c r="R81" s="22">
        <v>66</v>
      </c>
      <c r="S81" s="178">
        <v>0</v>
      </c>
      <c r="T81" s="136">
        <f t="shared" si="120"/>
        <v>0</v>
      </c>
      <c r="V81" s="23">
        <f t="shared" si="121"/>
        <v>567</v>
      </c>
      <c r="W81" s="23">
        <f t="shared" si="122"/>
        <v>66</v>
      </c>
      <c r="X81" s="23"/>
      <c r="Y81" s="25">
        <f t="shared" ref="Y81:Y82" si="123">SUM(W81/V81)-1</f>
        <v>-0.8835978835978836</v>
      </c>
    </row>
    <row r="82" spans="1:25">
      <c r="B82" s="66" t="s">
        <v>108</v>
      </c>
      <c r="C82" s="61">
        <v>5284</v>
      </c>
      <c r="D82" s="61">
        <v>9822</v>
      </c>
      <c r="E82" s="61">
        <v>17840</v>
      </c>
      <c r="F82" s="61">
        <v>20733</v>
      </c>
      <c r="G82" s="61">
        <v>25687</v>
      </c>
      <c r="H82" s="71"/>
      <c r="I82" s="22">
        <v>11275</v>
      </c>
      <c r="J82" s="22">
        <v>13113</v>
      </c>
      <c r="K82" s="22">
        <v>15830</v>
      </c>
      <c r="L82" s="136">
        <f t="shared" si="118"/>
        <v>17840</v>
      </c>
      <c r="M82" s="22">
        <v>18517</v>
      </c>
      <c r="N82" s="22">
        <v>19280</v>
      </c>
      <c r="O82" s="22">
        <v>20163</v>
      </c>
      <c r="P82" s="136">
        <f t="shared" si="119"/>
        <v>20733</v>
      </c>
      <c r="Q82" s="22">
        <v>22565</v>
      </c>
      <c r="R82" s="22">
        <v>23965</v>
      </c>
      <c r="S82" s="22">
        <v>24273</v>
      </c>
      <c r="T82" s="136">
        <f t="shared" si="120"/>
        <v>25687</v>
      </c>
      <c r="V82" s="23">
        <f t="shared" si="121"/>
        <v>78693</v>
      </c>
      <c r="W82" s="23">
        <f t="shared" si="122"/>
        <v>96490</v>
      </c>
      <c r="X82" s="23"/>
      <c r="Y82" s="25">
        <f t="shared" si="123"/>
        <v>0.22615734563430046</v>
      </c>
    </row>
    <row r="83" spans="1:25">
      <c r="B83" s="66" t="s">
        <v>109</v>
      </c>
      <c r="C83" s="72">
        <v>207</v>
      </c>
      <c r="D83" s="72">
        <v>128</v>
      </c>
      <c r="E83" s="72">
        <v>-22</v>
      </c>
      <c r="F83" s="72">
        <v>358</v>
      </c>
      <c r="G83" s="73">
        <v>587</v>
      </c>
      <c r="H83" s="71"/>
      <c r="I83" s="74">
        <v>58</v>
      </c>
      <c r="J83" s="74">
        <v>215</v>
      </c>
      <c r="K83" s="22">
        <v>218</v>
      </c>
      <c r="L83" s="136">
        <f t="shared" si="118"/>
        <v>-22</v>
      </c>
      <c r="M83" s="74">
        <v>293</v>
      </c>
      <c r="N83" s="74">
        <v>418</v>
      </c>
      <c r="O83" s="22">
        <v>430</v>
      </c>
      <c r="P83" s="136">
        <f t="shared" si="119"/>
        <v>358</v>
      </c>
      <c r="Q83" s="74">
        <v>493</v>
      </c>
      <c r="R83" s="74">
        <v>438</v>
      </c>
      <c r="S83" s="74">
        <v>397</v>
      </c>
      <c r="T83" s="136">
        <f t="shared" si="120"/>
        <v>587</v>
      </c>
      <c r="V83" s="23">
        <f t="shared" si="121"/>
        <v>1499</v>
      </c>
      <c r="W83" s="23">
        <f t="shared" si="122"/>
        <v>1915</v>
      </c>
      <c r="X83" s="23"/>
      <c r="Y83" s="25">
        <f>SUM(W83/V83)-1</f>
        <v>0.27751834556370913</v>
      </c>
    </row>
    <row r="84" spans="1:25">
      <c r="B84" s="41" t="s">
        <v>39</v>
      </c>
      <c r="C84" s="75">
        <f>SUM(C80:C83)</f>
        <v>6077</v>
      </c>
      <c r="D84" s="75">
        <f>SUM(D80:D83)</f>
        <v>9950</v>
      </c>
      <c r="E84" s="75">
        <f>SUM(E80:E83)</f>
        <v>18013</v>
      </c>
      <c r="F84" s="75">
        <f>SUM(F80:F83)</f>
        <v>21581</v>
      </c>
      <c r="G84" s="75">
        <f>SUM(G80:G83)</f>
        <v>26274</v>
      </c>
      <c r="H84" s="76"/>
      <c r="I84" s="75">
        <f t="shared" ref="I84:T84" si="124">SUM(I80:I83)</f>
        <v>11333</v>
      </c>
      <c r="J84" s="75">
        <f t="shared" si="124"/>
        <v>13328</v>
      </c>
      <c r="K84" s="75">
        <f t="shared" si="124"/>
        <v>16048</v>
      </c>
      <c r="L84" s="75">
        <f t="shared" si="124"/>
        <v>18013</v>
      </c>
      <c r="M84" s="75">
        <f t="shared" si="124"/>
        <v>18810</v>
      </c>
      <c r="N84" s="75">
        <f t="shared" si="124"/>
        <v>19698</v>
      </c>
      <c r="O84" s="75">
        <f t="shared" si="124"/>
        <v>20670</v>
      </c>
      <c r="P84" s="75">
        <f t="shared" si="124"/>
        <v>21581</v>
      </c>
      <c r="Q84" s="75">
        <f t="shared" si="124"/>
        <v>23058</v>
      </c>
      <c r="R84" s="75">
        <f t="shared" si="124"/>
        <v>24469</v>
      </c>
      <c r="S84" s="75">
        <f t="shared" si="124"/>
        <v>24670</v>
      </c>
      <c r="T84" s="75">
        <f t="shared" si="124"/>
        <v>26274</v>
      </c>
      <c r="V84" s="75">
        <f>SUM(V80:V83)</f>
        <v>80759</v>
      </c>
      <c r="W84" s="75">
        <f>SUM(W80:W83)</f>
        <v>98471</v>
      </c>
      <c r="X84" s="29"/>
      <c r="Y84" s="25">
        <f>SUM(W84/V84)-1</f>
        <v>0.21931920900456925</v>
      </c>
    </row>
    <row r="85" spans="1:25">
      <c r="B85" s="2" t="s">
        <v>40</v>
      </c>
      <c r="C85" s="77">
        <f>SUM(C84+C77)</f>
        <v>35594</v>
      </c>
      <c r="D85" s="77">
        <f>SUM(D84+D77)</f>
        <v>41240</v>
      </c>
      <c r="E85" s="77">
        <f>SUM(E84+E77)</f>
        <v>49014</v>
      </c>
      <c r="F85" s="77">
        <f>SUM(F84+F77)</f>
        <v>51040</v>
      </c>
      <c r="G85" s="77">
        <f>SUM(G84+G77)</f>
        <v>55154</v>
      </c>
      <c r="H85" s="71"/>
      <c r="I85" s="77">
        <f t="shared" ref="I85:T85" si="125">SUM(I84+I77)</f>
        <v>42820</v>
      </c>
      <c r="J85" s="77">
        <f t="shared" si="125"/>
        <v>44302</v>
      </c>
      <c r="K85" s="77">
        <f t="shared" si="125"/>
        <v>47020</v>
      </c>
      <c r="L85" s="77">
        <f t="shared" si="125"/>
        <v>49014</v>
      </c>
      <c r="M85" s="77">
        <f t="shared" si="125"/>
        <v>50014</v>
      </c>
      <c r="N85" s="77">
        <f t="shared" si="125"/>
        <v>48362</v>
      </c>
      <c r="O85" s="77">
        <f t="shared" si="125"/>
        <v>49002</v>
      </c>
      <c r="P85" s="77">
        <f t="shared" si="125"/>
        <v>51040</v>
      </c>
      <c r="Q85" s="77">
        <f t="shared" si="125"/>
        <v>52135</v>
      </c>
      <c r="R85" s="77">
        <f t="shared" si="125"/>
        <v>53167</v>
      </c>
      <c r="S85" s="77">
        <f t="shared" si="125"/>
        <v>52741</v>
      </c>
      <c r="T85" s="77">
        <f t="shared" si="125"/>
        <v>55154</v>
      </c>
      <c r="V85" s="77">
        <f>SUM(V84+V77)</f>
        <v>198418</v>
      </c>
      <c r="W85" s="77">
        <f>SUM(W84+W77)</f>
        <v>213197</v>
      </c>
      <c r="X85" s="23"/>
      <c r="Y85" s="25">
        <f>SUM(W85/V85)-1</f>
        <v>7.4484169782983445E-2</v>
      </c>
    </row>
    <row r="86" spans="1:25" ht="15.75" thickBot="1">
      <c r="B86" s="2"/>
      <c r="C86" s="77"/>
      <c r="D86" s="77"/>
      <c r="E86" s="77"/>
      <c r="F86" s="77"/>
      <c r="G86" s="77"/>
      <c r="H86" s="71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V86" s="77"/>
      <c r="W86" s="77"/>
      <c r="X86" s="23"/>
      <c r="Y86" s="40"/>
    </row>
    <row r="87" spans="1:25">
      <c r="B87" s="78" t="s">
        <v>41</v>
      </c>
      <c r="C87" s="79"/>
      <c r="D87" s="79"/>
      <c r="E87" s="79"/>
      <c r="F87" s="79"/>
      <c r="G87" s="80"/>
      <c r="H87" s="71"/>
      <c r="I87" s="81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80"/>
      <c r="V87" s="82"/>
      <c r="W87" s="83"/>
      <c r="X87" s="23"/>
      <c r="Y87" s="40"/>
    </row>
    <row r="88" spans="1:25">
      <c r="B88" s="84" t="s">
        <v>42</v>
      </c>
      <c r="C88" s="158">
        <f>SUM(C67+C72/C60)</f>
        <v>2.1380007866494351E-2</v>
      </c>
      <c r="D88" s="158">
        <f>SUM(D67+D72/D60)</f>
        <v>8.8263821532492733E-3</v>
      </c>
      <c r="E88" s="158">
        <f>SUM(E67+E72/E60)</f>
        <v>581.0029379360999</v>
      </c>
      <c r="F88" s="158">
        <f>SUM(F67+F72/F60)</f>
        <v>333.00193965517241</v>
      </c>
      <c r="G88" s="85">
        <f>SUM(G67+G72/G60)</f>
        <v>1.5955325089748703E-3</v>
      </c>
      <c r="H88" s="71"/>
      <c r="I88" s="86">
        <f t="shared" ref="I88:T88" si="126">SUM(I67+I72/I60)</f>
        <v>6.0018682858477349E-3</v>
      </c>
      <c r="J88" s="158">
        <f t="shared" si="126"/>
        <v>5.1464945149203196E-3</v>
      </c>
      <c r="K88" s="158">
        <f t="shared" si="126"/>
        <v>677.00382815823059</v>
      </c>
      <c r="L88" s="158">
        <f t="shared" si="126"/>
        <v>581.0029379360999</v>
      </c>
      <c r="M88" s="158">
        <f t="shared" si="126"/>
        <v>646.00209941216463</v>
      </c>
      <c r="N88" s="158">
        <f t="shared" si="126"/>
        <v>648.00215044869935</v>
      </c>
      <c r="O88" s="158">
        <f t="shared" si="126"/>
        <v>300.00187747438878</v>
      </c>
      <c r="P88" s="158">
        <f t="shared" si="126"/>
        <v>333.00193965517241</v>
      </c>
      <c r="Q88" s="158">
        <f t="shared" si="126"/>
        <v>336.00178383044022</v>
      </c>
      <c r="R88" s="158">
        <f t="shared" si="126"/>
        <v>2.5391690334229879E-3</v>
      </c>
      <c r="S88" s="158">
        <f t="shared" si="126"/>
        <v>2.0477427428376408E-3</v>
      </c>
      <c r="T88" s="85">
        <f t="shared" si="126"/>
        <v>1.5955325089748703E-3</v>
      </c>
      <c r="V88" s="159">
        <f>O88</f>
        <v>300.00187747438878</v>
      </c>
      <c r="W88" s="160">
        <f>S88</f>
        <v>2.0477427428376408E-3</v>
      </c>
      <c r="X88" s="23"/>
      <c r="Y88" s="25">
        <f t="shared" ref="Y88:Y91" si="127">SUM(W88/V88)-1</f>
        <v>-0.99999317423357459</v>
      </c>
    </row>
    <row r="89" spans="1:25">
      <c r="B89" s="84" t="s">
        <v>43</v>
      </c>
      <c r="C89" s="158">
        <f>SUM(C45+C46)/C69</f>
        <v>1.2931273062730628</v>
      </c>
      <c r="D89" s="158">
        <f>SUM(D45+D46)/D69</f>
        <v>1.0387415279056147</v>
      </c>
      <c r="E89" s="158">
        <f>SUM(E45+E46)/E69</f>
        <v>0.53783920444968814</v>
      </c>
      <c r="F89" s="158">
        <f>SUM(F45+F46)/F69</f>
        <v>1.1761528874117158</v>
      </c>
      <c r="G89" s="85">
        <f>SUM(G45+G46)/G69</f>
        <v>1.2661843107387662</v>
      </c>
      <c r="H89" s="71"/>
      <c r="I89" s="86">
        <f t="shared" ref="I89:T89" si="128">SUM(I45+I46)/I69</f>
        <v>0.92153507699828896</v>
      </c>
      <c r="J89" s="158">
        <f t="shared" si="128"/>
        <v>0.8595890410958904</v>
      </c>
      <c r="K89" s="158">
        <f t="shared" si="128"/>
        <v>0.57891622284216759</v>
      </c>
      <c r="L89" s="158">
        <f t="shared" si="128"/>
        <v>0.53783920444968814</v>
      </c>
      <c r="M89" s="158">
        <f t="shared" si="128"/>
        <v>0.81718083523459972</v>
      </c>
      <c r="N89" s="158">
        <f t="shared" si="128"/>
        <v>0.84871599288075261</v>
      </c>
      <c r="O89" s="158">
        <f t="shared" si="128"/>
        <v>1.0198511166253101</v>
      </c>
      <c r="P89" s="158">
        <f t="shared" si="128"/>
        <v>1.1761528874117158</v>
      </c>
      <c r="Q89" s="158">
        <f t="shared" si="128"/>
        <v>1.3146471807176354</v>
      </c>
      <c r="R89" s="158">
        <f t="shared" si="128"/>
        <v>1.5149294542272778</v>
      </c>
      <c r="S89" s="158">
        <f t="shared" si="128"/>
        <v>1.3370267774699907</v>
      </c>
      <c r="T89" s="85">
        <f t="shared" si="128"/>
        <v>1.2661843107387662</v>
      </c>
      <c r="V89" s="159">
        <f t="shared" ref="V89:V91" si="129">N89</f>
        <v>0.84871599288075261</v>
      </c>
      <c r="W89" s="160">
        <f t="shared" ref="W89:W91" si="130">R89</f>
        <v>1.5149294542272778</v>
      </c>
      <c r="X89" s="23"/>
      <c r="Y89" s="25">
        <f t="shared" si="127"/>
        <v>0.78496631020847318</v>
      </c>
    </row>
    <row r="90" spans="1:25">
      <c r="B90" s="87" t="s">
        <v>44</v>
      </c>
      <c r="C90" s="158">
        <f>SUM(C51/C69)</f>
        <v>2.1354935424354244</v>
      </c>
      <c r="D90" s="158">
        <f>SUM(D51/D69)</f>
        <v>1.6797757509831812</v>
      </c>
      <c r="E90" s="158">
        <f>SUM(E51/E69)</f>
        <v>1.7465026125063206</v>
      </c>
      <c r="F90" s="158">
        <f>SUM(F51/F69)</f>
        <v>2.3331948483589531</v>
      </c>
      <c r="G90" s="85">
        <f>SUM(G51/G69)</f>
        <v>2.402037319116527</v>
      </c>
      <c r="I90" s="86">
        <f t="shared" ref="I90:T90" si="131">SUM(I51/I69)</f>
        <v>1.6476819033651104</v>
      </c>
      <c r="J90" s="158">
        <f t="shared" si="131"/>
        <v>1.6088445503275759</v>
      </c>
      <c r="K90" s="158">
        <f t="shared" si="131"/>
        <v>1.6061374587877251</v>
      </c>
      <c r="L90" s="158">
        <f t="shared" si="131"/>
        <v>1.7465026125063206</v>
      </c>
      <c r="M90" s="158">
        <f t="shared" si="131"/>
        <v>2.0928479317528024</v>
      </c>
      <c r="N90" s="158">
        <f t="shared" si="131"/>
        <v>2.424739384693618</v>
      </c>
      <c r="O90" s="158">
        <f t="shared" si="131"/>
        <v>2.4194730001181615</v>
      </c>
      <c r="P90" s="158">
        <f t="shared" si="131"/>
        <v>2.3331948483589531</v>
      </c>
      <c r="Q90" s="158">
        <f t="shared" si="131"/>
        <v>2.5563311157159996</v>
      </c>
      <c r="R90" s="158">
        <f t="shared" si="131"/>
        <v>2.6503335885376793</v>
      </c>
      <c r="S90" s="158">
        <f t="shared" si="131"/>
        <v>2.3937621832358675</v>
      </c>
      <c r="T90" s="85">
        <f t="shared" si="131"/>
        <v>2.402037319116527</v>
      </c>
      <c r="V90" s="159">
        <f t="shared" si="129"/>
        <v>2.424739384693618</v>
      </c>
      <c r="W90" s="160">
        <f t="shared" si="130"/>
        <v>2.6503335885376793</v>
      </c>
      <c r="Y90" s="25">
        <f t="shared" si="127"/>
        <v>9.303853654052241E-2</v>
      </c>
    </row>
    <row r="91" spans="1:25" ht="15.75" thickBot="1">
      <c r="B91" s="88" t="s">
        <v>45</v>
      </c>
      <c r="C91" s="89">
        <f>SUM(C45+C46)/C69</f>
        <v>1.2931273062730628</v>
      </c>
      <c r="D91" s="89">
        <f>SUM(D45+D46)/D69</f>
        <v>1.0387415279056147</v>
      </c>
      <c r="E91" s="89">
        <f>SUM(E45+E46)/E69</f>
        <v>0.53783920444968814</v>
      </c>
      <c r="F91" s="89">
        <f>SUM(F45+F46)/F69</f>
        <v>1.1761528874117158</v>
      </c>
      <c r="G91" s="90">
        <f>SUM(G45+G46)/G69</f>
        <v>1.2661843107387662</v>
      </c>
      <c r="H91" s="71"/>
      <c r="I91" s="91">
        <f t="shared" ref="I91:T91" si="132">SUM(I45+I46)/I69</f>
        <v>0.92153507699828896</v>
      </c>
      <c r="J91" s="92">
        <f t="shared" si="132"/>
        <v>0.8595890410958904</v>
      </c>
      <c r="K91" s="92">
        <f t="shared" si="132"/>
        <v>0.57891622284216759</v>
      </c>
      <c r="L91" s="92">
        <f t="shared" si="132"/>
        <v>0.53783920444968814</v>
      </c>
      <c r="M91" s="92">
        <f t="shared" si="132"/>
        <v>0.81718083523459972</v>
      </c>
      <c r="N91" s="92">
        <f t="shared" si="132"/>
        <v>0.84871599288075261</v>
      </c>
      <c r="O91" s="92">
        <f t="shared" si="132"/>
        <v>1.0198511166253101</v>
      </c>
      <c r="P91" s="92">
        <f t="shared" si="132"/>
        <v>1.1761528874117158</v>
      </c>
      <c r="Q91" s="92">
        <f t="shared" si="132"/>
        <v>1.3146471807176354</v>
      </c>
      <c r="R91" s="92">
        <f t="shared" si="132"/>
        <v>1.5149294542272778</v>
      </c>
      <c r="S91" s="92">
        <f t="shared" si="132"/>
        <v>1.3370267774699907</v>
      </c>
      <c r="T91" s="93">
        <f t="shared" si="132"/>
        <v>1.2661843107387662</v>
      </c>
      <c r="V91" s="161">
        <f t="shared" si="129"/>
        <v>0.84871599288075261</v>
      </c>
      <c r="W91" s="162">
        <f t="shared" si="130"/>
        <v>1.5149294542272778</v>
      </c>
      <c r="X91" s="23"/>
      <c r="Y91" s="25">
        <f t="shared" si="127"/>
        <v>0.78496631020847318</v>
      </c>
    </row>
    <row r="92" spans="1:25">
      <c r="B92" s="38"/>
      <c r="C92" s="94"/>
      <c r="D92" s="94"/>
      <c r="E92" s="94"/>
      <c r="F92" s="39"/>
      <c r="G92" s="39"/>
      <c r="H92" s="94"/>
    </row>
    <row r="93" spans="1:25">
      <c r="A93" s="6" t="s">
        <v>17</v>
      </c>
      <c r="B93" s="7" t="s">
        <v>46</v>
      </c>
      <c r="C93" s="13"/>
      <c r="D93" s="13"/>
      <c r="E93" s="13"/>
      <c r="F93" s="13"/>
      <c r="G93" s="13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>
      <c r="B94" s="15" t="s">
        <v>164</v>
      </c>
      <c r="C94" s="54"/>
      <c r="D94" s="54"/>
      <c r="E94" s="54"/>
      <c r="F94" s="54"/>
      <c r="G94" s="54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3" customHeight="1">
      <c r="B95" s="10"/>
      <c r="C95" s="56"/>
      <c r="D95" s="56"/>
      <c r="E95" s="56"/>
      <c r="F95" s="56"/>
      <c r="G95" s="56"/>
    </row>
    <row r="96" spans="1:25" ht="15.75">
      <c r="B96" s="95" t="s">
        <v>47</v>
      </c>
      <c r="C96" s="96"/>
      <c r="D96" s="96"/>
      <c r="E96" s="96"/>
      <c r="F96" s="96"/>
      <c r="G96" s="96"/>
    </row>
    <row r="97" spans="2:25">
      <c r="B97" s="97" t="s">
        <v>110</v>
      </c>
      <c r="C97" s="140">
        <v>5198</v>
      </c>
      <c r="D97" s="140">
        <v>9043</v>
      </c>
      <c r="E97" s="140">
        <v>12986</v>
      </c>
      <c r="F97" s="140">
        <v>7339</v>
      </c>
      <c r="G97" s="140">
        <v>10110</v>
      </c>
      <c r="H97" s="4"/>
      <c r="I97" s="140">
        <v>3399</v>
      </c>
      <c r="J97" s="1">
        <f>6333-I97</f>
        <v>2934</v>
      </c>
      <c r="K97" s="1">
        <v>10063</v>
      </c>
      <c r="L97" s="1">
        <f t="shared" ref="L97" si="133">SUM(E97-SUM(I97:K97))</f>
        <v>-3410</v>
      </c>
      <c r="M97" s="140">
        <v>2273</v>
      </c>
      <c r="N97" s="1">
        <f>3975-M97</f>
        <v>1702</v>
      </c>
      <c r="O97" s="1">
        <f>5710-N97-M97</f>
        <v>1735</v>
      </c>
      <c r="P97" s="1">
        <f>SUM(F97-SUM(M97:O97))</f>
        <v>1629</v>
      </c>
      <c r="Q97" s="140">
        <v>2811</v>
      </c>
      <c r="R97" s="1">
        <f>5087-Q97</f>
        <v>2276</v>
      </c>
      <c r="S97" s="1">
        <f>7195-R97-Q97</f>
        <v>2108</v>
      </c>
      <c r="T97" s="1">
        <f>SUM(G97-SUM(Q97:S97))</f>
        <v>2915</v>
      </c>
      <c r="U97" s="36"/>
      <c r="V97" s="23">
        <f t="shared" ref="V97" si="134">SUM(M97:P97)</f>
        <v>7339</v>
      </c>
      <c r="W97" s="23">
        <f t="shared" ref="W97" si="135">SUM(Q97:T97)</f>
        <v>10110</v>
      </c>
      <c r="X97" s="23"/>
      <c r="Y97" s="30">
        <f>SUM(W97/V97)-1</f>
        <v>0.37757187627742206</v>
      </c>
    </row>
    <row r="98" spans="2:25">
      <c r="C98" s="98"/>
      <c r="D98" s="98"/>
      <c r="E98" s="98"/>
      <c r="F98" s="98"/>
      <c r="G98" s="98"/>
      <c r="H98" s="23"/>
      <c r="I98" s="98"/>
      <c r="J98" s="99"/>
      <c r="K98" s="100"/>
      <c r="L98" s="98"/>
      <c r="M98" s="98"/>
      <c r="N98" s="99"/>
      <c r="O98" s="99"/>
      <c r="P98" s="99"/>
      <c r="Q98" s="98"/>
      <c r="R98" s="100"/>
      <c r="S98" s="1"/>
      <c r="T98" s="99"/>
      <c r="U98" s="36"/>
      <c r="V98" s="23"/>
      <c r="W98" s="23"/>
      <c r="X98" s="23"/>
      <c r="Y98" s="40"/>
    </row>
    <row r="99" spans="2:25">
      <c r="B99" s="3" t="s">
        <v>117</v>
      </c>
      <c r="C99" s="101"/>
      <c r="D99" s="101"/>
      <c r="E99" s="101"/>
      <c r="F99" s="101"/>
      <c r="G99" s="101"/>
      <c r="H99" s="23"/>
      <c r="I99" s="101"/>
      <c r="J99" s="102"/>
      <c r="K99" s="103"/>
      <c r="L99" s="101"/>
      <c r="M99" s="101"/>
      <c r="N99" s="102"/>
      <c r="O99" s="103"/>
      <c r="P99" s="102"/>
      <c r="Q99" s="101"/>
      <c r="R99" s="103"/>
      <c r="S99" s="1"/>
      <c r="T99" s="102"/>
      <c r="U99" s="36"/>
      <c r="V99" s="102"/>
      <c r="W99" s="102"/>
      <c r="X99" s="104"/>
    </row>
    <row r="100" spans="2:25">
      <c r="B100" s="105" t="s">
        <v>111</v>
      </c>
      <c r="C100" s="140">
        <v>1393</v>
      </c>
      <c r="D100" s="140">
        <v>1582</v>
      </c>
      <c r="E100" s="140">
        <v>1762</v>
      </c>
      <c r="F100" s="140">
        <v>1809</v>
      </c>
      <c r="G100" s="140">
        <v>1706</v>
      </c>
      <c r="H100" s="4"/>
      <c r="I100" s="140">
        <v>406</v>
      </c>
      <c r="J100" s="1">
        <f>834-I100</f>
        <v>428</v>
      </c>
      <c r="K100" s="1">
        <v>1272</v>
      </c>
      <c r="L100" s="1">
        <f t="shared" ref="L100:L106" si="136">SUM(E100-SUM(I100:K100))</f>
        <v>-344</v>
      </c>
      <c r="M100" s="140">
        <v>398</v>
      </c>
      <c r="N100" s="1">
        <f>868-M100</f>
        <v>470</v>
      </c>
      <c r="O100" s="1">
        <f>1347-N100-M100</f>
        <v>479</v>
      </c>
      <c r="P100" s="1">
        <f t="shared" ref="P100:P106" si="137">SUM(F100-SUM(M100:O100))</f>
        <v>462</v>
      </c>
      <c r="Q100" s="140">
        <v>437</v>
      </c>
      <c r="R100" s="1">
        <f>848-Q100</f>
        <v>411</v>
      </c>
      <c r="S100" s="1">
        <f>1267-R100-Q100</f>
        <v>419</v>
      </c>
      <c r="T100" s="1">
        <f t="shared" ref="T100:T106" si="138">SUM(G100-SUM(Q100:S100))</f>
        <v>439</v>
      </c>
      <c r="U100" s="36"/>
      <c r="V100" s="23">
        <f t="shared" ref="V100:V106" si="139">SUM(M100:P100)</f>
        <v>1809</v>
      </c>
      <c r="W100" s="23">
        <f t="shared" ref="W100:W106" si="140">SUM(Q100:T100)</f>
        <v>1706</v>
      </c>
      <c r="X100" s="23"/>
      <c r="Y100" s="25">
        <f>SUM(W100/V100)-1</f>
        <v>-5.6937534549474811E-2</v>
      </c>
    </row>
    <row r="101" spans="2:25">
      <c r="B101" s="105" t="s">
        <v>112</v>
      </c>
      <c r="C101" s="140">
        <v>0</v>
      </c>
      <c r="D101" s="140">
        <v>0</v>
      </c>
      <c r="E101" s="140">
        <v>2</v>
      </c>
      <c r="F101" s="140">
        <v>182</v>
      </c>
      <c r="G101" s="140">
        <v>7</v>
      </c>
      <c r="H101" s="4"/>
      <c r="I101" s="140">
        <v>0</v>
      </c>
      <c r="J101" s="1">
        <f>0-I101</f>
        <v>0</v>
      </c>
      <c r="K101" s="1">
        <v>0</v>
      </c>
      <c r="L101" s="1">
        <f t="shared" si="136"/>
        <v>2</v>
      </c>
      <c r="M101" s="140">
        <v>0</v>
      </c>
      <c r="N101" s="1">
        <f>0-M101</f>
        <v>0</v>
      </c>
      <c r="O101" s="1">
        <v>0</v>
      </c>
      <c r="P101" s="1">
        <f t="shared" si="137"/>
        <v>182</v>
      </c>
      <c r="Q101" s="140"/>
      <c r="R101" s="1">
        <f>0-Q101</f>
        <v>0</v>
      </c>
      <c r="S101" s="1">
        <f>0-R101-Q101</f>
        <v>0</v>
      </c>
      <c r="T101" s="1">
        <f t="shared" si="138"/>
        <v>7</v>
      </c>
      <c r="U101" s="36"/>
      <c r="V101" s="23">
        <f t="shared" si="139"/>
        <v>182</v>
      </c>
      <c r="W101" s="23">
        <f t="shared" si="140"/>
        <v>7</v>
      </c>
      <c r="X101" s="23"/>
      <c r="Y101" s="25">
        <f>SUM(W101/V101)-1</f>
        <v>-0.96153846153846156</v>
      </c>
    </row>
    <row r="102" spans="2:25">
      <c r="B102" s="105" t="s">
        <v>113</v>
      </c>
      <c r="C102" s="140">
        <v>-309</v>
      </c>
      <c r="D102" s="140">
        <v>-245</v>
      </c>
      <c r="E102" s="140">
        <v>-138</v>
      </c>
      <c r="F102" s="140">
        <v>-1269</v>
      </c>
      <c r="G102" s="140">
        <v>-3064</v>
      </c>
      <c r="H102" s="4"/>
      <c r="I102" s="140">
        <v>272</v>
      </c>
      <c r="J102" s="1">
        <f>-403-I102</f>
        <v>-675</v>
      </c>
      <c r="K102" s="1">
        <v>-234</v>
      </c>
      <c r="L102" s="1">
        <f t="shared" si="136"/>
        <v>499</v>
      </c>
      <c r="M102" s="140">
        <v>-120</v>
      </c>
      <c r="N102" s="1">
        <f>-631-M102</f>
        <v>-511</v>
      </c>
      <c r="O102" s="1">
        <f>-836-N102-M102</f>
        <v>-205</v>
      </c>
      <c r="P102" s="1">
        <f t="shared" si="137"/>
        <v>-433</v>
      </c>
      <c r="Q102" s="140">
        <v>-1012</v>
      </c>
      <c r="R102" s="1">
        <f>-1764-Q102</f>
        <v>-752</v>
      </c>
      <c r="S102" s="1">
        <f>-2538-R102-Q102</f>
        <v>-774</v>
      </c>
      <c r="T102" s="1">
        <f t="shared" si="138"/>
        <v>-526</v>
      </c>
      <c r="U102" s="36"/>
      <c r="V102" s="23">
        <f t="shared" si="139"/>
        <v>-1269</v>
      </c>
      <c r="W102" s="23">
        <f t="shared" si="140"/>
        <v>-3064</v>
      </c>
      <c r="X102" s="23"/>
      <c r="Y102" s="25">
        <f>SUM(W102/V102)-1</f>
        <v>1.4144996059889676</v>
      </c>
    </row>
    <row r="103" spans="2:25">
      <c r="B103" s="105" t="s">
        <v>75</v>
      </c>
      <c r="C103" s="140">
        <v>1212</v>
      </c>
      <c r="D103" s="140">
        <v>1663</v>
      </c>
      <c r="E103" s="140">
        <v>2031</v>
      </c>
      <c r="F103" s="140">
        <v>2484</v>
      </c>
      <c r="G103" s="140">
        <v>2648</v>
      </c>
      <c r="H103" s="4"/>
      <c r="I103" s="140">
        <v>496</v>
      </c>
      <c r="J103" s="1">
        <f>994-I103</f>
        <v>498</v>
      </c>
      <c r="K103" s="1">
        <v>1510</v>
      </c>
      <c r="L103" s="1">
        <f t="shared" si="136"/>
        <v>-473</v>
      </c>
      <c r="M103" s="140">
        <v>634</v>
      </c>
      <c r="N103" s="1">
        <f>1262-M103</f>
        <v>628</v>
      </c>
      <c r="O103" s="1">
        <f>1876-N103-M103</f>
        <v>614</v>
      </c>
      <c r="P103" s="1">
        <f t="shared" si="137"/>
        <v>608</v>
      </c>
      <c r="Q103" s="140">
        <v>602</v>
      </c>
      <c r="R103" s="1">
        <f>1307-Q103</f>
        <v>705</v>
      </c>
      <c r="S103" s="1">
        <f>1951-R103-Q103</f>
        <v>644</v>
      </c>
      <c r="T103" s="1">
        <f t="shared" si="138"/>
        <v>697</v>
      </c>
      <c r="U103" s="36"/>
      <c r="V103" s="23">
        <f t="shared" si="139"/>
        <v>2484</v>
      </c>
      <c r="W103" s="23">
        <f t="shared" si="140"/>
        <v>2648</v>
      </c>
      <c r="X103" s="23"/>
      <c r="Y103" s="25">
        <f t="shared" ref="Y103:Y106" si="141">SUM(W103/V103)-1</f>
        <v>6.602254428341392E-2</v>
      </c>
    </row>
    <row r="104" spans="2:25">
      <c r="B104" s="105" t="s">
        <v>114</v>
      </c>
      <c r="C104" s="140">
        <v>-336</v>
      </c>
      <c r="D104" s="140">
        <v>-1002</v>
      </c>
      <c r="E104" s="140">
        <v>432</v>
      </c>
      <c r="F104" s="140">
        <v>-152</v>
      </c>
      <c r="G104" s="140">
        <v>-349</v>
      </c>
      <c r="H104" s="4"/>
      <c r="I104" s="140">
        <v>-103</v>
      </c>
      <c r="J104" s="1">
        <f>213-I104</f>
        <v>316</v>
      </c>
      <c r="K104" s="1">
        <v>374</v>
      </c>
      <c r="L104" s="1">
        <f t="shared" si="136"/>
        <v>-155</v>
      </c>
      <c r="M104" s="140">
        <v>-25</v>
      </c>
      <c r="N104" s="1">
        <f>-45-M104</f>
        <v>-20</v>
      </c>
      <c r="O104" s="1">
        <f>-84-N104-M104</f>
        <v>-39</v>
      </c>
      <c r="P104" s="1">
        <f t="shared" si="137"/>
        <v>-68</v>
      </c>
      <c r="Q104" s="140">
        <v>-71</v>
      </c>
      <c r="R104" s="1">
        <f>-273-Q104</f>
        <v>-202</v>
      </c>
      <c r="S104" s="1">
        <f>-314-R104-Q104</f>
        <v>-41</v>
      </c>
      <c r="T104" s="1">
        <f t="shared" si="138"/>
        <v>-35</v>
      </c>
      <c r="U104" s="36"/>
      <c r="V104" s="23">
        <f t="shared" si="139"/>
        <v>-152</v>
      </c>
      <c r="W104" s="23">
        <f t="shared" si="140"/>
        <v>-349</v>
      </c>
      <c r="X104" s="23"/>
      <c r="Y104" s="25">
        <f t="shared" si="141"/>
        <v>1.2960526315789473</v>
      </c>
    </row>
    <row r="105" spans="2:25">
      <c r="B105" s="105" t="s">
        <v>115</v>
      </c>
      <c r="C105" s="140">
        <v>405</v>
      </c>
      <c r="D105" s="140">
        <v>33</v>
      </c>
      <c r="E105" s="140">
        <v>47</v>
      </c>
      <c r="F105" s="140">
        <v>132</v>
      </c>
      <c r="G105" s="140">
        <v>79</v>
      </c>
      <c r="H105" s="4"/>
      <c r="I105" s="141">
        <v>0</v>
      </c>
      <c r="J105" s="4">
        <f>0-I105</f>
        <v>0</v>
      </c>
      <c r="K105" s="4">
        <v>0</v>
      </c>
      <c r="L105" s="1">
        <f t="shared" si="136"/>
        <v>47</v>
      </c>
      <c r="M105" s="140">
        <v>0</v>
      </c>
      <c r="N105" s="4">
        <f>101-M105</f>
        <v>101</v>
      </c>
      <c r="O105" s="4">
        <f>120-N105-M105</f>
        <v>19</v>
      </c>
      <c r="P105" s="1">
        <f t="shared" si="137"/>
        <v>12</v>
      </c>
      <c r="Q105" s="140"/>
      <c r="R105" s="1">
        <f>62-Q105</f>
        <v>62</v>
      </c>
      <c r="S105" s="1">
        <f>66-R105-Q105</f>
        <v>4</v>
      </c>
      <c r="T105" s="1">
        <f t="shared" si="138"/>
        <v>13</v>
      </c>
      <c r="U105" s="36"/>
      <c r="V105" s="23">
        <f t="shared" si="139"/>
        <v>132</v>
      </c>
      <c r="W105" s="23">
        <f t="shared" si="140"/>
        <v>79</v>
      </c>
      <c r="X105" s="23"/>
      <c r="Y105" s="25">
        <f t="shared" si="141"/>
        <v>-0.40151515151515149</v>
      </c>
    </row>
    <row r="106" spans="2:25">
      <c r="B106" s="105" t="s">
        <v>116</v>
      </c>
      <c r="C106" s="140">
        <v>-142</v>
      </c>
      <c r="D106" s="140">
        <v>-77</v>
      </c>
      <c r="E106" s="140">
        <v>-56</v>
      </c>
      <c r="F106" s="140">
        <v>25</v>
      </c>
      <c r="G106" s="140">
        <v>-67</v>
      </c>
      <c r="H106" s="4"/>
      <c r="I106" s="141">
        <v>-25</v>
      </c>
      <c r="J106" s="4">
        <f>-35-I106</f>
        <v>-10</v>
      </c>
      <c r="K106" s="4">
        <v>0</v>
      </c>
      <c r="L106" s="1">
        <f t="shared" si="136"/>
        <v>-21</v>
      </c>
      <c r="M106" s="140">
        <v>-33</v>
      </c>
      <c r="N106" s="1">
        <f>16-M106</f>
        <v>49</v>
      </c>
      <c r="O106" s="1">
        <f>23-N106-M106</f>
        <v>7</v>
      </c>
      <c r="P106" s="1">
        <f t="shared" si="137"/>
        <v>2</v>
      </c>
      <c r="Q106" s="140">
        <v>9</v>
      </c>
      <c r="R106" s="1">
        <f>-30-Q106</f>
        <v>-39</v>
      </c>
      <c r="S106" s="1">
        <f>-63-R106-Q106</f>
        <v>-33</v>
      </c>
      <c r="T106" s="1">
        <f t="shared" si="138"/>
        <v>-4</v>
      </c>
      <c r="U106" s="36"/>
      <c r="V106" s="23">
        <f t="shared" si="139"/>
        <v>25</v>
      </c>
      <c r="W106" s="23">
        <f t="shared" si="140"/>
        <v>-67</v>
      </c>
      <c r="X106" s="23"/>
      <c r="Y106" s="25">
        <f t="shared" si="141"/>
        <v>-3.68</v>
      </c>
    </row>
    <row r="107" spans="2:25">
      <c r="B107"/>
      <c r="C107" s="101"/>
      <c r="D107" s="101"/>
      <c r="E107" s="101"/>
      <c r="F107" s="101"/>
      <c r="G107" s="101"/>
      <c r="H107" s="23"/>
      <c r="I107" s="101"/>
      <c r="J107" s="102"/>
      <c r="K107" s="103"/>
      <c r="L107" s="101"/>
      <c r="M107" s="101"/>
      <c r="N107" s="102"/>
      <c r="O107" s="103"/>
      <c r="P107" s="102"/>
      <c r="Q107" s="101"/>
      <c r="R107" s="103"/>
      <c r="S107" s="1"/>
      <c r="T107" s="102"/>
      <c r="U107" s="36"/>
      <c r="V107" s="23"/>
      <c r="W107" s="23"/>
      <c r="X107" s="23"/>
      <c r="Y107" s="40"/>
    </row>
    <row r="108" spans="2:25">
      <c r="B108" s="3" t="s">
        <v>118</v>
      </c>
      <c r="C108" s="101"/>
      <c r="D108" s="101"/>
      <c r="E108" s="101"/>
      <c r="F108" s="101"/>
      <c r="G108" s="101"/>
      <c r="H108" s="23"/>
      <c r="I108" s="101"/>
      <c r="J108" s="102"/>
      <c r="K108" s="103"/>
      <c r="L108" s="101"/>
      <c r="M108" s="101"/>
      <c r="N108" s="102"/>
      <c r="O108" s="103"/>
      <c r="P108" s="102"/>
      <c r="Q108" s="101"/>
      <c r="R108" s="103"/>
      <c r="S108" s="1"/>
      <c r="T108" s="102"/>
      <c r="U108" s="36"/>
      <c r="V108" s="102"/>
      <c r="W108" s="102"/>
      <c r="X108" s="104"/>
    </row>
    <row r="109" spans="2:25">
      <c r="B109" s="105" t="s">
        <v>74</v>
      </c>
      <c r="C109" s="140">
        <v>-1529</v>
      </c>
      <c r="D109" s="140">
        <v>426</v>
      </c>
      <c r="E109" s="140">
        <v>-2066</v>
      </c>
      <c r="F109" s="140">
        <v>2472</v>
      </c>
      <c r="G109" s="140">
        <v>-768</v>
      </c>
      <c r="H109" s="4"/>
      <c r="I109" s="140">
        <v>-454</v>
      </c>
      <c r="J109" s="1">
        <f>-501-I109</f>
        <v>-47</v>
      </c>
      <c r="K109" s="1">
        <v>-216</v>
      </c>
      <c r="L109" s="1">
        <f t="shared" ref="L109:L115" si="142">SUM(E109-SUM(I109:K109))</f>
        <v>-1349</v>
      </c>
      <c r="M109" s="140">
        <v>1694</v>
      </c>
      <c r="N109" s="1">
        <f>1964-M109</f>
        <v>270</v>
      </c>
      <c r="O109" s="1">
        <f>1807-N109-M109</f>
        <v>-157</v>
      </c>
      <c r="P109" s="1">
        <f t="shared" ref="P109:P115" si="143">SUM(F109-SUM(M109:O109))</f>
        <v>665</v>
      </c>
      <c r="Q109" s="140">
        <v>-325</v>
      </c>
      <c r="R109" s="1">
        <f>92-Q109</f>
        <v>417</v>
      </c>
      <c r="S109" s="1">
        <f>221-R109-Q109</f>
        <v>129</v>
      </c>
      <c r="T109" s="1">
        <f t="shared" ref="T109:T115" si="144">SUM(G109-SUM(Q109:S109))</f>
        <v>-989</v>
      </c>
      <c r="U109" s="36"/>
      <c r="V109" s="23">
        <f t="shared" ref="V109:V115" si="145">SUM(M109:P109)</f>
        <v>2472</v>
      </c>
      <c r="W109" s="23">
        <f t="shared" ref="W109:W115" si="146">SUM(Q109:T109)</f>
        <v>-768</v>
      </c>
      <c r="X109" s="104"/>
      <c r="Y109" s="25">
        <f t="shared" ref="Y109:Y115" si="147">SUM(W109/V109)-1</f>
        <v>-1.3106796116504853</v>
      </c>
    </row>
    <row r="110" spans="2:25">
      <c r="B110" s="105" t="s">
        <v>89</v>
      </c>
      <c r="C110" s="140">
        <v>-1157</v>
      </c>
      <c r="D110" s="140">
        <v>-622</v>
      </c>
      <c r="E110" s="140">
        <v>-3137</v>
      </c>
      <c r="F110" s="140">
        <v>8</v>
      </c>
      <c r="G110" s="140">
        <v>13</v>
      </c>
      <c r="H110" s="4"/>
      <c r="I110" s="140">
        <v>-638</v>
      </c>
      <c r="J110" s="1">
        <f>-1337-I110</f>
        <v>-699</v>
      </c>
      <c r="K110" s="1">
        <v>-2201</v>
      </c>
      <c r="L110" s="1">
        <f t="shared" si="142"/>
        <v>401</v>
      </c>
      <c r="M110" s="140">
        <v>-476</v>
      </c>
      <c r="N110" s="1">
        <f>-396-M110</f>
        <v>80</v>
      </c>
      <c r="O110" s="1">
        <f>-192-N110-M110</f>
        <v>204</v>
      </c>
      <c r="P110" s="1">
        <f t="shared" si="143"/>
        <v>200</v>
      </c>
      <c r="Q110" s="140">
        <v>165</v>
      </c>
      <c r="R110" s="1">
        <f>328-Q110</f>
        <v>163</v>
      </c>
      <c r="S110" s="1">
        <f>397-R110-Q110</f>
        <v>69</v>
      </c>
      <c r="T110" s="1">
        <f t="shared" si="144"/>
        <v>-384</v>
      </c>
      <c r="U110" s="36"/>
      <c r="V110" s="23">
        <f t="shared" si="145"/>
        <v>8</v>
      </c>
      <c r="W110" s="23">
        <f t="shared" si="146"/>
        <v>13</v>
      </c>
      <c r="X110" s="104"/>
      <c r="Y110" s="25">
        <f t="shared" si="147"/>
        <v>0.625</v>
      </c>
    </row>
    <row r="111" spans="2:25">
      <c r="B111" s="105" t="s">
        <v>96</v>
      </c>
      <c r="C111" s="140">
        <v>-110</v>
      </c>
      <c r="D111" s="140">
        <v>-1649</v>
      </c>
      <c r="E111" s="140">
        <v>-2266</v>
      </c>
      <c r="F111" s="140">
        <v>603</v>
      </c>
      <c r="G111" s="140">
        <v>230</v>
      </c>
      <c r="H111" s="4"/>
      <c r="I111" s="140">
        <v>-1504</v>
      </c>
      <c r="J111" s="1">
        <f>-1812-I111</f>
        <v>-308</v>
      </c>
      <c r="K111" s="1">
        <v>-2360</v>
      </c>
      <c r="L111" s="1">
        <f t="shared" si="142"/>
        <v>1906</v>
      </c>
      <c r="M111" s="140">
        <v>409</v>
      </c>
      <c r="N111" s="1">
        <f>615-M111</f>
        <v>206</v>
      </c>
      <c r="O111" s="1">
        <f>604-N111-M111</f>
        <v>-11</v>
      </c>
      <c r="P111" s="1">
        <f t="shared" si="143"/>
        <v>-1</v>
      </c>
      <c r="Q111" s="140">
        <v>115</v>
      </c>
      <c r="R111" s="1">
        <f>221-Q111</f>
        <v>106</v>
      </c>
      <c r="S111" s="1">
        <f>120-R111-Q111</f>
        <v>-101</v>
      </c>
      <c r="T111" s="1">
        <f t="shared" si="144"/>
        <v>110</v>
      </c>
      <c r="U111" s="36"/>
      <c r="V111" s="23">
        <f t="shared" si="145"/>
        <v>603</v>
      </c>
      <c r="W111" s="23">
        <f t="shared" si="146"/>
        <v>230</v>
      </c>
      <c r="X111" s="104"/>
      <c r="Y111" s="25">
        <f t="shared" si="147"/>
        <v>-0.61857379767827525</v>
      </c>
    </row>
    <row r="112" spans="2:25">
      <c r="B112" s="105" t="s">
        <v>97</v>
      </c>
      <c r="C112" s="140">
        <v>907</v>
      </c>
      <c r="D112" s="140">
        <v>495</v>
      </c>
      <c r="E112" s="140">
        <v>1036</v>
      </c>
      <c r="F112" s="140">
        <v>-1880</v>
      </c>
      <c r="G112" s="140">
        <v>682</v>
      </c>
      <c r="H112" s="4"/>
      <c r="I112" s="140">
        <v>781</v>
      </c>
      <c r="J112" s="1">
        <f>979-I112</f>
        <v>198</v>
      </c>
      <c r="K112" s="1">
        <v>948</v>
      </c>
      <c r="L112" s="1">
        <f t="shared" si="142"/>
        <v>-891</v>
      </c>
      <c r="M112" s="140">
        <v>-1264</v>
      </c>
      <c r="N112" s="1">
        <f>-2358-M112</f>
        <v>-1094</v>
      </c>
      <c r="O112" s="1">
        <f>-2052-N112-M112</f>
        <v>306</v>
      </c>
      <c r="P112" s="1">
        <f t="shared" si="143"/>
        <v>172</v>
      </c>
      <c r="Q112" s="140">
        <v>241</v>
      </c>
      <c r="R112" s="1">
        <f>420-Q112</f>
        <v>179</v>
      </c>
      <c r="S112" s="1">
        <f>691-R112-Q112</f>
        <v>271</v>
      </c>
      <c r="T112" s="1">
        <f t="shared" si="144"/>
        <v>-9</v>
      </c>
      <c r="U112" s="36"/>
      <c r="V112" s="23">
        <f t="shared" si="145"/>
        <v>-1880</v>
      </c>
      <c r="W112" s="23">
        <f t="shared" si="146"/>
        <v>682</v>
      </c>
      <c r="X112" s="104"/>
      <c r="Y112" s="25">
        <f t="shared" si="147"/>
        <v>-1.3627659574468085</v>
      </c>
    </row>
    <row r="113" spans="2:25">
      <c r="B113" s="105" t="s">
        <v>119</v>
      </c>
      <c r="C113" s="140">
        <v>528</v>
      </c>
      <c r="D113" s="140">
        <v>1091</v>
      </c>
      <c r="E113" s="140">
        <v>-1043</v>
      </c>
      <c r="F113" s="140">
        <v>1</v>
      </c>
      <c r="G113" s="140">
        <v>1046</v>
      </c>
      <c r="H113" s="4"/>
      <c r="I113" s="141">
        <v>-495</v>
      </c>
      <c r="J113" s="1">
        <f>-371-I113</f>
        <v>124</v>
      </c>
      <c r="K113" s="1">
        <v>-1274</v>
      </c>
      <c r="L113" s="1">
        <f t="shared" si="142"/>
        <v>602</v>
      </c>
      <c r="M113" s="140">
        <v>-286</v>
      </c>
      <c r="N113" s="1">
        <f>-672-M113</f>
        <v>-386</v>
      </c>
      <c r="O113" s="1">
        <f>-604-N113-M113</f>
        <v>68</v>
      </c>
      <c r="P113" s="1">
        <f t="shared" si="143"/>
        <v>605</v>
      </c>
      <c r="Q113" s="140">
        <v>74</v>
      </c>
      <c r="R113" s="1">
        <f>286-Q113</f>
        <v>212</v>
      </c>
      <c r="S113" s="1">
        <f>654-R113-Q113</f>
        <v>368</v>
      </c>
      <c r="T113" s="1">
        <f t="shared" si="144"/>
        <v>392</v>
      </c>
      <c r="U113" s="36"/>
      <c r="V113" s="23">
        <f t="shared" si="145"/>
        <v>1</v>
      </c>
      <c r="W113" s="23">
        <f t="shared" si="146"/>
        <v>1046</v>
      </c>
      <c r="X113" s="104"/>
      <c r="Y113" s="25">
        <f t="shared" si="147"/>
        <v>1045</v>
      </c>
    </row>
    <row r="114" spans="2:25">
      <c r="B114" s="105" t="s">
        <v>99</v>
      </c>
      <c r="C114" s="140">
        <v>-246</v>
      </c>
      <c r="D114" s="140">
        <v>-202</v>
      </c>
      <c r="E114" s="140">
        <v>-324</v>
      </c>
      <c r="F114" s="140">
        <v>-56</v>
      </c>
      <c r="G114" s="140">
        <v>20</v>
      </c>
      <c r="H114" s="4"/>
      <c r="I114" s="140">
        <v>-78</v>
      </c>
      <c r="J114" s="1">
        <f>-139-I114</f>
        <v>-61</v>
      </c>
      <c r="K114" s="1">
        <v>-232</v>
      </c>
      <c r="L114" s="1">
        <f t="shared" si="142"/>
        <v>47</v>
      </c>
      <c r="M114" s="140">
        <v>-81</v>
      </c>
      <c r="N114" s="1">
        <f>-86-M114</f>
        <v>-5</v>
      </c>
      <c r="O114" s="1">
        <f>-116-N114-M114</f>
        <v>-30</v>
      </c>
      <c r="P114" s="1">
        <f t="shared" si="143"/>
        <v>60</v>
      </c>
      <c r="Q114" s="140">
        <v>-81</v>
      </c>
      <c r="R114" s="1">
        <f>10-Q114</f>
        <v>91</v>
      </c>
      <c r="S114" s="1">
        <f>-1-R114-Q114</f>
        <v>-11</v>
      </c>
      <c r="T114" s="1">
        <f t="shared" si="144"/>
        <v>21</v>
      </c>
      <c r="U114" s="36"/>
      <c r="V114" s="23">
        <f t="shared" si="145"/>
        <v>-56</v>
      </c>
      <c r="W114" s="23">
        <f t="shared" si="146"/>
        <v>20</v>
      </c>
      <c r="X114" s="104"/>
      <c r="Y114" s="25">
        <f t="shared" si="147"/>
        <v>-1.3571428571428572</v>
      </c>
    </row>
    <row r="115" spans="2:25">
      <c r="B115" s="105" t="s">
        <v>120</v>
      </c>
      <c r="C115" s="140">
        <v>0</v>
      </c>
      <c r="D115" s="140">
        <v>0</v>
      </c>
      <c r="E115" s="140">
        <v>-170</v>
      </c>
      <c r="F115" s="140">
        <v>-399</v>
      </c>
      <c r="G115" s="140">
        <v>-91</v>
      </c>
      <c r="H115" s="4"/>
      <c r="I115" s="140">
        <v>0</v>
      </c>
      <c r="J115" s="1">
        <f>0-I115</f>
        <v>0</v>
      </c>
      <c r="K115" s="1">
        <v>0</v>
      </c>
      <c r="L115" s="1">
        <f t="shared" si="142"/>
        <v>-170</v>
      </c>
      <c r="M115" s="140">
        <v>-28</v>
      </c>
      <c r="N115" s="1">
        <f>-61-M115</f>
        <v>-33</v>
      </c>
      <c r="O115" s="1">
        <f>-394-N115-M115</f>
        <v>-333</v>
      </c>
      <c r="P115" s="1">
        <f t="shared" si="143"/>
        <v>-5</v>
      </c>
      <c r="Q115" s="140">
        <v>-16</v>
      </c>
      <c r="R115" s="142">
        <f>-91-Q115</f>
        <v>-75</v>
      </c>
      <c r="S115" s="1">
        <f>-91-R115-Q115</f>
        <v>0</v>
      </c>
      <c r="T115" s="1">
        <f t="shared" si="144"/>
        <v>0</v>
      </c>
      <c r="U115" s="36"/>
      <c r="V115" s="23">
        <f t="shared" si="145"/>
        <v>-399</v>
      </c>
      <c r="W115" s="23">
        <f t="shared" si="146"/>
        <v>-91</v>
      </c>
      <c r="X115" s="104"/>
      <c r="Y115" s="25">
        <f t="shared" si="147"/>
        <v>-0.77192982456140347</v>
      </c>
    </row>
    <row r="116" spans="2:25" ht="15.75">
      <c r="B116" s="106" t="s">
        <v>11</v>
      </c>
      <c r="C116" s="107">
        <f>SUM(C97:C115)</f>
        <v>5814</v>
      </c>
      <c r="D116" s="107">
        <f>SUM(D97:D115)</f>
        <v>10536</v>
      </c>
      <c r="E116" s="107">
        <f>SUM(E97:E115)</f>
        <v>9096</v>
      </c>
      <c r="F116" s="107">
        <f>SUM(F97:F115)</f>
        <v>11299</v>
      </c>
      <c r="G116" s="107">
        <f>SUM(G97:G115)</f>
        <v>12202</v>
      </c>
      <c r="H116" s="36"/>
      <c r="I116" s="107">
        <f t="shared" ref="I116:T116" si="148">SUM(I97:I115)</f>
        <v>2057</v>
      </c>
      <c r="J116" s="107">
        <f t="shared" si="148"/>
        <v>2698</v>
      </c>
      <c r="K116" s="107">
        <f t="shared" si="148"/>
        <v>7650</v>
      </c>
      <c r="L116" s="107">
        <f t="shared" si="148"/>
        <v>-3309</v>
      </c>
      <c r="M116" s="107">
        <f t="shared" si="148"/>
        <v>3095</v>
      </c>
      <c r="N116" s="107">
        <f t="shared" si="148"/>
        <v>1457</v>
      </c>
      <c r="O116" s="107">
        <f t="shared" si="148"/>
        <v>2657</v>
      </c>
      <c r="P116" s="107">
        <f t="shared" si="148"/>
        <v>4090</v>
      </c>
      <c r="Q116" s="107">
        <f t="shared" si="148"/>
        <v>2949</v>
      </c>
      <c r="R116" s="107">
        <f t="shared" si="148"/>
        <v>3554</v>
      </c>
      <c r="S116" s="107">
        <f t="shared" si="148"/>
        <v>3052</v>
      </c>
      <c r="T116" s="107">
        <f t="shared" si="148"/>
        <v>2647</v>
      </c>
      <c r="U116" s="36"/>
      <c r="V116" s="107">
        <f>SUM(V97:V115)</f>
        <v>11299</v>
      </c>
      <c r="W116" s="107">
        <f>SUM(W97:W115)</f>
        <v>12202</v>
      </c>
      <c r="X116" s="29"/>
      <c r="Y116" s="30">
        <f>SUM(W116/V116)-1</f>
        <v>7.9918576865209312E-2</v>
      </c>
    </row>
    <row r="117" spans="2:25" ht="15.75">
      <c r="B117" s="65"/>
      <c r="C117" s="108"/>
      <c r="D117" s="108"/>
      <c r="E117" s="108"/>
      <c r="F117" s="108"/>
      <c r="G117" s="108"/>
      <c r="H117" s="36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36"/>
      <c r="V117" s="29"/>
      <c r="W117" s="29"/>
      <c r="X117" s="29"/>
      <c r="Y117" s="40"/>
    </row>
    <row r="118" spans="2:25" ht="15.75">
      <c r="B118" s="65" t="s">
        <v>48</v>
      </c>
      <c r="C118" s="102"/>
      <c r="D118" s="102"/>
      <c r="E118" s="102"/>
      <c r="F118" s="102"/>
      <c r="G118" s="102"/>
      <c r="H118" s="36"/>
      <c r="I118" s="102"/>
      <c r="J118" s="102"/>
      <c r="K118" s="103"/>
      <c r="L118" s="102"/>
      <c r="M118" s="102"/>
      <c r="N118" s="102"/>
      <c r="O118" s="103"/>
      <c r="P118" s="102"/>
      <c r="Q118" s="102"/>
      <c r="R118" s="102"/>
      <c r="S118" s="102"/>
      <c r="T118" s="102"/>
      <c r="U118" s="36"/>
      <c r="V118" s="102"/>
      <c r="W118" s="102"/>
      <c r="X118" s="104"/>
    </row>
    <row r="119" spans="2:25">
      <c r="B119" s="105" t="s">
        <v>121</v>
      </c>
      <c r="C119" s="140">
        <v>-1407</v>
      </c>
      <c r="D119" s="140">
        <v>-1888</v>
      </c>
      <c r="E119" s="140">
        <v>-2262</v>
      </c>
      <c r="F119" s="140">
        <v>-1450</v>
      </c>
      <c r="G119" s="140">
        <v>-1041</v>
      </c>
      <c r="H119" s="4"/>
      <c r="I119" s="140">
        <v>-583</v>
      </c>
      <c r="J119" s="1">
        <f>-1074-I119</f>
        <v>-491</v>
      </c>
      <c r="K119" s="1">
        <v>-1628</v>
      </c>
      <c r="L119" s="1">
        <f t="shared" ref="L119:L126" si="149">SUM(E119-SUM(I119:K119))</f>
        <v>440</v>
      </c>
      <c r="M119" s="140">
        <v>-398</v>
      </c>
      <c r="N119" s="1">
        <f>-851-M119</f>
        <v>-453</v>
      </c>
      <c r="O119" s="1">
        <f>-1157-N119-M119</f>
        <v>-306</v>
      </c>
      <c r="P119" s="1">
        <f t="shared" ref="P119:P126" si="150">SUM(F119-SUM(M119:O119))</f>
        <v>-293</v>
      </c>
      <c r="Q119" s="140">
        <v>-214</v>
      </c>
      <c r="R119" s="1">
        <v>-398</v>
      </c>
      <c r="S119" s="1">
        <f>-785-R119-Q119</f>
        <v>-173</v>
      </c>
      <c r="T119" s="1">
        <f t="shared" ref="T119:T126" si="151">SUM(G119-SUM(Q119:S119))</f>
        <v>-256</v>
      </c>
      <c r="U119" s="36"/>
      <c r="V119" s="23">
        <f t="shared" ref="V119:V126" si="152">SUM(M119:P119)</f>
        <v>-1450</v>
      </c>
      <c r="W119" s="23">
        <f t="shared" ref="W119:W126" si="153">SUM(Q119:T119)</f>
        <v>-1041</v>
      </c>
      <c r="X119" s="104"/>
      <c r="Y119" s="25">
        <f t="shared" ref="Y119:Y126" si="154">SUM(W119/V119)-1</f>
        <v>-0.28206896551724137</v>
      </c>
    </row>
    <row r="120" spans="2:25">
      <c r="B120" s="105" t="s">
        <v>122</v>
      </c>
      <c r="C120" s="140">
        <v>-6213</v>
      </c>
      <c r="D120" s="140">
        <v>-5907</v>
      </c>
      <c r="E120" s="140">
        <v>-1414</v>
      </c>
      <c r="F120" s="140">
        <v>-668</v>
      </c>
      <c r="G120" s="140">
        <v>-5069</v>
      </c>
      <c r="H120" s="4"/>
      <c r="I120" s="140">
        <v>-517</v>
      </c>
      <c r="J120" s="1">
        <f>-936-I120</f>
        <v>-419</v>
      </c>
      <c r="K120" s="1">
        <v>-1269</v>
      </c>
      <c r="L120" s="1">
        <f t="shared" si="149"/>
        <v>791</v>
      </c>
      <c r="M120" s="140">
        <v>-22</v>
      </c>
      <c r="N120" s="1">
        <f>-22-M120</f>
        <v>0</v>
      </c>
      <c r="O120" s="1">
        <f>-22-N120-M120</f>
        <v>0</v>
      </c>
      <c r="P120" s="1">
        <f t="shared" si="150"/>
        <v>-646</v>
      </c>
      <c r="Q120" s="140">
        <v>-1452</v>
      </c>
      <c r="R120" s="1">
        <v>-2842</v>
      </c>
      <c r="S120" s="1">
        <f>-4156-R120-Q120</f>
        <v>138</v>
      </c>
      <c r="T120" s="1">
        <f t="shared" si="151"/>
        <v>-913</v>
      </c>
      <c r="U120" s="36"/>
      <c r="V120" s="23">
        <f t="shared" si="152"/>
        <v>-668</v>
      </c>
      <c r="W120" s="23">
        <f t="shared" si="153"/>
        <v>-5069</v>
      </c>
      <c r="X120" s="104"/>
      <c r="Y120" s="25">
        <f t="shared" si="154"/>
        <v>6.5883233532934131</v>
      </c>
    </row>
    <row r="121" spans="2:25">
      <c r="B121" s="105" t="s">
        <v>123</v>
      </c>
      <c r="C121" s="140">
        <v>2399</v>
      </c>
      <c r="D121" s="140">
        <v>5555</v>
      </c>
      <c r="E121" s="140">
        <v>2622</v>
      </c>
      <c r="F121" s="140">
        <v>1566</v>
      </c>
      <c r="G121" s="140">
        <v>2677</v>
      </c>
      <c r="H121" s="4"/>
      <c r="I121" s="140">
        <v>1133</v>
      </c>
      <c r="J121" s="1">
        <f>1563-I121</f>
        <v>430</v>
      </c>
      <c r="K121" s="1">
        <v>1960</v>
      </c>
      <c r="L121" s="1">
        <f t="shared" si="149"/>
        <v>-901</v>
      </c>
      <c r="M121" s="140">
        <v>219</v>
      </c>
      <c r="N121" s="1">
        <f>491-M121</f>
        <v>272</v>
      </c>
      <c r="O121" s="1">
        <f>1119-N121-M121</f>
        <v>628</v>
      </c>
      <c r="P121" s="1">
        <f t="shared" si="150"/>
        <v>447</v>
      </c>
      <c r="Q121" s="140">
        <v>463</v>
      </c>
      <c r="R121" s="1">
        <v>1178</v>
      </c>
      <c r="S121" s="1">
        <f>1895-R121-Q121</f>
        <v>254</v>
      </c>
      <c r="T121" s="1">
        <f t="shared" si="151"/>
        <v>782</v>
      </c>
      <c r="U121" s="36"/>
      <c r="V121" s="23">
        <f t="shared" si="152"/>
        <v>1566</v>
      </c>
      <c r="W121" s="23">
        <f t="shared" si="153"/>
        <v>2677</v>
      </c>
      <c r="X121" s="104"/>
      <c r="Y121" s="25">
        <f t="shared" si="154"/>
        <v>0.70945083014048538</v>
      </c>
    </row>
    <row r="122" spans="2:25">
      <c r="B122" s="105" t="s">
        <v>124</v>
      </c>
      <c r="C122" s="140">
        <v>-185</v>
      </c>
      <c r="D122" s="140">
        <v>-1377</v>
      </c>
      <c r="E122" s="140">
        <v>-4912</v>
      </c>
      <c r="F122" s="140">
        <v>-235</v>
      </c>
      <c r="G122" s="140">
        <v>-254</v>
      </c>
      <c r="H122" s="4"/>
      <c r="I122" s="140">
        <v>-238</v>
      </c>
      <c r="J122" s="1">
        <f>-288-I122</f>
        <v>-50</v>
      </c>
      <c r="K122" s="1">
        <v>-4743</v>
      </c>
      <c r="L122" s="1">
        <f t="shared" si="149"/>
        <v>119</v>
      </c>
      <c r="M122" s="140">
        <v>-29</v>
      </c>
      <c r="N122" s="1">
        <f>-61-M122</f>
        <v>-32</v>
      </c>
      <c r="O122" s="1">
        <f>-107-N122-M122</f>
        <v>-46</v>
      </c>
      <c r="P122" s="1">
        <f t="shared" si="150"/>
        <v>-128</v>
      </c>
      <c r="Q122" s="140">
        <v>-60</v>
      </c>
      <c r="R122" s="1">
        <v>-165</v>
      </c>
      <c r="S122" s="1">
        <f>-234-R122-Q122</f>
        <v>-9</v>
      </c>
      <c r="T122" s="1">
        <f t="shared" si="151"/>
        <v>-20</v>
      </c>
      <c r="U122" s="36"/>
      <c r="V122" s="23">
        <f t="shared" si="152"/>
        <v>-235</v>
      </c>
      <c r="W122" s="23">
        <f t="shared" si="153"/>
        <v>-254</v>
      </c>
      <c r="X122" s="104"/>
      <c r="Y122" s="25">
        <f t="shared" si="154"/>
        <v>8.085106382978724E-2</v>
      </c>
    </row>
    <row r="123" spans="2:25">
      <c r="B123" s="105" t="s">
        <v>125</v>
      </c>
      <c r="C123" s="140">
        <v>0</v>
      </c>
      <c r="D123" s="140">
        <v>0</v>
      </c>
      <c r="E123" s="140">
        <v>5</v>
      </c>
      <c r="F123" s="140">
        <v>127</v>
      </c>
      <c r="G123" s="140">
        <v>10</v>
      </c>
      <c r="H123" s="4"/>
      <c r="I123" s="140">
        <v>0</v>
      </c>
      <c r="J123" s="1">
        <f>0-I123</f>
        <v>0</v>
      </c>
      <c r="K123" s="1">
        <v>0</v>
      </c>
      <c r="L123" s="1">
        <f t="shared" si="149"/>
        <v>5</v>
      </c>
      <c r="M123" s="140">
        <v>111</v>
      </c>
      <c r="N123" s="1">
        <f>121-M123</f>
        <v>10</v>
      </c>
      <c r="O123" s="1">
        <f>121-N123-M123</f>
        <v>0</v>
      </c>
      <c r="P123" s="1">
        <f t="shared" si="150"/>
        <v>6</v>
      </c>
      <c r="Q123" s="140">
        <v>5</v>
      </c>
      <c r="R123" s="1">
        <v>8</v>
      </c>
      <c r="S123" s="1">
        <f>10-R123-Q123</f>
        <v>-3</v>
      </c>
      <c r="T123" s="1">
        <f t="shared" si="151"/>
        <v>0</v>
      </c>
      <c r="U123" s="36"/>
      <c r="V123" s="23">
        <f t="shared" si="152"/>
        <v>127</v>
      </c>
      <c r="W123" s="23">
        <f t="shared" si="153"/>
        <v>10</v>
      </c>
      <c r="X123" s="104"/>
      <c r="Y123" s="25">
        <f t="shared" si="154"/>
        <v>-0.92125984251968507</v>
      </c>
    </row>
    <row r="124" spans="2:25">
      <c r="B124" s="105" t="s">
        <v>126</v>
      </c>
      <c r="C124" s="140">
        <v>100</v>
      </c>
      <c r="D124" s="140">
        <v>320</v>
      </c>
      <c r="E124" s="140">
        <v>132</v>
      </c>
      <c r="F124" s="140">
        <v>20</v>
      </c>
      <c r="G124" s="140">
        <v>88</v>
      </c>
      <c r="H124" s="4"/>
      <c r="I124" s="140">
        <v>93</v>
      </c>
      <c r="J124" s="1">
        <f>97-I124</f>
        <v>4</v>
      </c>
      <c r="K124" s="1">
        <v>125</v>
      </c>
      <c r="L124" s="1">
        <f t="shared" si="149"/>
        <v>-90</v>
      </c>
      <c r="M124" s="140">
        <v>4</v>
      </c>
      <c r="N124" s="1">
        <f>11-M124</f>
        <v>7</v>
      </c>
      <c r="O124" s="1">
        <f>13-N124-M124</f>
        <v>2</v>
      </c>
      <c r="P124" s="1">
        <f t="shared" si="150"/>
        <v>7</v>
      </c>
      <c r="Q124" s="140"/>
      <c r="R124" s="1">
        <v>62</v>
      </c>
      <c r="S124" s="1">
        <f>70-R124-Q124</f>
        <v>8</v>
      </c>
      <c r="T124" s="1">
        <f t="shared" si="151"/>
        <v>18</v>
      </c>
      <c r="U124" s="36"/>
      <c r="V124" s="23">
        <f t="shared" si="152"/>
        <v>20</v>
      </c>
      <c r="W124" s="23">
        <f t="shared" si="153"/>
        <v>88</v>
      </c>
      <c r="X124" s="104"/>
      <c r="Y124" s="25">
        <f t="shared" si="154"/>
        <v>3.4000000000000004</v>
      </c>
    </row>
    <row r="125" spans="2:25">
      <c r="B125" s="105" t="s">
        <v>116</v>
      </c>
      <c r="C125" s="140">
        <v>43</v>
      </c>
      <c r="D125" s="140">
        <v>-59</v>
      </c>
      <c r="E125" s="140">
        <v>41</v>
      </c>
      <c r="F125" s="140">
        <v>19</v>
      </c>
      <c r="G125" s="140">
        <v>-36</v>
      </c>
      <c r="H125" s="4"/>
      <c r="I125" s="140">
        <v>0</v>
      </c>
      <c r="J125" s="1">
        <f>0-I125</f>
        <v>0</v>
      </c>
      <c r="K125" s="1">
        <v>41</v>
      </c>
      <c r="L125" s="1">
        <f t="shared" si="149"/>
        <v>0</v>
      </c>
      <c r="M125" s="140">
        <v>-18</v>
      </c>
      <c r="N125" s="1">
        <f>-4-M125</f>
        <v>14</v>
      </c>
      <c r="O125" s="1">
        <f>18-N125-M125</f>
        <v>22</v>
      </c>
      <c r="P125" s="1">
        <f t="shared" si="150"/>
        <v>1</v>
      </c>
      <c r="Q125" s="140">
        <v>2</v>
      </c>
      <c r="R125" s="1">
        <v>-38</v>
      </c>
      <c r="S125" s="1">
        <f>-36-R125-Q125</f>
        <v>0</v>
      </c>
      <c r="T125" s="1">
        <f t="shared" si="151"/>
        <v>0</v>
      </c>
      <c r="U125" s="36"/>
      <c r="V125" s="23">
        <f t="shared" si="152"/>
        <v>19</v>
      </c>
      <c r="W125" s="23">
        <f t="shared" si="153"/>
        <v>-36</v>
      </c>
      <c r="X125" s="104"/>
      <c r="Y125" s="25">
        <f t="shared" si="154"/>
        <v>-2.8947368421052628</v>
      </c>
    </row>
    <row r="126" spans="2:25">
      <c r="B126" s="105" t="s">
        <v>127</v>
      </c>
      <c r="C126" s="140">
        <v>0</v>
      </c>
      <c r="D126" s="140">
        <v>0</v>
      </c>
      <c r="E126" s="140">
        <v>-16</v>
      </c>
      <c r="F126" s="140">
        <v>1383</v>
      </c>
      <c r="G126" s="140">
        <v>2</v>
      </c>
      <c r="H126" s="4"/>
      <c r="I126" s="140">
        <v>0</v>
      </c>
      <c r="J126" s="1">
        <f>0-I126</f>
        <v>0</v>
      </c>
      <c r="K126" s="1">
        <v>0</v>
      </c>
      <c r="L126" s="1">
        <f t="shared" si="149"/>
        <v>-16</v>
      </c>
      <c r="M126" s="140">
        <v>0</v>
      </c>
      <c r="N126" s="4">
        <f>-42-M126</f>
        <v>-42</v>
      </c>
      <c r="O126" s="4">
        <f>1395-N126-M126</f>
        <v>1437</v>
      </c>
      <c r="P126" s="1">
        <f t="shared" si="150"/>
        <v>-12</v>
      </c>
      <c r="Q126" s="140"/>
      <c r="R126" s="1"/>
      <c r="S126" s="1">
        <f>-2-R126-Q126</f>
        <v>-2</v>
      </c>
      <c r="T126" s="1">
        <f t="shared" si="151"/>
        <v>4</v>
      </c>
      <c r="U126" s="36"/>
      <c r="V126" s="23">
        <f t="shared" si="152"/>
        <v>1383</v>
      </c>
      <c r="W126" s="23">
        <f t="shared" si="153"/>
        <v>2</v>
      </c>
      <c r="X126" s="104"/>
      <c r="Y126" s="25">
        <f t="shared" si="154"/>
        <v>-0.99855386840202454</v>
      </c>
    </row>
    <row r="127" spans="2:25" ht="15.75">
      <c r="B127" s="109" t="s">
        <v>12</v>
      </c>
      <c r="C127" s="107">
        <f>SUM(C119:C126)</f>
        <v>-5263</v>
      </c>
      <c r="D127" s="107">
        <f>SUM(D119:D126)</f>
        <v>-3356</v>
      </c>
      <c r="E127" s="107">
        <f>SUM(E119:E126)</f>
        <v>-5804</v>
      </c>
      <c r="F127" s="107">
        <f>SUM(F119:F126)</f>
        <v>762</v>
      </c>
      <c r="G127" s="107">
        <f>SUM(G119:G126)</f>
        <v>-3623</v>
      </c>
      <c r="H127" s="36"/>
      <c r="I127" s="107">
        <f t="shared" ref="I127:S127" si="155">SUM(I119:I126)</f>
        <v>-112</v>
      </c>
      <c r="J127" s="107">
        <f t="shared" si="155"/>
        <v>-526</v>
      </c>
      <c r="K127" s="107">
        <f t="shared" si="155"/>
        <v>-5514</v>
      </c>
      <c r="L127" s="107">
        <f t="shared" si="155"/>
        <v>348</v>
      </c>
      <c r="M127" s="107">
        <f t="shared" si="155"/>
        <v>-133</v>
      </c>
      <c r="N127" s="107">
        <f t="shared" si="155"/>
        <v>-224</v>
      </c>
      <c r="O127" s="107">
        <f t="shared" si="155"/>
        <v>1737</v>
      </c>
      <c r="P127" s="107">
        <f t="shared" si="155"/>
        <v>-618</v>
      </c>
      <c r="Q127" s="107">
        <f t="shared" si="155"/>
        <v>-1256</v>
      </c>
      <c r="R127" s="107">
        <f t="shared" si="155"/>
        <v>-2195</v>
      </c>
      <c r="S127" s="107">
        <f t="shared" si="155"/>
        <v>213</v>
      </c>
      <c r="T127" s="107">
        <f t="shared" ref="T127" si="156">SUM(T119:T126)</f>
        <v>-385</v>
      </c>
      <c r="U127" s="36"/>
      <c r="V127" s="107">
        <f>SUM(V119:V126)</f>
        <v>762</v>
      </c>
      <c r="W127" s="107">
        <f>SUM(W119:W126)</f>
        <v>-3623</v>
      </c>
      <c r="X127" s="29"/>
      <c r="Y127" s="30">
        <f>SUM(W127/V127)-1</f>
        <v>-5.7545931758530182</v>
      </c>
    </row>
    <row r="128" spans="2:25" ht="15.75">
      <c r="B128" s="110"/>
      <c r="C128" s="108"/>
      <c r="D128" s="108"/>
      <c r="E128" s="108"/>
      <c r="F128" s="108"/>
      <c r="G128" s="108"/>
      <c r="H128" s="36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36"/>
      <c r="V128" s="29"/>
      <c r="W128" s="29"/>
      <c r="X128" s="29"/>
      <c r="Y128" s="40"/>
    </row>
    <row r="129" spans="2:25" ht="15.75">
      <c r="B129" s="65" t="s">
        <v>49</v>
      </c>
      <c r="C129" s="111"/>
      <c r="D129" s="111"/>
      <c r="E129" s="111"/>
      <c r="F129" s="111"/>
      <c r="G129" s="111"/>
      <c r="H129" s="36"/>
      <c r="I129" s="111"/>
      <c r="J129" s="111"/>
      <c r="K129" s="111"/>
      <c r="L129" s="111"/>
      <c r="M129" s="111"/>
      <c r="N129" s="111"/>
      <c r="O129" s="111"/>
      <c r="P129" s="112"/>
      <c r="Q129" s="111"/>
      <c r="R129" s="111"/>
      <c r="S129" s="111"/>
      <c r="T129" s="111"/>
      <c r="U129" s="36"/>
      <c r="V129" s="111"/>
      <c r="W129" s="111"/>
      <c r="X129" s="113"/>
    </row>
    <row r="130" spans="2:25">
      <c r="B130" s="105" t="s">
        <v>128</v>
      </c>
      <c r="C130" s="140">
        <v>2848</v>
      </c>
      <c r="D130" s="140">
        <v>2886</v>
      </c>
      <c r="E130" s="140">
        <v>7000</v>
      </c>
      <c r="F130" s="140">
        <v>5068</v>
      </c>
      <c r="G130" s="140">
        <v>799</v>
      </c>
      <c r="H130" s="4"/>
      <c r="I130" s="141">
        <v>710</v>
      </c>
      <c r="J130" s="1">
        <f>1462-I130</f>
        <v>752</v>
      </c>
      <c r="K130" s="1">
        <f>3065-J130-I130</f>
        <v>1603</v>
      </c>
      <c r="L130" s="1">
        <f t="shared" ref="L130:L140" si="157">SUM(E130-SUM(I130:K130))</f>
        <v>3935</v>
      </c>
      <c r="M130" s="140">
        <v>1458</v>
      </c>
      <c r="N130" s="1">
        <f>4668-M130</f>
        <v>3210</v>
      </c>
      <c r="O130" s="1">
        <f>4668-N130-M130</f>
        <v>0</v>
      </c>
      <c r="P130" s="1">
        <f t="shared" ref="P130:P140" si="158">SUM(F130-SUM(M130:O130))</f>
        <v>400</v>
      </c>
      <c r="Q130" s="140">
        <v>400</v>
      </c>
      <c r="R130" s="1">
        <f>799-Q130</f>
        <v>399</v>
      </c>
      <c r="S130" s="1">
        <f>799-R130-Q130</f>
        <v>0</v>
      </c>
      <c r="T130" s="1">
        <f t="shared" ref="T130:T140" si="159">SUM(G130-SUM(Q130:S130))</f>
        <v>0</v>
      </c>
      <c r="U130" s="36"/>
      <c r="V130" s="23">
        <f t="shared" ref="V130:V140" si="160">SUM(M130:P130)</f>
        <v>5068</v>
      </c>
      <c r="W130" s="23">
        <f t="shared" ref="W130:W140" si="161">SUM(Q130:T130)</f>
        <v>799</v>
      </c>
      <c r="X130" s="23"/>
      <c r="Y130" s="25">
        <f t="shared" ref="Y130:Y140" si="162">SUM(W130/V130)-1</f>
        <v>-0.84234411996842939</v>
      </c>
    </row>
    <row r="131" spans="2:25">
      <c r="B131" s="105" t="s">
        <v>129</v>
      </c>
      <c r="C131" s="140">
        <v>-2846</v>
      </c>
      <c r="D131" s="140">
        <v>-2885</v>
      </c>
      <c r="E131" s="140">
        <v>-7003</v>
      </c>
      <c r="F131" s="140">
        <v>-5566</v>
      </c>
      <c r="G131" s="140">
        <v>-799</v>
      </c>
      <c r="H131" s="4"/>
      <c r="I131" s="141">
        <v>-710</v>
      </c>
      <c r="J131" s="1">
        <f>-1462-I131</f>
        <v>-752</v>
      </c>
      <c r="K131" s="1">
        <f>-3066-J131-I131</f>
        <v>-1604</v>
      </c>
      <c r="L131" s="1">
        <f t="shared" si="157"/>
        <v>-3937</v>
      </c>
      <c r="M131" s="140">
        <v>-1955</v>
      </c>
      <c r="N131" s="1">
        <f>-4668-M131</f>
        <v>-2713</v>
      </c>
      <c r="O131" s="1">
        <f>-5166-N131-M131</f>
        <v>-498</v>
      </c>
      <c r="P131" s="1">
        <f t="shared" si="158"/>
        <v>-400</v>
      </c>
      <c r="Q131" s="140">
        <v>-400</v>
      </c>
      <c r="R131" s="1">
        <f>-799-Q131</f>
        <v>-399</v>
      </c>
      <c r="S131" s="1">
        <f>-799-R131-Q131</f>
        <v>0</v>
      </c>
      <c r="T131" s="1">
        <f t="shared" si="159"/>
        <v>0</v>
      </c>
      <c r="U131" s="36"/>
      <c r="V131" s="23">
        <f t="shared" si="160"/>
        <v>-5566</v>
      </c>
      <c r="W131" s="23">
        <f t="shared" si="161"/>
        <v>-799</v>
      </c>
      <c r="X131" s="23"/>
      <c r="Y131" s="25">
        <f t="shared" si="162"/>
        <v>-0.85644987423643548</v>
      </c>
    </row>
    <row r="132" spans="2:25">
      <c r="B132" s="105" t="s">
        <v>130</v>
      </c>
      <c r="C132" s="140">
        <v>0</v>
      </c>
      <c r="D132" s="140">
        <v>0</v>
      </c>
      <c r="E132" s="140">
        <v>-349</v>
      </c>
      <c r="F132" s="140">
        <v>0</v>
      </c>
      <c r="G132" s="140">
        <v>0</v>
      </c>
      <c r="H132" s="4"/>
      <c r="I132" s="141">
        <v>0</v>
      </c>
      <c r="J132" s="1">
        <f>0-I132</f>
        <v>0</v>
      </c>
      <c r="K132" s="1">
        <f>-349-J132-I132</f>
        <v>-349</v>
      </c>
      <c r="L132" s="1">
        <f t="shared" si="157"/>
        <v>0</v>
      </c>
      <c r="M132" s="140">
        <v>0</v>
      </c>
      <c r="N132" s="1">
        <f>0-M132</f>
        <v>0</v>
      </c>
      <c r="O132" s="1">
        <f>0-N132-M132</f>
        <v>0</v>
      </c>
      <c r="P132" s="1">
        <f t="shared" si="158"/>
        <v>0</v>
      </c>
      <c r="Q132" s="140">
        <v>0</v>
      </c>
      <c r="R132" s="1">
        <f>0-Q132</f>
        <v>0</v>
      </c>
      <c r="S132" s="1">
        <f>0-R132-Q132</f>
        <v>0</v>
      </c>
      <c r="T132" s="1">
        <f t="shared" si="159"/>
        <v>0</v>
      </c>
      <c r="U132" s="36"/>
      <c r="V132" s="23">
        <f t="shared" si="160"/>
        <v>0</v>
      </c>
      <c r="W132" s="23">
        <f t="shared" si="161"/>
        <v>0</v>
      </c>
      <c r="X132" s="23"/>
      <c r="Y132" s="25" t="e">
        <f t="shared" si="162"/>
        <v>#DIV/0!</v>
      </c>
    </row>
    <row r="133" spans="2:25">
      <c r="B133" s="105" t="s">
        <v>131</v>
      </c>
      <c r="C133" s="140">
        <v>1988</v>
      </c>
      <c r="D133" s="140">
        <v>0</v>
      </c>
      <c r="E133" s="140">
        <v>1477</v>
      </c>
      <c r="F133" s="140">
        <v>1880</v>
      </c>
      <c r="G133" s="140">
        <v>0</v>
      </c>
      <c r="H133" s="4"/>
      <c r="I133" s="141">
        <v>0</v>
      </c>
      <c r="J133" s="1">
        <f>0-I133</f>
        <v>0</v>
      </c>
      <c r="K133" s="1">
        <f>1477-J133-I133</f>
        <v>1477</v>
      </c>
      <c r="L133" s="1">
        <f t="shared" si="157"/>
        <v>0</v>
      </c>
      <c r="M133" s="140">
        <v>1880</v>
      </c>
      <c r="N133" s="1">
        <f>1880-M133</f>
        <v>0</v>
      </c>
      <c r="O133" s="1">
        <f>1880-N133-M133</f>
        <v>0</v>
      </c>
      <c r="P133" s="1">
        <f t="shared" si="158"/>
        <v>0</v>
      </c>
      <c r="Q133" s="140">
        <v>0</v>
      </c>
      <c r="R133" s="1">
        <f>0-Q133</f>
        <v>0</v>
      </c>
      <c r="S133" s="1">
        <f>0-R133-Q133</f>
        <v>0</v>
      </c>
      <c r="T133" s="1">
        <f t="shared" si="159"/>
        <v>0</v>
      </c>
      <c r="U133" s="36"/>
      <c r="V133" s="23">
        <f t="shared" si="160"/>
        <v>1880</v>
      </c>
      <c r="W133" s="23">
        <f t="shared" si="161"/>
        <v>0</v>
      </c>
      <c r="X133" s="23"/>
      <c r="Y133" s="25">
        <f t="shared" si="162"/>
        <v>-1</v>
      </c>
    </row>
    <row r="134" spans="2:25">
      <c r="B134" s="105" t="s">
        <v>132</v>
      </c>
      <c r="C134" s="140">
        <v>-2219</v>
      </c>
      <c r="D134" s="140">
        <v>0</v>
      </c>
      <c r="E134" s="140">
        <v>-1540</v>
      </c>
      <c r="F134" s="140">
        <v>-1446</v>
      </c>
      <c r="G134" s="140">
        <v>-914</v>
      </c>
      <c r="H134" s="4"/>
      <c r="I134" s="141">
        <v>0</v>
      </c>
      <c r="J134" s="1">
        <f>0-I134</f>
        <v>0</v>
      </c>
      <c r="K134" s="1">
        <f>-1540-J134-I134</f>
        <v>-1540</v>
      </c>
      <c r="L134" s="1">
        <f t="shared" si="157"/>
        <v>0</v>
      </c>
      <c r="M134" s="140">
        <v>0</v>
      </c>
      <c r="N134" s="1">
        <f>-1446-M134</f>
        <v>-1446</v>
      </c>
      <c r="O134" s="1">
        <f>-1446-N134-M134</f>
        <v>0</v>
      </c>
      <c r="P134" s="1">
        <f t="shared" si="158"/>
        <v>0</v>
      </c>
      <c r="Q134" s="140">
        <v>0</v>
      </c>
      <c r="R134" s="1">
        <f>0-Q134</f>
        <v>0</v>
      </c>
      <c r="S134" s="1">
        <f>-914-R134-Q134</f>
        <v>-914</v>
      </c>
      <c r="T134" s="1">
        <f t="shared" si="159"/>
        <v>0</v>
      </c>
      <c r="U134" s="36"/>
      <c r="V134" s="23">
        <f t="shared" si="160"/>
        <v>-1446</v>
      </c>
      <c r="W134" s="23">
        <f t="shared" si="161"/>
        <v>-914</v>
      </c>
      <c r="X134" s="23"/>
      <c r="Y134" s="25">
        <f t="shared" si="162"/>
        <v>-0.36791147994467499</v>
      </c>
    </row>
    <row r="135" spans="2:25">
      <c r="B135" s="105" t="s">
        <v>133</v>
      </c>
      <c r="C135" s="140">
        <v>329</v>
      </c>
      <c r="D135" s="140">
        <v>347</v>
      </c>
      <c r="E135" s="140">
        <v>356</v>
      </c>
      <c r="F135" s="140">
        <v>434</v>
      </c>
      <c r="G135" s="140">
        <v>383</v>
      </c>
      <c r="H135" s="4"/>
      <c r="I135" s="141">
        <v>0</v>
      </c>
      <c r="J135" s="1">
        <f>187-I135</f>
        <v>187</v>
      </c>
      <c r="K135" s="1">
        <f>188-J135-I135</f>
        <v>1</v>
      </c>
      <c r="L135" s="1">
        <f t="shared" si="157"/>
        <v>168</v>
      </c>
      <c r="M135" s="140">
        <v>0</v>
      </c>
      <c r="N135" s="1">
        <f>232-M135</f>
        <v>232</v>
      </c>
      <c r="O135" s="1">
        <f>233-N135-M135</f>
        <v>1</v>
      </c>
      <c r="P135" s="1">
        <f t="shared" si="158"/>
        <v>201</v>
      </c>
      <c r="Q135" s="140">
        <v>0</v>
      </c>
      <c r="R135" s="1">
        <f>195-Q135</f>
        <v>195</v>
      </c>
      <c r="S135" s="1">
        <f>196-R135-Q135</f>
        <v>1</v>
      </c>
      <c r="T135" s="1">
        <f t="shared" si="159"/>
        <v>187</v>
      </c>
      <c r="U135" s="36"/>
      <c r="V135" s="23">
        <f t="shared" si="160"/>
        <v>434</v>
      </c>
      <c r="W135" s="23">
        <f t="shared" si="161"/>
        <v>383</v>
      </c>
      <c r="X135" s="23"/>
      <c r="Y135" s="25">
        <f t="shared" si="162"/>
        <v>-0.11751152073732718</v>
      </c>
    </row>
    <row r="136" spans="2:25">
      <c r="B136" s="105" t="s">
        <v>134</v>
      </c>
      <c r="C136" s="140">
        <v>-2450</v>
      </c>
      <c r="D136" s="140">
        <v>-3366</v>
      </c>
      <c r="E136" s="140">
        <v>-3129</v>
      </c>
      <c r="F136" s="140">
        <v>-2973</v>
      </c>
      <c r="G136" s="140">
        <v>-4121</v>
      </c>
      <c r="H136" s="4"/>
      <c r="I136" s="141">
        <v>-1178</v>
      </c>
      <c r="J136" s="1">
        <f>-2129-I136</f>
        <v>-951</v>
      </c>
      <c r="K136" s="1">
        <f>-2629-J136-I136</f>
        <v>-500</v>
      </c>
      <c r="L136" s="1">
        <f t="shared" si="157"/>
        <v>-500</v>
      </c>
      <c r="M136" s="140">
        <v>-1270</v>
      </c>
      <c r="N136" s="1">
        <f>-2173-M136</f>
        <v>-903</v>
      </c>
      <c r="O136" s="1">
        <f>-2573-N136-M136</f>
        <v>-400</v>
      </c>
      <c r="P136" s="1">
        <f t="shared" si="158"/>
        <v>-400</v>
      </c>
      <c r="Q136" s="140">
        <v>-784</v>
      </c>
      <c r="R136" s="1">
        <f>-1515-Q136</f>
        <v>-731</v>
      </c>
      <c r="S136" s="1">
        <f>-2818-R136-Q136</f>
        <v>-1303</v>
      </c>
      <c r="T136" s="1">
        <f t="shared" si="159"/>
        <v>-1303</v>
      </c>
      <c r="U136" s="36"/>
      <c r="V136" s="23">
        <f t="shared" si="160"/>
        <v>-2973</v>
      </c>
      <c r="W136" s="23">
        <f t="shared" si="161"/>
        <v>-4121</v>
      </c>
      <c r="X136" s="23"/>
      <c r="Y136" s="25">
        <f t="shared" si="162"/>
        <v>0.38614194416414405</v>
      </c>
    </row>
    <row r="137" spans="2:25">
      <c r="B137" s="105" t="s">
        <v>135</v>
      </c>
      <c r="C137" s="140">
        <v>-2882</v>
      </c>
      <c r="D137" s="140">
        <v>-3008</v>
      </c>
      <c r="E137" s="140">
        <v>-3212</v>
      </c>
      <c r="F137" s="140">
        <v>-3462</v>
      </c>
      <c r="G137" s="140">
        <v>-3687</v>
      </c>
      <c r="H137" s="4"/>
      <c r="I137" s="141">
        <v>-765</v>
      </c>
      <c r="J137" s="1">
        <f>-1529-I137</f>
        <v>-764</v>
      </c>
      <c r="K137" s="1">
        <f>-2371-J137-I137</f>
        <v>-842</v>
      </c>
      <c r="L137" s="1">
        <f t="shared" si="157"/>
        <v>-841</v>
      </c>
      <c r="M137" s="140">
        <v>-842</v>
      </c>
      <c r="N137" s="1">
        <f>-1676-M137</f>
        <v>-834</v>
      </c>
      <c r="O137" s="1">
        <f>-2569-N137-M137</f>
        <v>-893</v>
      </c>
      <c r="P137" s="1">
        <f t="shared" si="158"/>
        <v>-893</v>
      </c>
      <c r="Q137" s="140">
        <v>-895</v>
      </c>
      <c r="R137" s="1">
        <f>-1790-Q137</f>
        <v>-895</v>
      </c>
      <c r="S137" s="1">
        <f>-2739-R137-Q137</f>
        <v>-949</v>
      </c>
      <c r="T137" s="1">
        <f t="shared" si="159"/>
        <v>-948</v>
      </c>
      <c r="U137" s="36"/>
      <c r="V137" s="23">
        <f t="shared" si="160"/>
        <v>-3462</v>
      </c>
      <c r="W137" s="23">
        <f t="shared" si="161"/>
        <v>-3687</v>
      </c>
      <c r="X137" s="23"/>
      <c r="Y137" s="25">
        <f t="shared" si="162"/>
        <v>6.4991334488734731E-2</v>
      </c>
    </row>
    <row r="138" spans="2:25">
      <c r="B138" s="105" t="s">
        <v>136</v>
      </c>
      <c r="C138" s="140">
        <v>-347</v>
      </c>
      <c r="D138" s="140">
        <v>-737</v>
      </c>
      <c r="E138" s="140">
        <v>-766</v>
      </c>
      <c r="F138" s="140">
        <v>-521</v>
      </c>
      <c r="G138" s="140">
        <v>-932</v>
      </c>
      <c r="H138" s="4"/>
      <c r="I138" s="141">
        <v>-500</v>
      </c>
      <c r="J138" s="1">
        <f>-562-I138</f>
        <v>-62</v>
      </c>
      <c r="K138" s="1">
        <f>-751-J138-I138</f>
        <v>-189</v>
      </c>
      <c r="L138" s="1">
        <f t="shared" si="157"/>
        <v>-15</v>
      </c>
      <c r="M138" s="140">
        <v>-309</v>
      </c>
      <c r="N138" s="1">
        <f>-332-M138</f>
        <v>-23</v>
      </c>
      <c r="O138" s="1">
        <f>-499-N138-M138</f>
        <v>-167</v>
      </c>
      <c r="P138" s="1">
        <f t="shared" si="158"/>
        <v>-22</v>
      </c>
      <c r="Q138" s="140">
        <v>-370</v>
      </c>
      <c r="R138" s="1">
        <f>-515-Q138</f>
        <v>-145</v>
      </c>
      <c r="S138" s="1">
        <f>-797-R138-Q138</f>
        <v>-282</v>
      </c>
      <c r="T138" s="1">
        <f t="shared" si="159"/>
        <v>-135</v>
      </c>
      <c r="U138" s="36"/>
      <c r="V138" s="23">
        <f t="shared" si="160"/>
        <v>-521</v>
      </c>
      <c r="W138" s="23">
        <f t="shared" si="161"/>
        <v>-932</v>
      </c>
      <c r="X138" s="23"/>
      <c r="Y138" s="25">
        <f t="shared" si="162"/>
        <v>0.7888675623800383</v>
      </c>
    </row>
    <row r="139" spans="2:25">
      <c r="B139" s="105" t="s">
        <v>116</v>
      </c>
      <c r="C139" s="140">
        <v>-128</v>
      </c>
      <c r="D139" s="140">
        <v>-35</v>
      </c>
      <c r="E139" s="140">
        <v>-34</v>
      </c>
      <c r="F139" s="140">
        <v>-19</v>
      </c>
      <c r="G139" s="140">
        <v>-17</v>
      </c>
      <c r="H139" s="4"/>
      <c r="I139" s="141">
        <v>-3</v>
      </c>
      <c r="J139" s="1">
        <f>-11-I139</f>
        <v>-8</v>
      </c>
      <c r="K139" s="1">
        <f>-28-J139-I139</f>
        <v>-17</v>
      </c>
      <c r="L139" s="1">
        <f t="shared" si="157"/>
        <v>-6</v>
      </c>
      <c r="M139" s="140">
        <v>23</v>
      </c>
      <c r="N139" s="1">
        <f>-43-M139</f>
        <v>-66</v>
      </c>
      <c r="O139" s="1">
        <f>-16-N139-M139</f>
        <v>27</v>
      </c>
      <c r="P139" s="1">
        <f t="shared" si="158"/>
        <v>-3</v>
      </c>
      <c r="Q139" s="140">
        <v>8</v>
      </c>
      <c r="R139" s="1">
        <f>4-Q139</f>
        <v>-4</v>
      </c>
      <c r="S139" s="1">
        <f>-17-R139-Q139</f>
        <v>-21</v>
      </c>
      <c r="T139" s="1">
        <f t="shared" si="159"/>
        <v>0</v>
      </c>
      <c r="U139" s="36"/>
      <c r="V139" s="23">
        <f t="shared" si="160"/>
        <v>-19</v>
      </c>
      <c r="W139" s="23">
        <f t="shared" si="161"/>
        <v>-17</v>
      </c>
      <c r="X139" s="23"/>
      <c r="Y139" s="25">
        <f t="shared" si="162"/>
        <v>-0.10526315789473684</v>
      </c>
    </row>
    <row r="140" spans="2:25">
      <c r="B140" s="105" t="s">
        <v>137</v>
      </c>
      <c r="C140" s="140">
        <v>0</v>
      </c>
      <c r="D140" s="140">
        <v>0</v>
      </c>
      <c r="E140" s="140">
        <v>4</v>
      </c>
      <c r="F140" s="140">
        <v>-58</v>
      </c>
      <c r="G140" s="140">
        <v>19</v>
      </c>
      <c r="H140" s="4"/>
      <c r="I140" s="141">
        <v>0</v>
      </c>
      <c r="J140" s="1">
        <f>0-I140</f>
        <v>0</v>
      </c>
      <c r="K140" s="1">
        <f>0-J140-I140</f>
        <v>0</v>
      </c>
      <c r="L140" s="1">
        <f t="shared" si="157"/>
        <v>4</v>
      </c>
      <c r="M140" s="140">
        <v>0</v>
      </c>
      <c r="N140" s="1">
        <f>0-M140</f>
        <v>0</v>
      </c>
      <c r="O140" s="1">
        <f>-58-N140-M140</f>
        <v>-58</v>
      </c>
      <c r="P140" s="1">
        <f t="shared" si="158"/>
        <v>0</v>
      </c>
      <c r="Q140" s="140">
        <v>0</v>
      </c>
      <c r="R140" s="1">
        <f>0-Q140</f>
        <v>0</v>
      </c>
      <c r="S140" s="1">
        <f>19-R140-Q140</f>
        <v>19</v>
      </c>
      <c r="T140" s="1">
        <f t="shared" si="159"/>
        <v>0</v>
      </c>
      <c r="U140" s="36"/>
      <c r="V140" s="23">
        <f t="shared" si="160"/>
        <v>-58</v>
      </c>
      <c r="W140" s="23">
        <f t="shared" si="161"/>
        <v>19</v>
      </c>
      <c r="X140" s="23"/>
      <c r="Y140" s="25">
        <f t="shared" si="162"/>
        <v>-1.3275862068965516</v>
      </c>
    </row>
    <row r="141" spans="2:25" ht="15.75">
      <c r="B141" s="106" t="s">
        <v>13</v>
      </c>
      <c r="C141" s="107">
        <f>SUM(C130:C140)</f>
        <v>-5707</v>
      </c>
      <c r="D141" s="107">
        <f>SUM(D130:D140)</f>
        <v>-6798</v>
      </c>
      <c r="E141" s="107">
        <f>SUM(E130:E140)</f>
        <v>-7196</v>
      </c>
      <c r="F141" s="107">
        <f>SUM(F130:F140)</f>
        <v>-6663</v>
      </c>
      <c r="G141" s="107">
        <f>SUM(G130:G140)</f>
        <v>-9269</v>
      </c>
      <c r="H141" s="36"/>
      <c r="I141" s="107">
        <f t="shared" ref="I141:T141" si="163">SUM(I130:I140)</f>
        <v>-2446</v>
      </c>
      <c r="J141" s="107">
        <f t="shared" si="163"/>
        <v>-1598</v>
      </c>
      <c r="K141" s="107">
        <f t="shared" si="163"/>
        <v>-1960</v>
      </c>
      <c r="L141" s="107">
        <f t="shared" si="163"/>
        <v>-1192</v>
      </c>
      <c r="M141" s="107">
        <f t="shared" si="163"/>
        <v>-1015</v>
      </c>
      <c r="N141" s="107">
        <f t="shared" si="163"/>
        <v>-2543</v>
      </c>
      <c r="O141" s="107">
        <f t="shared" si="163"/>
        <v>-1988</v>
      </c>
      <c r="P141" s="107">
        <f t="shared" si="163"/>
        <v>-1117</v>
      </c>
      <c r="Q141" s="107">
        <f t="shared" si="163"/>
        <v>-2041</v>
      </c>
      <c r="R141" s="107">
        <f t="shared" si="163"/>
        <v>-1580</v>
      </c>
      <c r="S141" s="107">
        <f t="shared" si="163"/>
        <v>-3449</v>
      </c>
      <c r="T141" s="107">
        <f t="shared" si="163"/>
        <v>-2199</v>
      </c>
      <c r="U141" s="36"/>
      <c r="V141" s="107">
        <f>SUM(V130:V140)</f>
        <v>-6663</v>
      </c>
      <c r="W141" s="107">
        <f>SUM(W130:W140)</f>
        <v>-9269</v>
      </c>
      <c r="X141" s="29"/>
      <c r="Y141" s="30">
        <f>SUM(W141/V141)-1</f>
        <v>0.39111511331232185</v>
      </c>
    </row>
    <row r="142" spans="2:25" ht="15.75">
      <c r="B142" s="65"/>
      <c r="C142" s="108"/>
      <c r="D142" s="108"/>
      <c r="E142" s="108"/>
      <c r="F142" s="108"/>
      <c r="G142" s="108"/>
      <c r="H142" s="36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36"/>
      <c r="V142" s="29"/>
      <c r="W142" s="29"/>
      <c r="X142" s="29"/>
      <c r="Y142" s="40"/>
    </row>
    <row r="143" spans="2:25">
      <c r="B143" t="s">
        <v>138</v>
      </c>
      <c r="C143" s="140">
        <v>24</v>
      </c>
      <c r="D143" s="140">
        <v>27</v>
      </c>
      <c r="E143" s="140">
        <v>-113</v>
      </c>
      <c r="F143" s="140">
        <v>30</v>
      </c>
      <c r="G143" s="140">
        <v>12</v>
      </c>
      <c r="H143" s="4"/>
      <c r="I143" s="140">
        <v>-8</v>
      </c>
      <c r="J143" s="1">
        <v>-16</v>
      </c>
      <c r="K143" s="140">
        <v>-50</v>
      </c>
      <c r="L143" s="1">
        <f t="shared" ref="L143:L146" si="164">SUM(E143-SUM(I143:K143))</f>
        <v>-39</v>
      </c>
      <c r="M143" s="140">
        <v>27</v>
      </c>
      <c r="N143" s="140">
        <v>46</v>
      </c>
      <c r="O143" s="140">
        <v>35</v>
      </c>
      <c r="P143" s="1">
        <f t="shared" ref="P143:P146" si="165">SUM(F143-SUM(M143:O143))</f>
        <v>-78</v>
      </c>
      <c r="Q143" s="140">
        <v>15</v>
      </c>
      <c r="R143" s="140">
        <v>5</v>
      </c>
      <c r="S143" s="140">
        <v>-4</v>
      </c>
      <c r="T143" s="1">
        <f t="shared" ref="T143:T146" si="166">SUM(G143-SUM(Q143:S143))</f>
        <v>-4</v>
      </c>
      <c r="U143" s="23"/>
      <c r="V143" s="23">
        <f t="shared" ref="V143" si="167">SUM(M143:P143)</f>
        <v>30</v>
      </c>
      <c r="W143" s="23">
        <f t="shared" ref="W143" si="168">SUM(Q143:T143)</f>
        <v>12</v>
      </c>
      <c r="X143" s="23"/>
      <c r="Y143" s="40"/>
    </row>
    <row r="144" spans="2:25">
      <c r="B144" t="s">
        <v>139</v>
      </c>
      <c r="C144" s="140">
        <v>-5132</v>
      </c>
      <c r="D144" s="140">
        <v>409</v>
      </c>
      <c r="E144" s="140">
        <v>-4017</v>
      </c>
      <c r="F144" s="140">
        <v>5428</v>
      </c>
      <c r="G144" s="140">
        <v>-678</v>
      </c>
      <c r="H144" s="4"/>
      <c r="I144" s="140">
        <v>-509</v>
      </c>
      <c r="J144" s="140">
        <v>57</v>
      </c>
      <c r="K144" s="140">
        <v>-3918</v>
      </c>
      <c r="L144" s="1">
        <f t="shared" si="164"/>
        <v>353</v>
      </c>
      <c r="M144" s="140">
        <v>1974</v>
      </c>
      <c r="N144" s="140">
        <v>683</v>
      </c>
      <c r="O144" s="140">
        <v>3078</v>
      </c>
      <c r="P144" s="1">
        <f t="shared" si="165"/>
        <v>-307</v>
      </c>
      <c r="Q144" s="140">
        <v>-333</v>
      </c>
      <c r="R144" s="140">
        <v>692</v>
      </c>
      <c r="S144" s="140">
        <v>-757</v>
      </c>
      <c r="T144" s="1">
        <f t="shared" si="166"/>
        <v>-280</v>
      </c>
      <c r="U144" s="23"/>
      <c r="V144" s="23"/>
      <c r="W144" s="23"/>
      <c r="X144" s="23"/>
      <c r="Y144" s="40"/>
    </row>
    <row r="145" spans="1:25">
      <c r="B145" t="s">
        <v>140</v>
      </c>
      <c r="C145" s="140">
        <v>11839</v>
      </c>
      <c r="D145" s="140">
        <v>6707</v>
      </c>
      <c r="E145" s="140">
        <v>7116</v>
      </c>
      <c r="F145" s="140">
        <v>3099</v>
      </c>
      <c r="G145" s="140">
        <v>8527</v>
      </c>
      <c r="H145" s="4"/>
      <c r="I145" s="140">
        <v>7116</v>
      </c>
      <c r="J145" s="140">
        <v>7116</v>
      </c>
      <c r="K145" s="140">
        <v>7116</v>
      </c>
      <c r="L145" s="1">
        <f t="shared" si="164"/>
        <v>-14232</v>
      </c>
      <c r="M145" s="140">
        <v>3099</v>
      </c>
      <c r="N145" s="140">
        <v>3099</v>
      </c>
      <c r="O145" s="140">
        <v>3099</v>
      </c>
      <c r="P145" s="1">
        <f t="shared" si="165"/>
        <v>-6198</v>
      </c>
      <c r="Q145" s="140">
        <v>8527</v>
      </c>
      <c r="R145" s="140">
        <v>8527</v>
      </c>
      <c r="S145" s="140">
        <v>8527</v>
      </c>
      <c r="T145" s="1">
        <f t="shared" si="166"/>
        <v>-17054</v>
      </c>
      <c r="U145" s="23"/>
      <c r="V145" s="23"/>
      <c r="W145" s="23"/>
      <c r="X145" s="23"/>
      <c r="Y145" s="40"/>
    </row>
    <row r="146" spans="1:25">
      <c r="B146" t="s">
        <v>141</v>
      </c>
      <c r="C146" s="140">
        <v>6707</v>
      </c>
      <c r="D146" s="140">
        <v>7116</v>
      </c>
      <c r="E146" s="140">
        <v>3099</v>
      </c>
      <c r="F146" s="140">
        <v>8527</v>
      </c>
      <c r="G146" s="140">
        <v>7849</v>
      </c>
      <c r="H146" s="4"/>
      <c r="I146" s="140">
        <v>6607</v>
      </c>
      <c r="J146" s="140">
        <v>7173</v>
      </c>
      <c r="K146" s="140">
        <v>3198</v>
      </c>
      <c r="L146" s="1">
        <f t="shared" si="164"/>
        <v>-13879</v>
      </c>
      <c r="M146" s="140">
        <v>5073</v>
      </c>
      <c r="N146" s="140">
        <v>3782</v>
      </c>
      <c r="O146" s="140">
        <v>6177</v>
      </c>
      <c r="P146" s="1">
        <f t="shared" si="165"/>
        <v>-6505</v>
      </c>
      <c r="Q146" s="140">
        <v>8194</v>
      </c>
      <c r="R146" s="140">
        <v>9219</v>
      </c>
      <c r="S146" s="140">
        <v>7770</v>
      </c>
      <c r="T146" s="1">
        <f t="shared" si="166"/>
        <v>-17334</v>
      </c>
      <c r="U146" s="23"/>
      <c r="V146" s="23"/>
      <c r="W146" s="23"/>
      <c r="X146" s="23"/>
      <c r="Y146" s="40"/>
    </row>
    <row r="147" spans="1:25" ht="15.75" thickBot="1">
      <c r="B147"/>
      <c r="C147" s="114"/>
      <c r="D147" s="114"/>
      <c r="E147" s="114"/>
      <c r="F147" s="114"/>
      <c r="G147" s="114"/>
      <c r="H147" s="23"/>
      <c r="I147" s="114"/>
      <c r="J147" s="114"/>
      <c r="K147" s="114"/>
      <c r="L147" s="114"/>
      <c r="M147" s="114"/>
      <c r="N147" s="114"/>
      <c r="O147" s="114"/>
      <c r="P147" s="114"/>
      <c r="Q147" s="145"/>
      <c r="R147" s="114"/>
      <c r="S147" s="114"/>
      <c r="T147" s="114"/>
      <c r="U147" s="36"/>
      <c r="V147" s="23"/>
      <c r="W147" s="23"/>
      <c r="X147" s="23"/>
      <c r="Y147" s="40"/>
    </row>
    <row r="148" spans="1:25">
      <c r="B148" s="115" t="s">
        <v>50</v>
      </c>
      <c r="C148" s="116"/>
      <c r="D148" s="116"/>
      <c r="E148" s="116"/>
      <c r="F148" s="116"/>
      <c r="G148" s="117"/>
      <c r="H148" s="36"/>
      <c r="I148" s="118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20"/>
      <c r="U148" s="36"/>
      <c r="V148" s="118"/>
      <c r="W148" s="120"/>
    </row>
    <row r="149" spans="1:25">
      <c r="B149" s="121" t="s">
        <v>51</v>
      </c>
      <c r="C149" s="122">
        <f>SUM(C116-C125)</f>
        <v>5771</v>
      </c>
      <c r="D149" s="122">
        <f>SUM(D116-D125)</f>
        <v>10595</v>
      </c>
      <c r="E149" s="122">
        <f>SUM(E116-E125)</f>
        <v>9055</v>
      </c>
      <c r="F149" s="122">
        <f>SUM(F116-F125)</f>
        <v>11280</v>
      </c>
      <c r="G149" s="123">
        <f>SUM(G116-G125)</f>
        <v>12238</v>
      </c>
      <c r="H149" s="36"/>
      <c r="I149" s="124">
        <f t="shared" ref="I149:T149" si="169">SUM(I116-I125)</f>
        <v>2057</v>
      </c>
      <c r="J149" s="122">
        <f t="shared" si="169"/>
        <v>2698</v>
      </c>
      <c r="K149" s="122">
        <f t="shared" si="169"/>
        <v>7609</v>
      </c>
      <c r="L149" s="122">
        <f t="shared" si="169"/>
        <v>-3309</v>
      </c>
      <c r="M149" s="122">
        <f t="shared" si="169"/>
        <v>3113</v>
      </c>
      <c r="N149" s="122">
        <f t="shared" si="169"/>
        <v>1443</v>
      </c>
      <c r="O149" s="122">
        <f t="shared" si="169"/>
        <v>2635</v>
      </c>
      <c r="P149" s="122">
        <f t="shared" si="169"/>
        <v>4089</v>
      </c>
      <c r="Q149" s="122">
        <f t="shared" si="169"/>
        <v>2947</v>
      </c>
      <c r="R149" s="122">
        <f t="shared" si="169"/>
        <v>3592</v>
      </c>
      <c r="S149" s="122">
        <f t="shared" si="169"/>
        <v>3052</v>
      </c>
      <c r="T149" s="123">
        <f t="shared" si="169"/>
        <v>2647</v>
      </c>
      <c r="U149" s="36"/>
      <c r="V149" s="125">
        <f>SUM(L149:O149)</f>
        <v>3882</v>
      </c>
      <c r="W149" s="126">
        <f>SUM(P149:S149)</f>
        <v>13680</v>
      </c>
      <c r="Y149" s="25">
        <f t="shared" ref="Y149" si="170">SUM(W149/V149)-1</f>
        <v>2.5239567233384852</v>
      </c>
    </row>
    <row r="150" spans="1:25" ht="15.75" thickBot="1">
      <c r="B150" s="127" t="s">
        <v>24</v>
      </c>
      <c r="C150" s="128"/>
      <c r="D150" s="128"/>
      <c r="E150" s="128"/>
      <c r="F150" s="129">
        <f>F149/E149-1</f>
        <v>0.24572059635560461</v>
      </c>
      <c r="G150" s="130">
        <f>G149/F149-1</f>
        <v>8.4929078014184478E-2</v>
      </c>
      <c r="I150" s="131"/>
      <c r="J150" s="129">
        <f t="shared" ref="J150:T150" si="171">J149/I149-1</f>
        <v>0.31161886242100145</v>
      </c>
      <c r="K150" s="129">
        <f t="shared" si="171"/>
        <v>1.8202372127501851</v>
      </c>
      <c r="L150" s="129">
        <f t="shared" si="171"/>
        <v>-1.4348797476672361</v>
      </c>
      <c r="M150" s="129">
        <f t="shared" si="171"/>
        <v>-1.940767603505591</v>
      </c>
      <c r="N150" s="129">
        <f t="shared" si="171"/>
        <v>-0.53646000642467073</v>
      </c>
      <c r="O150" s="129">
        <f t="shared" si="171"/>
        <v>0.82605682605682595</v>
      </c>
      <c r="P150" s="129">
        <f t="shared" si="171"/>
        <v>0.55180265654648952</v>
      </c>
      <c r="Q150" s="129">
        <f t="shared" si="171"/>
        <v>-0.2792858889704084</v>
      </c>
      <c r="R150" s="129">
        <f t="shared" si="171"/>
        <v>0.21886664404479128</v>
      </c>
      <c r="S150" s="129">
        <f t="shared" si="171"/>
        <v>-0.15033407572383073</v>
      </c>
      <c r="T150" s="130">
        <f t="shared" si="171"/>
        <v>-0.13269986893840102</v>
      </c>
      <c r="V150" s="131"/>
      <c r="W150" s="130">
        <f t="shared" ref="W150" si="172">W149/V149-1</f>
        <v>2.5239567233384852</v>
      </c>
    </row>
    <row r="151" spans="1:25">
      <c r="C151" s="96"/>
      <c r="D151" s="96"/>
      <c r="E151" s="96"/>
      <c r="F151" s="96"/>
      <c r="G151" s="96"/>
    </row>
    <row r="152" spans="1:25">
      <c r="A152" s="6" t="s">
        <v>17</v>
      </c>
      <c r="B152" s="7" t="s">
        <v>142</v>
      </c>
      <c r="C152" s="53"/>
      <c r="D152" s="53"/>
      <c r="E152" s="53"/>
      <c r="F152" s="53"/>
      <c r="G152" s="53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>
      <c r="B153" s="15" t="s">
        <v>164</v>
      </c>
      <c r="C153" s="54"/>
      <c r="D153" s="54"/>
      <c r="E153" s="54"/>
      <c r="F153" s="54"/>
      <c r="G153" s="54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>
      <c r="C154" s="96"/>
      <c r="D154" s="96"/>
      <c r="E154" s="96"/>
      <c r="F154" s="96"/>
      <c r="G154" s="96"/>
    </row>
    <row r="155" spans="1:25" ht="15.75" thickBot="1">
      <c r="B155" s="170" t="s">
        <v>154</v>
      </c>
      <c r="C155" s="175">
        <f>C158+C167+C174</f>
        <v>4909</v>
      </c>
      <c r="D155" s="175">
        <f t="shared" ref="D155:G155" si="173">D158+D167+D174</f>
        <v>6077</v>
      </c>
      <c r="E155" s="175">
        <f t="shared" si="173"/>
        <v>9950</v>
      </c>
      <c r="F155" s="175">
        <f t="shared" si="173"/>
        <v>18013</v>
      </c>
      <c r="G155" s="175">
        <f t="shared" si="173"/>
        <v>21581</v>
      </c>
      <c r="I155" s="175">
        <f t="shared" ref="I155:S155" si="174">I158+I167+I174</f>
        <v>9950</v>
      </c>
      <c r="J155" s="175">
        <f t="shared" si="174"/>
        <v>11333</v>
      </c>
      <c r="K155" s="175">
        <f t="shared" si="174"/>
        <v>13328</v>
      </c>
      <c r="L155" s="175">
        <f t="shared" si="174"/>
        <v>-24661</v>
      </c>
      <c r="M155" s="175">
        <f t="shared" si="174"/>
        <v>18013</v>
      </c>
      <c r="N155" s="175">
        <f t="shared" si="174"/>
        <v>18810</v>
      </c>
      <c r="O155" s="175">
        <f t="shared" si="174"/>
        <v>19698</v>
      </c>
      <c r="P155" s="175">
        <f t="shared" si="174"/>
        <v>-38508</v>
      </c>
      <c r="Q155" s="175">
        <f t="shared" si="174"/>
        <v>21581</v>
      </c>
      <c r="R155" s="175">
        <f t="shared" si="174"/>
        <v>23058</v>
      </c>
      <c r="S155" s="175">
        <f t="shared" si="174"/>
        <v>24469</v>
      </c>
      <c r="T155" s="175">
        <f t="shared" ref="T155" si="175">T158+T167+T174</f>
        <v>-47527</v>
      </c>
      <c r="V155" s="180">
        <f t="shared" ref="V155" si="176">SUM(M155:P155)</f>
        <v>18013</v>
      </c>
      <c r="W155" s="180">
        <f t="shared" ref="W155" si="177">SUM(Q155:T155)</f>
        <v>21581</v>
      </c>
      <c r="Y155" s="25">
        <f t="shared" ref="Y155" si="178">SUM(W155/V155)-1</f>
        <v>0.19807916504746581</v>
      </c>
    </row>
    <row r="156" spans="1:25" ht="8.25" customHeight="1">
      <c r="B156" s="3"/>
      <c r="C156" s="101"/>
      <c r="D156" s="101"/>
      <c r="E156" s="101"/>
      <c r="F156" s="101"/>
      <c r="G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</row>
    <row r="157" spans="1:25">
      <c r="B157" s="167" t="s">
        <v>156</v>
      </c>
      <c r="C157" s="140"/>
      <c r="D157" s="140"/>
      <c r="E157" s="140"/>
      <c r="F157" s="140"/>
      <c r="G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</row>
    <row r="158" spans="1:25">
      <c r="B158" s="165" t="s">
        <v>143</v>
      </c>
      <c r="C158" s="166">
        <v>343</v>
      </c>
      <c r="D158" s="166">
        <v>586</v>
      </c>
      <c r="E158" s="166">
        <v>0</v>
      </c>
      <c r="F158" s="166">
        <v>195</v>
      </c>
      <c r="G158" s="166">
        <v>490</v>
      </c>
      <c r="I158" s="166">
        <v>0</v>
      </c>
      <c r="J158" s="166">
        <v>0</v>
      </c>
      <c r="K158" s="166">
        <v>0</v>
      </c>
      <c r="L158" s="185">
        <f>SUM(E158-SUM(I158:K158))</f>
        <v>0</v>
      </c>
      <c r="M158" s="166">
        <v>195</v>
      </c>
      <c r="N158" s="166">
        <v>0</v>
      </c>
      <c r="O158" s="166">
        <v>0</v>
      </c>
      <c r="P158" s="185">
        <f>SUM(F158-SUM(M158:O158))</f>
        <v>0</v>
      </c>
      <c r="Q158" s="166">
        <v>490</v>
      </c>
      <c r="R158" s="166">
        <v>0</v>
      </c>
      <c r="S158" s="166">
        <v>66</v>
      </c>
      <c r="T158" s="185">
        <f t="shared" ref="T158:T163" si="179">SUM(G158-SUM(Q158:S158))</f>
        <v>-66</v>
      </c>
      <c r="V158" s="182">
        <f t="shared" ref="V158:V164" si="180">SUM(M158:P158)</f>
        <v>195</v>
      </c>
      <c r="W158" s="182">
        <f t="shared" ref="W158:W164" si="181">SUM(Q158:T158)</f>
        <v>490</v>
      </c>
      <c r="Y158" s="25">
        <f t="shared" ref="Y158:Y164" si="182">SUM(W158/V158)-1</f>
        <v>1.5128205128205128</v>
      </c>
    </row>
    <row r="159" spans="1:25">
      <c r="B159" s="105" t="s">
        <v>144</v>
      </c>
      <c r="C159" s="140">
        <v>331</v>
      </c>
      <c r="D159" s="140">
        <v>345</v>
      </c>
      <c r="E159" s="140">
        <v>356</v>
      </c>
      <c r="F159" s="140">
        <v>434</v>
      </c>
      <c r="G159" s="140">
        <v>383</v>
      </c>
      <c r="I159" s="140">
        <v>1</v>
      </c>
      <c r="J159" s="140">
        <v>186</v>
      </c>
      <c r="K159" s="140">
        <v>1</v>
      </c>
      <c r="L159" s="1">
        <f t="shared" ref="L159:L163" si="183">SUM(E159-SUM(I159:K159))</f>
        <v>168</v>
      </c>
      <c r="M159" s="140">
        <v>38</v>
      </c>
      <c r="N159" s="140">
        <v>194</v>
      </c>
      <c r="O159" s="140">
        <v>1</v>
      </c>
      <c r="P159" s="1">
        <f>SUM(F159-SUM(M159:O159))</f>
        <v>201</v>
      </c>
      <c r="Q159" s="140">
        <v>1</v>
      </c>
      <c r="R159" s="140">
        <v>193</v>
      </c>
      <c r="S159" s="140">
        <v>1</v>
      </c>
      <c r="T159" s="1">
        <f t="shared" si="179"/>
        <v>188</v>
      </c>
      <c r="V159" s="23">
        <f t="shared" si="180"/>
        <v>434</v>
      </c>
      <c r="W159" s="23">
        <f t="shared" si="181"/>
        <v>383</v>
      </c>
      <c r="Y159" s="25">
        <f t="shared" si="182"/>
        <v>-0.11751152073732718</v>
      </c>
    </row>
    <row r="160" spans="1:25">
      <c r="B160" s="105" t="s">
        <v>134</v>
      </c>
      <c r="C160" s="140">
        <v>-1042</v>
      </c>
      <c r="D160" s="140">
        <v>-1958</v>
      </c>
      <c r="E160" s="140">
        <v>-1514</v>
      </c>
      <c r="F160" s="140">
        <v>-2218</v>
      </c>
      <c r="G160" s="140">
        <v>-2731</v>
      </c>
      <c r="I160" s="140">
        <v>-22</v>
      </c>
      <c r="J160" s="140">
        <v>-640</v>
      </c>
      <c r="K160" s="140">
        <v>-352</v>
      </c>
      <c r="L160" s="1">
        <f t="shared" si="183"/>
        <v>-500</v>
      </c>
      <c r="M160" s="140">
        <v>-591</v>
      </c>
      <c r="N160" s="140">
        <v>-827</v>
      </c>
      <c r="O160" s="140">
        <v>-400</v>
      </c>
      <c r="P160" s="1">
        <f t="shared" ref="P160:P163" si="184">SUM(F160-SUM(M160:O160))</f>
        <v>-400</v>
      </c>
      <c r="Q160" s="140">
        <v>-773</v>
      </c>
      <c r="R160" s="140">
        <v>-731</v>
      </c>
      <c r="S160" s="140">
        <v>-455</v>
      </c>
      <c r="T160" s="1">
        <f t="shared" si="179"/>
        <v>-772</v>
      </c>
      <c r="V160" s="23">
        <f t="shared" si="180"/>
        <v>-2218</v>
      </c>
      <c r="W160" s="23">
        <f t="shared" si="181"/>
        <v>-2731</v>
      </c>
      <c r="Y160" s="25">
        <f t="shared" si="182"/>
        <v>0.23128944995491429</v>
      </c>
    </row>
    <row r="161" spans="2:25">
      <c r="B161" s="105" t="s">
        <v>145</v>
      </c>
      <c r="C161" s="140">
        <v>1301</v>
      </c>
      <c r="D161" s="140">
        <v>1754</v>
      </c>
      <c r="E161" s="140">
        <v>2119</v>
      </c>
      <c r="F161" s="140">
        <v>2600</v>
      </c>
      <c r="G161" s="140">
        <v>2767</v>
      </c>
      <c r="I161" s="140">
        <v>521</v>
      </c>
      <c r="J161" s="140">
        <v>516</v>
      </c>
      <c r="K161" s="140">
        <v>540</v>
      </c>
      <c r="L161" s="1">
        <f t="shared" si="183"/>
        <v>542</v>
      </c>
      <c r="M161" s="140">
        <v>667</v>
      </c>
      <c r="N161" s="140">
        <v>656</v>
      </c>
      <c r="O161" s="140">
        <v>643</v>
      </c>
      <c r="P161" s="1">
        <f t="shared" si="184"/>
        <v>634</v>
      </c>
      <c r="Q161" s="140">
        <v>629</v>
      </c>
      <c r="R161" s="140">
        <v>748</v>
      </c>
      <c r="S161" s="140">
        <v>670</v>
      </c>
      <c r="T161" s="1">
        <f t="shared" si="179"/>
        <v>720</v>
      </c>
      <c r="V161" s="23">
        <f t="shared" si="180"/>
        <v>2600</v>
      </c>
      <c r="W161" s="23">
        <f t="shared" si="181"/>
        <v>2767</v>
      </c>
      <c r="Y161" s="25">
        <f t="shared" si="182"/>
        <v>6.4230769230769313E-2</v>
      </c>
    </row>
    <row r="162" spans="2:25">
      <c r="B162" s="105" t="s">
        <v>146</v>
      </c>
      <c r="C162" s="101">
        <v>-347</v>
      </c>
      <c r="D162" s="101">
        <v>-737</v>
      </c>
      <c r="E162" s="101">
        <v>-766</v>
      </c>
      <c r="F162" s="101">
        <v>-521</v>
      </c>
      <c r="G162" s="101">
        <v>-932</v>
      </c>
      <c r="I162" s="101">
        <v>-500</v>
      </c>
      <c r="J162" s="101">
        <v>-62</v>
      </c>
      <c r="K162" s="101">
        <v>-189</v>
      </c>
      <c r="L162" s="1">
        <f t="shared" si="183"/>
        <v>-15</v>
      </c>
      <c r="M162" s="101">
        <v>-309</v>
      </c>
      <c r="N162" s="101">
        <v>-23</v>
      </c>
      <c r="O162" s="101">
        <v>-167</v>
      </c>
      <c r="P162" s="1">
        <f t="shared" si="184"/>
        <v>-22</v>
      </c>
      <c r="Q162" s="101">
        <v>-370</v>
      </c>
      <c r="R162" s="101">
        <v>-144</v>
      </c>
      <c r="S162" s="101">
        <v>-282</v>
      </c>
      <c r="T162" s="1">
        <f t="shared" si="179"/>
        <v>-136</v>
      </c>
      <c r="V162" s="23">
        <f t="shared" si="180"/>
        <v>-521</v>
      </c>
      <c r="W162" s="23">
        <f t="shared" si="181"/>
        <v>-932</v>
      </c>
      <c r="Y162" s="25">
        <f t="shared" si="182"/>
        <v>0.7888675623800383</v>
      </c>
    </row>
    <row r="163" spans="2:25">
      <c r="B163" s="105" t="s">
        <v>147</v>
      </c>
      <c r="C163" s="140">
        <v>0</v>
      </c>
      <c r="D163" s="140">
        <v>10</v>
      </c>
      <c r="E163" s="140">
        <v>0</v>
      </c>
      <c r="F163" s="140">
        <v>0</v>
      </c>
      <c r="G163" s="140">
        <v>23</v>
      </c>
      <c r="I163" s="140">
        <v>0</v>
      </c>
      <c r="J163" s="140">
        <v>0</v>
      </c>
      <c r="K163" s="140">
        <v>0</v>
      </c>
      <c r="L163" s="1">
        <f t="shared" si="183"/>
        <v>0</v>
      </c>
      <c r="M163" s="140"/>
      <c r="N163" s="140"/>
      <c r="O163" s="140">
        <v>0</v>
      </c>
      <c r="P163" s="1">
        <f t="shared" si="184"/>
        <v>0</v>
      </c>
      <c r="Q163" s="140">
        <v>23</v>
      </c>
      <c r="R163" s="140">
        <v>0</v>
      </c>
      <c r="S163" s="140">
        <v>0</v>
      </c>
      <c r="T163" s="1">
        <f t="shared" si="179"/>
        <v>0</v>
      </c>
      <c r="V163" s="23">
        <f t="shared" si="180"/>
        <v>0</v>
      </c>
      <c r="W163" s="23">
        <f t="shared" si="181"/>
        <v>23</v>
      </c>
      <c r="Y163" s="25" t="e">
        <f t="shared" si="182"/>
        <v>#DIV/0!</v>
      </c>
    </row>
    <row r="164" spans="2:25">
      <c r="B164" s="163" t="s">
        <v>148</v>
      </c>
      <c r="C164" s="171">
        <f>SUM(C158+SUM(C159:C163))</f>
        <v>586</v>
      </c>
      <c r="D164" s="171">
        <f t="shared" ref="D164:I164" si="185">SUM(D158+SUM(D159:D163))</f>
        <v>0</v>
      </c>
      <c r="E164" s="171">
        <f t="shared" si="185"/>
        <v>195</v>
      </c>
      <c r="F164" s="171">
        <f t="shared" si="185"/>
        <v>490</v>
      </c>
      <c r="G164" s="171">
        <f t="shared" si="185"/>
        <v>0</v>
      </c>
      <c r="I164" s="171">
        <f t="shared" si="185"/>
        <v>0</v>
      </c>
      <c r="J164" s="171">
        <f t="shared" ref="J164" si="186">SUM(J158+SUM(J159:J163))</f>
        <v>0</v>
      </c>
      <c r="K164" s="171">
        <f t="shared" ref="K164" si="187">SUM(K158+SUM(K159:K163))</f>
        <v>0</v>
      </c>
      <c r="L164" s="171">
        <f t="shared" ref="L164" si="188">SUM(L158+SUM(L159:L163))</f>
        <v>195</v>
      </c>
      <c r="M164" s="171">
        <f t="shared" ref="M164" si="189">SUM(M158+SUM(M159:M163))</f>
        <v>0</v>
      </c>
      <c r="N164" s="171">
        <f t="shared" ref="N164" si="190">SUM(N158+SUM(N159:N163))</f>
        <v>0</v>
      </c>
      <c r="O164" s="171">
        <f t="shared" ref="O164" si="191">SUM(O158+SUM(O159:O163))</f>
        <v>77</v>
      </c>
      <c r="P164" s="171">
        <f t="shared" ref="P164" si="192">SUM(P158+SUM(P159:P163))</f>
        <v>413</v>
      </c>
      <c r="Q164" s="171">
        <f t="shared" ref="Q164" si="193">SUM(Q158+SUM(Q159:Q163))</f>
        <v>0</v>
      </c>
      <c r="R164" s="171">
        <f t="shared" ref="R164" si="194">SUM(R158+SUM(R159:R163))</f>
        <v>66</v>
      </c>
      <c r="S164" s="171">
        <f t="shared" ref="S164:T164" si="195">SUM(S158+SUM(S159:S163))</f>
        <v>0</v>
      </c>
      <c r="T164" s="171">
        <f t="shared" si="195"/>
        <v>-66</v>
      </c>
      <c r="V164" s="181">
        <f t="shared" si="180"/>
        <v>490</v>
      </c>
      <c r="W164" s="181">
        <f t="shared" si="181"/>
        <v>0</v>
      </c>
      <c r="Y164" s="25">
        <f t="shared" si="182"/>
        <v>-1</v>
      </c>
    </row>
    <row r="165" spans="2:25">
      <c r="B165" s="164"/>
      <c r="C165" s="168"/>
      <c r="D165" s="168"/>
      <c r="E165" s="168"/>
      <c r="F165" s="168"/>
      <c r="G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</row>
    <row r="166" spans="2:25">
      <c r="B166" s="164" t="s">
        <v>108</v>
      </c>
      <c r="C166" s="140"/>
      <c r="D166" s="140"/>
      <c r="E166" s="140"/>
      <c r="F166" s="140"/>
      <c r="G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</row>
    <row r="167" spans="2:25">
      <c r="B167" s="172" t="s">
        <v>143</v>
      </c>
      <c r="C167" s="166">
        <v>4466</v>
      </c>
      <c r="D167" s="166">
        <v>5284</v>
      </c>
      <c r="E167" s="166">
        <v>9822</v>
      </c>
      <c r="F167" s="166">
        <v>17840</v>
      </c>
      <c r="G167" s="166">
        <v>20733</v>
      </c>
      <c r="I167" s="166">
        <v>9822</v>
      </c>
      <c r="J167" s="166">
        <v>11275</v>
      </c>
      <c r="K167" s="166">
        <v>13113</v>
      </c>
      <c r="L167" s="185">
        <f>SUM(E167-SUM(I167:K167))</f>
        <v>-24388</v>
      </c>
      <c r="M167" s="166">
        <v>17840</v>
      </c>
      <c r="N167" s="166">
        <v>18517</v>
      </c>
      <c r="O167" s="166">
        <v>19280</v>
      </c>
      <c r="P167" s="185">
        <f>SUM(F167-SUM(M167:O167))</f>
        <v>-37797</v>
      </c>
      <c r="Q167" s="166">
        <v>20733</v>
      </c>
      <c r="R167" s="166">
        <v>22565</v>
      </c>
      <c r="S167" s="166">
        <v>23965</v>
      </c>
      <c r="T167" s="185">
        <f t="shared" ref="T167:T170" si="196">SUM(G167-SUM(Q167:S167))</f>
        <v>-46530</v>
      </c>
      <c r="V167" s="182">
        <f t="shared" ref="V167" si="197">SUM(M167:P167)</f>
        <v>17840</v>
      </c>
      <c r="W167" s="182">
        <f t="shared" ref="W167" si="198">SUM(Q167:T167)</f>
        <v>20733</v>
      </c>
    </row>
    <row r="168" spans="2:25">
      <c r="B168" s="105" t="s">
        <v>149</v>
      </c>
      <c r="C168" s="140">
        <v>5198</v>
      </c>
      <c r="D168" s="140">
        <v>9043</v>
      </c>
      <c r="E168" s="140">
        <v>12936</v>
      </c>
      <c r="F168" s="140">
        <v>7232</v>
      </c>
      <c r="G168" s="140">
        <v>10142</v>
      </c>
      <c r="I168" s="140">
        <v>3399</v>
      </c>
      <c r="J168" s="140">
        <v>2934</v>
      </c>
      <c r="K168" s="140">
        <v>3730</v>
      </c>
      <c r="L168" s="1">
        <f t="shared" ref="L168:L170" si="199">SUM(E168-SUM(I168:K168))</f>
        <v>2873</v>
      </c>
      <c r="M168" s="140">
        <v>2235</v>
      </c>
      <c r="N168" s="140">
        <v>1704</v>
      </c>
      <c r="O168" s="140">
        <v>1803</v>
      </c>
      <c r="P168" s="1">
        <f t="shared" ref="P168:P170" si="200">SUM(F168-SUM(M168:O168))</f>
        <v>1490</v>
      </c>
      <c r="Q168" s="140">
        <v>2767</v>
      </c>
      <c r="R168" s="140">
        <v>2326</v>
      </c>
      <c r="S168" s="140">
        <v>2129</v>
      </c>
      <c r="T168" s="1">
        <f t="shared" si="196"/>
        <v>2920</v>
      </c>
      <c r="V168" s="177">
        <f t="shared" ref="V168:V170" si="201">SUM(L168:O168)</f>
        <v>8615</v>
      </c>
      <c r="W168" s="177">
        <f t="shared" ref="W168:W170" si="202">SUM(P168:S168)</f>
        <v>8712</v>
      </c>
      <c r="Y168" s="25">
        <f t="shared" ref="Y168:Y171" si="203">SUM(W168/V168)-1</f>
        <v>1.1259431224608152E-2</v>
      </c>
    </row>
    <row r="169" spans="2:25">
      <c r="B169" s="105" t="s">
        <v>134</v>
      </c>
      <c r="C169" s="140">
        <v>-1408</v>
      </c>
      <c r="D169" s="140">
        <v>-1408</v>
      </c>
      <c r="E169" s="140">
        <v>-1615</v>
      </c>
      <c r="F169" s="140">
        <v>-755</v>
      </c>
      <c r="G169" s="140">
        <v>-1394</v>
      </c>
      <c r="I169" s="140">
        <v>-1156</v>
      </c>
      <c r="J169" s="140">
        <v>-311</v>
      </c>
      <c r="K169" s="140">
        <v>-148</v>
      </c>
      <c r="L169" s="1">
        <f t="shared" si="199"/>
        <v>0</v>
      </c>
      <c r="M169" s="140">
        <v>-679</v>
      </c>
      <c r="N169" s="140">
        <v>-76</v>
      </c>
      <c r="O169" s="140">
        <v>0</v>
      </c>
      <c r="P169" s="1">
        <f t="shared" si="200"/>
        <v>0</v>
      </c>
      <c r="Q169" s="140">
        <v>-11</v>
      </c>
      <c r="R169" s="140">
        <v>0</v>
      </c>
      <c r="S169" s="140">
        <v>-848</v>
      </c>
      <c r="T169" s="1">
        <f t="shared" si="196"/>
        <v>-535</v>
      </c>
      <c r="V169" s="23">
        <f t="shared" si="201"/>
        <v>-755</v>
      </c>
      <c r="W169" s="23">
        <f t="shared" si="202"/>
        <v>-859</v>
      </c>
      <c r="Y169" s="25">
        <f t="shared" si="203"/>
        <v>0.13774834437086092</v>
      </c>
    </row>
    <row r="170" spans="2:25">
      <c r="B170" s="105" t="s">
        <v>150</v>
      </c>
      <c r="C170" s="140">
        <v>-2972</v>
      </c>
      <c r="D170" s="140">
        <v>-3097</v>
      </c>
      <c r="E170" s="140">
        <v>-3303</v>
      </c>
      <c r="F170" s="140">
        <v>-3584</v>
      </c>
      <c r="G170" s="140">
        <v>-3794</v>
      </c>
      <c r="I170" s="140">
        <v>-790</v>
      </c>
      <c r="J170" s="140">
        <v>-785</v>
      </c>
      <c r="K170" s="140">
        <v>-865</v>
      </c>
      <c r="L170" s="1">
        <f t="shared" si="199"/>
        <v>-863</v>
      </c>
      <c r="M170" s="140">
        <v>-879</v>
      </c>
      <c r="N170" s="140">
        <v>-865</v>
      </c>
      <c r="O170" s="140">
        <v>-920</v>
      </c>
      <c r="P170" s="1">
        <f t="shared" si="200"/>
        <v>-920</v>
      </c>
      <c r="Q170" s="140">
        <v>-924</v>
      </c>
      <c r="R170" s="140">
        <v>-926</v>
      </c>
      <c r="S170" s="140">
        <v>-973</v>
      </c>
      <c r="T170" s="1">
        <f t="shared" si="196"/>
        <v>-971</v>
      </c>
      <c r="V170" s="23">
        <f t="shared" si="201"/>
        <v>-3527</v>
      </c>
      <c r="W170" s="23">
        <f t="shared" si="202"/>
        <v>-3743</v>
      </c>
      <c r="Y170" s="25">
        <f t="shared" si="203"/>
        <v>6.1241848596540915E-2</v>
      </c>
    </row>
    <row r="171" spans="2:25">
      <c r="B171" s="163" t="s">
        <v>148</v>
      </c>
      <c r="C171" s="171">
        <f>SUM(C168:C170)+C167</f>
        <v>5284</v>
      </c>
      <c r="D171" s="171">
        <f t="shared" ref="D171:I171" si="204">SUM(D168:D170)+D167</f>
        <v>9822</v>
      </c>
      <c r="E171" s="171">
        <f t="shared" si="204"/>
        <v>17840</v>
      </c>
      <c r="F171" s="171">
        <f t="shared" si="204"/>
        <v>20733</v>
      </c>
      <c r="G171" s="171">
        <f t="shared" si="204"/>
        <v>25687</v>
      </c>
      <c r="I171" s="171">
        <f t="shared" si="204"/>
        <v>11275</v>
      </c>
      <c r="J171" s="171">
        <f t="shared" ref="J171" si="205">SUM(J168:J170)+J167</f>
        <v>13113</v>
      </c>
      <c r="K171" s="171">
        <f t="shared" ref="K171" si="206">SUM(K168:K170)+K167</f>
        <v>15830</v>
      </c>
      <c r="L171" s="171">
        <f t="shared" ref="L171" si="207">SUM(L168:L170)+L167</f>
        <v>-22378</v>
      </c>
      <c r="M171" s="171">
        <f t="shared" ref="M171" si="208">SUM(M168:M170)+M167</f>
        <v>18517</v>
      </c>
      <c r="N171" s="171">
        <f t="shared" ref="N171" si="209">SUM(N168:N170)+N167</f>
        <v>19280</v>
      </c>
      <c r="O171" s="171">
        <f t="shared" ref="O171" si="210">SUM(O168:O170)+O167</f>
        <v>20163</v>
      </c>
      <c r="P171" s="171">
        <f t="shared" ref="P171" si="211">SUM(P168:P170)+P167</f>
        <v>-37227</v>
      </c>
      <c r="Q171" s="171">
        <f t="shared" ref="Q171" si="212">SUM(Q168:Q170)+Q167</f>
        <v>22565</v>
      </c>
      <c r="R171" s="171">
        <f t="shared" ref="R171" si="213">SUM(R168:R170)+R167</f>
        <v>23965</v>
      </c>
      <c r="S171" s="171">
        <f t="shared" ref="S171:W171" si="214">SUM(S168:S170)+S167</f>
        <v>24273</v>
      </c>
      <c r="T171" s="171">
        <f t="shared" si="214"/>
        <v>-45116</v>
      </c>
      <c r="V171" s="171">
        <f t="shared" si="214"/>
        <v>22173</v>
      </c>
      <c r="W171" s="171">
        <f t="shared" si="214"/>
        <v>24843</v>
      </c>
      <c r="Y171" s="25">
        <f t="shared" si="203"/>
        <v>0.12041672304153694</v>
      </c>
    </row>
    <row r="172" spans="2:25">
      <c r="B172" s="105"/>
      <c r="C172" s="140"/>
      <c r="D172" s="140"/>
      <c r="E172" s="140"/>
      <c r="F172" s="140"/>
      <c r="G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</row>
    <row r="173" spans="2:25">
      <c r="B173" s="167" t="s">
        <v>155</v>
      </c>
      <c r="C173" s="140"/>
      <c r="D173" s="140"/>
      <c r="E173" s="140"/>
      <c r="F173" s="140"/>
      <c r="G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</row>
    <row r="174" spans="2:25">
      <c r="B174" s="165" t="s">
        <v>143</v>
      </c>
      <c r="C174" s="166">
        <v>100</v>
      </c>
      <c r="D174" s="166">
        <v>207</v>
      </c>
      <c r="E174" s="166">
        <v>128</v>
      </c>
      <c r="F174" s="166">
        <v>-22</v>
      </c>
      <c r="G174" s="166">
        <v>358</v>
      </c>
      <c r="I174" s="166">
        <v>128</v>
      </c>
      <c r="J174" s="166">
        <v>58</v>
      </c>
      <c r="K174" s="166">
        <v>215</v>
      </c>
      <c r="L174" s="185">
        <f>SUM(E174-SUM(I174:K174))</f>
        <v>-273</v>
      </c>
      <c r="M174" s="166">
        <v>-22</v>
      </c>
      <c r="N174" s="166">
        <v>293</v>
      </c>
      <c r="O174" s="166">
        <v>418</v>
      </c>
      <c r="P174" s="185">
        <f>SUM(F174-SUM(M174:O174))</f>
        <v>-711</v>
      </c>
      <c r="Q174" s="166">
        <v>358</v>
      </c>
      <c r="R174" s="166">
        <v>493</v>
      </c>
      <c r="S174" s="166">
        <v>438</v>
      </c>
      <c r="T174" s="185">
        <f t="shared" ref="T174" si="215">SUM(G174-SUM(Q174:S174))</f>
        <v>-931</v>
      </c>
      <c r="V174" s="182">
        <f t="shared" ref="V174:V175" si="216">SUM(L174:O174)</f>
        <v>416</v>
      </c>
      <c r="W174" s="182">
        <f t="shared" ref="W174:W175" si="217">SUM(P174:S174)</f>
        <v>578</v>
      </c>
      <c r="Y174" s="25">
        <f t="shared" ref="Y174:Y179" si="218">SUM(W174/V174)-1</f>
        <v>0.38942307692307687</v>
      </c>
    </row>
    <row r="175" spans="2:25">
      <c r="B175" s="105" t="s">
        <v>151</v>
      </c>
      <c r="C175" s="140">
        <v>107</v>
      </c>
      <c r="D175" s="140">
        <v>-79</v>
      </c>
      <c r="E175" s="140">
        <v>-150</v>
      </c>
      <c r="F175" s="140">
        <v>380</v>
      </c>
      <c r="G175" s="140">
        <v>229</v>
      </c>
      <c r="I175" s="140">
        <v>-70</v>
      </c>
      <c r="J175" s="140">
        <v>157</v>
      </c>
      <c r="K175" s="140">
        <v>3</v>
      </c>
      <c r="L175" s="1">
        <f t="shared" ref="L175" si="219">SUM(E175-SUM(I175:K175))</f>
        <v>-240</v>
      </c>
      <c r="M175" s="140">
        <v>315</v>
      </c>
      <c r="N175" s="140">
        <v>125</v>
      </c>
      <c r="O175" s="140">
        <v>12</v>
      </c>
      <c r="P175" s="1">
        <f t="shared" ref="P175" si="220">SUM(F175-SUM(M175:O175))</f>
        <v>-72</v>
      </c>
      <c r="Q175" s="140">
        <v>135</v>
      </c>
      <c r="R175" s="140">
        <v>-55</v>
      </c>
      <c r="S175" s="140">
        <v>-41</v>
      </c>
      <c r="T175" s="1">
        <f t="shared" ref="T175" si="221">SUM(G175-SUM(Q175:S175))</f>
        <v>190</v>
      </c>
      <c r="V175" s="23">
        <f t="shared" si="216"/>
        <v>212</v>
      </c>
      <c r="W175" s="23">
        <f t="shared" si="217"/>
        <v>-33</v>
      </c>
      <c r="Y175" s="25">
        <f t="shared" si="218"/>
        <v>-1.1556603773584906</v>
      </c>
    </row>
    <row r="176" spans="2:25">
      <c r="B176" s="163" t="s">
        <v>148</v>
      </c>
      <c r="C176" s="171">
        <f>C175+C174</f>
        <v>207</v>
      </c>
      <c r="D176" s="171">
        <f t="shared" ref="D176:I176" si="222">D175+D174</f>
        <v>128</v>
      </c>
      <c r="E176" s="171">
        <f t="shared" si="222"/>
        <v>-22</v>
      </c>
      <c r="F176" s="171">
        <f t="shared" si="222"/>
        <v>358</v>
      </c>
      <c r="G176" s="171">
        <f t="shared" si="222"/>
        <v>587</v>
      </c>
      <c r="I176" s="171">
        <f t="shared" si="222"/>
        <v>58</v>
      </c>
      <c r="J176" s="171">
        <f t="shared" ref="J176" si="223">J175+J174</f>
        <v>215</v>
      </c>
      <c r="K176" s="171">
        <f t="shared" ref="K176" si="224">K175+K174</f>
        <v>218</v>
      </c>
      <c r="L176" s="171">
        <f t="shared" ref="L176" si="225">L175+L174</f>
        <v>-513</v>
      </c>
      <c r="M176" s="171">
        <f t="shared" ref="M176" si="226">M175+M174</f>
        <v>293</v>
      </c>
      <c r="N176" s="171">
        <f t="shared" ref="N176" si="227">N175+N174</f>
        <v>418</v>
      </c>
      <c r="O176" s="171">
        <f t="shared" ref="O176" si="228">O175+O174</f>
        <v>430</v>
      </c>
      <c r="P176" s="171">
        <f t="shared" ref="P176" si="229">P175+P174</f>
        <v>-783</v>
      </c>
      <c r="Q176" s="171">
        <f t="shared" ref="Q176" si="230">Q175+Q174</f>
        <v>493</v>
      </c>
      <c r="R176" s="171">
        <f t="shared" ref="R176" si="231">R175+R174</f>
        <v>438</v>
      </c>
      <c r="S176" s="171">
        <f t="shared" ref="S176:T176" si="232">S175+S174</f>
        <v>397</v>
      </c>
      <c r="T176" s="171">
        <f t="shared" si="232"/>
        <v>-741</v>
      </c>
      <c r="V176" s="171">
        <f t="shared" ref="V176" si="233">V175+V174</f>
        <v>628</v>
      </c>
      <c r="W176" s="171">
        <f t="shared" ref="W176" si="234">W175+W174</f>
        <v>545</v>
      </c>
      <c r="Y176" s="25">
        <f t="shared" si="218"/>
        <v>-0.13216560509554143</v>
      </c>
    </row>
    <row r="177" spans="2:25" ht="7.5" customHeight="1" thickBot="1">
      <c r="B177" s="173"/>
      <c r="C177" s="174"/>
      <c r="D177" s="174"/>
      <c r="E177" s="174"/>
      <c r="F177" s="174"/>
      <c r="G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V177" s="174"/>
      <c r="W177" s="174"/>
      <c r="Y177" s="40"/>
    </row>
    <row r="178" spans="2:25">
      <c r="B178" s="164" t="s">
        <v>152</v>
      </c>
      <c r="C178" s="176">
        <f>+C176+C171+C164</f>
        <v>6077</v>
      </c>
      <c r="D178" s="176">
        <f>+D176+D171+D164</f>
        <v>9950</v>
      </c>
      <c r="E178" s="176">
        <f t="shared" ref="E178:G178" si="235">+E176+E171+E164</f>
        <v>18013</v>
      </c>
      <c r="F178" s="176">
        <f t="shared" si="235"/>
        <v>21581</v>
      </c>
      <c r="G178" s="176">
        <f t="shared" si="235"/>
        <v>26274</v>
      </c>
      <c r="I178" s="176">
        <f t="shared" ref="I178:S178" si="236">+I176+I171+I164</f>
        <v>11333</v>
      </c>
      <c r="J178" s="176">
        <f t="shared" si="236"/>
        <v>13328</v>
      </c>
      <c r="K178" s="176">
        <f t="shared" si="236"/>
        <v>16048</v>
      </c>
      <c r="L178" s="176">
        <f t="shared" si="236"/>
        <v>-22696</v>
      </c>
      <c r="M178" s="176">
        <f t="shared" si="236"/>
        <v>18810</v>
      </c>
      <c r="N178" s="176">
        <f t="shared" si="236"/>
        <v>19698</v>
      </c>
      <c r="O178" s="176">
        <f t="shared" si="236"/>
        <v>20670</v>
      </c>
      <c r="P178" s="176">
        <f t="shared" si="236"/>
        <v>-37597</v>
      </c>
      <c r="Q178" s="176">
        <f t="shared" si="236"/>
        <v>23058</v>
      </c>
      <c r="R178" s="176">
        <f t="shared" si="236"/>
        <v>24469</v>
      </c>
      <c r="S178" s="176">
        <f t="shared" si="236"/>
        <v>24670</v>
      </c>
      <c r="T178" s="176">
        <f t="shared" ref="T178:W178" si="237">+T176+T171+T164</f>
        <v>-45923</v>
      </c>
      <c r="V178" s="176">
        <f t="shared" si="237"/>
        <v>23291</v>
      </c>
      <c r="W178" s="176">
        <f t="shared" si="237"/>
        <v>25388</v>
      </c>
      <c r="Y178" s="25">
        <f t="shared" si="218"/>
        <v>9.0034777381821307E-2</v>
      </c>
    </row>
    <row r="179" spans="2:25">
      <c r="B179" s="105" t="s">
        <v>153</v>
      </c>
      <c r="C179" s="169">
        <v>2.54</v>
      </c>
      <c r="D179" s="169">
        <v>2.66</v>
      </c>
      <c r="E179" s="169">
        <v>2.86</v>
      </c>
      <c r="F179" s="169">
        <v>3.1</v>
      </c>
      <c r="G179" s="169">
        <v>3.3</v>
      </c>
      <c r="I179" s="169">
        <v>0.68</v>
      </c>
      <c r="J179" s="169">
        <v>0.68</v>
      </c>
      <c r="K179" s="169">
        <v>0.75</v>
      </c>
      <c r="L179" s="179">
        <f>SUM(E179-SUM(I179:K179))</f>
        <v>0.74999999999999956</v>
      </c>
      <c r="M179" s="169">
        <v>0.75</v>
      </c>
      <c r="N179" s="169">
        <v>0.75</v>
      </c>
      <c r="O179" s="169">
        <v>0.8</v>
      </c>
      <c r="P179" s="179">
        <f>SUM(F179-SUM(M179:O179))</f>
        <v>0.80000000000000027</v>
      </c>
      <c r="Q179" s="169">
        <v>0.8</v>
      </c>
      <c r="R179" s="169">
        <v>0.8</v>
      </c>
      <c r="S179" s="169">
        <v>0.85</v>
      </c>
      <c r="T179" s="179">
        <f t="shared" ref="T179" si="238">SUM(G179-SUM(Q179:S179))</f>
        <v>0.84999999999999964</v>
      </c>
      <c r="V179" s="183">
        <f t="shared" ref="V179" si="239">SUM(M179:P179)</f>
        <v>3.1</v>
      </c>
      <c r="W179" s="183">
        <f t="shared" ref="W179" si="240">SUM(Q179:T179)</f>
        <v>3.3</v>
      </c>
      <c r="Y179" s="25">
        <f t="shared" si="218"/>
        <v>6.4516129032258007E-2</v>
      </c>
    </row>
  </sheetData>
  <mergeCells count="1">
    <mergeCell ref="Y7:Y8"/>
  </mergeCells>
  <conditionalFormatting sqref="C9:R9">
    <cfRule type="timePeriod" dxfId="3" priority="4" timePeriod="lastWeek">
      <formula>AND(TODAY()-ROUNDDOWN(C9,0)&gt;=(WEEKDAY(TODAY())),TODAY()-ROUNDDOWN(C9,0)&lt;(WEEKDAY(TODAY())+7))</formula>
    </cfRule>
  </conditionalFormatting>
  <conditionalFormatting sqref="C8:W8">
    <cfRule type="timePeriod" dxfId="2" priority="1" timePeriod="lastWeek">
      <formula>AND(TODAY()-ROUNDDOWN(C8,0)&gt;=(WEEKDAY(TODAY())),TODAY()-ROUNDDOWN(C8,0)&lt;(WEEKDAY(TODAY())+7))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94F6-74FE-4040-A848-785E57806080}">
  <dimension ref="A2:AB35"/>
  <sheetViews>
    <sheetView showGridLines="0" zoomScaleNormal="100" workbookViewId="0">
      <selection activeCell="A31" sqref="A31"/>
    </sheetView>
  </sheetViews>
  <sheetFormatPr defaultRowHeight="15"/>
  <cols>
    <col min="1" max="1" width="4.5703125" customWidth="1"/>
    <col min="2" max="2" width="60.5703125" bestFit="1" customWidth="1"/>
    <col min="3" max="7" width="12.5703125" bestFit="1" customWidth="1"/>
    <col min="8" max="8" width="1.5703125" customWidth="1"/>
    <col min="9" max="10" width="10.7109375" bestFit="1" customWidth="1"/>
    <col min="11" max="11" width="11.85546875" bestFit="1" customWidth="1"/>
    <col min="12" max="14" width="10.7109375" bestFit="1" customWidth="1"/>
    <col min="15" max="15" width="11.85546875" bestFit="1" customWidth="1"/>
    <col min="16" max="18" width="10.7109375" bestFit="1" customWidth="1"/>
    <col min="19" max="20" width="10.7109375" customWidth="1"/>
    <col min="21" max="21" width="2.140625" customWidth="1"/>
    <col min="22" max="22" width="10.7109375" bestFit="1" customWidth="1"/>
    <col min="23" max="23" width="11.140625" bestFit="1" customWidth="1"/>
    <col min="24" max="24" width="2.28515625" customWidth="1"/>
  </cols>
  <sheetData>
    <row r="2" spans="1:28">
      <c r="A2" s="6"/>
      <c r="B2" s="7" t="s">
        <v>59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6"/>
      <c r="Y2" s="6"/>
      <c r="Z2" s="6"/>
      <c r="AA2" s="6"/>
      <c r="AB2" s="6"/>
    </row>
    <row r="3" spans="1:28">
      <c r="A3" s="6"/>
      <c r="B3" s="9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6"/>
      <c r="Y3" s="6"/>
      <c r="Z3" s="6"/>
      <c r="AA3" s="6"/>
      <c r="AB3" s="6"/>
    </row>
    <row r="4" spans="1:28" ht="3" customHeight="1">
      <c r="A4" s="6"/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.75" thickBot="1">
      <c r="A5" s="6"/>
      <c r="B5" s="11"/>
      <c r="C5" s="11"/>
      <c r="D5" s="11"/>
      <c r="E5" s="11" t="s">
        <v>4</v>
      </c>
      <c r="F5" s="11"/>
      <c r="G5" s="11"/>
      <c r="H5" s="6"/>
      <c r="I5" s="11" t="s">
        <v>5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6"/>
      <c r="V5" s="11" t="s">
        <v>6</v>
      </c>
      <c r="W5" s="11"/>
      <c r="X5" s="12"/>
      <c r="Y5" s="11" t="s">
        <v>16</v>
      </c>
      <c r="Z5" s="6"/>
      <c r="AA5" s="6"/>
      <c r="AB5" s="6"/>
    </row>
    <row r="6" spans="1:28" ht="6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>
      <c r="A7" s="6" t="s">
        <v>17</v>
      </c>
      <c r="B7" s="132" t="s">
        <v>163</v>
      </c>
      <c r="C7" s="133" t="s">
        <v>162</v>
      </c>
      <c r="D7" s="133" t="s">
        <v>77</v>
      </c>
      <c r="E7" s="133" t="s">
        <v>19</v>
      </c>
      <c r="F7" s="133" t="s">
        <v>20</v>
      </c>
      <c r="G7" s="133" t="s">
        <v>21</v>
      </c>
      <c r="H7" s="6"/>
      <c r="I7" s="133" t="s">
        <v>60</v>
      </c>
      <c r="J7" s="133" t="s">
        <v>61</v>
      </c>
      <c r="K7" s="133" t="s">
        <v>62</v>
      </c>
      <c r="L7" s="133" t="s">
        <v>63</v>
      </c>
      <c r="M7" s="133" t="s">
        <v>64</v>
      </c>
      <c r="N7" s="133" t="s">
        <v>65</v>
      </c>
      <c r="O7" s="133" t="s">
        <v>66</v>
      </c>
      <c r="P7" s="133" t="s">
        <v>67</v>
      </c>
      <c r="Q7" s="133" t="s">
        <v>68</v>
      </c>
      <c r="R7" s="133" t="s">
        <v>69</v>
      </c>
      <c r="S7" s="133" t="s">
        <v>70</v>
      </c>
      <c r="T7" s="133" t="s">
        <v>157</v>
      </c>
      <c r="U7" s="151"/>
      <c r="V7" s="13" t="str">
        <f>O7</f>
        <v>3Q23</v>
      </c>
      <c r="W7" s="13" t="str">
        <f>T7</f>
        <v>4Q24</v>
      </c>
      <c r="X7" s="14"/>
      <c r="Y7" s="186" t="s">
        <v>22</v>
      </c>
      <c r="Z7" s="6"/>
      <c r="AA7" s="6"/>
      <c r="AB7" s="6"/>
    </row>
    <row r="8" spans="1:28">
      <c r="A8" s="6"/>
      <c r="B8" s="15" t="s">
        <v>76</v>
      </c>
      <c r="C8" s="134">
        <v>43830</v>
      </c>
      <c r="D8" s="134">
        <v>44196</v>
      </c>
      <c r="E8" s="134">
        <v>44561</v>
      </c>
      <c r="F8" s="134">
        <v>44926</v>
      </c>
      <c r="G8" s="134">
        <v>45291</v>
      </c>
      <c r="H8" s="6"/>
      <c r="I8" s="135">
        <v>44651</v>
      </c>
      <c r="J8" s="135">
        <v>44742</v>
      </c>
      <c r="K8" s="135">
        <v>44834</v>
      </c>
      <c r="L8" s="135">
        <v>44926</v>
      </c>
      <c r="M8" s="135">
        <v>45016</v>
      </c>
      <c r="N8" s="135">
        <v>45107</v>
      </c>
      <c r="O8" s="135">
        <v>45199</v>
      </c>
      <c r="P8" s="135">
        <v>45291</v>
      </c>
      <c r="Q8" s="135">
        <v>45382</v>
      </c>
      <c r="R8" s="135">
        <v>45473</v>
      </c>
      <c r="S8" s="135">
        <v>45565</v>
      </c>
      <c r="T8" s="135">
        <v>45657</v>
      </c>
      <c r="U8" s="152"/>
      <c r="V8" s="16">
        <f>O8</f>
        <v>45199</v>
      </c>
      <c r="W8" s="16">
        <f>T8</f>
        <v>45657</v>
      </c>
      <c r="X8" s="17"/>
      <c r="Y8" s="186"/>
      <c r="Z8" s="6"/>
      <c r="AA8" s="6"/>
      <c r="AB8" s="6"/>
    </row>
    <row r="9" spans="1:28">
      <c r="A9" s="6"/>
      <c r="B9" s="2" t="s">
        <v>7</v>
      </c>
      <c r="C9" s="136">
        <f>'Base Financials '!C10</f>
        <v>23531</v>
      </c>
      <c r="D9" s="136">
        <f>'Base Financials '!D10</f>
        <v>33566</v>
      </c>
      <c r="E9" s="136">
        <f>'Base Financials '!E10</f>
        <v>44200</v>
      </c>
      <c r="F9" s="136">
        <f>'Base Financials '!F10</f>
        <v>35820</v>
      </c>
      <c r="G9" s="136">
        <f>'Base Financials '!G10</f>
        <v>38962</v>
      </c>
      <c r="H9" s="136">
        <f>'Base Financials '!H10</f>
        <v>0</v>
      </c>
      <c r="I9" s="136">
        <f>'Base Financials '!I10</f>
        <v>10705</v>
      </c>
      <c r="J9" s="136">
        <f>'Base Financials '!J10</f>
        <v>11164</v>
      </c>
      <c r="K9" s="136">
        <f>'Base Financials '!K10</f>
        <v>10936</v>
      </c>
      <c r="L9" s="136">
        <f>'Base Financials '!L10</f>
        <v>11395</v>
      </c>
      <c r="M9" s="136">
        <f>'Base Financials '!M10</f>
        <v>9463</v>
      </c>
      <c r="N9" s="136">
        <f>'Base Financials '!N10</f>
        <v>9275</v>
      </c>
      <c r="O9" s="136">
        <f>'Base Financials '!O10</f>
        <v>8451</v>
      </c>
      <c r="P9" s="136">
        <f>'Base Financials '!P10</f>
        <v>8631</v>
      </c>
      <c r="Q9" s="136">
        <f>'Base Financials '!Q10</f>
        <v>9935</v>
      </c>
      <c r="R9" s="136">
        <f>'Base Financials '!R10</f>
        <v>9389</v>
      </c>
      <c r="S9" s="136">
        <f>'Base Financials '!S10</f>
        <v>9393</v>
      </c>
      <c r="T9" s="136">
        <f>'Base Financials '!T10</f>
        <v>10245</v>
      </c>
      <c r="U9" s="6"/>
      <c r="V9" s="23">
        <f t="shared" ref="V9:V10" si="0">SUM(M9:P9)</f>
        <v>35820</v>
      </c>
      <c r="W9" s="23">
        <f t="shared" ref="W9:W10" si="1">SUM(Q9:T9)</f>
        <v>38962</v>
      </c>
      <c r="X9" s="17"/>
      <c r="Y9" s="25">
        <f t="shared" ref="Y9:Y11" si="2">SUM(W9/V9)-1</f>
        <v>8.7716359575656044E-2</v>
      </c>
      <c r="Z9" s="6"/>
      <c r="AA9" s="6"/>
      <c r="AB9" s="6"/>
    </row>
    <row r="10" spans="1:28">
      <c r="A10" s="6"/>
      <c r="B10" s="2" t="s">
        <v>8</v>
      </c>
      <c r="C10" s="136">
        <f>'Base Financials '!C13</f>
        <v>-9255</v>
      </c>
      <c r="D10" s="136">
        <f>'Base Financials '!D13</f>
        <v>-14262</v>
      </c>
      <c r="E10" s="136">
        <f>'Base Financials '!E13</f>
        <v>-18635</v>
      </c>
      <c r="F10" s="136">
        <f>'Base Financials '!F13</f>
        <v>-15869</v>
      </c>
      <c r="G10" s="136">
        <f>'Base Financials '!G13</f>
        <v>-17060</v>
      </c>
      <c r="H10" s="136">
        <f>'Base Financials '!H13</f>
        <v>0</v>
      </c>
      <c r="I10" s="136">
        <f>'Base Financials '!I13</f>
        <v>-4303</v>
      </c>
      <c r="J10" s="136">
        <f>'Base Financials '!J13</f>
        <v>-4648</v>
      </c>
      <c r="K10" s="136">
        <f>'Base Financials '!K13</f>
        <v>-4816</v>
      </c>
      <c r="L10" s="136">
        <f>'Base Financials '!L13</f>
        <v>-4868</v>
      </c>
      <c r="M10" s="136">
        <f>'Base Financials '!M13</f>
        <v>-4044</v>
      </c>
      <c r="N10" s="136">
        <f>'Base Financials '!N13</f>
        <v>-4153</v>
      </c>
      <c r="O10" s="136">
        <f>'Base Financials '!O13</f>
        <v>-3792</v>
      </c>
      <c r="P10" s="136">
        <f>'Base Financials '!P13</f>
        <v>-3880</v>
      </c>
      <c r="Q10" s="136">
        <f>'Base Financials '!Q13</f>
        <v>-4312</v>
      </c>
      <c r="R10" s="136">
        <f>'Base Financials '!R13</f>
        <v>-4106</v>
      </c>
      <c r="S10" s="136">
        <f>'Base Financials '!S13</f>
        <v>-4174</v>
      </c>
      <c r="T10" s="136">
        <f>'Base Financials '!T13</f>
        <v>-4468</v>
      </c>
      <c r="U10" s="6"/>
      <c r="V10" s="23">
        <f t="shared" si="0"/>
        <v>-15869</v>
      </c>
      <c r="W10" s="23">
        <f t="shared" si="1"/>
        <v>-17060</v>
      </c>
      <c r="X10" s="17"/>
      <c r="Y10" s="25">
        <f t="shared" si="2"/>
        <v>7.5051988153002736E-2</v>
      </c>
      <c r="Z10" s="6"/>
      <c r="AA10" s="6"/>
      <c r="AB10" s="6"/>
    </row>
    <row r="11" spans="1:28">
      <c r="A11" s="6"/>
      <c r="B11" s="41" t="s">
        <v>23</v>
      </c>
      <c r="C11" s="28">
        <f>SUM(C9:C10)</f>
        <v>14276</v>
      </c>
      <c r="D11" s="28">
        <f>SUM(D9:D10)</f>
        <v>19304</v>
      </c>
      <c r="E11" s="28">
        <f>SUM(E9:E10)</f>
        <v>25565</v>
      </c>
      <c r="F11" s="28">
        <f t="shared" ref="F11:G11" si="3">SUM(F9:F10)</f>
        <v>19951</v>
      </c>
      <c r="G11" s="28">
        <f t="shared" si="3"/>
        <v>21902</v>
      </c>
      <c r="H11" s="21"/>
      <c r="I11" s="28">
        <f t="shared" ref="I11:R11" si="4">SUM(I9:I10)</f>
        <v>6402</v>
      </c>
      <c r="J11" s="28">
        <f t="shared" si="4"/>
        <v>6516</v>
      </c>
      <c r="K11" s="28">
        <f t="shared" si="4"/>
        <v>6120</v>
      </c>
      <c r="L11" s="28">
        <f t="shared" si="4"/>
        <v>6527</v>
      </c>
      <c r="M11" s="28">
        <f t="shared" si="4"/>
        <v>5419</v>
      </c>
      <c r="N11" s="28">
        <f t="shared" si="4"/>
        <v>5122</v>
      </c>
      <c r="O11" s="28">
        <f t="shared" si="4"/>
        <v>4659</v>
      </c>
      <c r="P11" s="28">
        <f t="shared" si="4"/>
        <v>4751</v>
      </c>
      <c r="Q11" s="28">
        <f t="shared" si="4"/>
        <v>5623</v>
      </c>
      <c r="R11" s="28">
        <f t="shared" si="4"/>
        <v>5283</v>
      </c>
      <c r="S11" s="28">
        <f t="shared" ref="S11:T11" si="5">SUM(S9:S10)</f>
        <v>5219</v>
      </c>
      <c r="T11" s="28">
        <f t="shared" si="5"/>
        <v>5777</v>
      </c>
      <c r="U11" s="6"/>
      <c r="V11" s="28">
        <f t="shared" ref="V11:W11" si="6">SUM(V9:V10)</f>
        <v>19951</v>
      </c>
      <c r="W11" s="28">
        <f t="shared" si="6"/>
        <v>21902</v>
      </c>
      <c r="X11" s="17"/>
      <c r="Y11" s="30">
        <f t="shared" si="2"/>
        <v>9.778958448198094E-2</v>
      </c>
      <c r="Z11" s="6"/>
      <c r="AA11" s="6"/>
      <c r="AB11" s="6"/>
    </row>
    <row r="12" spans="1:28" ht="15.75">
      <c r="A12" s="6"/>
      <c r="B12" s="38"/>
      <c r="C12" s="136"/>
      <c r="D12" s="136"/>
      <c r="E12" s="136"/>
      <c r="F12" s="136"/>
      <c r="G12" s="136"/>
      <c r="H12" s="21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6"/>
      <c r="V12" s="136"/>
      <c r="W12" s="136"/>
      <c r="X12" s="17"/>
      <c r="Y12" s="137"/>
      <c r="Z12" s="6"/>
      <c r="AA12" s="6"/>
      <c r="AB12" s="6"/>
    </row>
    <row r="13" spans="1:28">
      <c r="B13" s="38" t="s">
        <v>27</v>
      </c>
      <c r="C13" s="17"/>
      <c r="D13" s="17"/>
      <c r="E13" s="17"/>
      <c r="F13" s="17"/>
      <c r="G13" s="17"/>
      <c r="H13" s="6"/>
      <c r="I13" s="19"/>
      <c r="J13" s="138"/>
      <c r="K13" s="138"/>
      <c r="L13" s="33"/>
      <c r="M13" s="33"/>
      <c r="N13" s="33"/>
      <c r="O13" s="33"/>
      <c r="P13" s="33"/>
      <c r="Q13" s="33"/>
      <c r="R13" s="33"/>
      <c r="S13" s="33"/>
      <c r="T13" s="33"/>
      <c r="U13" s="6"/>
      <c r="V13" s="19"/>
      <c r="W13" s="19"/>
    </row>
    <row r="14" spans="1:28">
      <c r="B14" s="26" t="str">
        <f>'Base Financials '!B19</f>
        <v>Research and development</v>
      </c>
      <c r="C14" s="136">
        <f>'Base Financials '!C19</f>
        <v>-5975</v>
      </c>
      <c r="D14" s="136">
        <f>'Base Financials '!D19</f>
        <v>-7176</v>
      </c>
      <c r="E14" s="136">
        <f>'Base Financials '!E19</f>
        <v>-8194</v>
      </c>
      <c r="F14" s="136">
        <f>'Base Financials '!F19</f>
        <v>-8818</v>
      </c>
      <c r="G14" s="136">
        <f>'Base Financials '!G19</f>
        <v>-8893</v>
      </c>
      <c r="H14" s="136">
        <f>'Base Financials '!H19</f>
        <v>0</v>
      </c>
      <c r="I14" s="136">
        <f>'Base Financials '!I19</f>
        <v>-1930</v>
      </c>
      <c r="J14" s="136">
        <f>'Base Financials '!J19</f>
        <v>-2034</v>
      </c>
      <c r="K14" s="136">
        <f>'Base Financials '!K19</f>
        <v>-2052</v>
      </c>
      <c r="L14" s="136">
        <f>'Base Financials '!L19</f>
        <v>-2178</v>
      </c>
      <c r="M14" s="136">
        <f>'Base Financials '!M19</f>
        <v>-2251</v>
      </c>
      <c r="N14" s="136">
        <f>'Base Financials '!N19</f>
        <v>-2210</v>
      </c>
      <c r="O14" s="136">
        <f>'Base Financials '!O19</f>
        <v>-2222</v>
      </c>
      <c r="P14" s="136">
        <f>'Base Financials '!P19</f>
        <v>-2135</v>
      </c>
      <c r="Q14" s="136">
        <f>'Base Financials '!Q19</f>
        <v>-2096</v>
      </c>
      <c r="R14" s="136">
        <f>'Base Financials '!R19</f>
        <v>-2236</v>
      </c>
      <c r="S14" s="136">
        <f>'Base Financials '!S19</f>
        <v>-2259</v>
      </c>
      <c r="T14" s="136">
        <f>'Base Financials '!T19</f>
        <v>-2302</v>
      </c>
      <c r="U14" s="6"/>
      <c r="V14" s="23">
        <f t="shared" ref="V14:V16" si="7">SUM(M14:P14)</f>
        <v>-8818</v>
      </c>
      <c r="W14" s="23">
        <f t="shared" ref="W14:W16" si="8">SUM(Q14:T14)</f>
        <v>-8893</v>
      </c>
      <c r="Y14" s="25">
        <f t="shared" ref="Y14:Y17" si="9">SUM(W14/V14)-1</f>
        <v>8.5053300068043125E-3</v>
      </c>
    </row>
    <row r="15" spans="1:28">
      <c r="B15" s="26" t="str">
        <f>'Base Financials '!B20</f>
        <v>Selling, general and administrative</v>
      </c>
      <c r="C15" s="136">
        <f>'Base Financials '!C20</f>
        <v>-2074</v>
      </c>
      <c r="D15" s="136">
        <f>'Base Financials '!D20</f>
        <v>-2339</v>
      </c>
      <c r="E15" s="136">
        <f>'Base Financials '!E20</f>
        <v>-2570</v>
      </c>
      <c r="F15" s="136">
        <f>'Base Financials '!F20</f>
        <v>-2483</v>
      </c>
      <c r="G15" s="136">
        <f>'Base Financials '!G20</f>
        <v>-2759</v>
      </c>
      <c r="H15" s="136">
        <f>'Base Financials '!H20</f>
        <v>0</v>
      </c>
      <c r="I15" s="136">
        <f>'Base Financials '!I20</f>
        <v>-608</v>
      </c>
      <c r="J15" s="136">
        <f>'Base Financials '!J20</f>
        <v>-624</v>
      </c>
      <c r="K15" s="136">
        <f>'Base Financials '!K20</f>
        <v>-655</v>
      </c>
      <c r="L15" s="136">
        <f>'Base Financials '!L20</f>
        <v>-683</v>
      </c>
      <c r="M15" s="136">
        <f>'Base Financials '!M20</f>
        <v>-623</v>
      </c>
      <c r="N15" s="136">
        <f>'Base Financials '!N20</f>
        <v>-614</v>
      </c>
      <c r="O15" s="136">
        <f>'Base Financials '!O20</f>
        <v>-618</v>
      </c>
      <c r="P15" s="136">
        <f>'Base Financials '!P20</f>
        <v>-628</v>
      </c>
      <c r="Q15" s="136">
        <f>'Base Financials '!Q20</f>
        <v>-627</v>
      </c>
      <c r="R15" s="136">
        <f>'Base Financials '!R20</f>
        <v>-707</v>
      </c>
      <c r="S15" s="136">
        <f>'Base Financials '!S20</f>
        <v>-664</v>
      </c>
      <c r="T15" s="136">
        <f>'Base Financials '!T20</f>
        <v>-761</v>
      </c>
      <c r="U15" s="6"/>
      <c r="V15" s="23">
        <f t="shared" si="7"/>
        <v>-2483</v>
      </c>
      <c r="W15" s="23">
        <f t="shared" si="8"/>
        <v>-2759</v>
      </c>
      <c r="Y15" s="25">
        <f t="shared" si="9"/>
        <v>0.1111558598469593</v>
      </c>
    </row>
    <row r="16" spans="1:28">
      <c r="B16" s="26" t="str">
        <f>'Base Financials '!B21</f>
        <v>Other Expenses</v>
      </c>
      <c r="C16" s="136">
        <f>'Base Financials '!C21</f>
        <v>28</v>
      </c>
      <c r="D16" s="136">
        <f>'Base Financials '!D21</f>
        <v>0</v>
      </c>
      <c r="E16" s="136">
        <f>'Base Financials '!E21</f>
        <v>1059</v>
      </c>
      <c r="F16" s="136">
        <f>'Base Financials '!F21</f>
        <v>-862</v>
      </c>
      <c r="G16" s="136">
        <f>'Base Financials '!G21</f>
        <v>-179</v>
      </c>
      <c r="H16" s="136">
        <f>'Base Financials '!H21</f>
        <v>0</v>
      </c>
      <c r="I16" s="136">
        <f>'Base Financials '!I21</f>
        <v>0</v>
      </c>
      <c r="J16" s="136">
        <f>'Base Financials '!J21</f>
        <v>0</v>
      </c>
      <c r="K16" s="136">
        <f>'Base Financials '!K21</f>
        <v>1059</v>
      </c>
      <c r="L16" s="136">
        <f>'Base Financials '!L21</f>
        <v>0</v>
      </c>
      <c r="M16" s="136">
        <f>'Base Financials '!M21</f>
        <v>-80</v>
      </c>
      <c r="N16" s="136">
        <f>'Base Financials '!N21</f>
        <v>-208</v>
      </c>
      <c r="O16" s="136">
        <f>'Base Financials '!O21</f>
        <v>4</v>
      </c>
      <c r="P16" s="136">
        <f>'Base Financials '!P21</f>
        <v>-578</v>
      </c>
      <c r="Q16" s="136">
        <f>'Base Financials '!Q21</f>
        <v>28</v>
      </c>
      <c r="R16" s="136">
        <f>'Base Financials '!R21</f>
        <v>0</v>
      </c>
      <c r="S16" s="136">
        <f>'Base Financials '!S21</f>
        <v>-75</v>
      </c>
      <c r="T16" s="136">
        <f>'Base Financials '!T21</f>
        <v>-132</v>
      </c>
      <c r="U16" s="6"/>
      <c r="V16" s="23">
        <f t="shared" si="7"/>
        <v>-862</v>
      </c>
      <c r="W16" s="23">
        <f t="shared" si="8"/>
        <v>-179</v>
      </c>
      <c r="Y16" s="25">
        <f t="shared" si="9"/>
        <v>-0.79234338747099764</v>
      </c>
    </row>
    <row r="17" spans="2:25">
      <c r="B17" s="41" t="s">
        <v>28</v>
      </c>
      <c r="C17" s="28">
        <f>SUM(C11+SUM((C14:C16)))</f>
        <v>6255</v>
      </c>
      <c r="D17" s="28">
        <f>SUM(D11+SUM((D14:D16)))</f>
        <v>9789</v>
      </c>
      <c r="E17" s="28">
        <f>SUM(E11+SUM((E14:E16)))</f>
        <v>15860</v>
      </c>
      <c r="F17" s="28">
        <f>SUM(F11+SUM((F14:F16)))</f>
        <v>7788</v>
      </c>
      <c r="G17" s="28">
        <f>SUM(G11+SUM((G14:G16)))</f>
        <v>10071</v>
      </c>
      <c r="H17" s="21"/>
      <c r="I17" s="28">
        <f>SUM(I11+SUM((I14:I16)))</f>
        <v>3864</v>
      </c>
      <c r="J17" s="28">
        <f>SUM(J11+SUM((J14:J16)))</f>
        <v>3858</v>
      </c>
      <c r="K17" s="28">
        <f>SUM(K11+SUM((K14:K16)))</f>
        <v>4472</v>
      </c>
      <c r="L17" s="28">
        <f>SUM(L11+SUM((L14:L16)))</f>
        <v>3666</v>
      </c>
      <c r="M17" s="28">
        <f>SUM(M11+SUM((M14:M16)))</f>
        <v>2465</v>
      </c>
      <c r="N17" s="28">
        <f>SUM(N11+SUM((N14:N16)))</f>
        <v>2090</v>
      </c>
      <c r="O17" s="28">
        <f>SUM(O11+SUM((O14:O16)))</f>
        <v>1823</v>
      </c>
      <c r="P17" s="28">
        <f>SUM(P11+SUM((P14:P16)))</f>
        <v>1410</v>
      </c>
      <c r="Q17" s="28">
        <f>SUM(Q11+SUM((Q14:Q16)))</f>
        <v>2928</v>
      </c>
      <c r="R17" s="28">
        <f>SUM(R11+SUM((R14:R16)))</f>
        <v>2340</v>
      </c>
      <c r="S17" s="28">
        <f>SUM(S11+SUM((S14:S16)))</f>
        <v>2221</v>
      </c>
      <c r="T17" s="28">
        <f>SUM(T11+SUM((T14:T16)))</f>
        <v>2582</v>
      </c>
      <c r="U17" s="6"/>
      <c r="V17" s="28">
        <f>SUM(V11+SUM((V14:V16)))</f>
        <v>7788</v>
      </c>
      <c r="W17" s="28">
        <f>SUM(W11+SUM((W14:W16)))</f>
        <v>10071</v>
      </c>
      <c r="Y17" s="30">
        <f t="shared" si="9"/>
        <v>0.29314329738058542</v>
      </c>
    </row>
    <row r="18" spans="2:25">
      <c r="B18" s="31" t="s">
        <v>24</v>
      </c>
      <c r="C18" s="32"/>
      <c r="D18" s="32"/>
      <c r="E18" s="32"/>
      <c r="F18" s="33">
        <f>F17/E17-1</f>
        <v>-0.50895334174022699</v>
      </c>
      <c r="G18" s="33">
        <f>G17/F17-1</f>
        <v>0.29314329738058542</v>
      </c>
      <c r="H18" s="33"/>
      <c r="I18" s="33"/>
      <c r="J18" s="33">
        <f t="shared" ref="J18:R18" si="10">J17/I17-1</f>
        <v>-1.5527950310558758E-3</v>
      </c>
      <c r="K18" s="33">
        <f t="shared" si="10"/>
        <v>0.1591498185588387</v>
      </c>
      <c r="L18" s="33">
        <f t="shared" si="10"/>
        <v>-0.18023255813953487</v>
      </c>
      <c r="M18" s="33">
        <f t="shared" si="10"/>
        <v>-0.32760501909438078</v>
      </c>
      <c r="N18" s="33">
        <f t="shared" si="10"/>
        <v>-0.15212981744421905</v>
      </c>
      <c r="O18" s="33">
        <f t="shared" si="10"/>
        <v>-0.12775119617224884</v>
      </c>
      <c r="P18" s="33">
        <f>P17/O17-1</f>
        <v>-0.22654964344487105</v>
      </c>
      <c r="Q18" s="33">
        <f t="shared" si="10"/>
        <v>1.076595744680851</v>
      </c>
      <c r="R18" s="33">
        <f t="shared" si="10"/>
        <v>-0.20081967213114749</v>
      </c>
      <c r="S18" s="33">
        <f>S17/Q17-1</f>
        <v>-0.24146174863387981</v>
      </c>
      <c r="T18" s="33">
        <f>T17/R17-1</f>
        <v>0.1034188034188035</v>
      </c>
      <c r="U18" s="6"/>
      <c r="V18" s="6"/>
      <c r="W18" s="33">
        <f>W17/V17-1</f>
        <v>0.29314329738058542</v>
      </c>
    </row>
    <row r="19" spans="2:25">
      <c r="B19" s="38" t="s">
        <v>10</v>
      </c>
    </row>
    <row r="20" spans="2:25">
      <c r="B20" s="26" t="str">
        <f>'Base Financials '!B27</f>
        <v>Interest expense</v>
      </c>
      <c r="C20" s="136">
        <f>'Base Financials '!C27</f>
        <v>-602</v>
      </c>
      <c r="D20" s="136">
        <f>'Base Financials '!D27</f>
        <v>-559</v>
      </c>
      <c r="E20" s="136">
        <f>'Base Financials '!E27</f>
        <v>-490</v>
      </c>
      <c r="F20" s="136">
        <f>'Base Financials '!F27</f>
        <v>-694</v>
      </c>
      <c r="G20" s="136">
        <f>'Base Financials '!G27</f>
        <v>-697</v>
      </c>
      <c r="H20" s="136">
        <f>'Base Financials '!H27</f>
        <v>0</v>
      </c>
      <c r="I20" s="136">
        <f>'Base Financials '!I27</f>
        <v>-139</v>
      </c>
      <c r="J20" s="136">
        <f>'Base Financials '!J27</f>
        <v>-137</v>
      </c>
      <c r="K20" s="136">
        <f>'Base Financials '!K27</f>
        <v>-70</v>
      </c>
      <c r="L20" s="136">
        <f>'Base Financials '!L27</f>
        <v>-144</v>
      </c>
      <c r="M20" s="136">
        <f>'Base Financials '!M27</f>
        <v>-170</v>
      </c>
      <c r="N20" s="136">
        <f>'Base Financials '!N27</f>
        <v>-179</v>
      </c>
      <c r="O20" s="136">
        <f>'Base Financials '!O27</f>
        <v>-172</v>
      </c>
      <c r="P20" s="136">
        <f>'Base Financials '!P27</f>
        <v>-173</v>
      </c>
      <c r="Q20" s="136">
        <f>'Base Financials '!Q27</f>
        <v>-178</v>
      </c>
      <c r="R20" s="136">
        <f>'Base Financials '!R27</f>
        <v>-172</v>
      </c>
      <c r="S20" s="136">
        <f>'Base Financials '!S27</f>
        <v>-168</v>
      </c>
      <c r="T20" s="136">
        <f>'Base Financials '!T27</f>
        <v>-179</v>
      </c>
      <c r="U20" s="6"/>
      <c r="V20" s="23">
        <f t="shared" ref="V20:V22" si="11">SUM(M20:P20)</f>
        <v>-694</v>
      </c>
      <c r="W20" s="23">
        <f t="shared" ref="W20:W22" si="12">SUM(Q20:T20)</f>
        <v>-697</v>
      </c>
      <c r="Y20" s="25">
        <f t="shared" ref="Y20:Y22" si="13">SUM(W20/V20)-1</f>
        <v>4.3227665706051521E-3</v>
      </c>
    </row>
    <row r="21" spans="2:25">
      <c r="B21" s="26" t="str">
        <f>'Base Financials '!B28</f>
        <v>Interest and dividend income</v>
      </c>
      <c r="C21" s="136">
        <f>'Base Financials '!C28</f>
        <v>156</v>
      </c>
      <c r="D21" s="136">
        <f>'Base Financials '!D28</f>
        <v>83</v>
      </c>
      <c r="E21" s="136">
        <f>'Base Financials '!E28</f>
        <v>91</v>
      </c>
      <c r="F21" s="136">
        <f>'Base Financials '!F28</f>
        <v>313</v>
      </c>
      <c r="G21" s="136">
        <f>'Base Financials '!G28</f>
        <v>675</v>
      </c>
      <c r="H21" s="136">
        <f>'Base Financials '!H28</f>
        <v>0</v>
      </c>
      <c r="I21" s="136">
        <f>'Base Financials '!I28</f>
        <v>17</v>
      </c>
      <c r="J21" s="136">
        <f>'Base Financials '!J28</f>
        <v>20</v>
      </c>
      <c r="K21" s="136">
        <f>'Base Financials '!K28</f>
        <v>22</v>
      </c>
      <c r="L21" s="136">
        <f>'Base Financials '!L28</f>
        <v>32</v>
      </c>
      <c r="M21" s="136">
        <f>'Base Financials '!M28</f>
        <v>55</v>
      </c>
      <c r="N21" s="136">
        <f>'Base Financials '!N28</f>
        <v>59</v>
      </c>
      <c r="O21" s="136">
        <f>'Base Financials '!O28</f>
        <v>79</v>
      </c>
      <c r="P21" s="136">
        <f>'Base Financials '!P28</f>
        <v>120</v>
      </c>
      <c r="Q21" s="136">
        <f>'Base Financials '!Q28</f>
        <v>149</v>
      </c>
      <c r="R21" s="136">
        <f>'Base Financials '!R28</f>
        <v>160</v>
      </c>
      <c r="S21" s="136">
        <f>'Base Financials '!S28</f>
        <v>182</v>
      </c>
      <c r="T21" s="136">
        <f>'Base Financials '!T28</f>
        <v>184</v>
      </c>
      <c r="U21" s="6"/>
      <c r="V21" s="23">
        <f t="shared" si="11"/>
        <v>313</v>
      </c>
      <c r="W21" s="23">
        <f t="shared" si="12"/>
        <v>675</v>
      </c>
      <c r="Y21" s="25"/>
    </row>
    <row r="22" spans="2:25">
      <c r="B22" s="26" t="str">
        <f>'Base Financials '!B29</f>
        <v>Investment and other income (expense), net</v>
      </c>
      <c r="C22" s="136">
        <f>'Base Financials '!C29</f>
        <v>-90</v>
      </c>
      <c r="D22" s="136">
        <f>'Base Financials '!D29</f>
        <v>961</v>
      </c>
      <c r="E22" s="136">
        <f>'Base Financials '!E29</f>
        <v>-463</v>
      </c>
      <c r="F22" s="136">
        <f>'Base Financials '!F29</f>
        <v>36</v>
      </c>
      <c r="G22" s="136">
        <f>'Base Financials '!G29</f>
        <v>287</v>
      </c>
      <c r="H22" s="136">
        <f>'Base Financials '!H29</f>
        <v>0</v>
      </c>
      <c r="I22" s="136">
        <f>'Base Financials '!I29</f>
        <v>123</v>
      </c>
      <c r="J22" s="136">
        <f>'Base Financials '!J29</f>
        <v>-318</v>
      </c>
      <c r="K22" s="136">
        <f>'Base Financials '!K29</f>
        <v>-185</v>
      </c>
      <c r="L22" s="136">
        <f>'Base Financials '!L29</f>
        <v>-83</v>
      </c>
      <c r="M22" s="136">
        <f>'Base Financials '!M29</f>
        <v>21</v>
      </c>
      <c r="N22" s="136">
        <f>'Base Financials '!N29</f>
        <v>-75</v>
      </c>
      <c r="O22" s="136">
        <f>'Base Financials '!O29</f>
        <v>27</v>
      </c>
      <c r="P22" s="136">
        <f>'Base Financials '!P29</f>
        <v>63</v>
      </c>
      <c r="Q22" s="136">
        <f>'Base Financials '!Q29</f>
        <v>63</v>
      </c>
      <c r="R22" s="136">
        <f>'Base Financials '!R29</f>
        <v>170</v>
      </c>
      <c r="S22" s="136">
        <f>'Base Financials '!S29</f>
        <v>44</v>
      </c>
      <c r="T22" s="136">
        <f>'Base Financials '!T29</f>
        <v>10</v>
      </c>
      <c r="U22" s="6"/>
      <c r="V22" s="23">
        <f t="shared" si="11"/>
        <v>36</v>
      </c>
      <c r="W22" s="23">
        <f t="shared" si="12"/>
        <v>287</v>
      </c>
      <c r="Y22" s="25">
        <f t="shared" si="13"/>
        <v>6.9722222222222223</v>
      </c>
    </row>
    <row r="23" spans="2:25">
      <c r="B23" s="41" t="s">
        <v>52</v>
      </c>
      <c r="C23" s="28">
        <f>SUM(C17+SUM(C20:C22))</f>
        <v>5719</v>
      </c>
      <c r="D23" s="28">
        <f>SUM(D17+SUM(D20:D22))</f>
        <v>10274</v>
      </c>
      <c r="E23" s="28">
        <f>SUM(E17+SUM(E20:E22))</f>
        <v>14998</v>
      </c>
      <c r="F23" s="28">
        <f>SUM(F17+SUM(F20:F22))</f>
        <v>7443</v>
      </c>
      <c r="G23" s="28">
        <f>SUM(G17+SUM(G20:G22))</f>
        <v>10336</v>
      </c>
      <c r="H23" s="6"/>
      <c r="I23" s="28">
        <f t="shared" ref="I23:T23" si="14">SUM(I17+SUM(I20:I22))</f>
        <v>3865</v>
      </c>
      <c r="J23" s="28">
        <f t="shared" si="14"/>
        <v>3423</v>
      </c>
      <c r="K23" s="28">
        <f t="shared" si="14"/>
        <v>4239</v>
      </c>
      <c r="L23" s="28">
        <f t="shared" si="14"/>
        <v>3471</v>
      </c>
      <c r="M23" s="28">
        <f t="shared" si="14"/>
        <v>2371</v>
      </c>
      <c r="N23" s="28">
        <f t="shared" si="14"/>
        <v>1895</v>
      </c>
      <c r="O23" s="28">
        <f t="shared" si="14"/>
        <v>1757</v>
      </c>
      <c r="P23" s="28">
        <f t="shared" si="14"/>
        <v>1420</v>
      </c>
      <c r="Q23" s="28">
        <f t="shared" si="14"/>
        <v>2962</v>
      </c>
      <c r="R23" s="28">
        <f t="shared" si="14"/>
        <v>2498</v>
      </c>
      <c r="S23" s="28">
        <f t="shared" ref="S23" si="15">SUM(S17+SUM(S20:S22))</f>
        <v>2279</v>
      </c>
      <c r="T23" s="28">
        <f t="shared" si="14"/>
        <v>2597</v>
      </c>
      <c r="U23" s="6"/>
      <c r="V23" s="28">
        <f>SUM(V17+SUM(V20:V22))</f>
        <v>7443</v>
      </c>
      <c r="W23" s="28">
        <f>SUM(W17+SUM(W20:W22))</f>
        <v>10336</v>
      </c>
      <c r="Y23" s="30">
        <f t="shared" ref="Y23" si="16">SUM(W23/V23)-1</f>
        <v>0.38868735724842129</v>
      </c>
    </row>
    <row r="24" spans="2:25">
      <c r="B24" s="31" t="s">
        <v>24</v>
      </c>
      <c r="C24" s="42"/>
      <c r="D24" s="42"/>
      <c r="E24" s="42"/>
      <c r="F24" s="33">
        <f>F23/E23-1</f>
        <v>-0.50373383117749038</v>
      </c>
      <c r="G24" s="33">
        <f>G23/F23-1</f>
        <v>0.38868735724842129</v>
      </c>
      <c r="H24" s="33"/>
      <c r="I24" s="33"/>
      <c r="J24" s="33">
        <f t="shared" ref="J24:R24" si="17">J23/I23-1</f>
        <v>-0.11435963777490299</v>
      </c>
      <c r="K24" s="33">
        <f t="shared" si="17"/>
        <v>0.23838737949167399</v>
      </c>
      <c r="L24" s="33">
        <f t="shared" si="17"/>
        <v>-0.18117480537862707</v>
      </c>
      <c r="M24" s="33">
        <f t="shared" si="17"/>
        <v>-0.31691155286660899</v>
      </c>
      <c r="N24" s="33">
        <f t="shared" si="17"/>
        <v>-0.20075917334458038</v>
      </c>
      <c r="O24" s="33">
        <f t="shared" si="17"/>
        <v>-7.2823218997361439E-2</v>
      </c>
      <c r="P24" s="33">
        <f t="shared" si="17"/>
        <v>-0.19180421172453044</v>
      </c>
      <c r="Q24" s="33">
        <f t="shared" si="17"/>
        <v>1.0859154929577466</v>
      </c>
      <c r="R24" s="33">
        <f t="shared" si="17"/>
        <v>-0.15665091154625255</v>
      </c>
      <c r="S24" s="33">
        <f>S23/Q23-1</f>
        <v>-0.23058744091829841</v>
      </c>
      <c r="T24" s="33">
        <f>T23/R23-1</f>
        <v>3.9631705364291392E-2</v>
      </c>
      <c r="U24" s="6"/>
      <c r="V24" s="6"/>
      <c r="W24" s="33">
        <f>W23/V23-1</f>
        <v>0.38868735724842129</v>
      </c>
    </row>
    <row r="25" spans="2:25">
      <c r="B25" s="3" t="s">
        <v>53</v>
      </c>
      <c r="C25" s="42"/>
      <c r="D25" s="42"/>
      <c r="E25" s="42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6"/>
      <c r="V25" s="6"/>
      <c r="W25" s="33"/>
    </row>
    <row r="26" spans="2:25">
      <c r="B26" s="105" t="str">
        <f>'[1]3-Statement Model '!B101</f>
        <v>Depreciation and amortization</v>
      </c>
      <c r="C26" s="136">
        <f>'Base Financials '!C100</f>
        <v>1393</v>
      </c>
      <c r="D26" s="136">
        <f>'Base Financials '!D100</f>
        <v>1582</v>
      </c>
      <c r="E26" s="136">
        <f>'Base Financials '!E100</f>
        <v>1762</v>
      </c>
      <c r="F26" s="136">
        <f>'Base Financials '!F100</f>
        <v>1809</v>
      </c>
      <c r="G26" s="136">
        <f>'Base Financials '!G100</f>
        <v>1706</v>
      </c>
      <c r="H26" s="136">
        <f>'Base Financials '!H100</f>
        <v>0</v>
      </c>
      <c r="I26" s="136">
        <f>'Base Financials '!I100</f>
        <v>406</v>
      </c>
      <c r="J26" s="136">
        <f>'Base Financials '!J100</f>
        <v>428</v>
      </c>
      <c r="K26" s="136">
        <f>'Base Financials '!K100</f>
        <v>1272</v>
      </c>
      <c r="L26" s="136">
        <f>'Base Financials '!L100</f>
        <v>-344</v>
      </c>
      <c r="M26" s="136">
        <f>'Base Financials '!M100</f>
        <v>398</v>
      </c>
      <c r="N26" s="136">
        <f>'Base Financials '!N100</f>
        <v>470</v>
      </c>
      <c r="O26" s="136">
        <f>'Base Financials '!O100</f>
        <v>479</v>
      </c>
      <c r="P26" s="136">
        <f>'Base Financials '!P100</f>
        <v>462</v>
      </c>
      <c r="Q26" s="136">
        <f>'Base Financials '!Q100</f>
        <v>437</v>
      </c>
      <c r="R26" s="136">
        <f>'Base Financials '!R100</f>
        <v>411</v>
      </c>
      <c r="S26" s="136">
        <f>'Base Financials '!S100</f>
        <v>419</v>
      </c>
      <c r="T26" s="136">
        <f>'Base Financials '!T100</f>
        <v>439</v>
      </c>
      <c r="U26" s="6"/>
      <c r="V26" s="23">
        <f>SUM(M26:P26)</f>
        <v>1809</v>
      </c>
      <c r="W26" s="23">
        <f>SUM(Q26:T26)</f>
        <v>1706</v>
      </c>
      <c r="Y26" s="25">
        <f t="shared" ref="Y26:Y27" si="18">SUM(W26/V26)-1</f>
        <v>-5.6937534549474811E-2</v>
      </c>
    </row>
    <row r="27" spans="2:25">
      <c r="B27" s="45" t="s">
        <v>54</v>
      </c>
      <c r="C27" s="139">
        <f>SUM(C23+C26)</f>
        <v>7112</v>
      </c>
      <c r="D27" s="139">
        <f>SUM(D23+D26)</f>
        <v>11856</v>
      </c>
      <c r="E27" s="139">
        <f>SUM(E23+E26)</f>
        <v>16760</v>
      </c>
      <c r="F27" s="139">
        <f>SUM(F23+F26)</f>
        <v>9252</v>
      </c>
      <c r="G27" s="139">
        <f t="shared" ref="G27" si="19">SUM(G23+G26)</f>
        <v>12042</v>
      </c>
      <c r="I27" s="139">
        <f t="shared" ref="I27:S27" si="20">SUM(I23+I26)</f>
        <v>4271</v>
      </c>
      <c r="J27" s="139">
        <f t="shared" si="20"/>
        <v>3851</v>
      </c>
      <c r="K27" s="139">
        <f t="shared" si="20"/>
        <v>5511</v>
      </c>
      <c r="L27" s="139">
        <f t="shared" si="20"/>
        <v>3127</v>
      </c>
      <c r="M27" s="139">
        <f t="shared" si="20"/>
        <v>2769</v>
      </c>
      <c r="N27" s="139">
        <f t="shared" si="20"/>
        <v>2365</v>
      </c>
      <c r="O27" s="139">
        <f t="shared" si="20"/>
        <v>2236</v>
      </c>
      <c r="P27" s="139">
        <f t="shared" si="20"/>
        <v>1882</v>
      </c>
      <c r="Q27" s="139">
        <f t="shared" si="20"/>
        <v>3399</v>
      </c>
      <c r="R27" s="139">
        <f t="shared" si="20"/>
        <v>2909</v>
      </c>
      <c r="S27" s="139">
        <f t="shared" si="20"/>
        <v>2698</v>
      </c>
      <c r="T27" s="139">
        <f t="shared" ref="T27:W27" si="21">SUM(T23+T26)</f>
        <v>3036</v>
      </c>
      <c r="V27" s="139">
        <f t="shared" si="21"/>
        <v>9252</v>
      </c>
      <c r="W27" s="139">
        <f t="shared" si="21"/>
        <v>12042</v>
      </c>
      <c r="Y27" s="30">
        <f t="shared" si="18"/>
        <v>0.30155642023346307</v>
      </c>
    </row>
    <row r="28" spans="2:25">
      <c r="B28" s="31" t="s">
        <v>24</v>
      </c>
      <c r="C28" s="42"/>
      <c r="D28" s="42"/>
      <c r="E28" s="42"/>
      <c r="F28" s="33">
        <f>F27/E27-1</f>
        <v>-0.44797136038186158</v>
      </c>
      <c r="G28" s="33">
        <f>G27/F27-1</f>
        <v>0.30155642023346307</v>
      </c>
      <c r="H28" s="33"/>
      <c r="I28" s="33"/>
      <c r="J28" s="33">
        <f t="shared" ref="J28:R28" si="22">J27/I27-1</f>
        <v>-9.833762584874739E-2</v>
      </c>
      <c r="K28" s="33">
        <f t="shared" si="22"/>
        <v>0.43105686834588419</v>
      </c>
      <c r="L28" s="33">
        <f t="shared" si="22"/>
        <v>-0.43258936672110326</v>
      </c>
      <c r="M28" s="33">
        <f t="shared" si="22"/>
        <v>-0.11448672849376396</v>
      </c>
      <c r="N28" s="33">
        <f t="shared" si="22"/>
        <v>-0.14590104730949804</v>
      </c>
      <c r="O28" s="33">
        <f t="shared" si="22"/>
        <v>-5.4545454545454564E-2</v>
      </c>
      <c r="P28" s="33">
        <f t="shared" si="22"/>
        <v>-0.15831842576028621</v>
      </c>
      <c r="Q28" s="33">
        <f t="shared" si="22"/>
        <v>0.80605738575982988</v>
      </c>
      <c r="R28" s="33">
        <f t="shared" si="22"/>
        <v>-0.14416004707266838</v>
      </c>
      <c r="S28" s="33">
        <f>S27/Q27-1</f>
        <v>-0.20623712856722565</v>
      </c>
      <c r="T28" s="33">
        <f>T27/R27-1</f>
        <v>4.365761430044679E-2</v>
      </c>
      <c r="U28" s="6"/>
      <c r="V28" s="6"/>
      <c r="W28" s="33">
        <f>W27/V27-1</f>
        <v>0.30155642023346307</v>
      </c>
    </row>
    <row r="29" spans="2:25">
      <c r="B29" s="31" t="s">
        <v>55</v>
      </c>
      <c r="C29" s="33">
        <f>SUM(C27/C9)</f>
        <v>0.30223959882707918</v>
      </c>
      <c r="D29" s="33">
        <f>SUM(D27/D9)</f>
        <v>0.35321456235476373</v>
      </c>
      <c r="E29" s="33">
        <f>SUM(E27/E9)</f>
        <v>0.37918552036199094</v>
      </c>
      <c r="F29" s="33">
        <f>SUM(F27/F9)</f>
        <v>0.25829145728643216</v>
      </c>
      <c r="G29" s="33">
        <f>SUM(G27/G9)</f>
        <v>0.30907037626405215</v>
      </c>
      <c r="H29" s="33"/>
      <c r="I29" s="33">
        <f>SUM(I27/I9)</f>
        <v>0.39897244278374594</v>
      </c>
      <c r="J29" s="33">
        <f>SUM(J27/J9)</f>
        <v>0.34494804729487638</v>
      </c>
      <c r="K29" s="33">
        <f>SUM(K27/K9)</f>
        <v>0.50393196781272864</v>
      </c>
      <c r="L29" s="33">
        <f>SUM(L27/L9)</f>
        <v>0.2744186046511628</v>
      </c>
      <c r="M29" s="33">
        <f>SUM(M27/M9)</f>
        <v>0.29261333615132623</v>
      </c>
      <c r="N29" s="33">
        <f>SUM(N27/N9)</f>
        <v>0.25498652291105123</v>
      </c>
      <c r="O29" s="33">
        <f>SUM(O27/O9)</f>
        <v>0.26458407289078217</v>
      </c>
      <c r="P29" s="33">
        <f>SUM(P27/P9)</f>
        <v>0.21805121075194067</v>
      </c>
      <c r="Q29" s="33">
        <f>SUM(Q27/Q9)</f>
        <v>0.34212380473074988</v>
      </c>
      <c r="R29" s="33">
        <f>SUM(R27/R9)</f>
        <v>0.30983065289168177</v>
      </c>
      <c r="S29" s="33">
        <f>SUM(S27/S9)</f>
        <v>0.28723517513041624</v>
      </c>
      <c r="T29" s="33">
        <f>SUM(T27/T9)</f>
        <v>0.29633967789165444</v>
      </c>
      <c r="U29" s="6"/>
      <c r="V29" s="33">
        <f>SUM(V27/V9)</f>
        <v>0.25829145728643216</v>
      </c>
      <c r="W29" s="33">
        <f>SUM(W27/W9)</f>
        <v>0.30907037626405215</v>
      </c>
    </row>
    <row r="30" spans="2:25">
      <c r="B30" s="3" t="s">
        <v>56</v>
      </c>
      <c r="C30" s="42"/>
      <c r="D30" s="42"/>
      <c r="E30" s="42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6"/>
      <c r="V30" s="6"/>
      <c r="W30" s="33"/>
    </row>
    <row r="31" spans="2:25">
      <c r="B31" s="105" t="str">
        <f>'[1]3-Statement Model '!B102</f>
        <v>Stock-based compensation</v>
      </c>
      <c r="C31" s="136">
        <f>'Base Financials '!C103</f>
        <v>1212</v>
      </c>
      <c r="D31" s="136">
        <f>'Base Financials '!D103</f>
        <v>1663</v>
      </c>
      <c r="E31" s="136">
        <f>'Base Financials '!E103</f>
        <v>2031</v>
      </c>
      <c r="F31" s="136">
        <f>'Base Financials '!F103</f>
        <v>2484</v>
      </c>
      <c r="G31" s="136">
        <f>'Base Financials '!G103</f>
        <v>2648</v>
      </c>
      <c r="H31" s="136">
        <f>'Base Financials '!H103</f>
        <v>0</v>
      </c>
      <c r="I31" s="136">
        <f>'Base Financials '!I103</f>
        <v>496</v>
      </c>
      <c r="J31" s="136">
        <f>'Base Financials '!J103</f>
        <v>498</v>
      </c>
      <c r="K31" s="136">
        <f>'Base Financials '!K103</f>
        <v>1510</v>
      </c>
      <c r="L31" s="136">
        <f>'Base Financials '!L103</f>
        <v>-473</v>
      </c>
      <c r="M31" s="136">
        <f>'Base Financials '!M103</f>
        <v>634</v>
      </c>
      <c r="N31" s="136">
        <f>'Base Financials '!N103</f>
        <v>628</v>
      </c>
      <c r="O31" s="136">
        <f>'Base Financials '!O103</f>
        <v>614</v>
      </c>
      <c r="P31" s="136">
        <f>'Base Financials '!P103</f>
        <v>608</v>
      </c>
      <c r="Q31" s="136">
        <f>'Base Financials '!Q103</f>
        <v>602</v>
      </c>
      <c r="R31" s="136">
        <f>'Base Financials '!R103</f>
        <v>705</v>
      </c>
      <c r="S31" s="136">
        <f>'Base Financials '!S103</f>
        <v>644</v>
      </c>
      <c r="T31" s="136">
        <f>'Base Financials '!T103</f>
        <v>697</v>
      </c>
      <c r="V31" s="23">
        <f>SUM(M31:P31)</f>
        <v>2484</v>
      </c>
      <c r="W31" s="23">
        <f>SUM(Q31:T31)</f>
        <v>2648</v>
      </c>
      <c r="Y31" s="25">
        <f t="shared" ref="Y31" si="23">SUM(W31/V31)-1</f>
        <v>6.602254428341392E-2</v>
      </c>
    </row>
    <row r="32" spans="2:25">
      <c r="B32" s="45" t="s">
        <v>57</v>
      </c>
      <c r="C32" s="139">
        <f>SUM(C27+C31)</f>
        <v>8324</v>
      </c>
      <c r="D32" s="139">
        <f>SUM(D27+D31)</f>
        <v>13519</v>
      </c>
      <c r="E32" s="139">
        <f>SUM(E27+E31)</f>
        <v>18791</v>
      </c>
      <c r="F32" s="139">
        <f>SUM(F27+F31)</f>
        <v>11736</v>
      </c>
      <c r="G32" s="139">
        <f t="shared" ref="G32" si="24">SUM(G27+G31)</f>
        <v>14690</v>
      </c>
      <c r="I32" s="139">
        <f t="shared" ref="I32:S32" si="25">SUM(I27+I31)</f>
        <v>4767</v>
      </c>
      <c r="J32" s="139">
        <f t="shared" si="25"/>
        <v>4349</v>
      </c>
      <c r="K32" s="139">
        <f t="shared" si="25"/>
        <v>7021</v>
      </c>
      <c r="L32" s="139">
        <f t="shared" si="25"/>
        <v>2654</v>
      </c>
      <c r="M32" s="139">
        <f t="shared" si="25"/>
        <v>3403</v>
      </c>
      <c r="N32" s="139">
        <f t="shared" si="25"/>
        <v>2993</v>
      </c>
      <c r="O32" s="139">
        <f t="shared" si="25"/>
        <v>2850</v>
      </c>
      <c r="P32" s="139">
        <f t="shared" si="25"/>
        <v>2490</v>
      </c>
      <c r="Q32" s="139">
        <f t="shared" si="25"/>
        <v>4001</v>
      </c>
      <c r="R32" s="139">
        <f t="shared" si="25"/>
        <v>3614</v>
      </c>
      <c r="S32" s="139">
        <f t="shared" si="25"/>
        <v>3342</v>
      </c>
      <c r="T32" s="139">
        <f t="shared" ref="T32:W32" si="26">SUM(T27+T31)</f>
        <v>3733</v>
      </c>
      <c r="V32" s="139">
        <f t="shared" si="26"/>
        <v>11736</v>
      </c>
      <c r="W32" s="139">
        <f t="shared" si="26"/>
        <v>14690</v>
      </c>
      <c r="Y32" s="30">
        <f>SUM(W32/V32)-1</f>
        <v>0.25170415814587588</v>
      </c>
    </row>
    <row r="33" spans="2:23">
      <c r="B33" s="31" t="s">
        <v>24</v>
      </c>
      <c r="C33" s="42"/>
      <c r="D33" s="42"/>
      <c r="E33" s="42"/>
      <c r="F33" s="33">
        <f>F32/E32-1</f>
        <v>-0.37544569208663725</v>
      </c>
      <c r="G33" s="33">
        <f>G32/F32-1</f>
        <v>0.25170415814587588</v>
      </c>
      <c r="H33" s="33"/>
      <c r="I33" s="33"/>
      <c r="J33" s="33">
        <f t="shared" ref="J33:R33" si="27">J32/I32-1</f>
        <v>-8.7686175791902632E-2</v>
      </c>
      <c r="K33" s="33">
        <f t="shared" si="27"/>
        <v>0.61439411358933094</v>
      </c>
      <c r="L33" s="33">
        <f t="shared" si="27"/>
        <v>-0.6219911693490956</v>
      </c>
      <c r="M33" s="33">
        <f t="shared" si="27"/>
        <v>0.28221552373775438</v>
      </c>
      <c r="N33" s="33">
        <f t="shared" si="27"/>
        <v>-0.12048192771084343</v>
      </c>
      <c r="O33" s="33">
        <f t="shared" si="27"/>
        <v>-4.7778149014366833E-2</v>
      </c>
      <c r="P33" s="33">
        <f t="shared" si="27"/>
        <v>-0.12631578947368416</v>
      </c>
      <c r="Q33" s="33">
        <f t="shared" si="27"/>
        <v>0.60682730923694783</v>
      </c>
      <c r="R33" s="33">
        <f t="shared" si="27"/>
        <v>-9.6725818545363662E-2</v>
      </c>
      <c r="S33" s="33">
        <f>S32/Q32-1</f>
        <v>-0.16470882279430143</v>
      </c>
      <c r="T33" s="33">
        <f>T32/R32-1</f>
        <v>3.2927504150525699E-2</v>
      </c>
      <c r="U33" s="6"/>
      <c r="V33" s="6"/>
      <c r="W33" s="33">
        <f>W32/V32-1</f>
        <v>0.25170415814587588</v>
      </c>
    </row>
    <row r="34" spans="2:23">
      <c r="B34" s="31" t="s">
        <v>58</v>
      </c>
      <c r="C34" s="33">
        <f>C32/C9</f>
        <v>0.35374612213675577</v>
      </c>
      <c r="D34" s="33">
        <f>D32/D9</f>
        <v>0.40275874396710959</v>
      </c>
      <c r="E34" s="33">
        <f>E32/E9</f>
        <v>0.42513574660633485</v>
      </c>
      <c r="F34" s="33">
        <f>F32/F9</f>
        <v>0.32763819095477387</v>
      </c>
      <c r="G34" s="33">
        <f>G32/G9</f>
        <v>0.37703403316051537</v>
      </c>
      <c r="H34" s="33"/>
      <c r="I34" s="33">
        <f>I32/I9</f>
        <v>0.44530593180756656</v>
      </c>
      <c r="J34" s="33">
        <f>J32/J9</f>
        <v>0.38955571479756362</v>
      </c>
      <c r="K34" s="33">
        <f>K32/K9</f>
        <v>0.64200804681784929</v>
      </c>
      <c r="L34" s="33">
        <f>L32/L9</f>
        <v>0.23290917068889863</v>
      </c>
      <c r="M34" s="33">
        <f>M32/M9</f>
        <v>0.3596111169819296</v>
      </c>
      <c r="N34" s="33">
        <f>N32/N9</f>
        <v>0.32269541778975741</v>
      </c>
      <c r="O34" s="33">
        <f>O32/O9</f>
        <v>0.33723819666311677</v>
      </c>
      <c r="P34" s="33">
        <f>P32/P9</f>
        <v>0.28849496002780672</v>
      </c>
      <c r="Q34" s="33">
        <f>Q32/Q9</f>
        <v>0.40271766482133869</v>
      </c>
      <c r="R34" s="33">
        <f>R32/R9</f>
        <v>0.38491852167429969</v>
      </c>
      <c r="S34" s="33">
        <f>S32/S9</f>
        <v>0.3557968700095816</v>
      </c>
      <c r="T34" s="33">
        <f>T32/T9</f>
        <v>0.36437286481210346</v>
      </c>
      <c r="V34" s="33">
        <f>V32/V9</f>
        <v>0.32763819095477387</v>
      </c>
      <c r="W34" s="33">
        <f>W32/W9</f>
        <v>0.37703403316051537</v>
      </c>
    </row>
    <row r="35" spans="2:23">
      <c r="B35" s="3"/>
    </row>
  </sheetData>
  <mergeCells count="1">
    <mergeCell ref="Y7:Y8"/>
  </mergeCells>
  <conditionalFormatting sqref="C13:K13 M13:T13">
    <cfRule type="timePeriod" dxfId="1" priority="5" timePeriod="lastWeek">
      <formula>AND(TODAY()-ROUNDDOWN(C13,0)&gt;=(WEEKDAY(TODAY())),TODAY()-ROUNDDOWN(C13,0)&lt;(WEEKDAY(TODAY())+7))</formula>
    </cfRule>
  </conditionalFormatting>
  <conditionalFormatting sqref="C8:W8">
    <cfRule type="timePeriod" dxfId="0" priority="1" timePeriod="lastWeek">
      <formula>AND(TODAY()-ROUNDDOWN(C8,0)&gt;=(WEEKDAY(TODAY())),TODAY()-ROUNDDOWN(C8,0)&lt;(WEEKDAY(TODAY())+7))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Financials </vt:lpstr>
      <vt:lpstr>Adjusted EBITDA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Garcia</dc:creator>
  <cp:lastModifiedBy>Felix Garcia</cp:lastModifiedBy>
  <dcterms:created xsi:type="dcterms:W3CDTF">2024-12-28T10:46:35Z</dcterms:created>
  <dcterms:modified xsi:type="dcterms:W3CDTF">2025-01-20T07:37:12Z</dcterms:modified>
</cp:coreProperties>
</file>