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7BC67111-050D-4363-A3B2-8583AF9CB3AE}" xr6:coauthVersionLast="47" xr6:coauthVersionMax="47" xr10:uidLastSave="{00000000-0000-0000-0000-000000000000}"/>
  <bookViews>
    <workbookView xWindow="-120" yWindow="-120" windowWidth="29040" windowHeight="15720" xr2:uid="{3887715D-A0B5-44E7-BD1C-3EDF695A7362}"/>
  </bookViews>
  <sheets>
    <sheet name="Cassava Sciences " sheetId="2" r:id="rId1"/>
    <sheet name="Cash Position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8" i="3" s="1"/>
  <c r="G6" i="3"/>
  <c r="G8" i="3" s="1"/>
  <c r="F6" i="3"/>
  <c r="F8" i="3" s="1"/>
  <c r="C7" i="3"/>
  <c r="C8" i="3" s="1"/>
  <c r="Q99" i="2"/>
  <c r="Q100" i="2"/>
  <c r="T89" i="2"/>
  <c r="T87" i="2"/>
  <c r="S69" i="2"/>
  <c r="O90" i="2"/>
  <c r="K90" i="2"/>
  <c r="H90" i="2"/>
  <c r="G90" i="2"/>
  <c r="E90" i="2"/>
  <c r="D90" i="2"/>
  <c r="C90" i="2"/>
  <c r="O83" i="2"/>
  <c r="K83" i="2"/>
  <c r="G83" i="2"/>
  <c r="E83" i="2"/>
  <c r="D83" i="2"/>
  <c r="C83" i="2"/>
  <c r="O79" i="2"/>
  <c r="K79" i="2"/>
  <c r="G79" i="2"/>
  <c r="E79" i="2"/>
  <c r="D79" i="2"/>
  <c r="C79" i="2"/>
  <c r="T19" i="2"/>
  <c r="S19" i="2"/>
  <c r="S29" i="2"/>
  <c r="T29" i="2"/>
  <c r="T13" i="2"/>
  <c r="S13" i="2"/>
  <c r="T44" i="2"/>
  <c r="Q14" i="2"/>
  <c r="Q20" i="2" s="1"/>
  <c r="P14" i="2"/>
  <c r="O14" i="2"/>
  <c r="M14" i="2"/>
  <c r="L14" i="2"/>
  <c r="L20" i="2" s="1"/>
  <c r="K14" i="2"/>
  <c r="I14" i="2"/>
  <c r="H14" i="2"/>
  <c r="G14" i="2"/>
  <c r="E14" i="2"/>
  <c r="D14" i="2"/>
  <c r="C14" i="2"/>
  <c r="T8" i="2"/>
  <c r="T7" i="2"/>
  <c r="S8" i="2"/>
  <c r="S7" i="2"/>
  <c r="Q58" i="2"/>
  <c r="P58" i="2"/>
  <c r="O58" i="2"/>
  <c r="M58" i="2"/>
  <c r="L58" i="2"/>
  <c r="K58" i="2"/>
  <c r="I58" i="2"/>
  <c r="H58" i="2"/>
  <c r="G58" i="2"/>
  <c r="E58" i="2"/>
  <c r="D58" i="2"/>
  <c r="C58" i="2"/>
  <c r="Q46" i="2"/>
  <c r="Q51" i="2" s="1"/>
  <c r="P46" i="2"/>
  <c r="P51" i="2" s="1"/>
  <c r="O46" i="2"/>
  <c r="O51" i="2" s="1"/>
  <c r="M46" i="2"/>
  <c r="M51" i="2" s="1"/>
  <c r="L46" i="2"/>
  <c r="L51" i="2" s="1"/>
  <c r="K46" i="2"/>
  <c r="K51" i="2" s="1"/>
  <c r="I46" i="2"/>
  <c r="I51" i="2" s="1"/>
  <c r="H46" i="2"/>
  <c r="H51" i="2" s="1"/>
  <c r="G46" i="2"/>
  <c r="G51" i="2" s="1"/>
  <c r="E46" i="2"/>
  <c r="E51" i="2" s="1"/>
  <c r="D46" i="2"/>
  <c r="D51" i="2" s="1"/>
  <c r="C46" i="2"/>
  <c r="C51" i="2" s="1"/>
  <c r="Q30" i="2"/>
  <c r="Q37" i="2" s="1"/>
  <c r="P30" i="2"/>
  <c r="P37" i="2" s="1"/>
  <c r="O30" i="2"/>
  <c r="O37" i="2" s="1"/>
  <c r="M30" i="2"/>
  <c r="M37" i="2" s="1"/>
  <c r="L30" i="2"/>
  <c r="L37" i="2" s="1"/>
  <c r="K30" i="2"/>
  <c r="K37" i="2" s="1"/>
  <c r="I30" i="2"/>
  <c r="I37" i="2" s="1"/>
  <c r="H30" i="2"/>
  <c r="H37" i="2" s="1"/>
  <c r="G30" i="2"/>
  <c r="G37" i="2" s="1"/>
  <c r="E30" i="2"/>
  <c r="E37" i="2" s="1"/>
  <c r="D30" i="2"/>
  <c r="D37" i="2" s="1"/>
  <c r="C30" i="2"/>
  <c r="C37" i="2" s="1"/>
  <c r="N11" i="2"/>
  <c r="T11" i="2" s="1"/>
  <c r="N12" i="2"/>
  <c r="T12" i="2" s="1"/>
  <c r="N17" i="2"/>
  <c r="T17" i="2" s="1"/>
  <c r="N18" i="2"/>
  <c r="T18" i="2" s="1"/>
  <c r="N27" i="2"/>
  <c r="T27" i="2" s="1"/>
  <c r="N28" i="2"/>
  <c r="T28" i="2" s="1"/>
  <c r="N33" i="2"/>
  <c r="T33" i="2" s="1"/>
  <c r="N34" i="2"/>
  <c r="T34" i="2" s="1"/>
  <c r="N35" i="2"/>
  <c r="T35" i="2" s="1"/>
  <c r="N36" i="2"/>
  <c r="T36" i="2" s="1"/>
  <c r="N40" i="2"/>
  <c r="T40" i="2" s="1"/>
  <c r="N41" i="2"/>
  <c r="T41" i="2" s="1"/>
  <c r="N42" i="2"/>
  <c r="T42" i="2" s="1"/>
  <c r="N43" i="2"/>
  <c r="T43" i="2" s="1"/>
  <c r="N45" i="2"/>
  <c r="T45" i="2" s="1"/>
  <c r="N49" i="2"/>
  <c r="T49" i="2" s="1"/>
  <c r="N50" i="2"/>
  <c r="T50" i="2" s="1"/>
  <c r="N55" i="2"/>
  <c r="T55" i="2" s="1"/>
  <c r="N56" i="2"/>
  <c r="T56" i="2" s="1"/>
  <c r="N57" i="2"/>
  <c r="T57" i="2" s="1"/>
  <c r="N92" i="2" a="1"/>
  <c r="N92" i="2" s="1"/>
  <c r="S100" i="2"/>
  <c r="P100" i="2"/>
  <c r="T100" i="2" s="1"/>
  <c r="S99" i="2"/>
  <c r="P99" i="2"/>
  <c r="T99" i="2" s="1"/>
  <c r="T98" i="2"/>
  <c r="S98" i="2"/>
  <c r="T97" i="2"/>
  <c r="S97" i="2"/>
  <c r="L93" i="2"/>
  <c r="L92" i="2"/>
  <c r="J92" i="2" a="1"/>
  <c r="J89" i="2"/>
  <c r="S89" i="2" s="1"/>
  <c r="P88" i="2"/>
  <c r="P90" i="2" s="1"/>
  <c r="J88" i="2"/>
  <c r="S88" i="2" s="1"/>
  <c r="J87" i="2"/>
  <c r="S87" i="2" s="1"/>
  <c r="L86" i="2"/>
  <c r="L90" i="2" s="1"/>
  <c r="H86" i="2"/>
  <c r="I86" i="2" s="1"/>
  <c r="I90" i="2" s="1"/>
  <c r="P82" i="2"/>
  <c r="Q82" i="2" s="1"/>
  <c r="Q83" i="2" s="1"/>
  <c r="L82" i="2"/>
  <c r="M82" i="2" s="1"/>
  <c r="M83" i="2" s="1"/>
  <c r="H82" i="2"/>
  <c r="I82" i="2" s="1"/>
  <c r="I83" i="2" s="1"/>
  <c r="P78" i="2"/>
  <c r="Q78" i="2" s="1"/>
  <c r="L78" i="2"/>
  <c r="M78" i="2" s="1"/>
  <c r="N78" i="2" s="1"/>
  <c r="T78" i="2" s="1"/>
  <c r="H78" i="2"/>
  <c r="I78" i="2" s="1"/>
  <c r="P77" i="2"/>
  <c r="Q77" i="2" s="1"/>
  <c r="L77" i="2"/>
  <c r="M77" i="2" s="1"/>
  <c r="N77" i="2" s="1"/>
  <c r="H77" i="2"/>
  <c r="I77" i="2" s="1"/>
  <c r="J77" i="2" s="1"/>
  <c r="S77" i="2" s="1"/>
  <c r="P76" i="2"/>
  <c r="Q76" i="2" s="1"/>
  <c r="L76" i="2"/>
  <c r="M76" i="2" s="1"/>
  <c r="N76" i="2" s="1"/>
  <c r="T76" i="2" s="1"/>
  <c r="H76" i="2"/>
  <c r="I76" i="2" s="1"/>
  <c r="P75" i="2"/>
  <c r="Q75" i="2" s="1"/>
  <c r="L75" i="2"/>
  <c r="M75" i="2" s="1"/>
  <c r="N75" i="2" s="1"/>
  <c r="H75" i="2"/>
  <c r="L74" i="2"/>
  <c r="M74" i="2" s="1"/>
  <c r="N74" i="2" s="1"/>
  <c r="H74" i="2"/>
  <c r="I74" i="2" s="1"/>
  <c r="P73" i="2"/>
  <c r="Q73" i="2" s="1"/>
  <c r="L73" i="2"/>
  <c r="M73" i="2" s="1"/>
  <c r="N73" i="2" s="1"/>
  <c r="T73" i="2" s="1"/>
  <c r="H73" i="2"/>
  <c r="I73" i="2" s="1"/>
  <c r="P71" i="2"/>
  <c r="Q71" i="2" s="1"/>
  <c r="L71" i="2"/>
  <c r="M71" i="2" s="1"/>
  <c r="N71" i="2" s="1"/>
  <c r="H71" i="2"/>
  <c r="I71" i="2" s="1"/>
  <c r="P70" i="2"/>
  <c r="Q70" i="2" s="1"/>
  <c r="L70" i="2"/>
  <c r="H70" i="2"/>
  <c r="I70" i="2" s="1"/>
  <c r="J70" i="2" s="1"/>
  <c r="P69" i="2"/>
  <c r="P68" i="2"/>
  <c r="Q68" i="2" s="1"/>
  <c r="L68" i="2"/>
  <c r="M68" i="2" s="1"/>
  <c r="N68" i="2" s="1"/>
  <c r="T68" i="2" s="1"/>
  <c r="H68" i="2"/>
  <c r="P66" i="2"/>
  <c r="Q66" i="2" s="1"/>
  <c r="L66" i="2"/>
  <c r="M66" i="2" s="1"/>
  <c r="N66" i="2" s="1"/>
  <c r="H66" i="2"/>
  <c r="J57" i="2"/>
  <c r="S57" i="2" s="1"/>
  <c r="J56" i="2"/>
  <c r="S56" i="2" s="1"/>
  <c r="J55" i="2"/>
  <c r="S55" i="2" s="1"/>
  <c r="J50" i="2"/>
  <c r="S50" i="2" s="1"/>
  <c r="J49" i="2"/>
  <c r="S49" i="2" s="1"/>
  <c r="J45" i="2"/>
  <c r="S45" i="2" s="1"/>
  <c r="J44" i="2"/>
  <c r="S44" i="2" s="1"/>
  <c r="J43" i="2"/>
  <c r="S43" i="2" s="1"/>
  <c r="J42" i="2"/>
  <c r="S42" i="2" s="1"/>
  <c r="J41" i="2"/>
  <c r="S41" i="2" s="1"/>
  <c r="J40" i="2"/>
  <c r="S40" i="2" s="1"/>
  <c r="J36" i="2"/>
  <c r="S36" i="2" s="1"/>
  <c r="J35" i="2"/>
  <c r="S35" i="2" s="1"/>
  <c r="J34" i="2"/>
  <c r="S34" i="2" s="1"/>
  <c r="J33" i="2"/>
  <c r="S33" i="2" s="1"/>
  <c r="J28" i="2"/>
  <c r="S28" i="2" s="1"/>
  <c r="J27" i="2"/>
  <c r="S27" i="2" s="1"/>
  <c r="I21" i="2"/>
  <c r="H21" i="2"/>
  <c r="E21" i="2"/>
  <c r="D21" i="2"/>
  <c r="J20" i="2"/>
  <c r="J18" i="2"/>
  <c r="S18" i="2" s="1"/>
  <c r="J17" i="2"/>
  <c r="S17" i="2" s="1"/>
  <c r="J12" i="2"/>
  <c r="S12" i="2" s="1"/>
  <c r="J11" i="2"/>
  <c r="S11" i="2" s="1"/>
  <c r="J6" i="3" l="1"/>
  <c r="P83" i="2"/>
  <c r="H79" i="2"/>
  <c r="T66" i="2"/>
  <c r="T77" i="2"/>
  <c r="T71" i="2"/>
  <c r="Q79" i="2"/>
  <c r="T75" i="2"/>
  <c r="H83" i="2"/>
  <c r="P79" i="2"/>
  <c r="Q88" i="2"/>
  <c r="Q90" i="2" s="1"/>
  <c r="L83" i="2"/>
  <c r="Q69" i="2"/>
  <c r="T69" i="2" s="1"/>
  <c r="V69" i="2" s="1"/>
  <c r="L79" i="2"/>
  <c r="I66" i="2"/>
  <c r="I15" i="2"/>
  <c r="D15" i="2"/>
  <c r="P60" i="2"/>
  <c r="E15" i="2"/>
  <c r="P15" i="2"/>
  <c r="S14" i="2"/>
  <c r="S20" i="2" s="1"/>
  <c r="H15" i="2"/>
  <c r="Q15" i="2"/>
  <c r="P20" i="2"/>
  <c r="Q21" i="2" s="1"/>
  <c r="N14" i="2"/>
  <c r="N15" i="2" s="1"/>
  <c r="J14" i="2"/>
  <c r="J15" i="2" s="1"/>
  <c r="S46" i="2"/>
  <c r="S51" i="2" s="1"/>
  <c r="G60" i="2"/>
  <c r="Q60" i="2"/>
  <c r="S58" i="2"/>
  <c r="T58" i="2"/>
  <c r="H60" i="2"/>
  <c r="J58" i="2"/>
  <c r="S30" i="2"/>
  <c r="K60" i="2"/>
  <c r="C60" i="2"/>
  <c r="L60" i="2"/>
  <c r="D60" i="2"/>
  <c r="M60" i="2"/>
  <c r="T46" i="2"/>
  <c r="T51" i="2" s="1"/>
  <c r="I60" i="2"/>
  <c r="E60" i="2"/>
  <c r="O60" i="2"/>
  <c r="J46" i="2"/>
  <c r="J51" i="2" s="1"/>
  <c r="N58" i="2"/>
  <c r="N46" i="2"/>
  <c r="N51" i="2" s="1"/>
  <c r="J30" i="2"/>
  <c r="J37" i="2" s="1"/>
  <c r="S37" i="2" s="1"/>
  <c r="N30" i="2"/>
  <c r="N37" i="2" s="1"/>
  <c r="T37" i="2" s="1"/>
  <c r="V99" i="2"/>
  <c r="V44" i="2"/>
  <c r="N82" i="2"/>
  <c r="V54" i="2"/>
  <c r="M15" i="2"/>
  <c r="V45" i="2"/>
  <c r="V100" i="2"/>
  <c r="V19" i="2"/>
  <c r="V57" i="2"/>
  <c r="V97" i="2"/>
  <c r="V43" i="2"/>
  <c r="V17" i="2"/>
  <c r="V40" i="2"/>
  <c r="M20" i="2"/>
  <c r="M21" i="2" s="1"/>
  <c r="V35" i="2"/>
  <c r="V87" i="2"/>
  <c r="V50" i="2"/>
  <c r="V98" i="2"/>
  <c r="V89" i="2"/>
  <c r="I68" i="2"/>
  <c r="V34" i="2"/>
  <c r="J92" i="2"/>
  <c r="J21" i="2"/>
  <c r="V42" i="2"/>
  <c r="V49" i="2"/>
  <c r="V55" i="2"/>
  <c r="V18" i="2"/>
  <c r="V36" i="2"/>
  <c r="L15" i="2"/>
  <c r="V12" i="2"/>
  <c r="V56" i="2"/>
  <c r="J71" i="2"/>
  <c r="S71" i="2" s="1"/>
  <c r="J73" i="2"/>
  <c r="S73" i="2" s="1"/>
  <c r="K15" i="2"/>
  <c r="K20" i="2"/>
  <c r="J86" i="2"/>
  <c r="I75" i="2"/>
  <c r="J75" i="2" s="1"/>
  <c r="S75" i="2" s="1"/>
  <c r="J78" i="2"/>
  <c r="S78" i="2" s="1"/>
  <c r="J82" i="2"/>
  <c r="V11" i="2"/>
  <c r="M70" i="2"/>
  <c r="J76" i="2"/>
  <c r="S76" i="2" s="1"/>
  <c r="V33" i="2"/>
  <c r="V41" i="2"/>
  <c r="M86" i="2"/>
  <c r="M90" i="2" s="1"/>
  <c r="V28" i="2"/>
  <c r="J74" i="2"/>
  <c r="K6" i="3" l="1"/>
  <c r="J8" i="3"/>
  <c r="J66" i="2"/>
  <c r="I79" i="2"/>
  <c r="M79" i="2"/>
  <c r="S70" i="2"/>
  <c r="T82" i="2"/>
  <c r="V82" i="2" s="1"/>
  <c r="N83" i="2"/>
  <c r="T83" i="2" s="1"/>
  <c r="V83" i="2" s="1"/>
  <c r="T88" i="2"/>
  <c r="V88" i="2" s="1"/>
  <c r="S86" i="2"/>
  <c r="J90" i="2"/>
  <c r="S90" i="2" s="1"/>
  <c r="S82" i="2"/>
  <c r="J83" i="2"/>
  <c r="S83" i="2" s="1"/>
  <c r="T60" i="2"/>
  <c r="S60" i="2"/>
  <c r="P21" i="2"/>
  <c r="V46" i="2"/>
  <c r="V58" i="2"/>
  <c r="T14" i="2"/>
  <c r="V51" i="2"/>
  <c r="J60" i="2"/>
  <c r="N60" i="2"/>
  <c r="V37" i="2"/>
  <c r="V27" i="2"/>
  <c r="T30" i="2"/>
  <c r="V30" i="2" s="1"/>
  <c r="N20" i="2"/>
  <c r="V77" i="2"/>
  <c r="V76" i="2"/>
  <c r="N70" i="2"/>
  <c r="N86" i="2"/>
  <c r="J68" i="2"/>
  <c r="S68" i="2" s="1"/>
  <c r="V71" i="2"/>
  <c r="V78" i="2"/>
  <c r="K21" i="2"/>
  <c r="O15" i="2"/>
  <c r="V75" i="2"/>
  <c r="V73" i="2"/>
  <c r="L21" i="2"/>
  <c r="L6" i="3" l="1"/>
  <c r="K8" i="3"/>
  <c r="T70" i="2"/>
  <c r="T79" i="2" s="1"/>
  <c r="N79" i="2"/>
  <c r="N90" i="2"/>
  <c r="T86" i="2"/>
  <c r="V86" i="2" s="1"/>
  <c r="V60" i="2"/>
  <c r="J79" i="2"/>
  <c r="S66" i="2"/>
  <c r="T15" i="2"/>
  <c r="T20" i="2"/>
  <c r="V14" i="2"/>
  <c r="N21" i="2"/>
  <c r="T90" i="2"/>
  <c r="V90" i="2" s="1"/>
  <c r="V68" i="2"/>
  <c r="V70" i="2"/>
  <c r="O21" i="2"/>
  <c r="M6" i="3" l="1"/>
  <c r="L8" i="3"/>
  <c r="S79" i="2"/>
  <c r="V79" i="2" s="1"/>
  <c r="V66" i="2"/>
  <c r="V20" i="2"/>
  <c r="T21" i="2"/>
  <c r="N6" i="3" l="1"/>
  <c r="M8" i="3"/>
  <c r="O6" i="3" l="1"/>
  <c r="N8" i="3"/>
  <c r="P6" i="3" l="1"/>
  <c r="O8" i="3"/>
  <c r="Q6" i="3" l="1"/>
  <c r="P8" i="3"/>
  <c r="R6" i="3" l="1"/>
  <c r="R8" i="3" s="1"/>
  <c r="Q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<sst xmlns="http://schemas.openxmlformats.org/spreadsheetml/2006/main" count="162" uniqueCount="120">
  <si>
    <t>Cassava Sciences (NASDAQ: SAVA)</t>
  </si>
  <si>
    <t>(In Millions)</t>
  </si>
  <si>
    <t>FYE</t>
  </si>
  <si>
    <t>Quarterly</t>
  </si>
  <si>
    <t>LTM</t>
  </si>
  <si>
    <t>LTM VAR</t>
  </si>
  <si>
    <t>Forecast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</si>
  <si>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</si>
  <si>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</si>
  <si>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</si>
  <si>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</si>
  <si>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</si>
  <si>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</si>
  <si>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</si>
  <si>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</si>
  <si>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</si>
  <si>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</si>
  <si>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</si>
  <si>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</si>
  <si>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</si>
  <si>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</si>
  <si>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</si>
  <si>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VAR</t>
  </si>
  <si>
    <t>4Q24F</t>
  </si>
  <si>
    <t>Consolidated Statements of Income - USD ($) shares in Millions, $ in Millions</t>
  </si>
  <si>
    <t>Operating expenses:</t>
  </si>
  <si>
    <t>Research and development, net of grant reimbursement</t>
  </si>
  <si>
    <t>General and administrative</t>
  </si>
  <si>
    <t>Legal Imparimenents &amp; SEC Charges</t>
  </si>
  <si>
    <t>Total operating expenses</t>
  </si>
  <si>
    <t>Y/Y Growth, Q/Q Growth</t>
  </si>
  <si>
    <t>Interest income</t>
  </si>
  <si>
    <t>Other income, net</t>
  </si>
  <si>
    <t>Gain from change in fair value of warrant liabilities</t>
  </si>
  <si>
    <t>Net loss</t>
  </si>
  <si>
    <t xml:space="preserve">Balance Sheet Statement </t>
  </si>
  <si>
    <t>Consolidated Balance Sheets - USD ($) $ in Millions</t>
  </si>
  <si>
    <t>Cash and cash equivalents</t>
  </si>
  <si>
    <t>Prepaid expenses and other current assets</t>
  </si>
  <si>
    <t>Total current assets</t>
  </si>
  <si>
    <t>Operating lease right-of-use assets</t>
  </si>
  <si>
    <t>—</t>
  </si>
  <si>
    <t>-</t>
  </si>
  <si>
    <t>Property and equipment, net</t>
  </si>
  <si>
    <t>Intangible assets, net</t>
  </si>
  <si>
    <t>Other assets</t>
  </si>
  <si>
    <t>Total assets</t>
  </si>
  <si>
    <t>Accounts payable and other accrued expenses</t>
  </si>
  <si>
    <t>Accrued development expense</t>
  </si>
  <si>
    <t>Accrued compensation and benefits</t>
  </si>
  <si>
    <t>Operating lease liabilities, current</t>
  </si>
  <si>
    <t>Warrant liabilities</t>
  </si>
  <si>
    <t>Other current liabilities</t>
  </si>
  <si>
    <t>Total current liabilities</t>
  </si>
  <si>
    <t>Operating lease liabilities, non-current</t>
  </si>
  <si>
    <t>Other non-current liabilities</t>
  </si>
  <si>
    <t>Total liabilities</t>
  </si>
  <si>
    <t>Stockholders' equity:</t>
  </si>
  <si>
    <t>Preferred stock, $ 0.001  par value;  10,000,000  shares authorized,  none  issued and outstanding</t>
  </si>
  <si>
    <t>Common stock, $ 0.001  par value;  120,000,000  shares authorized;  42,236,919  and  41,735,557  shares issued and outstanding at December 31, 2023 and December 31, 2022, respectively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</si>
  <si>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</si>
  <si>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</si>
  <si>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</si>
  <si>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</si>
  <si>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</si>
  <si>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</si>
  <si>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Cash flows from operating activities:</t>
  </si>
  <si>
    <t>Adjustments to reconcile net loss to net cash used in operating activities:</t>
  </si>
  <si>
    <t>Stock-based compensation</t>
  </si>
  <si>
    <t>Depreciation</t>
  </si>
  <si>
    <t>Amortization of intangible assets</t>
  </si>
  <si>
    <t>Changes in operating assets and liabilities:</t>
  </si>
  <si>
    <t>Prepaid and other assets</t>
  </si>
  <si>
    <t>Operating lease right-of-use assets and liabilities</t>
  </si>
  <si>
    <t>Other liabilities</t>
  </si>
  <si>
    <t>Net cash used in operating activities</t>
  </si>
  <si>
    <t>Cash flows from investing activities:</t>
  </si>
  <si>
    <t>Purchase of property and equipment</t>
  </si>
  <si>
    <t>Net cash used in investing activities</t>
  </si>
  <si>
    <t>Cash flows from financing activities:</t>
  </si>
  <si>
    <t>Proceeds from issuance of common stock upon exercise of stock options</t>
  </si>
  <si>
    <t>Proceeds from issuance of common stock upon exercise of 2018 warrants</t>
  </si>
  <si>
    <t>Proceeds from exercise of common stock warrants, net of exercise costs</t>
  </si>
  <si>
    <t>Proceeds from common stock offering, net of issuance costs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</si>
  <si>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</si>
  <si>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</si>
  <si>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</si>
  <si>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</si>
  <si>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Supplemental cash flow information:</t>
  </si>
  <si>
    <t>Non-cash investing activities</t>
  </si>
  <si>
    <t>Purchases of property and equipment included in accounts payable</t>
  </si>
  <si>
    <t>$—</t>
  </si>
  <si>
    <t>Issuance of warrants resulting in recognition of warrant liabilities</t>
  </si>
  <si>
    <t>Derecognition of warrant liabilities upon exercise of warrants</t>
  </si>
  <si>
    <t>3Q24</t>
  </si>
  <si>
    <t>Long-Term Assets</t>
  </si>
  <si>
    <t>Current Assets</t>
  </si>
  <si>
    <t>Current Liabilities</t>
  </si>
  <si>
    <t>Long-Term Liabilities</t>
  </si>
  <si>
    <t xml:space="preserve">Restricted cash </t>
  </si>
  <si>
    <t>C&amp;CE</t>
  </si>
  <si>
    <t>Live Cash EST As of 12/3/24</t>
  </si>
  <si>
    <t xml:space="preserve">Monthly Burn Rate </t>
  </si>
  <si>
    <t>Cash Burn Rate (In Millions)</t>
  </si>
  <si>
    <t>Per Quarter</t>
  </si>
  <si>
    <t xml:space="preserve">Number of Months of Cash </t>
  </si>
  <si>
    <t xml:space="preserve">Actuals </t>
  </si>
  <si>
    <t>1Q25F</t>
  </si>
  <si>
    <t>Burn Rate Per Quarter</t>
  </si>
  <si>
    <t>2Q25F</t>
  </si>
  <si>
    <t>6/31/2025</t>
  </si>
  <si>
    <t>3Q25F</t>
  </si>
  <si>
    <t>Cash Per Share</t>
  </si>
  <si>
    <t xml:space="preserve">Shares Outstanding </t>
  </si>
  <si>
    <t>4Q25F</t>
  </si>
  <si>
    <t>1Q26F</t>
  </si>
  <si>
    <t>2Q26F</t>
  </si>
  <si>
    <t>6/31/2026</t>
  </si>
  <si>
    <t>3Q26F</t>
  </si>
  <si>
    <t>4Q26F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</si>
</sst>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_(* #,##0_);_(* \(#,##0\);_(* &quot;-&quot;??_);_(@_)"/>
    <numFmt numFmtId="167" formatCode="_(&quot;$&quot;* #,##0.000_);_(&quot;$&quot;* \(#,##0.000\);_(&quot;$&quot;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sz val="11"/>
      <color rgb="FF0000E1"/>
      <name val="Calibri"/>
      <family val="2"/>
    </font>
    <font>
      <sz val="12"/>
      <color rgb="FF0000E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mediumGray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2" borderId="0" xfId="0" applyFont="1" applyFill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9" fontId="10" fillId="0" borderId="0" xfId="3" applyFont="1" applyBorder="1" applyAlignment="1">
      <alignment horizontal="right" vertical="center"/>
    </xf>
    <xf numFmtId="0" fontId="8" fillId="0" borderId="0" xfId="0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164" fontId="12" fillId="0" borderId="0" xfId="0" applyNumberFormat="1" applyFont="1"/>
    <xf numFmtId="10" fontId="13" fillId="3" borderId="0" xfId="3" applyNumberFormat="1" applyFont="1" applyFill="1" applyAlignment="1">
      <alignment horizontal="center"/>
    </xf>
    <xf numFmtId="37" fontId="11" fillId="0" borderId="0" xfId="0" applyNumberFormat="1" applyFont="1" applyAlignment="1">
      <alignment horizontal="right" vertical="top"/>
    </xf>
    <xf numFmtId="37" fontId="12" fillId="0" borderId="0" xfId="0" applyNumberFormat="1" applyFont="1"/>
    <xf numFmtId="165" fontId="14" fillId="0" borderId="2" xfId="0" applyNumberFormat="1" applyFont="1" applyBorder="1" applyAlignment="1">
      <alignment vertical="top" wrapText="1"/>
    </xf>
    <xf numFmtId="165" fontId="14" fillId="0" borderId="2" xfId="0" applyNumberFormat="1" applyFont="1" applyBorder="1" applyAlignment="1">
      <alignment horizontal="right" vertical="top"/>
    </xf>
    <xf numFmtId="164" fontId="14" fillId="0" borderId="2" xfId="0" applyNumberFormat="1" applyFont="1" applyBorder="1" applyAlignment="1">
      <alignment horizontal="right" vertical="top"/>
    </xf>
    <xf numFmtId="164" fontId="15" fillId="0" borderId="2" xfId="0" applyNumberFormat="1" applyFont="1" applyBorder="1"/>
    <xf numFmtId="164" fontId="15" fillId="0" borderId="0" xfId="0" applyNumberFormat="1" applyFont="1"/>
    <xf numFmtId="10" fontId="16" fillId="3" borderId="0" xfId="3" applyNumberFormat="1" applyFont="1" applyFill="1" applyAlignment="1">
      <alignment horizontal="center"/>
    </xf>
    <xf numFmtId="0" fontId="17" fillId="0" borderId="0" xfId="0" applyFont="1" applyAlignment="1">
      <alignment horizontal="right" vertical="center"/>
    </xf>
    <xf numFmtId="165" fontId="14" fillId="0" borderId="0" xfId="0" applyNumberFormat="1" applyFont="1" applyAlignment="1">
      <alignment horizontal="right" vertical="top"/>
    </xf>
    <xf numFmtId="10" fontId="16" fillId="0" borderId="0" xfId="3" applyNumberFormat="1" applyFont="1" applyFill="1" applyAlignment="1">
      <alignment horizontal="center"/>
    </xf>
    <xf numFmtId="165" fontId="14" fillId="0" borderId="0" xfId="0" applyNumberFormat="1" applyFont="1" applyAlignment="1">
      <alignment vertical="top" wrapText="1"/>
    </xf>
    <xf numFmtId="0" fontId="12" fillId="0" borderId="0" xfId="0" applyFont="1"/>
    <xf numFmtId="0" fontId="0" fillId="3" borderId="0" xfId="0" applyFill="1" applyAlignment="1">
      <alignment horizontal="center"/>
    </xf>
    <xf numFmtId="0" fontId="8" fillId="0" borderId="0" xfId="0" applyFont="1" applyAlignment="1">
      <alignment vertical="top" wrapText="1"/>
    </xf>
    <xf numFmtId="0" fontId="14" fillId="0" borderId="2" xfId="0" applyFont="1" applyBorder="1" applyAlignment="1">
      <alignment vertical="top"/>
    </xf>
    <xf numFmtId="37" fontId="14" fillId="0" borderId="2" xfId="0" applyNumberFormat="1" applyFont="1" applyBorder="1" applyAlignment="1">
      <alignment horizontal="right" vertical="top"/>
    </xf>
    <xf numFmtId="39" fontId="10" fillId="0" borderId="0" xfId="0" applyNumberFormat="1" applyFont="1" applyAlignment="1">
      <alignment horizontal="right" vertical="center"/>
    </xf>
    <xf numFmtId="9" fontId="10" fillId="0" borderId="0" xfId="3" applyFont="1" applyFill="1" applyBorder="1" applyAlignment="1">
      <alignment horizontal="right" vertical="center"/>
    </xf>
    <xf numFmtId="10" fontId="13" fillId="0" borderId="0" xfId="3" applyNumberFormat="1" applyFont="1" applyFill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vertical="top"/>
    </xf>
    <xf numFmtId="37" fontId="19" fillId="0" borderId="0" xfId="0" applyNumberFormat="1" applyFont="1"/>
    <xf numFmtId="37" fontId="3" fillId="0" borderId="2" xfId="0" applyNumberFormat="1" applyFont="1" applyBorder="1"/>
    <xf numFmtId="37" fontId="22" fillId="0" borderId="0" xfId="0" applyNumberFormat="1" applyFont="1"/>
    <xf numFmtId="37" fontId="18" fillId="0" borderId="0" xfId="0" applyNumberFormat="1" applyFont="1" applyAlignment="1">
      <alignment horizontal="right" vertical="top"/>
    </xf>
    <xf numFmtId="37" fontId="21" fillId="0" borderId="0" xfId="0" applyNumberFormat="1" applyFont="1"/>
    <xf numFmtId="37" fontId="24" fillId="0" borderId="0" xfId="0" applyNumberFormat="1" applyFont="1" applyAlignment="1">
      <alignment horizontal="right" vertical="top"/>
    </xf>
    <xf numFmtId="0" fontId="21" fillId="0" borderId="0" xfId="0" applyFont="1"/>
    <xf numFmtId="37" fontId="0" fillId="0" borderId="0" xfId="0" applyNumberFormat="1"/>
    <xf numFmtId="37" fontId="9" fillId="0" borderId="2" xfId="0" applyNumberFormat="1" applyFont="1" applyBorder="1"/>
    <xf numFmtId="37" fontId="25" fillId="0" borderId="0" xfId="0" applyNumberFormat="1" applyFont="1"/>
    <xf numFmtId="0" fontId="18" fillId="0" borderId="0" xfId="0" applyFont="1"/>
    <xf numFmtId="37" fontId="18" fillId="0" borderId="0" xfId="0" applyNumberFormat="1" applyFont="1"/>
    <xf numFmtId="37" fontId="18" fillId="0" borderId="0" xfId="0" applyNumberFormat="1" applyFont="1" applyAlignment="1">
      <alignment vertical="top" wrapText="1"/>
    </xf>
    <xf numFmtId="37" fontId="14" fillId="0" borderId="2" xfId="0" applyNumberFormat="1" applyFont="1" applyBorder="1"/>
    <xf numFmtId="0" fontId="3" fillId="0" borderId="0" xfId="0" applyFont="1"/>
    <xf numFmtId="37" fontId="8" fillId="0" borderId="0" xfId="0" applyNumberFormat="1" applyFont="1" applyAlignment="1">
      <alignment horizontal="right" vertical="top"/>
    </xf>
    <xf numFmtId="0" fontId="26" fillId="0" borderId="0" xfId="0" applyFont="1"/>
    <xf numFmtId="166" fontId="0" fillId="0" borderId="0" xfId="1" applyNumberFormat="1" applyFont="1" applyBorder="1"/>
    <xf numFmtId="37" fontId="11" fillId="0" borderId="0" xfId="1" applyNumberFormat="1" applyFont="1" applyBorder="1"/>
    <xf numFmtId="0" fontId="27" fillId="0" borderId="0" xfId="0" applyFont="1"/>
    <xf numFmtId="37" fontId="11" fillId="0" borderId="0" xfId="1" applyNumberFormat="1" applyFont="1" applyFill="1" applyBorder="1"/>
    <xf numFmtId="0" fontId="21" fillId="0" borderId="2" xfId="0" applyFont="1" applyBorder="1"/>
    <xf numFmtId="37" fontId="14" fillId="0" borderId="2" xfId="1" applyNumberFormat="1" applyFont="1" applyBorder="1"/>
    <xf numFmtId="37" fontId="14" fillId="0" borderId="0" xfId="1" applyNumberFormat="1" applyFont="1" applyBorder="1"/>
    <xf numFmtId="0" fontId="23" fillId="0" borderId="2" xfId="0" applyFont="1" applyBorder="1"/>
    <xf numFmtId="37" fontId="15" fillId="0" borderId="0" xfId="1" applyNumberFormat="1" applyFont="1" applyBorder="1"/>
    <xf numFmtId="37" fontId="15" fillId="0" borderId="0" xfId="1" applyNumberFormat="1" applyFont="1" applyFill="1" applyBorder="1"/>
    <xf numFmtId="37" fontId="18" fillId="0" borderId="0" xfId="1" applyNumberFormat="1" applyFont="1" applyBorder="1"/>
    <xf numFmtId="37" fontId="18" fillId="0" borderId="0" xfId="1" applyNumberFormat="1" applyFont="1" applyFill="1" applyBorder="1"/>
    <xf numFmtId="37" fontId="8" fillId="0" borderId="0" xfId="1" applyNumberFormat="1" applyFont="1" applyBorder="1"/>
    <xf numFmtId="37" fontId="8" fillId="0" borderId="0" xfId="1" applyNumberFormat="1" applyFont="1" applyFill="1" applyBorder="1"/>
    <xf numFmtId="166" fontId="3" fillId="0" borderId="0" xfId="1" applyNumberFormat="1" applyFont="1" applyBorder="1"/>
    <xf numFmtId="0" fontId="14" fillId="0" borderId="0" xfId="0" applyFont="1" applyAlignment="1">
      <alignment vertical="center"/>
    </xf>
    <xf numFmtId="37" fontId="14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37" fontId="28" fillId="0" borderId="0" xfId="0" applyNumberFormat="1" applyFont="1" applyAlignment="1">
      <alignment horizontal="right" vertical="top"/>
    </xf>
    <xf numFmtId="37" fontId="3" fillId="0" borderId="0" xfId="0" applyNumberFormat="1" applyFont="1"/>
    <xf numFmtId="0" fontId="7" fillId="0" borderId="0" xfId="0" applyFont="1" applyAlignment="1">
      <alignment horizontal="left" vertical="center"/>
    </xf>
    <xf numFmtId="37" fontId="23" fillId="0" borderId="0" xfId="0" applyNumberFormat="1" applyFont="1"/>
    <xf numFmtId="37" fontId="9" fillId="0" borderId="0" xfId="0" applyNumberFormat="1" applyFont="1"/>
    <xf numFmtId="37" fontId="19" fillId="4" borderId="0" xfId="0" applyNumberFormat="1" applyFont="1" applyFill="1"/>
    <xf numFmtId="37" fontId="11" fillId="4" borderId="0" xfId="0" applyNumberFormat="1" applyFont="1" applyFill="1" applyAlignment="1">
      <alignment horizontal="right" vertical="top"/>
    </xf>
    <xf numFmtId="0" fontId="14" fillId="0" borderId="0" xfId="0" applyFont="1"/>
    <xf numFmtId="37" fontId="8" fillId="0" borderId="0" xfId="0" applyNumberFormat="1" applyFont="1"/>
    <xf numFmtId="0" fontId="23" fillId="0" borderId="0" xfId="0" applyFont="1"/>
    <xf numFmtId="0" fontId="0" fillId="0" borderId="8" xfId="0" applyBorder="1"/>
    <xf numFmtId="0" fontId="0" fillId="0" borderId="4" xfId="0" applyBorder="1"/>
    <xf numFmtId="0" fontId="2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37" fontId="29" fillId="0" borderId="9" xfId="0" applyNumberFormat="1" applyFont="1" applyBorder="1"/>
    <xf numFmtId="37" fontId="29" fillId="0" borderId="5" xfId="0" applyNumberFormat="1" applyFont="1" applyBorder="1"/>
    <xf numFmtId="39" fontId="29" fillId="0" borderId="9" xfId="0" applyNumberFormat="1" applyFont="1" applyBorder="1"/>
    <xf numFmtId="37" fontId="29" fillId="0" borderId="0" xfId="0" applyNumberFormat="1" applyFont="1"/>
    <xf numFmtId="0" fontId="0" fillId="0" borderId="1" xfId="0" applyBorder="1"/>
    <xf numFmtId="0" fontId="3" fillId="0" borderId="3" xfId="0" applyFont="1" applyBorder="1"/>
    <xf numFmtId="3" fontId="22" fillId="0" borderId="0" xfId="0" applyNumberFormat="1" applyFont="1"/>
    <xf numFmtId="167" fontId="3" fillId="0" borderId="3" xfId="2" applyNumberFormat="1" applyFont="1" applyBorder="1"/>
    <xf numFmtId="0" fontId="6" fillId="2" borderId="0" xfId="0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D476-E393-4D29-9EC5-A09BA8E572DE}">
  <dimension ref="A1:V122"/>
  <sheetViews>
    <sheetView showGridLines="0" tabSelected="1" topLeftCell="A71" zoomScaleNormal="100" workbookViewId="0">
      <pane xSplit="2" topLeftCell="C1" activePane="topRight" state="frozen"/>
      <selection pane="topRight" activeCell="R92" sqref="R92"/>
    </sheetView>
  </sheetViews>
  <sheetFormatPr defaultRowHeight="15" x14ac:dyDescent="0.25"/>
  <cols>
    <col min="1" max="1" width="2.42578125" customWidth="1"/>
    <col min="2" max="2" width="60" customWidth="1"/>
    <col min="3" max="5" width="15.42578125" bestFit="1" customWidth="1"/>
    <col min="6" max="6" width="3.140625" customWidth="1"/>
    <col min="7" max="9" width="10.140625" bestFit="1" customWidth="1"/>
    <col min="10" max="10" width="11.28515625" bestFit="1" customWidth="1"/>
    <col min="11" max="13" width="10.140625" bestFit="1" customWidth="1"/>
    <col min="14" max="14" width="11.28515625" bestFit="1" customWidth="1"/>
    <col min="15" max="16" width="10.140625" bestFit="1" customWidth="1"/>
    <col min="17" max="17" width="10.140625" customWidth="1"/>
    <col min="18" max="18" width="0.7109375" customWidth="1"/>
    <col min="19" max="19" width="11.85546875" bestFit="1" customWidth="1"/>
    <col min="20" max="20" width="11" bestFit="1" customWidth="1"/>
    <col min="21" max="21" width="1.42578125" customWidth="1"/>
    <col min="22" max="22" width="11.42578125" bestFit="1" customWidth="1"/>
    <col min="23" max="23" width="1.5703125" customWidth="1"/>
  </cols>
  <sheetData>
    <row r="1" spans="1:22" ht="6" customHeight="1" x14ac:dyDescent="0.25"/>
    <row r="2" spans="1:22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2" x14ac:dyDescent="0.25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ht="5.25" customHeight="1" x14ac:dyDescent="0.25">
      <c r="B4" s="4"/>
    </row>
    <row r="5" spans="1:22" ht="15.75" thickBot="1" x14ac:dyDescent="0.3">
      <c r="B5" s="5"/>
      <c r="C5" s="5" t="s">
        <v>2</v>
      </c>
      <c r="D5" s="5"/>
      <c r="E5" s="5"/>
      <c r="G5" s="5" t="s">
        <v>3</v>
      </c>
      <c r="H5" s="5"/>
      <c r="I5" s="5"/>
      <c r="J5" s="5"/>
      <c r="K5" s="5"/>
      <c r="L5" s="5"/>
      <c r="M5" s="5"/>
      <c r="N5" s="5"/>
      <c r="O5" s="5"/>
      <c r="P5" s="5"/>
      <c r="Q5" s="5"/>
      <c r="S5" s="5" t="s">
        <v>4</v>
      </c>
      <c r="T5" s="5"/>
      <c r="U5" s="6"/>
      <c r="V5" s="5" t="s">
        <v>5</v>
      </c>
    </row>
    <row r="6" spans="1:22" ht="4.5" customHeight="1" x14ac:dyDescent="0.25"/>
    <row r="7" spans="1:22" x14ac:dyDescent="0.25">
      <c r="A7" t="s">
        <v>7</v>
      </c>
      <c r="B7" s="1" t="s">
        <v>8</v>
      </c>
      <c r="C7" s="7" t="s">
        <v>9</v>
      </c>
      <c r="D7" s="7" t="s">
        <v>10</v>
      </c>
      <c r="E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94</v>
      </c>
      <c r="S7" s="7" t="str">
        <f>M7</f>
        <v>3Q23</v>
      </c>
      <c r="T7" s="7" t="str">
        <f>Q7</f>
        <v>3Q24</v>
      </c>
      <c r="U7" s="8"/>
      <c r="V7" s="103" t="s">
        <v>22</v>
      </c>
    </row>
    <row r="8" spans="1:22" x14ac:dyDescent="0.25">
      <c r="B8" s="9" t="s">
        <v>24</v>
      </c>
      <c r="C8" s="10">
        <v>44561</v>
      </c>
      <c r="D8" s="10">
        <v>44926</v>
      </c>
      <c r="E8" s="10">
        <v>45291</v>
      </c>
      <c r="G8" s="11">
        <v>44651</v>
      </c>
      <c r="H8" s="11">
        <v>44742</v>
      </c>
      <c r="I8" s="11">
        <v>44834</v>
      </c>
      <c r="J8" s="11">
        <v>44926</v>
      </c>
      <c r="K8" s="11">
        <v>45016</v>
      </c>
      <c r="L8" s="11">
        <v>45107</v>
      </c>
      <c r="M8" s="11">
        <v>45199</v>
      </c>
      <c r="N8" s="11">
        <v>45291</v>
      </c>
      <c r="O8" s="11">
        <v>45382</v>
      </c>
      <c r="P8" s="11">
        <v>45473</v>
      </c>
      <c r="Q8" s="11">
        <v>45565</v>
      </c>
      <c r="S8" s="11">
        <f>M8</f>
        <v>45199</v>
      </c>
      <c r="T8" s="11">
        <f>Q8</f>
        <v>45565</v>
      </c>
      <c r="U8" s="12"/>
      <c r="V8" s="103"/>
    </row>
    <row r="9" spans="1:22" ht="3.75" customHeight="1" x14ac:dyDescent="0.25">
      <c r="B9" s="13"/>
      <c r="C9" s="12"/>
      <c r="D9" s="12"/>
      <c r="E9" s="1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S9" s="14"/>
      <c r="T9" s="14"/>
      <c r="U9" s="14"/>
    </row>
    <row r="10" spans="1:22" x14ac:dyDescent="0.25">
      <c r="B10" s="78" t="s">
        <v>25</v>
      </c>
      <c r="C10" s="12"/>
      <c r="D10" s="12"/>
      <c r="E10" s="12"/>
      <c r="G10" s="14"/>
      <c r="H10" s="14"/>
      <c r="I10" s="15"/>
      <c r="J10" s="15"/>
      <c r="K10" s="16"/>
      <c r="L10" s="16"/>
      <c r="M10" s="16"/>
      <c r="N10" s="16"/>
      <c r="O10" s="16"/>
      <c r="P10" s="16"/>
      <c r="Q10" s="16"/>
      <c r="S10" s="14"/>
      <c r="T10" s="14"/>
      <c r="U10" s="14"/>
    </row>
    <row r="11" spans="1:22" x14ac:dyDescent="0.25">
      <c r="B11" s="17" t="s">
        <v>26</v>
      </c>
      <c r="C11" s="18">
        <v>24813</v>
      </c>
      <c r="D11" s="18">
        <v>68032</v>
      </c>
      <c r="E11" s="18">
        <v>89423</v>
      </c>
      <c r="G11" s="18">
        <v>14906</v>
      </c>
      <c r="H11" s="18">
        <v>16948</v>
      </c>
      <c r="I11" s="18">
        <v>18526</v>
      </c>
      <c r="J11" s="80">
        <f>SUM(D11-SUM(G11:I11))</f>
        <v>17652</v>
      </c>
      <c r="K11" s="18">
        <v>22120</v>
      </c>
      <c r="L11" s="18">
        <v>24969</v>
      </c>
      <c r="M11" s="18">
        <v>23603</v>
      </c>
      <c r="N11" s="80">
        <f>SUM(E11-SUM(K11:M11))</f>
        <v>18731</v>
      </c>
      <c r="O11" s="18">
        <v>16233</v>
      </c>
      <c r="P11" s="18">
        <v>15198</v>
      </c>
      <c r="Q11" s="18">
        <v>17676</v>
      </c>
      <c r="S11" s="22">
        <f t="shared" ref="S11:S13" si="0">SUM(J11:M11)</f>
        <v>88344</v>
      </c>
      <c r="T11" s="22">
        <f t="shared" ref="T11:T13" si="1">SUM(N11:Q11)</f>
        <v>67838</v>
      </c>
      <c r="U11" s="19"/>
      <c r="V11" s="20">
        <f>SUM(T11/S11)-1</f>
        <v>-0.23211536720094172</v>
      </c>
    </row>
    <row r="12" spans="1:22" x14ac:dyDescent="0.25">
      <c r="B12" s="17" t="s">
        <v>27</v>
      </c>
      <c r="C12" s="21">
        <v>8055</v>
      </c>
      <c r="D12" s="21">
        <v>11988</v>
      </c>
      <c r="E12" s="21">
        <v>16534</v>
      </c>
      <c r="G12" s="21">
        <v>2915</v>
      </c>
      <c r="H12" s="21">
        <v>2969</v>
      </c>
      <c r="I12" s="21">
        <v>2819</v>
      </c>
      <c r="J12" s="61">
        <f>SUM(D12-SUM(G12:I12))</f>
        <v>3285</v>
      </c>
      <c r="K12" s="21">
        <v>4392</v>
      </c>
      <c r="L12" s="21">
        <v>3808</v>
      </c>
      <c r="M12" s="21">
        <v>4276</v>
      </c>
      <c r="N12" s="80">
        <f>SUM(E12-SUM(K12:M12))</f>
        <v>4058</v>
      </c>
      <c r="O12" s="21">
        <v>3701</v>
      </c>
      <c r="P12" s="21">
        <v>46204</v>
      </c>
      <c r="Q12" s="21">
        <v>12947</v>
      </c>
      <c r="S12" s="22">
        <f t="shared" si="0"/>
        <v>15761</v>
      </c>
      <c r="T12" s="22">
        <f t="shared" si="1"/>
        <v>66910</v>
      </c>
      <c r="U12" s="22"/>
      <c r="V12" s="20">
        <f>SUM(T12/S12)-1</f>
        <v>3.24528900450479</v>
      </c>
    </row>
    <row r="13" spans="1:22" x14ac:dyDescent="0.25">
      <c r="B13" s="17" t="s">
        <v>28</v>
      </c>
      <c r="C13" s="21"/>
      <c r="D13" s="21"/>
      <c r="E13" s="21"/>
      <c r="G13" s="21"/>
      <c r="H13" s="21"/>
      <c r="I13" s="21"/>
      <c r="J13" s="21"/>
      <c r="K13" s="21"/>
      <c r="L13" s="21"/>
      <c r="M13" s="21"/>
      <c r="N13" s="18"/>
      <c r="O13" s="21"/>
      <c r="P13" s="21"/>
      <c r="Q13" s="21"/>
      <c r="S13" s="22">
        <f t="shared" si="0"/>
        <v>0</v>
      </c>
      <c r="T13" s="22">
        <f t="shared" si="1"/>
        <v>0</v>
      </c>
      <c r="U13" s="22"/>
      <c r="V13" s="20"/>
    </row>
    <row r="14" spans="1:22" x14ac:dyDescent="0.25">
      <c r="B14" s="23" t="s">
        <v>29</v>
      </c>
      <c r="C14" s="24">
        <f>SUM(C11:C13)</f>
        <v>32868</v>
      </c>
      <c r="D14" s="24">
        <f t="shared" ref="D14:E14" si="2">SUM(D11:D13)</f>
        <v>80020</v>
      </c>
      <c r="E14" s="24">
        <f t="shared" si="2"/>
        <v>105957</v>
      </c>
      <c r="G14" s="24">
        <f t="shared" ref="G14" si="3">SUM(G11:G13)</f>
        <v>17821</v>
      </c>
      <c r="H14" s="24">
        <f t="shared" ref="H14" si="4">SUM(H11:H13)</f>
        <v>19917</v>
      </c>
      <c r="I14" s="24">
        <f t="shared" ref="I14" si="5">SUM(I11:I13)</f>
        <v>21345</v>
      </c>
      <c r="J14" s="24">
        <f t="shared" ref="J14" si="6">SUM(J11:J13)</f>
        <v>20937</v>
      </c>
      <c r="K14" s="24">
        <f t="shared" ref="K14" si="7">SUM(K11:K13)</f>
        <v>26512</v>
      </c>
      <c r="L14" s="24">
        <f t="shared" ref="L14" si="8">SUM(L11:L13)</f>
        <v>28777</v>
      </c>
      <c r="M14" s="24">
        <f t="shared" ref="M14" si="9">SUM(M11:M13)</f>
        <v>27879</v>
      </c>
      <c r="N14" s="24">
        <f t="shared" ref="N14" si="10">SUM(N11:N13)</f>
        <v>22789</v>
      </c>
      <c r="O14" s="24">
        <f t="shared" ref="O14" si="11">SUM(O11:O13)</f>
        <v>19934</v>
      </c>
      <c r="P14" s="24">
        <f t="shared" ref="P14" si="12">SUM(P11:P13)</f>
        <v>61402</v>
      </c>
      <c r="Q14" s="24">
        <f t="shared" ref="Q14" si="13">SUM(Q11:Q13)</f>
        <v>30623</v>
      </c>
      <c r="S14" s="24">
        <f t="shared" ref="S14" si="14">SUM(S11:S13)</f>
        <v>104105</v>
      </c>
      <c r="T14" s="24">
        <f t="shared" ref="T14" si="15">SUM(T11:T13)</f>
        <v>134748</v>
      </c>
      <c r="U14" s="27"/>
      <c r="V14" s="28">
        <f>SUM(T14/S14)-1</f>
        <v>0.29434705345564582</v>
      </c>
    </row>
    <row r="15" spans="1:22" x14ac:dyDescent="0.25">
      <c r="B15" s="29" t="s">
        <v>30</v>
      </c>
      <c r="C15" s="30"/>
      <c r="D15" s="16">
        <f>D14/C14-1</f>
        <v>1.4345868321771937</v>
      </c>
      <c r="E15" s="16">
        <f>E14/D14-1</f>
        <v>0.32413146713321672</v>
      </c>
      <c r="F15" s="16"/>
      <c r="H15" s="16">
        <f t="shared" ref="H15:Q15" si="16">H14/G14-1</f>
        <v>0.11761405083889787</v>
      </c>
      <c r="I15" s="16">
        <f t="shared" si="16"/>
        <v>7.1697544810965574E-2</v>
      </c>
      <c r="J15" s="16">
        <f t="shared" si="16"/>
        <v>-1.9114546732255766E-2</v>
      </c>
      <c r="K15" s="16">
        <f t="shared" si="16"/>
        <v>0.26627501552275867</v>
      </c>
      <c r="L15" s="16">
        <f t="shared" si="16"/>
        <v>8.5433011466505837E-2</v>
      </c>
      <c r="M15" s="16">
        <f t="shared" si="16"/>
        <v>-3.1205476595892567E-2</v>
      </c>
      <c r="N15" s="16">
        <f t="shared" si="16"/>
        <v>-0.18257469780121238</v>
      </c>
      <c r="O15" s="16">
        <f>O14/N14-1</f>
        <v>-0.12527974022554744</v>
      </c>
      <c r="P15" s="16">
        <f t="shared" si="16"/>
        <v>2.0802648740844787</v>
      </c>
      <c r="Q15" s="16">
        <f t="shared" si="16"/>
        <v>-0.50127031692778745</v>
      </c>
      <c r="T15" s="16">
        <f>T14/S14-1</f>
        <v>0.29434705345564582</v>
      </c>
      <c r="U15" s="27"/>
      <c r="V15" s="31"/>
    </row>
    <row r="16" spans="1:22" ht="2.25" customHeight="1" x14ac:dyDescent="0.25">
      <c r="B16" s="32" t="s">
        <v>31</v>
      </c>
      <c r="C16" s="30">
        <v>49</v>
      </c>
      <c r="D16" s="30">
        <v>2777</v>
      </c>
      <c r="E16" s="30">
        <v>7833</v>
      </c>
      <c r="G16" s="30"/>
      <c r="H16" s="30"/>
      <c r="I16" s="30"/>
      <c r="J16" s="30"/>
      <c r="K16" s="30"/>
      <c r="L16" s="30">
        <v>-28777</v>
      </c>
      <c r="M16" s="30">
        <v>-27879</v>
      </c>
      <c r="N16" s="30"/>
      <c r="O16" s="30">
        <v>-19934</v>
      </c>
      <c r="P16" s="30">
        <v>-61402</v>
      </c>
      <c r="Q16" s="30"/>
      <c r="S16" s="33"/>
      <c r="T16" s="33"/>
      <c r="U16" s="33"/>
      <c r="V16" s="34"/>
    </row>
    <row r="17" spans="1:22" x14ac:dyDescent="0.25">
      <c r="B17" s="35" t="s">
        <v>31</v>
      </c>
      <c r="C17" s="21">
        <v>49</v>
      </c>
      <c r="D17" s="21">
        <v>2777</v>
      </c>
      <c r="E17" s="21">
        <v>7833</v>
      </c>
      <c r="G17" s="21">
        <v>31</v>
      </c>
      <c r="H17" s="21">
        <v>314</v>
      </c>
      <c r="I17" s="21">
        <v>878</v>
      </c>
      <c r="J17" s="61">
        <f>SUM(D17-SUM(G17:I17))</f>
        <v>1554</v>
      </c>
      <c r="K17" s="21">
        <v>2051</v>
      </c>
      <c r="L17" s="21">
        <v>2198</v>
      </c>
      <c r="M17" s="21">
        <v>2005</v>
      </c>
      <c r="N17" s="61">
        <f>SUM(E17-SUM(K17:M17))</f>
        <v>1579</v>
      </c>
      <c r="O17" s="21">
        <v>1776</v>
      </c>
      <c r="P17" s="21">
        <v>2316</v>
      </c>
      <c r="Q17" s="21">
        <v>2618</v>
      </c>
      <c r="S17" s="22">
        <f t="shared" ref="S17:S19" si="17">SUM(J17:M17)</f>
        <v>7808</v>
      </c>
      <c r="T17" s="22">
        <f t="shared" ref="T17:T19" si="18">SUM(N17:Q17)</f>
        <v>8289</v>
      </c>
      <c r="U17" s="22"/>
      <c r="V17" s="20">
        <f>SUM(T17/S17)-1</f>
        <v>6.1603483606557319E-2</v>
      </c>
    </row>
    <row r="18" spans="1:22" x14ac:dyDescent="0.25">
      <c r="B18" s="35" t="s">
        <v>32</v>
      </c>
      <c r="C18" s="21">
        <v>434</v>
      </c>
      <c r="D18" s="21">
        <v>997</v>
      </c>
      <c r="E18" s="21">
        <v>907</v>
      </c>
      <c r="G18" s="21">
        <v>263</v>
      </c>
      <c r="H18" s="21">
        <v>275</v>
      </c>
      <c r="I18" s="21">
        <v>210</v>
      </c>
      <c r="J18" s="61">
        <f>SUM(D18-SUM(G18:I18))</f>
        <v>249</v>
      </c>
      <c r="K18" s="21">
        <v>190</v>
      </c>
      <c r="L18" s="21">
        <v>203</v>
      </c>
      <c r="M18" s="21">
        <v>223</v>
      </c>
      <c r="N18" s="61">
        <f>SUM(E18-SUM(K18:M18))</f>
        <v>291</v>
      </c>
      <c r="O18" s="21">
        <v>160</v>
      </c>
      <c r="P18" s="21">
        <v>99</v>
      </c>
      <c r="Q18" s="21">
        <v>62</v>
      </c>
      <c r="S18" s="22">
        <f t="shared" si="17"/>
        <v>865</v>
      </c>
      <c r="T18" s="22">
        <f t="shared" si="18"/>
        <v>612</v>
      </c>
      <c r="U18" s="22"/>
      <c r="V18" s="20">
        <f>SUM(T18/S18)-1</f>
        <v>-0.292485549132948</v>
      </c>
    </row>
    <row r="19" spans="1:22" x14ac:dyDescent="0.25">
      <c r="B19" s="35" t="s">
        <v>33</v>
      </c>
      <c r="C19" s="21"/>
      <c r="D19" s="21"/>
      <c r="E19" s="21"/>
      <c r="G19" s="21"/>
      <c r="H19" s="21"/>
      <c r="I19" s="21"/>
      <c r="J19" s="21"/>
      <c r="K19" s="21"/>
      <c r="L19" s="21"/>
      <c r="M19" s="21"/>
      <c r="N19" s="21"/>
      <c r="O19" s="21">
        <v>43041</v>
      </c>
      <c r="P19" s="21">
        <v>65142</v>
      </c>
      <c r="Q19" s="21">
        <v>0</v>
      </c>
      <c r="S19" s="22">
        <f t="shared" si="17"/>
        <v>0</v>
      </c>
      <c r="T19" s="22">
        <f t="shared" si="18"/>
        <v>108183</v>
      </c>
      <c r="U19" s="22"/>
      <c r="V19" s="20" t="e">
        <f>SUM(T19/S19)-1</f>
        <v>#DIV/0!</v>
      </c>
    </row>
    <row r="20" spans="1:22" x14ac:dyDescent="0.25">
      <c r="B20" s="36" t="s">
        <v>34</v>
      </c>
      <c r="C20" s="37">
        <v>-32385</v>
      </c>
      <c r="D20" s="37">
        <v>-76246</v>
      </c>
      <c r="E20" s="37">
        <v>-97217</v>
      </c>
      <c r="G20" s="37">
        <v>-17527</v>
      </c>
      <c r="H20" s="37">
        <v>-19328</v>
      </c>
      <c r="I20" s="37">
        <v>-20257</v>
      </c>
      <c r="J20" s="25">
        <f>SUM(D20-SUM(G20:I20))</f>
        <v>-19134</v>
      </c>
      <c r="K20" s="37">
        <f>SUM(K17:K18)-K14</f>
        <v>-24271</v>
      </c>
      <c r="L20" s="37">
        <f>SUM(L17:L18)-L14</f>
        <v>-26376</v>
      </c>
      <c r="M20" s="37">
        <f>SUM(M17:M18)-M14</f>
        <v>-25651</v>
      </c>
      <c r="N20" s="37">
        <f>SUM(N17:N18)-N14</f>
        <v>-20919</v>
      </c>
      <c r="O20" s="37">
        <v>25043</v>
      </c>
      <c r="P20" s="37">
        <f>SUM(P17:P19)-P14</f>
        <v>6155</v>
      </c>
      <c r="Q20" s="37">
        <f>SUM(Q17:Q19)-Q14</f>
        <v>-27943</v>
      </c>
      <c r="S20" s="37">
        <f t="shared" ref="S20:T20" si="19">SUM(S17:S19)-S14</f>
        <v>-95432</v>
      </c>
      <c r="T20" s="37">
        <f t="shared" si="19"/>
        <v>-17664</v>
      </c>
      <c r="U20" s="27"/>
      <c r="V20" s="28">
        <f>SUM(T20/S20)-1</f>
        <v>-0.8149048537178305</v>
      </c>
    </row>
    <row r="21" spans="1:22" x14ac:dyDescent="0.25">
      <c r="B21" s="29" t="s">
        <v>30</v>
      </c>
      <c r="C21" s="38"/>
      <c r="D21" s="16">
        <f>D20/C20-1</f>
        <v>1.3543615871545467</v>
      </c>
      <c r="E21" s="16">
        <f>E20/D20-1</f>
        <v>0.27504393673110727</v>
      </c>
      <c r="F21" s="16"/>
      <c r="H21" s="16">
        <f t="shared" ref="H21:Q21" si="20">H20/G20-1</f>
        <v>0.10275574827409151</v>
      </c>
      <c r="I21" s="16">
        <f t="shared" si="20"/>
        <v>4.8064983443708575E-2</v>
      </c>
      <c r="J21" s="16">
        <f t="shared" si="20"/>
        <v>-5.5437626499481696E-2</v>
      </c>
      <c r="K21" s="16">
        <f t="shared" si="20"/>
        <v>0.26847496602905818</v>
      </c>
      <c r="L21" s="16">
        <f t="shared" si="20"/>
        <v>8.6729018169832361E-2</v>
      </c>
      <c r="M21" s="16">
        <f t="shared" si="20"/>
        <v>-2.7487109493478878E-2</v>
      </c>
      <c r="N21" s="16">
        <f t="shared" si="20"/>
        <v>-0.18447623874312891</v>
      </c>
      <c r="O21" s="16">
        <f>O20/N20-1</f>
        <v>-2.1971413547492711</v>
      </c>
      <c r="P21" s="16">
        <f t="shared" si="20"/>
        <v>-0.75422273689254482</v>
      </c>
      <c r="Q21" s="16">
        <f t="shared" si="20"/>
        <v>-5.5398862713241268</v>
      </c>
      <c r="T21" s="16">
        <f>T20/S20-1</f>
        <v>-0.8149048537178305</v>
      </c>
      <c r="U21" s="39"/>
      <c r="V21" s="40"/>
    </row>
    <row r="22" spans="1:22" x14ac:dyDescent="0.25">
      <c r="B22" s="29"/>
      <c r="C22" s="38"/>
      <c r="D22" s="16"/>
      <c r="E22" s="16"/>
      <c r="F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T22" s="16"/>
      <c r="U22" s="39"/>
      <c r="V22" s="40"/>
    </row>
    <row r="23" spans="1:22" x14ac:dyDescent="0.25">
      <c r="A23" t="s">
        <v>7</v>
      </c>
      <c r="B23" s="1" t="s">
        <v>35</v>
      </c>
      <c r="C23" s="41"/>
      <c r="D23" s="41"/>
      <c r="E23" s="4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2" x14ac:dyDescent="0.25">
      <c r="B24" s="42" t="s">
        <v>36</v>
      </c>
      <c r="C24" s="43"/>
      <c r="D24" s="43"/>
      <c r="E24" s="4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2" ht="3.75" customHeight="1" x14ac:dyDescent="0.25">
      <c r="B25" s="83"/>
      <c r="C25" s="44"/>
      <c r="D25" s="44"/>
      <c r="E25" s="44"/>
    </row>
    <row r="26" spans="1:22" x14ac:dyDescent="0.25">
      <c r="B26" s="45" t="s">
        <v>96</v>
      </c>
      <c r="D26" s="21"/>
      <c r="E26" s="21"/>
    </row>
    <row r="27" spans="1:22" ht="15.75" x14ac:dyDescent="0.25">
      <c r="B27" s="17" t="s">
        <v>37</v>
      </c>
      <c r="C27" s="46">
        <v>233437</v>
      </c>
      <c r="D27" s="46">
        <v>201015</v>
      </c>
      <c r="E27" s="21">
        <v>121136</v>
      </c>
      <c r="G27" s="21">
        <v>209693</v>
      </c>
      <c r="H27" s="21">
        <v>197232</v>
      </c>
      <c r="I27" s="21">
        <v>174662</v>
      </c>
      <c r="J27" s="81">
        <f t="shared" ref="J27:J36" si="21">D27</f>
        <v>201015</v>
      </c>
      <c r="K27" s="21">
        <v>187467</v>
      </c>
      <c r="L27" s="21">
        <v>168438</v>
      </c>
      <c r="M27" s="21">
        <v>142350</v>
      </c>
      <c r="N27" s="81">
        <f>E27</f>
        <v>121136</v>
      </c>
      <c r="O27" s="21">
        <v>124169</v>
      </c>
      <c r="P27" s="21">
        <v>207291</v>
      </c>
      <c r="Q27" s="21">
        <v>148978</v>
      </c>
      <c r="S27" s="22">
        <f>SUM(J27:M27)</f>
        <v>699270</v>
      </c>
      <c r="T27" s="22">
        <f>SUM(N27:Q27)</f>
        <v>601574</v>
      </c>
      <c r="U27" s="22"/>
      <c r="V27" s="20">
        <f t="shared" ref="V27:V37" si="22">SUM(T27/S27)-1</f>
        <v>-0.1397114133310452</v>
      </c>
    </row>
    <row r="28" spans="1:22" ht="15.75" x14ac:dyDescent="0.25">
      <c r="B28" s="17" t="s">
        <v>38</v>
      </c>
      <c r="C28" s="46">
        <v>11045</v>
      </c>
      <c r="D28" s="46">
        <v>10211</v>
      </c>
      <c r="E28" s="21">
        <v>8497</v>
      </c>
      <c r="G28" s="21">
        <v>12507</v>
      </c>
      <c r="H28" s="21">
        <v>6969</v>
      </c>
      <c r="I28" s="21">
        <v>8610</v>
      </c>
      <c r="J28" s="81">
        <f t="shared" si="21"/>
        <v>10211</v>
      </c>
      <c r="K28" s="21">
        <v>7532</v>
      </c>
      <c r="L28" s="21">
        <v>6095</v>
      </c>
      <c r="M28" s="21">
        <v>7834</v>
      </c>
      <c r="N28" s="81">
        <f>E28</f>
        <v>8497</v>
      </c>
      <c r="O28" s="21">
        <v>9830</v>
      </c>
      <c r="P28" s="21">
        <v>14831</v>
      </c>
      <c r="Q28" s="21">
        <v>13571</v>
      </c>
      <c r="S28" s="22">
        <f>SUM(J28:M28)</f>
        <v>31672</v>
      </c>
      <c r="T28" s="22">
        <f>SUM(N28:Q28)</f>
        <v>46729</v>
      </c>
      <c r="U28" s="22"/>
      <c r="V28" s="20">
        <f t="shared" si="22"/>
        <v>0.47540414246021712</v>
      </c>
    </row>
    <row r="29" spans="1:22" ht="15.75" x14ac:dyDescent="0.25">
      <c r="B29" s="17" t="s">
        <v>99</v>
      </c>
      <c r="C29" s="86"/>
      <c r="D29" s="86"/>
      <c r="E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21">
        <v>40000</v>
      </c>
      <c r="S29" s="22">
        <f>SUM(J29:M29)</f>
        <v>0</v>
      </c>
      <c r="T29" s="22">
        <f>SUM(N29:Q29)</f>
        <v>40000</v>
      </c>
      <c r="U29" s="22"/>
      <c r="V29" s="20"/>
    </row>
    <row r="30" spans="1:22" x14ac:dyDescent="0.25">
      <c r="B30" s="36" t="s">
        <v>39</v>
      </c>
      <c r="C30" s="47">
        <f>SUM(C27:C29)</f>
        <v>244482</v>
      </c>
      <c r="D30" s="47">
        <f>SUM(D27:D29)</f>
        <v>211226</v>
      </c>
      <c r="E30" s="47">
        <f>SUM(E27:E29)</f>
        <v>129633</v>
      </c>
      <c r="G30" s="47">
        <f t="shared" ref="G30:Q30" si="23">SUM(G27:G29)</f>
        <v>222200</v>
      </c>
      <c r="H30" s="47">
        <f t="shared" si="23"/>
        <v>204201</v>
      </c>
      <c r="I30" s="47">
        <f t="shared" si="23"/>
        <v>183272</v>
      </c>
      <c r="J30" s="47">
        <f t="shared" si="23"/>
        <v>211226</v>
      </c>
      <c r="K30" s="47">
        <f t="shared" si="23"/>
        <v>194999</v>
      </c>
      <c r="L30" s="47">
        <f t="shared" si="23"/>
        <v>174533</v>
      </c>
      <c r="M30" s="47">
        <f t="shared" si="23"/>
        <v>150184</v>
      </c>
      <c r="N30" s="47">
        <f t="shared" si="23"/>
        <v>129633</v>
      </c>
      <c r="O30" s="47">
        <f t="shared" si="23"/>
        <v>133999</v>
      </c>
      <c r="P30" s="47">
        <f t="shared" si="23"/>
        <v>222122</v>
      </c>
      <c r="Q30" s="47">
        <f t="shared" si="23"/>
        <v>202549</v>
      </c>
      <c r="S30" s="47">
        <f t="shared" ref="S30" si="24">SUM(S27:S29)</f>
        <v>730942</v>
      </c>
      <c r="T30" s="47">
        <f t="shared" ref="T30" si="25">SUM(T27:T29)</f>
        <v>688303</v>
      </c>
      <c r="U30" s="27"/>
      <c r="V30" s="28">
        <f t="shared" si="22"/>
        <v>-5.8334313803284021E-2</v>
      </c>
    </row>
    <row r="31" spans="1:22" ht="15.75" x14ac:dyDescent="0.25">
      <c r="B31" s="45"/>
      <c r="C31" s="50"/>
      <c r="D31" s="82"/>
      <c r="E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S31" s="27"/>
      <c r="T31" s="27"/>
      <c r="U31" s="27"/>
      <c r="V31" s="31"/>
    </row>
    <row r="32" spans="1:22" ht="15.75" x14ac:dyDescent="0.25">
      <c r="B32" s="45" t="s">
        <v>95</v>
      </c>
      <c r="C32" s="50"/>
      <c r="D32" s="82"/>
      <c r="E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S32" s="27"/>
      <c r="T32" s="27"/>
      <c r="U32" s="27"/>
      <c r="V32" s="28"/>
    </row>
    <row r="33" spans="2:22" ht="15.75" x14ac:dyDescent="0.25">
      <c r="B33" s="17" t="s">
        <v>40</v>
      </c>
      <c r="C33" s="46">
        <v>210</v>
      </c>
      <c r="D33" s="48">
        <v>122</v>
      </c>
      <c r="E33" s="49" t="s">
        <v>41</v>
      </c>
      <c r="G33" s="49">
        <v>188</v>
      </c>
      <c r="H33" s="49">
        <v>166</v>
      </c>
      <c r="I33" s="49">
        <v>144</v>
      </c>
      <c r="J33" s="81">
        <f t="shared" si="21"/>
        <v>122</v>
      </c>
      <c r="K33" s="49" t="s">
        <v>41</v>
      </c>
      <c r="L33" s="49" t="s">
        <v>41</v>
      </c>
      <c r="M33" s="49" t="s">
        <v>41</v>
      </c>
      <c r="N33" s="81" t="str">
        <f>E33</f>
        <v>—</v>
      </c>
      <c r="O33" s="49" t="s">
        <v>42</v>
      </c>
      <c r="P33" s="49" t="s">
        <v>42</v>
      </c>
      <c r="Q33" s="49"/>
      <c r="S33" s="22">
        <f>SUM(J33:M33)</f>
        <v>122</v>
      </c>
      <c r="T33" s="22">
        <f>SUM(N33:Q33)</f>
        <v>0</v>
      </c>
      <c r="U33" s="22"/>
      <c r="V33" s="20">
        <f t="shared" si="22"/>
        <v>-1</v>
      </c>
    </row>
    <row r="34" spans="2:22" ht="15.75" x14ac:dyDescent="0.25">
      <c r="B34" s="17" t="s">
        <v>43</v>
      </c>
      <c r="C34" s="46">
        <v>20616</v>
      </c>
      <c r="D34" s="46">
        <v>22864</v>
      </c>
      <c r="E34" s="49">
        <v>21854</v>
      </c>
      <c r="G34" s="49">
        <v>20863</v>
      </c>
      <c r="H34" s="49">
        <v>22155</v>
      </c>
      <c r="I34" s="49">
        <v>23130</v>
      </c>
      <c r="J34" s="81">
        <f t="shared" si="21"/>
        <v>22864</v>
      </c>
      <c r="K34" s="49">
        <v>22609</v>
      </c>
      <c r="L34" s="49">
        <v>22328</v>
      </c>
      <c r="M34" s="49">
        <v>22077</v>
      </c>
      <c r="N34" s="81">
        <f>E34</f>
        <v>21854</v>
      </c>
      <c r="O34" s="49">
        <v>21604</v>
      </c>
      <c r="P34" s="49">
        <v>21364</v>
      </c>
      <c r="Q34" s="49">
        <v>21135</v>
      </c>
      <c r="S34" s="22">
        <f>SUM(J34:M34)</f>
        <v>89878</v>
      </c>
      <c r="T34" s="22">
        <f>SUM(N34:Q34)</f>
        <v>85957</v>
      </c>
      <c r="U34" s="22"/>
      <c r="V34" s="20">
        <f t="shared" si="22"/>
        <v>-4.3625803867464841E-2</v>
      </c>
    </row>
    <row r="35" spans="2:22" ht="15.75" x14ac:dyDescent="0.25">
      <c r="B35" s="17" t="s">
        <v>44</v>
      </c>
      <c r="C35" s="46">
        <v>1075</v>
      </c>
      <c r="D35" s="46">
        <v>622</v>
      </c>
      <c r="E35" s="49">
        <v>176</v>
      </c>
      <c r="G35" s="49">
        <v>940</v>
      </c>
      <c r="H35" s="49">
        <v>859</v>
      </c>
      <c r="I35" s="49">
        <v>740</v>
      </c>
      <c r="J35" s="81">
        <f t="shared" si="21"/>
        <v>622</v>
      </c>
      <c r="K35" s="49">
        <v>503</v>
      </c>
      <c r="L35" s="49">
        <v>387</v>
      </c>
      <c r="M35" s="49">
        <v>268</v>
      </c>
      <c r="N35" s="81">
        <f>E35</f>
        <v>176</v>
      </c>
      <c r="O35" s="49">
        <v>115</v>
      </c>
      <c r="P35" s="49">
        <v>82</v>
      </c>
      <c r="Q35" s="49"/>
      <c r="S35" s="22">
        <f>SUM(J35:M35)</f>
        <v>1780</v>
      </c>
      <c r="T35" s="22">
        <f>SUM(N35:Q35)</f>
        <v>373</v>
      </c>
      <c r="U35" s="22"/>
      <c r="V35" s="20">
        <f t="shared" si="22"/>
        <v>-0.79044943820224722</v>
      </c>
    </row>
    <row r="36" spans="2:22" ht="15.75" x14ac:dyDescent="0.25">
      <c r="B36" s="17" t="s">
        <v>45</v>
      </c>
      <c r="C36" s="46">
        <v>399</v>
      </c>
      <c r="D36" s="46"/>
      <c r="E36" s="49"/>
      <c r="G36" s="49" t="s">
        <v>41</v>
      </c>
      <c r="H36" s="49" t="s">
        <v>41</v>
      </c>
      <c r="I36" s="49" t="s">
        <v>41</v>
      </c>
      <c r="J36" s="81">
        <f t="shared" si="21"/>
        <v>0</v>
      </c>
      <c r="K36" s="49"/>
      <c r="L36" s="49" t="s">
        <v>42</v>
      </c>
      <c r="M36" s="49" t="s">
        <v>42</v>
      </c>
      <c r="N36" s="81">
        <f>E36</f>
        <v>0</v>
      </c>
      <c r="O36" s="49"/>
      <c r="P36" s="49"/>
      <c r="Q36" s="49"/>
      <c r="S36" s="22">
        <f>SUM(J36:M36)</f>
        <v>0</v>
      </c>
      <c r="T36" s="22">
        <f>SUM(N36:Q36)</f>
        <v>0</v>
      </c>
      <c r="U36" s="22"/>
      <c r="V36" s="20" t="e">
        <f t="shared" si="22"/>
        <v>#DIV/0!</v>
      </c>
    </row>
    <row r="37" spans="2:22" x14ac:dyDescent="0.25">
      <c r="B37" s="36" t="s">
        <v>46</v>
      </c>
      <c r="C37" s="54">
        <f>SUM(C33:C36)+C30</f>
        <v>266782</v>
      </c>
      <c r="D37" s="54">
        <f t="shared" ref="D37:E37" si="26">SUM(D33:D36)+D30</f>
        <v>234834</v>
      </c>
      <c r="E37" s="54">
        <f t="shared" si="26"/>
        <v>151663</v>
      </c>
      <c r="G37" s="54">
        <f t="shared" ref="G37" si="27">SUM(G33:G36)+G30</f>
        <v>244191</v>
      </c>
      <c r="H37" s="54">
        <f t="shared" ref="H37" si="28">SUM(H33:H36)+H30</f>
        <v>227381</v>
      </c>
      <c r="I37" s="54">
        <f t="shared" ref="I37" si="29">SUM(I33:I36)+I30</f>
        <v>207286</v>
      </c>
      <c r="J37" s="54">
        <f t="shared" ref="J37" si="30">SUM(J33:J36)+J30</f>
        <v>234834</v>
      </c>
      <c r="K37" s="54">
        <f t="shared" ref="K37" si="31">SUM(K33:K36)+K30</f>
        <v>218111</v>
      </c>
      <c r="L37" s="54">
        <f t="shared" ref="L37" si="32">SUM(L33:L36)+L30</f>
        <v>197248</v>
      </c>
      <c r="M37" s="54">
        <f t="shared" ref="M37" si="33">SUM(M33:M36)+M30</f>
        <v>172529</v>
      </c>
      <c r="N37" s="54">
        <f t="shared" ref="N37" si="34">SUM(N33:N36)+N30</f>
        <v>151663</v>
      </c>
      <c r="O37" s="54">
        <f t="shared" ref="O37" si="35">SUM(O33:O36)+O30</f>
        <v>155718</v>
      </c>
      <c r="P37" s="54">
        <f t="shared" ref="P37" si="36">SUM(P33:P36)+P30</f>
        <v>243568</v>
      </c>
      <c r="Q37" s="54">
        <f t="shared" ref="Q37" si="37">SUM(Q33:Q36)+Q30</f>
        <v>223684</v>
      </c>
      <c r="S37" s="26">
        <f>SUM(I37:L37)</f>
        <v>857479</v>
      </c>
      <c r="T37" s="26">
        <f>SUM(M37:P37)</f>
        <v>723478</v>
      </c>
      <c r="U37" s="27"/>
      <c r="V37" s="28">
        <f t="shared" si="22"/>
        <v>-0.15627321485424128</v>
      </c>
    </row>
    <row r="38" spans="2:22" ht="15.75" x14ac:dyDescent="0.25">
      <c r="B38" s="45"/>
      <c r="C38" s="84"/>
      <c r="D38" s="84"/>
      <c r="E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S38" s="27"/>
      <c r="T38" s="27"/>
      <c r="U38" s="27"/>
      <c r="V38" s="28"/>
    </row>
    <row r="39" spans="2:22" s="52" customFormat="1" ht="15.75" x14ac:dyDescent="0.25">
      <c r="B39" s="45" t="s">
        <v>97</v>
      </c>
      <c r="C39" s="50"/>
      <c r="D39" s="50"/>
      <c r="E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S39" s="51"/>
      <c r="T39" s="51"/>
      <c r="U39" s="51"/>
    </row>
    <row r="40" spans="2:22" ht="15.75" x14ac:dyDescent="0.25">
      <c r="B40" s="17" t="s">
        <v>47</v>
      </c>
      <c r="C40" s="46">
        <v>7126</v>
      </c>
      <c r="D40" s="48">
        <v>4017</v>
      </c>
      <c r="E40" s="49">
        <v>10573</v>
      </c>
      <c r="G40" s="49">
        <v>3332</v>
      </c>
      <c r="H40" s="49">
        <v>4758</v>
      </c>
      <c r="I40" s="49">
        <v>3534</v>
      </c>
      <c r="J40" s="81">
        <f t="shared" ref="J40:J50" si="38">D40</f>
        <v>4017</v>
      </c>
      <c r="K40" s="49">
        <v>8242</v>
      </c>
      <c r="L40" s="49">
        <v>10338</v>
      </c>
      <c r="M40" s="49">
        <v>9492</v>
      </c>
      <c r="N40" s="81">
        <f>E40</f>
        <v>10573</v>
      </c>
      <c r="O40" s="49">
        <v>9603</v>
      </c>
      <c r="P40" s="49">
        <v>52552</v>
      </c>
      <c r="Q40" s="49">
        <v>52244</v>
      </c>
      <c r="S40" s="22">
        <f t="shared" ref="S40:S45" si="39">SUM(J40:M40)</f>
        <v>32089</v>
      </c>
      <c r="T40" s="22">
        <f t="shared" ref="T40:T45" si="40">SUM(N40:Q40)</f>
        <v>124972</v>
      </c>
      <c r="U40" s="22"/>
      <c r="V40" s="20">
        <f t="shared" ref="V40:V45" si="41">SUM(T40/S40)-1</f>
        <v>2.8945433014428619</v>
      </c>
    </row>
    <row r="41" spans="2:22" ht="15.75" x14ac:dyDescent="0.25">
      <c r="B41" s="17" t="s">
        <v>48</v>
      </c>
      <c r="C41" s="46">
        <v>2803</v>
      </c>
      <c r="D41" s="48">
        <v>2280</v>
      </c>
      <c r="E41" s="49">
        <v>3037</v>
      </c>
      <c r="G41" s="49">
        <v>2925</v>
      </c>
      <c r="H41" s="49">
        <v>3318</v>
      </c>
      <c r="I41" s="49">
        <v>4096</v>
      </c>
      <c r="J41" s="81">
        <f t="shared" si="38"/>
        <v>2280</v>
      </c>
      <c r="K41" s="49">
        <v>5276</v>
      </c>
      <c r="L41" s="49">
        <v>7044</v>
      </c>
      <c r="M41" s="49">
        <v>7344</v>
      </c>
      <c r="N41" s="81">
        <f>E41</f>
        <v>3037</v>
      </c>
      <c r="O41" s="49">
        <v>1797</v>
      </c>
      <c r="P41" s="49">
        <v>1596</v>
      </c>
      <c r="Q41" s="49">
        <v>2543</v>
      </c>
      <c r="S41" s="22">
        <f t="shared" si="39"/>
        <v>21944</v>
      </c>
      <c r="T41" s="22">
        <f t="shared" si="40"/>
        <v>8973</v>
      </c>
      <c r="U41" s="22"/>
      <c r="V41" s="20">
        <f t="shared" si="41"/>
        <v>-0.59109551585854903</v>
      </c>
    </row>
    <row r="42" spans="2:22" ht="15.75" x14ac:dyDescent="0.25">
      <c r="B42" s="17" t="s">
        <v>49</v>
      </c>
      <c r="C42" s="46">
        <v>1877</v>
      </c>
      <c r="D42" s="48">
        <v>170</v>
      </c>
      <c r="E42" s="49">
        <v>200</v>
      </c>
      <c r="G42" s="49">
        <v>172</v>
      </c>
      <c r="H42" s="49">
        <v>176</v>
      </c>
      <c r="I42" s="49">
        <v>160</v>
      </c>
      <c r="J42" s="81">
        <f t="shared" si="38"/>
        <v>170</v>
      </c>
      <c r="K42" s="49">
        <v>212</v>
      </c>
      <c r="L42" s="49">
        <v>220</v>
      </c>
      <c r="M42" s="49">
        <v>187</v>
      </c>
      <c r="N42" s="81">
        <f>E42</f>
        <v>200</v>
      </c>
      <c r="O42" s="49">
        <v>228</v>
      </c>
      <c r="P42" s="49">
        <v>218</v>
      </c>
      <c r="Q42" s="49">
        <v>1950</v>
      </c>
      <c r="S42" s="22">
        <f t="shared" si="39"/>
        <v>789</v>
      </c>
      <c r="T42" s="22">
        <f t="shared" si="40"/>
        <v>2596</v>
      </c>
      <c r="U42" s="22"/>
      <c r="V42" s="20">
        <f t="shared" si="41"/>
        <v>2.2902408111533585</v>
      </c>
    </row>
    <row r="43" spans="2:22" ht="15.75" x14ac:dyDescent="0.25">
      <c r="B43" s="17" t="s">
        <v>50</v>
      </c>
      <c r="C43" s="46">
        <v>97</v>
      </c>
      <c r="D43" s="48">
        <v>104</v>
      </c>
      <c r="E43" s="49" t="s">
        <v>41</v>
      </c>
      <c r="G43" s="49">
        <v>99</v>
      </c>
      <c r="H43" s="49">
        <v>100</v>
      </c>
      <c r="I43" s="49">
        <v>102</v>
      </c>
      <c r="J43" s="81">
        <f t="shared" si="38"/>
        <v>104</v>
      </c>
      <c r="K43" s="49" t="s">
        <v>41</v>
      </c>
      <c r="L43" s="49" t="s">
        <v>41</v>
      </c>
      <c r="M43" s="49" t="s">
        <v>41</v>
      </c>
      <c r="N43" s="81" t="str">
        <f>E43</f>
        <v>—</v>
      </c>
      <c r="O43" s="49" t="s">
        <v>42</v>
      </c>
      <c r="P43" s="49">
        <v>0</v>
      </c>
      <c r="Q43" s="49"/>
      <c r="S43" s="22">
        <f t="shared" si="39"/>
        <v>104</v>
      </c>
      <c r="T43" s="22">
        <f t="shared" si="40"/>
        <v>0</v>
      </c>
      <c r="U43" s="22"/>
      <c r="V43" s="20">
        <f t="shared" si="41"/>
        <v>-1</v>
      </c>
    </row>
    <row r="44" spans="2:22" x14ac:dyDescent="0.25">
      <c r="B44" s="17" t="s">
        <v>51</v>
      </c>
      <c r="C44" s="49" t="s">
        <v>41</v>
      </c>
      <c r="D44" s="49" t="s">
        <v>41</v>
      </c>
      <c r="E44" s="49" t="s">
        <v>41</v>
      </c>
      <c r="G44" s="49"/>
      <c r="H44" s="49"/>
      <c r="I44" s="49"/>
      <c r="J44" s="81" t="str">
        <f t="shared" si="38"/>
        <v>—</v>
      </c>
      <c r="K44" s="49" t="s">
        <v>41</v>
      </c>
      <c r="L44" s="49" t="s">
        <v>41</v>
      </c>
      <c r="M44" s="49" t="s">
        <v>41</v>
      </c>
      <c r="N44" s="81" t="s">
        <v>41</v>
      </c>
      <c r="O44" s="49">
        <v>65368</v>
      </c>
      <c r="P44" s="49">
        <v>0</v>
      </c>
      <c r="Q44" s="49"/>
      <c r="S44" s="22">
        <f t="shared" si="39"/>
        <v>0</v>
      </c>
      <c r="T44" s="22">
        <f t="shared" si="40"/>
        <v>65368</v>
      </c>
      <c r="U44" s="22"/>
      <c r="V44" s="20" t="e">
        <f t="shared" si="41"/>
        <v>#DIV/0!</v>
      </c>
    </row>
    <row r="45" spans="2:22" ht="15.75" x14ac:dyDescent="0.25">
      <c r="B45" s="17" t="s">
        <v>52</v>
      </c>
      <c r="C45" s="46">
        <v>631</v>
      </c>
      <c r="D45" s="48">
        <v>492</v>
      </c>
      <c r="E45" s="49">
        <v>385</v>
      </c>
      <c r="G45" s="49">
        <v>261</v>
      </c>
      <c r="H45" s="49">
        <v>370</v>
      </c>
      <c r="I45" s="49">
        <v>416</v>
      </c>
      <c r="J45" s="81">
        <f t="shared" si="38"/>
        <v>492</v>
      </c>
      <c r="K45" s="49">
        <v>179</v>
      </c>
      <c r="L45" s="49">
        <v>293</v>
      </c>
      <c r="M45" s="49">
        <v>391</v>
      </c>
      <c r="N45" s="81">
        <f>E45</f>
        <v>385</v>
      </c>
      <c r="O45" s="49">
        <v>125</v>
      </c>
      <c r="P45" s="49">
        <v>228</v>
      </c>
      <c r="Q45" s="49">
        <v>297</v>
      </c>
      <c r="S45" s="22">
        <f t="shared" si="39"/>
        <v>1355</v>
      </c>
      <c r="T45" s="22">
        <f t="shared" si="40"/>
        <v>1035</v>
      </c>
      <c r="U45" s="22"/>
      <c r="V45" s="20">
        <f t="shared" si="41"/>
        <v>-0.23616236162361626</v>
      </c>
    </row>
    <row r="46" spans="2:22" x14ac:dyDescent="0.25">
      <c r="B46" s="36" t="s">
        <v>53</v>
      </c>
      <c r="C46" s="54">
        <f>SUM(C40:C45)</f>
        <v>12534</v>
      </c>
      <c r="D46" s="54">
        <f t="shared" ref="D46:Q46" si="42">SUM(D40:D45)</f>
        <v>7063</v>
      </c>
      <c r="E46" s="54">
        <f t="shared" si="42"/>
        <v>14195</v>
      </c>
      <c r="G46" s="54">
        <f t="shared" si="42"/>
        <v>6789</v>
      </c>
      <c r="H46" s="54">
        <f t="shared" si="42"/>
        <v>8722</v>
      </c>
      <c r="I46" s="54">
        <f t="shared" si="42"/>
        <v>8308</v>
      </c>
      <c r="J46" s="54">
        <f t="shared" si="42"/>
        <v>7063</v>
      </c>
      <c r="K46" s="54">
        <f t="shared" si="42"/>
        <v>13909</v>
      </c>
      <c r="L46" s="54">
        <f t="shared" si="42"/>
        <v>17895</v>
      </c>
      <c r="M46" s="54">
        <f t="shared" si="42"/>
        <v>17414</v>
      </c>
      <c r="N46" s="54">
        <f t="shared" si="42"/>
        <v>14195</v>
      </c>
      <c r="O46" s="54">
        <f t="shared" si="42"/>
        <v>77121</v>
      </c>
      <c r="P46" s="54">
        <f t="shared" si="42"/>
        <v>54594</v>
      </c>
      <c r="Q46" s="54">
        <f t="shared" si="42"/>
        <v>57034</v>
      </c>
      <c r="S46" s="54">
        <f t="shared" ref="S46" si="43">SUM(S40:S45)</f>
        <v>56281</v>
      </c>
      <c r="T46" s="54">
        <f t="shared" ref="T46" si="44">SUM(T40:T45)</f>
        <v>202944</v>
      </c>
      <c r="U46" s="27"/>
      <c r="V46" s="28">
        <f>SUM(T46/S46)-1</f>
        <v>2.6059060784278887</v>
      </c>
    </row>
    <row r="47" spans="2:22" ht="15.75" x14ac:dyDescent="0.25">
      <c r="B47" s="45"/>
      <c r="C47" s="84"/>
      <c r="D47" s="85"/>
      <c r="E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S47" s="27"/>
      <c r="T47" s="27"/>
      <c r="U47" s="27"/>
      <c r="V47" s="28"/>
    </row>
    <row r="48" spans="2:22" ht="15.75" x14ac:dyDescent="0.25">
      <c r="B48" s="45" t="s">
        <v>98</v>
      </c>
      <c r="C48" s="84"/>
      <c r="D48" s="85"/>
      <c r="E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S48" s="27"/>
      <c r="T48" s="27"/>
      <c r="U48" s="27"/>
      <c r="V48" s="28"/>
    </row>
    <row r="49" spans="2:22" ht="15.75" x14ac:dyDescent="0.25">
      <c r="B49" s="17" t="s">
        <v>54</v>
      </c>
      <c r="C49" s="46">
        <v>139</v>
      </c>
      <c r="D49" s="48">
        <v>35</v>
      </c>
      <c r="E49" s="49" t="s">
        <v>41</v>
      </c>
      <c r="G49" s="49">
        <v>114</v>
      </c>
      <c r="H49" s="49">
        <v>88</v>
      </c>
      <c r="I49" s="49">
        <v>62</v>
      </c>
      <c r="J49" s="81">
        <f t="shared" si="38"/>
        <v>35</v>
      </c>
      <c r="K49" s="49" t="s">
        <v>41</v>
      </c>
      <c r="L49" s="49" t="s">
        <v>41</v>
      </c>
      <c r="M49" s="49" t="s">
        <v>41</v>
      </c>
      <c r="N49" s="81" t="str">
        <f>E49</f>
        <v>—</v>
      </c>
      <c r="O49" s="49">
        <v>0</v>
      </c>
      <c r="P49" s="49">
        <v>0</v>
      </c>
      <c r="Q49" s="49"/>
      <c r="S49" s="22">
        <f t="shared" ref="S49:S50" si="45">SUM(J49:M49)</f>
        <v>35</v>
      </c>
      <c r="T49" s="22">
        <f t="shared" ref="T49:T50" si="46">SUM(N49:Q49)</f>
        <v>0</v>
      </c>
      <c r="U49" s="22"/>
      <c r="V49" s="20">
        <f>SUM(T49/S49)-1</f>
        <v>-1</v>
      </c>
    </row>
    <row r="50" spans="2:22" ht="15.75" x14ac:dyDescent="0.25">
      <c r="B50" s="17" t="s">
        <v>55</v>
      </c>
      <c r="C50" s="46">
        <v>194</v>
      </c>
      <c r="D50" s="48">
        <v>197</v>
      </c>
      <c r="E50" s="49" t="s">
        <v>41</v>
      </c>
      <c r="G50" s="49">
        <v>194</v>
      </c>
      <c r="H50" s="49">
        <v>201</v>
      </c>
      <c r="I50" s="49">
        <v>197</v>
      </c>
      <c r="J50" s="81">
        <f t="shared" si="38"/>
        <v>197</v>
      </c>
      <c r="K50" s="49">
        <v>197</v>
      </c>
      <c r="L50" s="49" t="s">
        <v>41</v>
      </c>
      <c r="M50" s="49" t="s">
        <v>41</v>
      </c>
      <c r="N50" s="81" t="str">
        <f>E50</f>
        <v>—</v>
      </c>
      <c r="O50" s="49">
        <v>0</v>
      </c>
      <c r="P50" s="49">
        <v>0</v>
      </c>
      <c r="Q50" s="49">
        <v>80</v>
      </c>
      <c r="S50" s="22">
        <f t="shared" si="45"/>
        <v>394</v>
      </c>
      <c r="T50" s="22">
        <f t="shared" si="46"/>
        <v>80</v>
      </c>
      <c r="U50" s="22"/>
      <c r="V50" s="20">
        <f>SUM(T50/S50)-1</f>
        <v>-0.79695431472081224</v>
      </c>
    </row>
    <row r="51" spans="2:22" x14ac:dyDescent="0.25">
      <c r="B51" s="36" t="s">
        <v>56</v>
      </c>
      <c r="C51" s="47">
        <f>SUM(C49:C50)+C46</f>
        <v>12867</v>
      </c>
      <c r="D51" s="47">
        <f>SUM(D49:D50)+D46</f>
        <v>7295</v>
      </c>
      <c r="E51" s="47">
        <f>SUM(E49:E50)+E46</f>
        <v>14195</v>
      </c>
      <c r="G51" s="47">
        <f t="shared" ref="G51:Q51" si="47">SUM(G49:G50)+G46</f>
        <v>7097</v>
      </c>
      <c r="H51" s="47">
        <f t="shared" si="47"/>
        <v>9011</v>
      </c>
      <c r="I51" s="47">
        <f t="shared" si="47"/>
        <v>8567</v>
      </c>
      <c r="J51" s="47">
        <f t="shared" si="47"/>
        <v>7295</v>
      </c>
      <c r="K51" s="47">
        <f t="shared" si="47"/>
        <v>14106</v>
      </c>
      <c r="L51" s="47">
        <f t="shared" si="47"/>
        <v>17895</v>
      </c>
      <c r="M51" s="47">
        <f t="shared" si="47"/>
        <v>17414</v>
      </c>
      <c r="N51" s="47">
        <f t="shared" si="47"/>
        <v>14195</v>
      </c>
      <c r="O51" s="47">
        <f t="shared" si="47"/>
        <v>77121</v>
      </c>
      <c r="P51" s="47">
        <f t="shared" si="47"/>
        <v>54594</v>
      </c>
      <c r="Q51" s="47">
        <f t="shared" si="47"/>
        <v>57114</v>
      </c>
      <c r="S51" s="47">
        <f t="shared" ref="S51" si="48">SUM(S49:S50)+S46</f>
        <v>56710</v>
      </c>
      <c r="T51" s="47">
        <f t="shared" ref="T51" si="49">SUM(T49:T50)+T46</f>
        <v>203024</v>
      </c>
      <c r="U51" s="27"/>
      <c r="V51" s="28">
        <f>SUM(T51/S51)-1</f>
        <v>2.5800387938635163</v>
      </c>
    </row>
    <row r="52" spans="2:22" ht="15.75" x14ac:dyDescent="0.25">
      <c r="B52" s="45"/>
      <c r="C52" s="50"/>
      <c r="D52" s="82"/>
      <c r="E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S52" s="27"/>
      <c r="T52" s="27"/>
      <c r="U52" s="27"/>
      <c r="V52" s="28"/>
    </row>
    <row r="53" spans="2:22" x14ac:dyDescent="0.25">
      <c r="B53" s="45" t="s">
        <v>57</v>
      </c>
      <c r="C53" s="53"/>
      <c r="D53" s="55"/>
      <c r="E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2:22" x14ac:dyDescent="0.25">
      <c r="B54" s="17" t="s">
        <v>58</v>
      </c>
      <c r="C54" s="49"/>
      <c r="D54" s="49"/>
      <c r="E54" s="49"/>
      <c r="F54" s="56"/>
      <c r="G54" s="49"/>
      <c r="H54" s="49"/>
      <c r="I54" s="49"/>
      <c r="J54" s="81"/>
      <c r="K54" s="49"/>
      <c r="L54" s="49"/>
      <c r="M54" s="49"/>
      <c r="N54" s="81"/>
      <c r="O54" s="49"/>
      <c r="P54" s="49"/>
      <c r="Q54" s="49"/>
      <c r="S54" s="22"/>
      <c r="T54" s="22"/>
      <c r="U54" s="22"/>
      <c r="V54" s="20" t="e">
        <f>SUM(T54/S54)-1</f>
        <v>#DIV/0!</v>
      </c>
    </row>
    <row r="55" spans="2:22" x14ac:dyDescent="0.25">
      <c r="B55" s="17" t="s">
        <v>59</v>
      </c>
      <c r="C55" s="57">
        <v>40</v>
      </c>
      <c r="D55" s="57">
        <v>42</v>
      </c>
      <c r="E55" s="58">
        <v>42</v>
      </c>
      <c r="F55" s="56"/>
      <c r="G55" s="58">
        <v>40</v>
      </c>
      <c r="H55" s="58">
        <v>40</v>
      </c>
      <c r="I55" s="58">
        <v>40</v>
      </c>
      <c r="J55" s="81">
        <f>D55</f>
        <v>42</v>
      </c>
      <c r="K55" s="58">
        <v>42</v>
      </c>
      <c r="L55" s="58">
        <v>42</v>
      </c>
      <c r="M55" s="58">
        <v>42</v>
      </c>
      <c r="N55" s="81">
        <f>E55</f>
        <v>42</v>
      </c>
      <c r="O55" s="58">
        <v>43</v>
      </c>
      <c r="P55" s="58">
        <v>48</v>
      </c>
      <c r="Q55" s="58">
        <v>48</v>
      </c>
      <c r="S55" s="22">
        <f t="shared" ref="S55:S57" si="50">SUM(J55:M55)</f>
        <v>168</v>
      </c>
      <c r="T55" s="22">
        <f t="shared" ref="T55:T57" si="51">SUM(N55:Q55)</f>
        <v>181</v>
      </c>
      <c r="U55" s="22"/>
      <c r="V55" s="20">
        <f>SUM(T55/S55)-1</f>
        <v>7.7380952380952328E-2</v>
      </c>
    </row>
    <row r="56" spans="2:22" x14ac:dyDescent="0.25">
      <c r="B56" s="17" t="s">
        <v>60</v>
      </c>
      <c r="C56" s="57">
        <v>461181</v>
      </c>
      <c r="D56" s="57">
        <v>511049</v>
      </c>
      <c r="E56" s="49">
        <v>518195</v>
      </c>
      <c r="F56" s="56"/>
      <c r="G56" s="49">
        <v>461887</v>
      </c>
      <c r="H56" s="49">
        <v>462491</v>
      </c>
      <c r="I56" s="49">
        <v>463097</v>
      </c>
      <c r="J56" s="81">
        <f>D56</f>
        <v>511049</v>
      </c>
      <c r="K56" s="49">
        <v>511786</v>
      </c>
      <c r="L56" s="49">
        <v>513510</v>
      </c>
      <c r="M56" s="49">
        <v>514923</v>
      </c>
      <c r="N56" s="81">
        <f>E56</f>
        <v>518195</v>
      </c>
      <c r="O56" s="49">
        <v>434280</v>
      </c>
      <c r="P56" s="49">
        <v>538497</v>
      </c>
      <c r="Q56" s="49">
        <v>544105</v>
      </c>
      <c r="S56" s="22">
        <f t="shared" si="50"/>
        <v>2051268</v>
      </c>
      <c r="T56" s="22">
        <f t="shared" si="51"/>
        <v>2035077</v>
      </c>
      <c r="U56" s="22"/>
      <c r="V56" s="20">
        <f>SUM(T56/S56)-1</f>
        <v>-7.8931665681909458E-3</v>
      </c>
    </row>
    <row r="57" spans="2:22" x14ac:dyDescent="0.25">
      <c r="B57" s="17" t="s">
        <v>61</v>
      </c>
      <c r="C57" s="57">
        <v>-207306</v>
      </c>
      <c r="D57" s="57">
        <v>-283552</v>
      </c>
      <c r="E57" s="49">
        <v>-380769</v>
      </c>
      <c r="F57" s="56"/>
      <c r="G57" s="49">
        <v>-224833</v>
      </c>
      <c r="H57" s="49">
        <v>-244161</v>
      </c>
      <c r="I57" s="49">
        <v>-264418</v>
      </c>
      <c r="J57" s="81">
        <f>D57</f>
        <v>-283552</v>
      </c>
      <c r="K57" s="49">
        <v>-307823</v>
      </c>
      <c r="L57" s="49">
        <v>-334199</v>
      </c>
      <c r="M57" s="49">
        <v>-359850</v>
      </c>
      <c r="N57" s="81">
        <f>E57</f>
        <v>-380769</v>
      </c>
      <c r="O57" s="49">
        <v>-355726</v>
      </c>
      <c r="P57" s="49">
        <v>-349571</v>
      </c>
      <c r="Q57" s="49">
        <v>-377514</v>
      </c>
      <c r="S57" s="22">
        <f t="shared" si="50"/>
        <v>-1285424</v>
      </c>
      <c r="T57" s="22">
        <f t="shared" si="51"/>
        <v>-1463580</v>
      </c>
      <c r="U57" s="22"/>
      <c r="V57" s="20">
        <f>SUM(T57/S57)-1</f>
        <v>0.13859706991623</v>
      </c>
    </row>
    <row r="58" spans="2:22" x14ac:dyDescent="0.25">
      <c r="B58" s="36" t="s">
        <v>62</v>
      </c>
      <c r="C58" s="59">
        <f>SUM(C55:C57)</f>
        <v>253915</v>
      </c>
      <c r="D58" s="59">
        <f t="shared" ref="D58:E58" si="52">SUM(D55:D57)</f>
        <v>227539</v>
      </c>
      <c r="E58" s="59">
        <f t="shared" si="52"/>
        <v>137468</v>
      </c>
      <c r="F58" s="88"/>
      <c r="G58" s="59">
        <f t="shared" ref="G58" si="53">SUM(G55:G57)</f>
        <v>237094</v>
      </c>
      <c r="H58" s="59">
        <f t="shared" ref="H58" si="54">SUM(H55:H57)</f>
        <v>218370</v>
      </c>
      <c r="I58" s="59">
        <f t="shared" ref="I58" si="55">SUM(I55:I57)</f>
        <v>198719</v>
      </c>
      <c r="J58" s="59">
        <f t="shared" ref="J58" si="56">SUM(J55:J57)</f>
        <v>227539</v>
      </c>
      <c r="K58" s="59">
        <f t="shared" ref="K58" si="57">SUM(K55:K57)</f>
        <v>204005</v>
      </c>
      <c r="L58" s="59">
        <f t="shared" ref="L58" si="58">SUM(L55:L57)</f>
        <v>179353</v>
      </c>
      <c r="M58" s="59">
        <f t="shared" ref="M58" si="59">SUM(M55:M57)</f>
        <v>155115</v>
      </c>
      <c r="N58" s="59">
        <f t="shared" ref="N58" si="60">SUM(N55:N57)</f>
        <v>137468</v>
      </c>
      <c r="O58" s="59">
        <f t="shared" ref="O58" si="61">SUM(O55:O57)</f>
        <v>78597</v>
      </c>
      <c r="P58" s="59">
        <f t="shared" ref="P58" si="62">SUM(P55:P57)</f>
        <v>188974</v>
      </c>
      <c r="Q58" s="59">
        <f t="shared" ref="Q58" si="63">SUM(Q55:Q57)</f>
        <v>166639</v>
      </c>
      <c r="S58" s="59">
        <f t="shared" ref="S58" si="64">SUM(S55:S57)</f>
        <v>766012</v>
      </c>
      <c r="T58" s="59">
        <f t="shared" ref="T58" si="65">SUM(T55:T57)</f>
        <v>571678</v>
      </c>
      <c r="U58" s="27"/>
      <c r="V58" s="20">
        <f>SUM(T58/S58)-1</f>
        <v>-0.25369576455721321</v>
      </c>
    </row>
    <row r="59" spans="2:22" ht="6" customHeight="1" x14ac:dyDescent="0.25">
      <c r="B59" s="17"/>
      <c r="C59" s="57"/>
      <c r="D59" s="57"/>
      <c r="E59" s="49"/>
      <c r="F59" s="56"/>
      <c r="J59" s="49"/>
      <c r="K59" s="49"/>
      <c r="L59" s="49"/>
      <c r="M59" s="49"/>
      <c r="N59" s="49"/>
      <c r="O59" s="49"/>
      <c r="P59" s="49"/>
      <c r="Q59" s="49"/>
      <c r="S59" s="49"/>
      <c r="T59" s="49"/>
      <c r="U59" s="49"/>
    </row>
    <row r="60" spans="2:22" x14ac:dyDescent="0.25">
      <c r="B60" s="17" t="s">
        <v>63</v>
      </c>
      <c r="C60" s="89">
        <f>SUM(C58+C51)</f>
        <v>266782</v>
      </c>
      <c r="D60" s="89">
        <f t="shared" ref="D60:T60" si="66">SUM(D58+D51)</f>
        <v>234834</v>
      </c>
      <c r="E60" s="89">
        <f t="shared" si="66"/>
        <v>151663</v>
      </c>
      <c r="F60" s="56"/>
      <c r="G60" s="89">
        <f t="shared" si="66"/>
        <v>244191</v>
      </c>
      <c r="H60" s="89">
        <f t="shared" si="66"/>
        <v>227381</v>
      </c>
      <c r="I60" s="89">
        <f t="shared" si="66"/>
        <v>207286</v>
      </c>
      <c r="J60" s="89">
        <f t="shared" si="66"/>
        <v>234834</v>
      </c>
      <c r="K60" s="89">
        <f t="shared" si="66"/>
        <v>218111</v>
      </c>
      <c r="L60" s="89">
        <f t="shared" si="66"/>
        <v>197248</v>
      </c>
      <c r="M60" s="89">
        <f t="shared" si="66"/>
        <v>172529</v>
      </c>
      <c r="N60" s="89">
        <f t="shared" si="66"/>
        <v>151663</v>
      </c>
      <c r="O60" s="89">
        <f t="shared" si="66"/>
        <v>155718</v>
      </c>
      <c r="P60" s="89">
        <f t="shared" si="66"/>
        <v>243568</v>
      </c>
      <c r="Q60" s="89">
        <f t="shared" si="66"/>
        <v>223753</v>
      </c>
      <c r="S60" s="89">
        <f t="shared" si="66"/>
        <v>822722</v>
      </c>
      <c r="T60" s="89">
        <f t="shared" si="66"/>
        <v>774702</v>
      </c>
      <c r="U60" s="22"/>
      <c r="V60" s="20">
        <f>SUM(T60/S60)-1</f>
        <v>-5.8367224894921965E-2</v>
      </c>
    </row>
    <row r="61" spans="2:22" x14ac:dyDescent="0.25">
      <c r="B61" s="45"/>
      <c r="C61" s="60"/>
      <c r="D61" s="61"/>
      <c r="E61" s="61"/>
      <c r="F61" s="60"/>
    </row>
    <row r="62" spans="2:22" x14ac:dyDescent="0.25">
      <c r="B62" s="1" t="s">
        <v>64</v>
      </c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2" x14ac:dyDescent="0.25">
      <c r="B63" s="3" t="s">
        <v>65</v>
      </c>
      <c r="C63" s="43"/>
      <c r="D63" s="43"/>
      <c r="E63" s="4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2:22" ht="3" customHeight="1" x14ac:dyDescent="0.25">
      <c r="B64" s="4"/>
      <c r="C64" s="44"/>
      <c r="D64" s="44"/>
      <c r="E64" s="44"/>
    </row>
    <row r="65" spans="2:22" ht="15.75" x14ac:dyDescent="0.25">
      <c r="B65" s="62" t="s">
        <v>66</v>
      </c>
      <c r="C65" s="63"/>
      <c r="D65" s="63"/>
      <c r="E65" s="63"/>
    </row>
    <row r="66" spans="2:22" x14ac:dyDescent="0.25">
      <c r="B66" t="s">
        <v>34</v>
      </c>
      <c r="C66" s="64">
        <v>-32385</v>
      </c>
      <c r="D66" s="64">
        <v>-76246</v>
      </c>
      <c r="E66" s="64">
        <v>-97217</v>
      </c>
      <c r="G66" s="64">
        <v>-17527</v>
      </c>
      <c r="H66" s="64">
        <f>-36855-G66</f>
        <v>-19328</v>
      </c>
      <c r="I66" s="64">
        <f>+-57112-H66-G66</f>
        <v>-20257</v>
      </c>
      <c r="J66" s="75">
        <f>D66-G66-H66-I66</f>
        <v>-19134</v>
      </c>
      <c r="K66" s="64">
        <v>-24271</v>
      </c>
      <c r="L66" s="64">
        <f>-50647-(K66)</f>
        <v>-26376</v>
      </c>
      <c r="M66" s="64">
        <f>-76298-L66-K66</f>
        <v>-25651</v>
      </c>
      <c r="N66" s="75">
        <f>E66-M66-L66-K66</f>
        <v>-20919</v>
      </c>
      <c r="O66" s="64">
        <v>25043</v>
      </c>
      <c r="P66" s="64">
        <f>31198-O66</f>
        <v>6155</v>
      </c>
      <c r="Q66" s="64">
        <f>3255-P66-O66</f>
        <v>-27943</v>
      </c>
      <c r="S66" s="22">
        <f t="shared" ref="S66" si="67">SUM(J66:M66)</f>
        <v>-95432</v>
      </c>
      <c r="T66" s="22">
        <f t="shared" ref="T66" si="68">SUM(N66:Q66)</f>
        <v>-17664</v>
      </c>
      <c r="U66" s="22"/>
      <c r="V66" s="20">
        <f>SUM(T66/S66)-1</f>
        <v>-0.8149048537178305</v>
      </c>
    </row>
    <row r="67" spans="2:22" ht="15.75" x14ac:dyDescent="0.25">
      <c r="B67" s="65" t="s">
        <v>67</v>
      </c>
      <c r="C67" s="64"/>
      <c r="D67" s="64"/>
      <c r="E67" s="64"/>
      <c r="G67" s="64"/>
      <c r="H67" s="64"/>
      <c r="I67" s="64"/>
      <c r="J67" s="75"/>
      <c r="K67" s="64"/>
      <c r="L67" s="64"/>
      <c r="M67" s="64"/>
      <c r="N67" s="75"/>
      <c r="O67" s="64"/>
      <c r="P67" s="64"/>
      <c r="Q67" s="64"/>
      <c r="S67" s="64"/>
      <c r="T67" s="64"/>
      <c r="U67" s="66"/>
    </row>
    <row r="68" spans="2:22" x14ac:dyDescent="0.25">
      <c r="B68" t="s">
        <v>68</v>
      </c>
      <c r="C68" s="64">
        <v>1759</v>
      </c>
      <c r="D68" s="64">
        <v>2066</v>
      </c>
      <c r="E68" s="64">
        <v>4586</v>
      </c>
      <c r="G68" s="64">
        <v>495</v>
      </c>
      <c r="H68" s="64">
        <f>980-G68</f>
        <v>485</v>
      </c>
      <c r="I68" s="64">
        <f>1450-H68-G68</f>
        <v>470</v>
      </c>
      <c r="J68" s="75">
        <f>D68-G68-H68-I68</f>
        <v>616</v>
      </c>
      <c r="K68" s="64">
        <v>673</v>
      </c>
      <c r="L68" s="64">
        <f>1508-K68</f>
        <v>835</v>
      </c>
      <c r="M68" s="64">
        <f>2457-L68-K68</f>
        <v>949</v>
      </c>
      <c r="N68" s="75">
        <f>E68-M68-L68-K68</f>
        <v>2129</v>
      </c>
      <c r="O68" s="64">
        <v>2335</v>
      </c>
      <c r="P68" s="64">
        <f>4939-O68</f>
        <v>2604</v>
      </c>
      <c r="Q68" s="64">
        <f>10547-P68-O68</f>
        <v>5608</v>
      </c>
      <c r="S68" s="22">
        <f t="shared" ref="S68:S71" si="69">SUM(J68:M68)</f>
        <v>3073</v>
      </c>
      <c r="T68" s="22">
        <f t="shared" ref="T68:T71" si="70">SUM(N68:Q68)</f>
        <v>12676</v>
      </c>
      <c r="U68" s="22"/>
      <c r="V68" s="20">
        <f>SUM(T68/S68)-1</f>
        <v>3.1249593231369994</v>
      </c>
    </row>
    <row r="69" spans="2:22" x14ac:dyDescent="0.25">
      <c r="B69" t="s">
        <v>33</v>
      </c>
      <c r="C69" s="64"/>
      <c r="D69" s="64"/>
      <c r="E69" s="64"/>
      <c r="G69" s="64"/>
      <c r="H69" s="64"/>
      <c r="I69" s="64"/>
      <c r="J69" s="75"/>
      <c r="K69" s="64"/>
      <c r="L69" s="64"/>
      <c r="M69" s="64"/>
      <c r="N69" s="75"/>
      <c r="O69" s="64">
        <v>-43041</v>
      </c>
      <c r="P69" s="64">
        <f>-108183-O69</f>
        <v>-65142</v>
      </c>
      <c r="Q69" s="64">
        <f>-108183-P69-O69</f>
        <v>0</v>
      </c>
      <c r="S69" s="22">
        <f t="shared" si="69"/>
        <v>0</v>
      </c>
      <c r="T69" s="22">
        <f t="shared" si="70"/>
        <v>-108183</v>
      </c>
      <c r="U69" s="22"/>
      <c r="V69" s="20" t="e">
        <f>SUM(T69/S69)-1</f>
        <v>#DIV/0!</v>
      </c>
    </row>
    <row r="70" spans="2:22" x14ac:dyDescent="0.25">
      <c r="B70" t="s">
        <v>69</v>
      </c>
      <c r="C70" s="64">
        <v>310</v>
      </c>
      <c r="D70" s="64">
        <v>804</v>
      </c>
      <c r="E70" s="64">
        <v>1084</v>
      </c>
      <c r="G70" s="64">
        <v>178</v>
      </c>
      <c r="H70" s="64">
        <f>352-G70</f>
        <v>174</v>
      </c>
      <c r="I70" s="64">
        <f>533-H70-G70</f>
        <v>181</v>
      </c>
      <c r="J70" s="75">
        <f>D70-G70-H70-I70</f>
        <v>271</v>
      </c>
      <c r="K70" s="64">
        <v>272</v>
      </c>
      <c r="L70" s="64">
        <f>544-K70</f>
        <v>272</v>
      </c>
      <c r="M70" s="64">
        <f>817-L70-K70</f>
        <v>273</v>
      </c>
      <c r="N70" s="75">
        <f>E70-M70-L70-K70</f>
        <v>267</v>
      </c>
      <c r="O70" s="64">
        <v>250</v>
      </c>
      <c r="P70" s="64">
        <f>496-O70</f>
        <v>246</v>
      </c>
      <c r="Q70" s="64">
        <f>724-P70-O70</f>
        <v>228</v>
      </c>
      <c r="S70" s="22">
        <f t="shared" si="69"/>
        <v>1088</v>
      </c>
      <c r="T70" s="22">
        <f t="shared" si="70"/>
        <v>991</v>
      </c>
      <c r="U70" s="22"/>
      <c r="V70" s="20">
        <f>SUM(T70/S70)-1</f>
        <v>-8.9154411764705843E-2</v>
      </c>
    </row>
    <row r="71" spans="2:22" x14ac:dyDescent="0.25">
      <c r="B71" t="s">
        <v>70</v>
      </c>
      <c r="C71" s="64">
        <v>224</v>
      </c>
      <c r="D71" s="64">
        <v>497</v>
      </c>
      <c r="E71" s="64">
        <v>446</v>
      </c>
      <c r="G71" s="64">
        <v>135</v>
      </c>
      <c r="H71" s="64">
        <f>260-G71</f>
        <v>125</v>
      </c>
      <c r="I71" s="64">
        <f>379-H71-G71</f>
        <v>119</v>
      </c>
      <c r="J71" s="75">
        <f>D71-G71-H71-I71</f>
        <v>118</v>
      </c>
      <c r="K71" s="64">
        <v>119</v>
      </c>
      <c r="L71" s="64">
        <f>238-K71</f>
        <v>119</v>
      </c>
      <c r="M71" s="64">
        <f>357-L71-K71</f>
        <v>119</v>
      </c>
      <c r="N71" s="75">
        <f>E71-M71-L71-K71</f>
        <v>89</v>
      </c>
      <c r="O71" s="64">
        <v>61</v>
      </c>
      <c r="P71" s="64">
        <f>117-O71</f>
        <v>56</v>
      </c>
      <c r="Q71" s="64">
        <f>148-P71-O71</f>
        <v>31</v>
      </c>
      <c r="S71" s="22">
        <f t="shared" si="69"/>
        <v>475</v>
      </c>
      <c r="T71" s="22">
        <f t="shared" si="70"/>
        <v>237</v>
      </c>
      <c r="U71" s="22"/>
      <c r="V71" s="20">
        <f>SUM(T71/S71)-1</f>
        <v>-0.50105263157894742</v>
      </c>
    </row>
    <row r="72" spans="2:22" ht="15.75" x14ac:dyDescent="0.25">
      <c r="B72" s="52" t="s">
        <v>71</v>
      </c>
      <c r="C72" s="64"/>
      <c r="D72" s="64"/>
      <c r="E72" s="64"/>
      <c r="G72" s="64"/>
      <c r="H72" s="64"/>
      <c r="I72" s="64"/>
      <c r="J72" s="75"/>
      <c r="K72" s="64"/>
      <c r="L72" s="64"/>
      <c r="M72" s="64"/>
      <c r="N72" s="75"/>
      <c r="O72" s="64"/>
      <c r="P72" s="64"/>
      <c r="Q72" s="64"/>
      <c r="S72" s="64"/>
      <c r="T72" s="64"/>
      <c r="U72" s="66"/>
    </row>
    <row r="73" spans="2:22" x14ac:dyDescent="0.25">
      <c r="B73" t="s">
        <v>72</v>
      </c>
      <c r="C73" s="64">
        <v>-10956</v>
      </c>
      <c r="D73" s="64">
        <v>1189</v>
      </c>
      <c r="E73" s="64">
        <v>1714</v>
      </c>
      <c r="G73" s="64">
        <v>-1063</v>
      </c>
      <c r="H73" s="64">
        <f>4431-G73</f>
        <v>5494</v>
      </c>
      <c r="I73" s="64">
        <f>2790-H73-G73</f>
        <v>-1641</v>
      </c>
      <c r="J73" s="75">
        <f t="shared" ref="J73:J78" si="71">D73-G73-H73-I73</f>
        <v>-1601</v>
      </c>
      <c r="K73" s="64">
        <v>2679</v>
      </c>
      <c r="L73" s="64">
        <f>4116-K73</f>
        <v>1437</v>
      </c>
      <c r="M73" s="64">
        <f>2377-L73-K73</f>
        <v>-1739</v>
      </c>
      <c r="N73" s="75">
        <f t="shared" ref="N73:N78" si="72">E73-M73-L73-K73</f>
        <v>-663</v>
      </c>
      <c r="O73" s="64">
        <v>-1333</v>
      </c>
      <c r="P73" s="64">
        <f>-6334-O73</f>
        <v>-5001</v>
      </c>
      <c r="Q73" s="64">
        <f>+-5074-P73-O73</f>
        <v>1260</v>
      </c>
      <c r="S73" s="22">
        <f t="shared" ref="S73" si="73">SUM(J73:M73)</f>
        <v>776</v>
      </c>
      <c r="T73" s="22">
        <f t="shared" ref="T73" si="74">SUM(N73:Q73)</f>
        <v>-5737</v>
      </c>
      <c r="U73" s="22"/>
      <c r="V73" s="20">
        <f>SUM(T73/S73)-1</f>
        <v>-8.3930412371134011</v>
      </c>
    </row>
    <row r="74" spans="2:22" x14ac:dyDescent="0.25">
      <c r="B74" t="s">
        <v>73</v>
      </c>
      <c r="C74" s="64">
        <v>28</v>
      </c>
      <c r="D74" s="64">
        <v>-9</v>
      </c>
      <c r="E74" s="64">
        <v>-17</v>
      </c>
      <c r="G74" s="64">
        <v>-1</v>
      </c>
      <c r="H74" s="64">
        <f>-4-G74</f>
        <v>-3</v>
      </c>
      <c r="I74" s="64">
        <f>-6-H74-G74</f>
        <v>-2</v>
      </c>
      <c r="J74" s="75">
        <f t="shared" si="71"/>
        <v>-3</v>
      </c>
      <c r="K74" s="64">
        <v>-17</v>
      </c>
      <c r="L74" s="64">
        <f>-17+K74</f>
        <v>-34</v>
      </c>
      <c r="M74" s="64">
        <f>-17-L74-K74</f>
        <v>34</v>
      </c>
      <c r="N74" s="75">
        <f t="shared" si="72"/>
        <v>0</v>
      </c>
      <c r="O74" s="64" t="s">
        <v>42</v>
      </c>
      <c r="P74" s="64" t="s">
        <v>41</v>
      </c>
      <c r="Q74" s="64"/>
      <c r="S74" s="64"/>
      <c r="T74" s="64"/>
      <c r="U74" s="66"/>
    </row>
    <row r="75" spans="2:22" x14ac:dyDescent="0.25">
      <c r="B75" t="s">
        <v>47</v>
      </c>
      <c r="C75" s="64">
        <v>6215</v>
      </c>
      <c r="D75" s="64">
        <v>-3449</v>
      </c>
      <c r="E75" s="64">
        <v>6896</v>
      </c>
      <c r="G75" s="64">
        <v>-3794</v>
      </c>
      <c r="H75" s="64">
        <f>-2368-G75</f>
        <v>1426</v>
      </c>
      <c r="I75" s="64">
        <f>-3592-H75-G75</f>
        <v>-1224</v>
      </c>
      <c r="J75" s="75">
        <f t="shared" si="71"/>
        <v>143</v>
      </c>
      <c r="K75" s="64">
        <v>4565</v>
      </c>
      <c r="L75" s="64">
        <f>6661-K75</f>
        <v>2096</v>
      </c>
      <c r="M75" s="64">
        <f>5815-L75-K75</f>
        <v>-846</v>
      </c>
      <c r="N75" s="75">
        <f t="shared" si="72"/>
        <v>1081</v>
      </c>
      <c r="O75" s="64">
        <v>-970</v>
      </c>
      <c r="P75" s="64">
        <f>41979-O75</f>
        <v>42949</v>
      </c>
      <c r="Q75" s="64">
        <f>41671-P75-O75</f>
        <v>-308</v>
      </c>
      <c r="S75" s="22">
        <f t="shared" ref="S75:S78" si="75">SUM(J75:M75)</f>
        <v>5958</v>
      </c>
      <c r="T75" s="22">
        <f t="shared" ref="T75:T78" si="76">SUM(N75:Q75)</f>
        <v>42752</v>
      </c>
      <c r="U75" s="22"/>
      <c r="V75" s="20">
        <f>SUM(T75/S75)-1</f>
        <v>6.175562269217858</v>
      </c>
    </row>
    <row r="76" spans="2:22" x14ac:dyDescent="0.25">
      <c r="B76" t="s">
        <v>48</v>
      </c>
      <c r="C76" s="64">
        <v>2084</v>
      </c>
      <c r="D76" s="64">
        <v>-523</v>
      </c>
      <c r="E76" s="64">
        <v>757</v>
      </c>
      <c r="G76" s="64">
        <v>122</v>
      </c>
      <c r="H76" s="64">
        <f>515-G76</f>
        <v>393</v>
      </c>
      <c r="I76" s="64">
        <f>1293-H76-G76</f>
        <v>778</v>
      </c>
      <c r="J76" s="75">
        <f t="shared" si="71"/>
        <v>-1816</v>
      </c>
      <c r="K76" s="64">
        <v>2996</v>
      </c>
      <c r="L76" s="64">
        <f>4764-K76</f>
        <v>1768</v>
      </c>
      <c r="M76" s="64">
        <f>5064-L76-K76</f>
        <v>300</v>
      </c>
      <c r="N76" s="75">
        <f t="shared" si="72"/>
        <v>-4307</v>
      </c>
      <c r="O76" s="64">
        <v>-1240</v>
      </c>
      <c r="P76" s="64">
        <f>-1441-O76</f>
        <v>-201</v>
      </c>
      <c r="Q76" s="64">
        <f>+-494-P76-O76</f>
        <v>947</v>
      </c>
      <c r="S76" s="22">
        <f t="shared" si="75"/>
        <v>3248</v>
      </c>
      <c r="T76" s="22">
        <f t="shared" si="76"/>
        <v>-4801</v>
      </c>
      <c r="U76" s="22"/>
      <c r="V76" s="20">
        <f>SUM(T76/S76)-1</f>
        <v>-2.4781403940886699</v>
      </c>
    </row>
    <row r="77" spans="2:22" x14ac:dyDescent="0.25">
      <c r="B77" t="s">
        <v>49</v>
      </c>
      <c r="C77" s="64">
        <v>1794</v>
      </c>
      <c r="D77" s="64">
        <v>-1707</v>
      </c>
      <c r="E77" s="64">
        <v>30</v>
      </c>
      <c r="G77" s="64">
        <v>-1705</v>
      </c>
      <c r="H77" s="64">
        <f>-1701-G77</f>
        <v>4</v>
      </c>
      <c r="I77" s="64">
        <f>-1717-H77-G77</f>
        <v>-16</v>
      </c>
      <c r="J77" s="75">
        <f t="shared" si="71"/>
        <v>10</v>
      </c>
      <c r="K77" s="64">
        <v>42</v>
      </c>
      <c r="L77" s="64">
        <f>50-K77</f>
        <v>8</v>
      </c>
      <c r="M77" s="64">
        <f>17-L77-K77</f>
        <v>-33</v>
      </c>
      <c r="N77" s="75">
        <f t="shared" si="72"/>
        <v>13</v>
      </c>
      <c r="O77" s="64">
        <v>28</v>
      </c>
      <c r="P77" s="64">
        <f>18-O77</f>
        <v>-10</v>
      </c>
      <c r="Q77" s="64">
        <f>1750-P77-O77</f>
        <v>1732</v>
      </c>
      <c r="S77" s="22">
        <f t="shared" si="75"/>
        <v>27</v>
      </c>
      <c r="T77" s="22">
        <f t="shared" si="76"/>
        <v>1763</v>
      </c>
      <c r="U77" s="22"/>
      <c r="V77" s="20">
        <f>SUM(T77/S77)-1</f>
        <v>64.296296296296291</v>
      </c>
    </row>
    <row r="78" spans="2:22" x14ac:dyDescent="0.25">
      <c r="B78" t="s">
        <v>74</v>
      </c>
      <c r="C78" s="64">
        <v>731</v>
      </c>
      <c r="D78" s="64">
        <v>-136</v>
      </c>
      <c r="E78" s="64">
        <v>-304</v>
      </c>
      <c r="G78" s="64">
        <v>-370</v>
      </c>
      <c r="H78" s="64">
        <f>-254-G78</f>
        <v>116</v>
      </c>
      <c r="I78" s="64">
        <f>-212-H78-G78</f>
        <v>42</v>
      </c>
      <c r="J78" s="75">
        <f t="shared" si="71"/>
        <v>76</v>
      </c>
      <c r="K78" s="64">
        <v>-313</v>
      </c>
      <c r="L78" s="64">
        <f>-396-K78</f>
        <v>-83</v>
      </c>
      <c r="M78" s="64">
        <f>-298-L78-K78</f>
        <v>98</v>
      </c>
      <c r="N78" s="75">
        <f t="shared" si="72"/>
        <v>-6</v>
      </c>
      <c r="O78" s="64">
        <v>-260</v>
      </c>
      <c r="P78" s="64">
        <f>-157-O78</f>
        <v>103</v>
      </c>
      <c r="Q78" s="64">
        <f>+-8-P78-O78</f>
        <v>149</v>
      </c>
      <c r="S78" s="22">
        <f t="shared" si="75"/>
        <v>-222</v>
      </c>
      <c r="T78" s="22">
        <f t="shared" si="76"/>
        <v>-14</v>
      </c>
      <c r="U78" s="22"/>
      <c r="V78" s="20">
        <f>SUM(T78/S78)-1</f>
        <v>-0.93693693693693691</v>
      </c>
    </row>
    <row r="79" spans="2:22" ht="15.75" x14ac:dyDescent="0.25">
      <c r="B79" s="67" t="s">
        <v>75</v>
      </c>
      <c r="C79" s="68">
        <f>SUM(C66:C78)</f>
        <v>-30196</v>
      </c>
      <c r="D79" s="68">
        <f>SUM(D66:D78)</f>
        <v>-77514</v>
      </c>
      <c r="E79" s="68">
        <f>SUM(E66:E78)</f>
        <v>-82025</v>
      </c>
      <c r="G79" s="68">
        <f t="shared" ref="G79:Q79" si="77">SUM(G66:G78)</f>
        <v>-23530</v>
      </c>
      <c r="H79" s="68">
        <f t="shared" si="77"/>
        <v>-11114</v>
      </c>
      <c r="I79" s="68">
        <f t="shared" si="77"/>
        <v>-21550</v>
      </c>
      <c r="J79" s="68">
        <f t="shared" si="77"/>
        <v>-21320</v>
      </c>
      <c r="K79" s="68">
        <f t="shared" si="77"/>
        <v>-13255</v>
      </c>
      <c r="L79" s="68">
        <f t="shared" si="77"/>
        <v>-19958</v>
      </c>
      <c r="M79" s="68">
        <f t="shared" si="77"/>
        <v>-26496</v>
      </c>
      <c r="N79" s="68">
        <f t="shared" si="77"/>
        <v>-22316</v>
      </c>
      <c r="O79" s="68">
        <f t="shared" si="77"/>
        <v>-19127</v>
      </c>
      <c r="P79" s="68">
        <f t="shared" si="77"/>
        <v>-18241</v>
      </c>
      <c r="Q79" s="68">
        <f t="shared" si="77"/>
        <v>-18296</v>
      </c>
      <c r="S79" s="68">
        <f t="shared" ref="S79" si="78">SUM(S66:S78)</f>
        <v>-81009</v>
      </c>
      <c r="T79" s="68">
        <f t="shared" ref="T79" si="79">SUM(T66:T78)</f>
        <v>-77980</v>
      </c>
      <c r="U79" s="27"/>
      <c r="V79" s="20">
        <f>SUM(T79/S79)-1</f>
        <v>-3.7390907183152522E-2</v>
      </c>
    </row>
    <row r="80" spans="2:22" ht="15.75" x14ac:dyDescent="0.25">
      <c r="B80" s="52"/>
      <c r="C80" s="69"/>
      <c r="D80" s="69"/>
      <c r="E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S80" s="27"/>
      <c r="T80" s="27"/>
      <c r="U80" s="27"/>
      <c r="V80" s="20"/>
    </row>
    <row r="81" spans="2:22" ht="15.75" x14ac:dyDescent="0.25">
      <c r="B81" s="52" t="s">
        <v>76</v>
      </c>
      <c r="C81" s="64"/>
      <c r="D81" s="64"/>
      <c r="E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S81" s="64"/>
      <c r="T81" s="64"/>
      <c r="U81" s="66"/>
    </row>
    <row r="82" spans="2:22" x14ac:dyDescent="0.25">
      <c r="B82" t="s">
        <v>77</v>
      </c>
      <c r="C82" s="64">
        <v>-22214</v>
      </c>
      <c r="D82" s="64">
        <v>-2712</v>
      </c>
      <c r="E82" s="64">
        <v>-414</v>
      </c>
      <c r="G82" s="64">
        <v>-425</v>
      </c>
      <c r="H82" s="64">
        <f>-1891-G82</f>
        <v>-1466</v>
      </c>
      <c r="I82" s="64">
        <f>-3047-H82-G82</f>
        <v>-1156</v>
      </c>
      <c r="J82" s="75">
        <f>D82-G82-H82-I82</f>
        <v>335</v>
      </c>
      <c r="K82" s="64">
        <v>-357</v>
      </c>
      <c r="L82" s="64">
        <f>-351-K82</f>
        <v>6</v>
      </c>
      <c r="M82" s="64">
        <f>-373-L82-K82</f>
        <v>-22</v>
      </c>
      <c r="N82" s="75">
        <f>E82-M82-L82-K82</f>
        <v>-41</v>
      </c>
      <c r="O82" s="64">
        <v>0</v>
      </c>
      <c r="P82" s="64">
        <f>-29-O82</f>
        <v>-29</v>
      </c>
      <c r="Q82" s="64">
        <f>+-46-P82-O82</f>
        <v>-17</v>
      </c>
      <c r="S82" s="22">
        <f t="shared" ref="S82" si="80">SUM(J82:M82)</f>
        <v>-38</v>
      </c>
      <c r="T82" s="22">
        <f t="shared" ref="T82" si="81">SUM(N82:Q82)</f>
        <v>-87</v>
      </c>
      <c r="U82" s="22"/>
      <c r="V82" s="20">
        <f>SUM(T82/S82)-1</f>
        <v>1.2894736842105261</v>
      </c>
    </row>
    <row r="83" spans="2:22" ht="15.75" x14ac:dyDescent="0.25">
      <c r="B83" s="70" t="s">
        <v>78</v>
      </c>
      <c r="C83" s="68">
        <f>C82</f>
        <v>-22214</v>
      </c>
      <c r="D83" s="68">
        <f t="shared" ref="D83:E83" si="82">D82</f>
        <v>-2712</v>
      </c>
      <c r="E83" s="68">
        <f t="shared" si="82"/>
        <v>-414</v>
      </c>
      <c r="G83" s="68">
        <f t="shared" ref="G83:Q83" si="83">G82</f>
        <v>-425</v>
      </c>
      <c r="H83" s="68">
        <f t="shared" si="83"/>
        <v>-1466</v>
      </c>
      <c r="I83" s="68">
        <f t="shared" si="83"/>
        <v>-1156</v>
      </c>
      <c r="J83" s="68">
        <f t="shared" si="83"/>
        <v>335</v>
      </c>
      <c r="K83" s="68">
        <f t="shared" si="83"/>
        <v>-357</v>
      </c>
      <c r="L83" s="68">
        <f t="shared" si="83"/>
        <v>6</v>
      </c>
      <c r="M83" s="68">
        <f t="shared" si="83"/>
        <v>-22</v>
      </c>
      <c r="N83" s="68">
        <f t="shared" si="83"/>
        <v>-41</v>
      </c>
      <c r="O83" s="68">
        <f t="shared" si="83"/>
        <v>0</v>
      </c>
      <c r="P83" s="68">
        <f t="shared" si="83"/>
        <v>-29</v>
      </c>
      <c r="Q83" s="68">
        <f t="shared" si="83"/>
        <v>-17</v>
      </c>
      <c r="S83" s="26">
        <f>SUM(I83:L83)</f>
        <v>-1172</v>
      </c>
      <c r="T83" s="26">
        <f>SUM(M83:P83)</f>
        <v>-92</v>
      </c>
      <c r="U83" s="27"/>
      <c r="V83" s="20">
        <f>SUM(T83/S83)-1</f>
        <v>-0.92150170648464158</v>
      </c>
    </row>
    <row r="84" spans="2:22" ht="15.75" x14ac:dyDescent="0.25">
      <c r="B84" s="90"/>
      <c r="C84" s="69"/>
      <c r="D84" s="69"/>
      <c r="E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S84" s="27"/>
      <c r="T84" s="27"/>
      <c r="U84" s="27"/>
      <c r="V84" s="20"/>
    </row>
    <row r="85" spans="2:22" ht="15.75" x14ac:dyDescent="0.25">
      <c r="B85" s="52" t="s">
        <v>79</v>
      </c>
      <c r="C85" s="71"/>
      <c r="D85" s="71"/>
      <c r="E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S85" s="71"/>
      <c r="T85" s="71"/>
      <c r="U85" s="72"/>
    </row>
    <row r="86" spans="2:22" x14ac:dyDescent="0.25">
      <c r="B86" t="s">
        <v>80</v>
      </c>
      <c r="C86" s="73">
        <v>1824</v>
      </c>
      <c r="D86" s="73">
        <v>475</v>
      </c>
      <c r="E86" s="73">
        <v>2560</v>
      </c>
      <c r="G86" s="73">
        <v>211</v>
      </c>
      <c r="H86" s="73">
        <f>330-G86</f>
        <v>119</v>
      </c>
      <c r="I86" s="73">
        <f>466-H86-G86</f>
        <v>136</v>
      </c>
      <c r="J86" s="75">
        <f>D86-G86-H86-I86</f>
        <v>9</v>
      </c>
      <c r="K86" s="73">
        <v>64</v>
      </c>
      <c r="L86" s="73">
        <f>953-K86</f>
        <v>889</v>
      </c>
      <c r="M86" s="73">
        <f>1417-L86-K86</f>
        <v>464</v>
      </c>
      <c r="N86" s="75">
        <f>E86-M86-L86-K86</f>
        <v>1143</v>
      </c>
      <c r="O86" s="73">
        <v>0</v>
      </c>
      <c r="P86" s="73">
        <v>0</v>
      </c>
      <c r="Q86" s="73">
        <v>0</v>
      </c>
      <c r="S86" s="22">
        <f t="shared" ref="S86:S89" si="84">SUM(J86:M86)</f>
        <v>1426</v>
      </c>
      <c r="T86" s="22">
        <f t="shared" ref="T86:T89" si="85">SUM(N86:Q86)</f>
        <v>1143</v>
      </c>
      <c r="U86" s="22"/>
      <c r="V86" s="20">
        <f>SUM(T86/S86)-1</f>
        <v>-0.19845722300140256</v>
      </c>
    </row>
    <row r="87" spans="2:22" x14ac:dyDescent="0.25">
      <c r="B87" t="s">
        <v>81</v>
      </c>
      <c r="C87" s="73">
        <v>692</v>
      </c>
      <c r="D87" s="73"/>
      <c r="E87" s="73"/>
      <c r="G87" s="73">
        <v>0</v>
      </c>
      <c r="H87" s="73">
        <v>0</v>
      </c>
      <c r="I87" s="73">
        <v>0</v>
      </c>
      <c r="J87" s="75">
        <f>D87-G87-H87-I87</f>
        <v>0</v>
      </c>
      <c r="K87" s="73"/>
      <c r="L87" s="73"/>
      <c r="M87" s="73"/>
      <c r="N87" s="75"/>
      <c r="O87" s="73">
        <v>0</v>
      </c>
      <c r="P87" s="73">
        <v>0</v>
      </c>
      <c r="Q87" s="73">
        <v>0</v>
      </c>
      <c r="S87" s="22">
        <f t="shared" si="84"/>
        <v>0</v>
      </c>
      <c r="T87" s="22">
        <f t="shared" si="85"/>
        <v>0</v>
      </c>
      <c r="U87" s="22"/>
      <c r="V87" s="20" t="e">
        <f>SUM(T87/S87)-1</f>
        <v>#DIV/0!</v>
      </c>
    </row>
    <row r="88" spans="2:22" x14ac:dyDescent="0.25">
      <c r="B88" t="s">
        <v>82</v>
      </c>
      <c r="C88" s="73"/>
      <c r="D88" s="73"/>
      <c r="E88" s="73"/>
      <c r="G88" s="73">
        <v>0</v>
      </c>
      <c r="H88" s="73">
        <v>0</v>
      </c>
      <c r="I88" s="73">
        <v>0</v>
      </c>
      <c r="J88" s="75">
        <f>D88-G88-H88-I88</f>
        <v>0</v>
      </c>
      <c r="K88" s="73"/>
      <c r="L88" s="73"/>
      <c r="M88" s="73"/>
      <c r="N88" s="75"/>
      <c r="O88" s="73">
        <v>22160</v>
      </c>
      <c r="P88" s="73">
        <f>123552-O88</f>
        <v>101392</v>
      </c>
      <c r="Q88" s="73">
        <f>123552-P88-O88</f>
        <v>0</v>
      </c>
      <c r="S88" s="22">
        <f t="shared" si="84"/>
        <v>0</v>
      </c>
      <c r="T88" s="22">
        <f t="shared" si="85"/>
        <v>123552</v>
      </c>
      <c r="U88" s="22"/>
      <c r="V88" s="20" t="e">
        <f>SUM(T88/S88)-1</f>
        <v>#DIV/0!</v>
      </c>
    </row>
    <row r="89" spans="2:22" x14ac:dyDescent="0.25">
      <c r="B89" t="s">
        <v>83</v>
      </c>
      <c r="C89" s="73">
        <v>189825</v>
      </c>
      <c r="D89" s="73">
        <v>47329</v>
      </c>
      <c r="E89" s="73"/>
      <c r="G89" s="73">
        <v>0</v>
      </c>
      <c r="H89" s="73">
        <v>0</v>
      </c>
      <c r="I89" s="73">
        <v>0</v>
      </c>
      <c r="J89" s="75">
        <f>D89-G89-H89-I89</f>
        <v>47329</v>
      </c>
      <c r="K89" s="73"/>
      <c r="L89" s="73"/>
      <c r="M89" s="73"/>
      <c r="N89" s="75"/>
      <c r="O89" s="73">
        <v>0</v>
      </c>
      <c r="P89" s="73">
        <v>0</v>
      </c>
      <c r="Q89" s="73">
        <v>0</v>
      </c>
      <c r="S89" s="22">
        <f t="shared" si="84"/>
        <v>47329</v>
      </c>
      <c r="T89" s="22">
        <f t="shared" si="85"/>
        <v>0</v>
      </c>
      <c r="U89" s="22"/>
      <c r="V89" s="20">
        <f>SUM(T89/S89)-1</f>
        <v>-1</v>
      </c>
    </row>
    <row r="90" spans="2:22" ht="15.75" x14ac:dyDescent="0.25">
      <c r="B90" s="67" t="s">
        <v>84</v>
      </c>
      <c r="C90" s="68">
        <f>SUM(C86:C89)</f>
        <v>192341</v>
      </c>
      <c r="D90" s="68">
        <f t="shared" ref="D90:Q90" si="86">SUM(D86:D89)</f>
        <v>47804</v>
      </c>
      <c r="E90" s="68">
        <f t="shared" si="86"/>
        <v>2560</v>
      </c>
      <c r="G90" s="68">
        <f t="shared" si="86"/>
        <v>211</v>
      </c>
      <c r="H90" s="68">
        <f t="shared" si="86"/>
        <v>119</v>
      </c>
      <c r="I90" s="68">
        <f t="shared" si="86"/>
        <v>136</v>
      </c>
      <c r="J90" s="68">
        <f t="shared" si="86"/>
        <v>47338</v>
      </c>
      <c r="K90" s="68">
        <f t="shared" si="86"/>
        <v>64</v>
      </c>
      <c r="L90" s="68">
        <f t="shared" si="86"/>
        <v>889</v>
      </c>
      <c r="M90" s="68">
        <f t="shared" si="86"/>
        <v>464</v>
      </c>
      <c r="N90" s="68">
        <f t="shared" si="86"/>
        <v>1143</v>
      </c>
      <c r="O90" s="68">
        <f t="shared" si="86"/>
        <v>22160</v>
      </c>
      <c r="P90" s="68">
        <f t="shared" si="86"/>
        <v>101392</v>
      </c>
      <c r="Q90" s="68">
        <f t="shared" si="86"/>
        <v>0</v>
      </c>
      <c r="S90" s="26">
        <f>SUM(I90:L90)</f>
        <v>48427</v>
      </c>
      <c r="T90" s="26">
        <f>SUM(M90:P90)</f>
        <v>125159</v>
      </c>
      <c r="U90" s="27"/>
      <c r="V90" s="20">
        <f>SUM(T90/S90)-1</f>
        <v>1.5844879922357364</v>
      </c>
    </row>
    <row r="91" spans="2:22" ht="15.75" x14ac:dyDescent="0.25">
      <c r="B91" s="52"/>
      <c r="C91" s="69"/>
      <c r="D91" s="69"/>
      <c r="E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S91" s="27"/>
      <c r="T91" s="27"/>
      <c r="U91" s="27"/>
      <c r="V91" s="40"/>
    </row>
    <row r="92" spans="2:22" x14ac:dyDescent="0.25">
      <c r="B92" t="s">
        <v>85</v>
      </c>
      <c r="C92" s="73">
        <v>139931</v>
      </c>
      <c r="D92" s="73">
        <v>-32422</v>
      </c>
      <c r="E92" s="73">
        <v>-79879</v>
      </c>
      <c r="G92" s="73">
        <v>-23744</v>
      </c>
      <c r="H92" s="73">
        <v>-36205</v>
      </c>
      <c r="I92" s="73">
        <v>-58775</v>
      </c>
      <c r="J92" s="73" cm="1">
        <f t="array" ref="J92:J94">D92:D94</f>
        <v>-32422</v>
      </c>
      <c r="K92" s="73">
        <v>-13548</v>
      </c>
      <c r="L92" s="73">
        <f>-32577</f>
        <v>-32577</v>
      </c>
      <c r="M92" s="73">
        <v>-58665</v>
      </c>
      <c r="N92" s="73" cm="1">
        <f t="array" ref="N92:N94">E92:E94</f>
        <v>-79879</v>
      </c>
      <c r="O92" s="73">
        <v>3033</v>
      </c>
      <c r="P92" s="73">
        <v>86155</v>
      </c>
      <c r="Q92" s="73">
        <v>67842</v>
      </c>
      <c r="S92" s="22"/>
      <c r="T92" s="22"/>
      <c r="U92" s="22"/>
      <c r="V92" s="40"/>
    </row>
    <row r="93" spans="2:22" x14ac:dyDescent="0.25">
      <c r="B93" t="s">
        <v>86</v>
      </c>
      <c r="C93" s="73">
        <v>93506</v>
      </c>
      <c r="D93" s="73">
        <v>233437</v>
      </c>
      <c r="E93" s="73">
        <v>201015</v>
      </c>
      <c r="G93" s="73">
        <v>233437</v>
      </c>
      <c r="H93" s="73">
        <v>233437</v>
      </c>
      <c r="I93" s="73">
        <v>233437</v>
      </c>
      <c r="J93" s="73">
        <v>233437</v>
      </c>
      <c r="K93" s="73">
        <v>201015</v>
      </c>
      <c r="L93" s="73">
        <f>201015</f>
        <v>201015</v>
      </c>
      <c r="M93" s="73">
        <v>201015</v>
      </c>
      <c r="N93" s="73">
        <v>201015</v>
      </c>
      <c r="O93" s="73">
        <v>121136</v>
      </c>
      <c r="P93" s="73">
        <v>121136</v>
      </c>
      <c r="Q93" s="73">
        <v>121136</v>
      </c>
      <c r="S93" s="22"/>
      <c r="T93" s="22"/>
      <c r="U93" s="22"/>
      <c r="V93" s="40"/>
    </row>
    <row r="94" spans="2:22" x14ac:dyDescent="0.25">
      <c r="B94" t="s">
        <v>87</v>
      </c>
      <c r="C94" s="73">
        <v>233437</v>
      </c>
      <c r="D94" s="73">
        <v>201015</v>
      </c>
      <c r="E94" s="73">
        <v>121136</v>
      </c>
      <c r="G94" s="73">
        <v>209693</v>
      </c>
      <c r="H94" s="73">
        <v>197232</v>
      </c>
      <c r="I94" s="73">
        <v>174662</v>
      </c>
      <c r="J94" s="73">
        <v>201015</v>
      </c>
      <c r="K94" s="73">
        <v>187467</v>
      </c>
      <c r="L94" s="73">
        <v>168438</v>
      </c>
      <c r="M94" s="73">
        <v>142350</v>
      </c>
      <c r="N94" s="73">
        <v>121136</v>
      </c>
      <c r="O94" s="73">
        <v>124169</v>
      </c>
      <c r="P94" s="73">
        <v>207291</v>
      </c>
      <c r="Q94" s="73">
        <v>188978</v>
      </c>
      <c r="S94" s="22"/>
      <c r="T94" s="22"/>
      <c r="U94" s="22"/>
      <c r="V94" s="40"/>
    </row>
    <row r="95" spans="2:22" x14ac:dyDescent="0.25">
      <c r="C95" s="74"/>
      <c r="D95" s="74"/>
      <c r="E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S95" s="22"/>
      <c r="T95" s="22"/>
      <c r="U95" s="22"/>
      <c r="V95" s="40"/>
    </row>
    <row r="96" spans="2:22" ht="15.75" x14ac:dyDescent="0.25">
      <c r="B96" s="52" t="s">
        <v>88</v>
      </c>
      <c r="C96" s="75"/>
      <c r="D96" s="75"/>
      <c r="E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S96" s="75"/>
      <c r="T96" s="75"/>
      <c r="U96" s="76"/>
    </row>
    <row r="97" spans="2:22" x14ac:dyDescent="0.25">
      <c r="B97" t="s">
        <v>89</v>
      </c>
      <c r="C97" s="75"/>
      <c r="D97" s="75"/>
      <c r="E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S97" s="22">
        <f>SUM(I97:L97)</f>
        <v>0</v>
      </c>
      <c r="T97" s="22">
        <f>SUM(M97:P97)</f>
        <v>0</v>
      </c>
      <c r="U97" s="22"/>
      <c r="V97" s="20" t="e">
        <f t="shared" ref="V97:V100" si="87">SUM(T97/S97)-1</f>
        <v>#DIV/0!</v>
      </c>
    </row>
    <row r="98" spans="2:22" x14ac:dyDescent="0.25">
      <c r="B98" t="s">
        <v>90</v>
      </c>
      <c r="C98" s="73" t="s">
        <v>91</v>
      </c>
      <c r="D98" s="73">
        <v>340</v>
      </c>
      <c r="E98" s="73" t="s">
        <v>91</v>
      </c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S98" s="22">
        <f>SUM(I98:L98)</f>
        <v>0</v>
      </c>
      <c r="T98" s="22">
        <f>SUM(M98:P98)</f>
        <v>0</v>
      </c>
      <c r="U98" s="22"/>
      <c r="V98" s="20" t="e">
        <f t="shared" si="87"/>
        <v>#DIV/0!</v>
      </c>
    </row>
    <row r="99" spans="2:22" x14ac:dyDescent="0.25">
      <c r="B99" t="s">
        <v>92</v>
      </c>
      <c r="C99" s="73"/>
      <c r="D99" s="73"/>
      <c r="E99" s="73"/>
      <c r="G99" s="73"/>
      <c r="H99" s="73"/>
      <c r="I99" s="73"/>
      <c r="J99" s="73"/>
      <c r="K99" s="73"/>
      <c r="L99" s="73"/>
      <c r="M99" s="73"/>
      <c r="N99" s="73"/>
      <c r="O99" s="73">
        <v>113363</v>
      </c>
      <c r="P99" s="73">
        <f>-113363+O99</f>
        <v>0</v>
      </c>
      <c r="Q99" s="73">
        <f>113363-P99-O99</f>
        <v>0</v>
      </c>
      <c r="S99" s="22">
        <f>SUM(I99:L99)</f>
        <v>0</v>
      </c>
      <c r="T99" s="22">
        <f>SUM(M99:P99)</f>
        <v>113363</v>
      </c>
      <c r="U99" s="22"/>
      <c r="V99" s="20" t="e">
        <f t="shared" si="87"/>
        <v>#DIV/0!</v>
      </c>
    </row>
    <row r="100" spans="2:22" x14ac:dyDescent="0.25">
      <c r="B100" t="s">
        <v>93</v>
      </c>
      <c r="C100" s="73"/>
      <c r="D100" s="73"/>
      <c r="E100" s="73"/>
      <c r="G100" s="73"/>
      <c r="H100" s="73"/>
      <c r="I100" s="73"/>
      <c r="J100" s="73"/>
      <c r="K100" s="73"/>
      <c r="L100" s="73"/>
      <c r="M100" s="73"/>
      <c r="N100" s="73"/>
      <c r="O100" s="73">
        <v>-4954</v>
      </c>
      <c r="P100" s="73">
        <f>-5180-O100</f>
        <v>-226</v>
      </c>
      <c r="Q100" s="73">
        <f>+-5180-P100-O100</f>
        <v>0</v>
      </c>
      <c r="S100" s="22">
        <f>SUM(I100:L100)</f>
        <v>0</v>
      </c>
      <c r="T100" s="22">
        <f>SUM(M100:P100)</f>
        <v>-5180</v>
      </c>
      <c r="U100" s="22"/>
      <c r="V100" s="20" t="e">
        <f t="shared" si="87"/>
        <v>#DIV/0!</v>
      </c>
    </row>
    <row r="101" spans="2:22" ht="5.25" customHeight="1" x14ac:dyDescent="0.25">
      <c r="B101" s="60"/>
      <c r="C101" s="77"/>
      <c r="D101" s="77"/>
      <c r="E101" s="77"/>
      <c r="V101" s="40"/>
    </row>
    <row r="102" spans="2:22" x14ac:dyDescent="0.25">
      <c r="B102" s="60"/>
      <c r="C102" s="63"/>
      <c r="D102" s="63"/>
      <c r="E102" s="63"/>
    </row>
    <row r="103" spans="2:22" x14ac:dyDescent="0.25">
      <c r="C103" s="63"/>
      <c r="D103" s="63"/>
      <c r="E103" s="63"/>
    </row>
    <row r="104" spans="2:22" x14ac:dyDescent="0.25">
      <c r="C104" s="63"/>
      <c r="D104" s="63"/>
      <c r="E104" s="63"/>
    </row>
    <row r="105" spans="2:22" x14ac:dyDescent="0.25">
      <c r="C105" s="63"/>
      <c r="D105" s="63"/>
      <c r="E105" s="63"/>
    </row>
    <row r="106" spans="2:22" x14ac:dyDescent="0.25">
      <c r="C106" s="63"/>
      <c r="D106" s="63"/>
      <c r="E106" s="63"/>
    </row>
    <row r="107" spans="2:22" x14ac:dyDescent="0.25">
      <c r="C107" s="63"/>
      <c r="D107" s="63"/>
      <c r="E107" s="63"/>
    </row>
    <row r="108" spans="2:22" x14ac:dyDescent="0.25">
      <c r="C108" s="63"/>
      <c r="D108" s="63"/>
      <c r="E108" s="63"/>
    </row>
    <row r="109" spans="2:22" x14ac:dyDescent="0.25">
      <c r="C109" s="63"/>
      <c r="D109" s="63"/>
      <c r="E109" s="63"/>
    </row>
    <row r="110" spans="2:22" x14ac:dyDescent="0.25">
      <c r="C110" s="63"/>
      <c r="D110" s="63"/>
      <c r="E110" s="63"/>
    </row>
    <row r="111" spans="2:22" x14ac:dyDescent="0.25">
      <c r="C111" s="63"/>
      <c r="D111" s="63"/>
      <c r="E111" s="63"/>
    </row>
    <row r="112" spans="2:22" x14ac:dyDescent="0.25">
      <c r="C112" s="63"/>
      <c r="D112" s="63"/>
      <c r="E112" s="63"/>
    </row>
    <row r="113" spans="2:5" x14ac:dyDescent="0.25">
      <c r="C113" s="63"/>
      <c r="D113" s="63"/>
      <c r="E113" s="63"/>
    </row>
    <row r="114" spans="2:5" x14ac:dyDescent="0.25">
      <c r="B114" s="60"/>
      <c r="C114" s="77"/>
      <c r="D114" s="77"/>
      <c r="E114" s="77"/>
    </row>
    <row r="115" spans="2:5" ht="3.75" customHeight="1" x14ac:dyDescent="0.25">
      <c r="B115" s="60"/>
      <c r="C115" s="77"/>
      <c r="D115" s="77"/>
      <c r="E115" s="77"/>
    </row>
    <row r="116" spans="2:5" x14ac:dyDescent="0.25">
      <c r="C116" s="63"/>
      <c r="D116" s="63"/>
      <c r="E116" s="63"/>
    </row>
    <row r="117" spans="2:5" x14ac:dyDescent="0.25">
      <c r="C117" s="63"/>
      <c r="D117" s="63"/>
      <c r="E117" s="63"/>
    </row>
    <row r="118" spans="2:5" x14ac:dyDescent="0.25">
      <c r="C118" s="63"/>
      <c r="D118" s="63"/>
      <c r="E118" s="63"/>
    </row>
    <row r="119" spans="2:5" x14ac:dyDescent="0.25">
      <c r="C119" s="63"/>
      <c r="D119" s="63"/>
      <c r="E119" s="63"/>
    </row>
    <row r="120" spans="2:5" x14ac:dyDescent="0.25">
      <c r="C120" s="63"/>
      <c r="D120" s="63"/>
      <c r="E120" s="63"/>
    </row>
    <row r="121" spans="2:5" x14ac:dyDescent="0.25">
      <c r="C121" s="63"/>
      <c r="D121" s="63"/>
      <c r="E121" s="63"/>
    </row>
    <row r="122" spans="2:5" x14ac:dyDescent="0.25">
      <c r="C122" s="63"/>
      <c r="D122" s="63"/>
      <c r="E122" s="63"/>
    </row>
  </sheetData>
  <mergeCells count="1">
    <mergeCell ref="V7:V8"/>
  </mergeCells>
  <conditionalFormatting sqref="C8:Q9 C10:J10 L10:Q10">
    <cfRule type="timePeriod" dxfId="2" priority="3" timePeriod="lastWeek">
      <formula>AND(TODAY()-ROUNDDOWN(C8,0)&gt;=(WEEKDAY(TODAY())),TODAY()-ROUNDDOWN(C8,0)&lt;(WEEKDAY(TODAY())+7))</formula>
    </cfRule>
  </conditionalFormatting>
  <conditionalFormatting sqref="S8:T8">
    <cfRule type="timePeriod" dxfId="1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42E4-F1E2-4716-BDE5-1A02A6E58F5F}">
  <dimension ref="B2:R10"/>
  <sheetViews>
    <sheetView showGridLines="0" zoomScale="145" zoomScaleNormal="145" workbookViewId="0">
      <selection activeCell="D17" sqref="D17"/>
    </sheetView>
  </sheetViews>
  <sheetFormatPr defaultRowHeight="15" x14ac:dyDescent="0.25"/>
  <cols>
    <col min="1" max="1" width="5" customWidth="1"/>
    <col min="2" max="2" width="25" bestFit="1" customWidth="1"/>
    <col min="3" max="3" width="9.140625" customWidth="1"/>
    <col min="4" max="4" width="7" customWidth="1"/>
    <col min="5" max="5" width="18.85546875" bestFit="1" customWidth="1"/>
    <col min="6" max="8" width="10.85546875" bestFit="1" customWidth="1"/>
    <col min="9" max="9" width="1.5703125" customWidth="1"/>
    <col min="10" max="10" width="11.28515625" bestFit="1" customWidth="1"/>
    <col min="11" max="13" width="10" bestFit="1" customWidth="1"/>
    <col min="14" max="14" width="11.28515625" bestFit="1" customWidth="1"/>
    <col min="15" max="17" width="10" bestFit="1" customWidth="1"/>
    <col min="18" max="18" width="11.28515625" bestFit="1" customWidth="1"/>
  </cols>
  <sheetData>
    <row r="2" spans="2:18" ht="15.75" thickBot="1" x14ac:dyDescent="0.3">
      <c r="F2" s="5" t="s">
        <v>106</v>
      </c>
      <c r="G2" s="5"/>
      <c r="H2" s="5"/>
      <c r="J2" s="5" t="s">
        <v>6</v>
      </c>
      <c r="K2" s="5"/>
      <c r="L2" s="5"/>
      <c r="M2" s="5"/>
      <c r="N2" s="5"/>
      <c r="O2" s="5"/>
      <c r="P2" s="5"/>
      <c r="Q2" s="5"/>
      <c r="R2" s="5"/>
    </row>
    <row r="3" spans="2:18" ht="3" customHeight="1" thickBot="1" x14ac:dyDescent="0.3">
      <c r="F3" s="6"/>
      <c r="G3" s="6"/>
      <c r="H3" s="6"/>
      <c r="J3" s="6"/>
      <c r="K3" s="6"/>
      <c r="L3" s="6"/>
      <c r="M3" s="6"/>
      <c r="N3" s="6"/>
      <c r="O3" s="6"/>
      <c r="P3" s="6"/>
      <c r="Q3" s="6"/>
      <c r="R3" s="6"/>
    </row>
    <row r="4" spans="2:18" ht="15.75" thickBot="1" x14ac:dyDescent="0.3">
      <c r="B4" s="93" t="s">
        <v>103</v>
      </c>
      <c r="C4" s="94"/>
      <c r="F4" s="7" t="s">
        <v>20</v>
      </c>
      <c r="G4" s="7" t="s">
        <v>21</v>
      </c>
      <c r="H4" s="7" t="s">
        <v>94</v>
      </c>
      <c r="J4" s="7" t="s">
        <v>23</v>
      </c>
      <c r="K4" s="7" t="s">
        <v>107</v>
      </c>
      <c r="L4" s="7" t="s">
        <v>109</v>
      </c>
      <c r="M4" s="7" t="s">
        <v>111</v>
      </c>
      <c r="N4" s="7" t="s">
        <v>114</v>
      </c>
      <c r="O4" s="7" t="s">
        <v>115</v>
      </c>
      <c r="P4" s="7" t="s">
        <v>116</v>
      </c>
      <c r="Q4" s="7" t="s">
        <v>118</v>
      </c>
      <c r="R4" s="7" t="s">
        <v>119</v>
      </c>
    </row>
    <row r="5" spans="2:18" ht="15.75" thickBot="1" x14ac:dyDescent="0.3">
      <c r="B5" s="91" t="s">
        <v>101</v>
      </c>
      <c r="C5" s="95">
        <v>135970</v>
      </c>
      <c r="E5" s="99"/>
      <c r="F5" s="11">
        <v>45382</v>
      </c>
      <c r="G5" s="11">
        <v>45473</v>
      </c>
      <c r="H5" s="11">
        <v>45565</v>
      </c>
      <c r="J5" s="11">
        <v>45657</v>
      </c>
      <c r="K5" s="11">
        <v>45747</v>
      </c>
      <c r="L5" s="11" t="s">
        <v>110</v>
      </c>
      <c r="M5" s="11">
        <v>45930</v>
      </c>
      <c r="N5" s="11">
        <v>46022</v>
      </c>
      <c r="O5" s="11">
        <v>46112</v>
      </c>
      <c r="P5" s="11" t="s">
        <v>117</v>
      </c>
      <c r="Q5" s="11">
        <v>46295</v>
      </c>
      <c r="R5" s="11">
        <v>46387</v>
      </c>
    </row>
    <row r="6" spans="2:18" x14ac:dyDescent="0.25">
      <c r="B6" s="91" t="s">
        <v>102</v>
      </c>
      <c r="C6" s="95">
        <v>-6100</v>
      </c>
      <c r="E6" s="60" t="s">
        <v>100</v>
      </c>
      <c r="F6" s="98">
        <f>'Cassava Sciences '!O27</f>
        <v>124169</v>
      </c>
      <c r="G6" s="98">
        <f>'Cassava Sciences '!P27</f>
        <v>207291</v>
      </c>
      <c r="H6" s="98">
        <f>'Cassava Sciences '!Q27</f>
        <v>148978</v>
      </c>
      <c r="J6" s="98">
        <f>H6-$C$9</f>
        <v>130678</v>
      </c>
      <c r="K6" s="98">
        <f t="shared" ref="K6:R6" si="0">J6-$C$9</f>
        <v>112378</v>
      </c>
      <c r="L6" s="98">
        <f t="shared" si="0"/>
        <v>94078</v>
      </c>
      <c r="M6" s="98">
        <f t="shared" si="0"/>
        <v>75778</v>
      </c>
      <c r="N6" s="98">
        <f t="shared" si="0"/>
        <v>57478</v>
      </c>
      <c r="O6" s="98">
        <f t="shared" si="0"/>
        <v>39178</v>
      </c>
      <c r="P6" s="98">
        <f t="shared" si="0"/>
        <v>20878</v>
      </c>
      <c r="Q6" s="98">
        <f t="shared" si="0"/>
        <v>2578</v>
      </c>
      <c r="R6" s="98">
        <f t="shared" si="0"/>
        <v>-15722</v>
      </c>
    </row>
    <row r="7" spans="2:18" ht="15.75" thickBot="1" x14ac:dyDescent="0.3">
      <c r="B7" s="91" t="s">
        <v>105</v>
      </c>
      <c r="C7" s="97">
        <f>C5/C6</f>
        <v>-22.290163934426229</v>
      </c>
      <c r="E7" t="s">
        <v>113</v>
      </c>
      <c r="F7" s="101">
        <v>47976.165999999997</v>
      </c>
      <c r="G7" s="101">
        <v>47976.165999999997</v>
      </c>
      <c r="H7" s="101">
        <v>48110.474999999999</v>
      </c>
      <c r="J7" s="101">
        <v>48110.474999999999</v>
      </c>
      <c r="K7" s="101">
        <v>48110.474999999999</v>
      </c>
      <c r="L7" s="101">
        <v>48110.474999999999</v>
      </c>
      <c r="M7" s="101">
        <v>48110.474999999999</v>
      </c>
      <c r="N7" s="101">
        <v>48110.474999999999</v>
      </c>
      <c r="O7" s="101">
        <v>48110.474999999999</v>
      </c>
      <c r="P7" s="101">
        <v>48110.474999999999</v>
      </c>
      <c r="Q7" s="101">
        <v>48110.474999999999</v>
      </c>
      <c r="R7" s="101">
        <v>48110.474999999999</v>
      </c>
    </row>
    <row r="8" spans="2:18" x14ac:dyDescent="0.25">
      <c r="B8" s="91" t="s">
        <v>104</v>
      </c>
      <c r="C8" s="97">
        <f>C7/3</f>
        <v>-7.4300546448087426</v>
      </c>
      <c r="E8" s="100" t="s">
        <v>112</v>
      </c>
      <c r="F8" s="102">
        <f>F6/F7</f>
        <v>2.5881392856611343</v>
      </c>
      <c r="G8" s="102">
        <f>G6/G7</f>
        <v>4.3207079115075597</v>
      </c>
      <c r="H8" s="102">
        <f>H6/H7</f>
        <v>3.0965813578020174</v>
      </c>
      <c r="J8" s="102">
        <f t="shared" ref="J8:R8" si="1">J6/J7</f>
        <v>2.7162068135889328</v>
      </c>
      <c r="K8" s="102">
        <f t="shared" si="1"/>
        <v>2.3358322693758482</v>
      </c>
      <c r="L8" s="102">
        <f t="shared" si="1"/>
        <v>1.9554577251627634</v>
      </c>
      <c r="M8" s="102">
        <f t="shared" si="1"/>
        <v>1.5750831809496788</v>
      </c>
      <c r="N8" s="102">
        <f t="shared" si="1"/>
        <v>1.1947086367365942</v>
      </c>
      <c r="O8" s="102">
        <f t="shared" si="1"/>
        <v>0.81433409252350974</v>
      </c>
      <c r="P8" s="102">
        <f t="shared" si="1"/>
        <v>0.43395954831042516</v>
      </c>
      <c r="Q8" s="102">
        <f t="shared" si="1"/>
        <v>5.3585004097340551E-2</v>
      </c>
      <c r="R8" s="102">
        <f t="shared" si="1"/>
        <v>-0.32678954011574401</v>
      </c>
    </row>
    <row r="9" spans="2:18" ht="15.75" thickBot="1" x14ac:dyDescent="0.3">
      <c r="B9" s="92" t="s">
        <v>108</v>
      </c>
      <c r="C9" s="96">
        <v>18300</v>
      </c>
    </row>
    <row r="10" spans="2:18" x14ac:dyDescent="0.25">
      <c r="C10" s="98"/>
    </row>
  </sheetData>
  <conditionalFormatting sqref="F5:H5 J5:R5">
    <cfRule type="timePeriod" dxfId="0" priority="2" timePeriod="lastWeek">
      <formula>AND(TODAY()-ROUNDDOWN(F5,0)&gt;=(WEEKDAY(TODAY())),TODAY()-ROUNDDOWN(F5,0)&lt;(WEEKDAY(TODAY())+7))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Cassava Sciences </vt:lpstr>
      <vt:lpstr>Cash Position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2024-11-08T23:44:24Z</dcterms:created>
  <dcterms:modified xsi:type="dcterms:W3CDTF">2024-12-03T08:46:47Z</dcterms:modified>
</cp:coreProperties>
</file>