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8_{F1DD4EFE-F879-4901-BB36-96BC79ECF491}" xr6:coauthVersionLast="47" xr6:coauthVersionMax="47" xr10:uidLastSave="{00000000-0000-0000-0000-000000000000}"/>
  <bookViews>
    <workbookView xWindow="-120" yWindow="-120" windowWidth="29040" windowHeight="15720" activeTab="1" xr2:uid="{DD943627-84DE-4F35-8251-A0903E7D7A97}"/>
  </bookViews>
  <sheets>
    <sheet name="Background" sheetId="2" r:id="rId1"/>
    <sheet name="Base Financials" sheetId="1" r:id="rId2"/>
    <sheet name="FCF Analysis" sheetId="3" r:id="rId3"/>
    <sheet name="Leverage &amp; Liquidity Profil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3" l="1"/>
  <c r="H29" i="3" s="1"/>
  <c r="G26" i="3"/>
  <c r="Q23" i="4"/>
  <c r="P23" i="4"/>
  <c r="O23" i="4"/>
  <c r="N23" i="4"/>
  <c r="M23" i="4"/>
  <c r="L23" i="4"/>
  <c r="K23" i="4"/>
  <c r="J23" i="4"/>
  <c r="I23" i="4"/>
  <c r="H23" i="4"/>
  <c r="G23" i="4"/>
  <c r="E23" i="4"/>
  <c r="D23" i="4"/>
  <c r="C23" i="4"/>
  <c r="N26" i="1"/>
  <c r="J26" i="1"/>
  <c r="N25" i="1"/>
  <c r="J25" i="1"/>
  <c r="N27" i="1"/>
  <c r="J27" i="1"/>
  <c r="J22" i="4" s="1"/>
  <c r="Q22" i="4"/>
  <c r="P22" i="4"/>
  <c r="O22" i="4"/>
  <c r="N22" i="4"/>
  <c r="M22" i="4"/>
  <c r="L22" i="4"/>
  <c r="K22" i="4"/>
  <c r="I22" i="4"/>
  <c r="H22" i="4"/>
  <c r="G22" i="4"/>
  <c r="E22" i="4"/>
  <c r="D22" i="4"/>
  <c r="C22" i="4"/>
  <c r="T10" i="4"/>
  <c r="S10" i="4"/>
  <c r="Q13" i="4"/>
  <c r="P13" i="4"/>
  <c r="O13" i="4"/>
  <c r="N13" i="4"/>
  <c r="M13" i="4"/>
  <c r="L13" i="4"/>
  <c r="K13" i="4"/>
  <c r="J13" i="4"/>
  <c r="I13" i="4"/>
  <c r="H13" i="4"/>
  <c r="E13" i="4"/>
  <c r="D13" i="4"/>
  <c r="S16" i="4"/>
  <c r="T11" i="4"/>
  <c r="S11" i="4"/>
  <c r="E19" i="4"/>
  <c r="Q18" i="4"/>
  <c r="Q19" i="4" s="1"/>
  <c r="K18" i="4"/>
  <c r="K19" i="4" s="1"/>
  <c r="J18" i="4"/>
  <c r="J19" i="4" s="1"/>
  <c r="I18" i="4"/>
  <c r="I19" i="4" s="1"/>
  <c r="Q17" i="4"/>
  <c r="T17" i="4" s="1"/>
  <c r="P17" i="4"/>
  <c r="P18" i="4" s="1"/>
  <c r="P19" i="4" s="1"/>
  <c r="O17" i="4"/>
  <c r="O18" i="4" s="1"/>
  <c r="N17" i="4"/>
  <c r="N18" i="4" s="1"/>
  <c r="M17" i="4"/>
  <c r="S17" i="4" s="1"/>
  <c r="S18" i="4" s="1"/>
  <c r="L17" i="4"/>
  <c r="L18" i="4" s="1"/>
  <c r="L19" i="4" s="1"/>
  <c r="K17" i="4"/>
  <c r="J17" i="4"/>
  <c r="I17" i="4"/>
  <c r="H17" i="4"/>
  <c r="H18" i="4" s="1"/>
  <c r="H19" i="4" s="1"/>
  <c r="G17" i="4"/>
  <c r="G18" i="4" s="1"/>
  <c r="Q16" i="4"/>
  <c r="T16" i="4" s="1"/>
  <c r="P16" i="4"/>
  <c r="O16" i="4"/>
  <c r="N16" i="4"/>
  <c r="M16" i="4"/>
  <c r="L16" i="4"/>
  <c r="K16" i="4"/>
  <c r="J16" i="4"/>
  <c r="I16" i="4"/>
  <c r="H16" i="4"/>
  <c r="G16" i="4"/>
  <c r="E17" i="4"/>
  <c r="E18" i="4" s="1"/>
  <c r="D17" i="4"/>
  <c r="D18" i="4" s="1"/>
  <c r="C17" i="4"/>
  <c r="E16" i="4"/>
  <c r="D16" i="4"/>
  <c r="C16" i="4"/>
  <c r="C12" i="4"/>
  <c r="Q10" i="4"/>
  <c r="Q12" i="4" s="1"/>
  <c r="P10" i="4"/>
  <c r="P12" i="4" s="1"/>
  <c r="O10" i="4"/>
  <c r="O12" i="4" s="1"/>
  <c r="N10" i="4"/>
  <c r="N12" i="4" s="1"/>
  <c r="M10" i="4"/>
  <c r="M12" i="4" s="1"/>
  <c r="L10" i="4"/>
  <c r="L12" i="4" s="1"/>
  <c r="K10" i="4"/>
  <c r="K12" i="4" s="1"/>
  <c r="J10" i="4"/>
  <c r="J12" i="4" s="1"/>
  <c r="I10" i="4"/>
  <c r="I12" i="4" s="1"/>
  <c r="H10" i="4"/>
  <c r="H12" i="4" s="1"/>
  <c r="G10" i="4"/>
  <c r="G12" i="4" s="1"/>
  <c r="E10" i="4"/>
  <c r="E12" i="4" s="1"/>
  <c r="D10" i="4"/>
  <c r="D12" i="4" s="1"/>
  <c r="C10" i="4"/>
  <c r="B10" i="4"/>
  <c r="T8" i="4"/>
  <c r="S8" i="4"/>
  <c r="T7" i="4"/>
  <c r="S7" i="4"/>
  <c r="T24" i="3"/>
  <c r="T23" i="3"/>
  <c r="S23" i="3"/>
  <c r="T28" i="3"/>
  <c r="S28" i="3"/>
  <c r="T27" i="3"/>
  <c r="S27" i="3"/>
  <c r="T26" i="3"/>
  <c r="S26" i="3"/>
  <c r="T22" i="3"/>
  <c r="T29" i="3" s="1"/>
  <c r="S22" i="3"/>
  <c r="T21" i="3"/>
  <c r="S21" i="3"/>
  <c r="T20" i="3"/>
  <c r="S20" i="3"/>
  <c r="S29" i="3"/>
  <c r="R29" i="3"/>
  <c r="Q29" i="3"/>
  <c r="P29" i="3"/>
  <c r="O29" i="3"/>
  <c r="N29" i="3"/>
  <c r="M29" i="3"/>
  <c r="L29" i="3"/>
  <c r="K29" i="3"/>
  <c r="J29" i="3"/>
  <c r="I29" i="3"/>
  <c r="G29" i="3"/>
  <c r="E29" i="3"/>
  <c r="D29" i="3"/>
  <c r="C29" i="3"/>
  <c r="I26" i="3"/>
  <c r="J26" i="3"/>
  <c r="K26" i="3"/>
  <c r="L26" i="3"/>
  <c r="M26" i="3"/>
  <c r="N26" i="3"/>
  <c r="O26" i="3"/>
  <c r="P26" i="3"/>
  <c r="Q26" i="3"/>
  <c r="H27" i="3"/>
  <c r="I27" i="3"/>
  <c r="J27" i="3"/>
  <c r="K27" i="3"/>
  <c r="L27" i="3"/>
  <c r="M27" i="3"/>
  <c r="N27" i="3"/>
  <c r="O27" i="3"/>
  <c r="P27" i="3"/>
  <c r="Q27" i="3"/>
  <c r="H28" i="3"/>
  <c r="I28" i="3"/>
  <c r="J28" i="3"/>
  <c r="K28" i="3"/>
  <c r="L28" i="3"/>
  <c r="M28" i="3"/>
  <c r="N28" i="3"/>
  <c r="O28" i="3"/>
  <c r="P28" i="3"/>
  <c r="Q28" i="3"/>
  <c r="G28" i="3"/>
  <c r="G27" i="3"/>
  <c r="C27" i="3"/>
  <c r="D27" i="3"/>
  <c r="E27" i="3"/>
  <c r="C28" i="3"/>
  <c r="D28" i="3"/>
  <c r="E28" i="3"/>
  <c r="D26" i="3"/>
  <c r="E26" i="3"/>
  <c r="C26" i="3"/>
  <c r="Q23" i="3"/>
  <c r="P23" i="3"/>
  <c r="O23" i="3"/>
  <c r="N23" i="3"/>
  <c r="M23" i="3"/>
  <c r="L23" i="3"/>
  <c r="K23" i="3"/>
  <c r="J23" i="3"/>
  <c r="I23" i="3"/>
  <c r="H23" i="3"/>
  <c r="G23" i="3"/>
  <c r="E23" i="3"/>
  <c r="D23" i="3"/>
  <c r="C23" i="3"/>
  <c r="Q22" i="3"/>
  <c r="P22" i="3"/>
  <c r="O22" i="3"/>
  <c r="N22" i="3"/>
  <c r="M22" i="3"/>
  <c r="L22" i="3"/>
  <c r="K22" i="3"/>
  <c r="J22" i="3"/>
  <c r="I22" i="3"/>
  <c r="H22" i="3"/>
  <c r="G22" i="3"/>
  <c r="E22" i="3"/>
  <c r="D22" i="3"/>
  <c r="C22" i="3"/>
  <c r="Q21" i="3"/>
  <c r="P21" i="3"/>
  <c r="O21" i="3"/>
  <c r="N21" i="3"/>
  <c r="M21" i="3"/>
  <c r="L21" i="3"/>
  <c r="K21" i="3"/>
  <c r="J21" i="3"/>
  <c r="I21" i="3"/>
  <c r="H21" i="3"/>
  <c r="G21" i="3"/>
  <c r="E21" i="3"/>
  <c r="D21" i="3"/>
  <c r="C21" i="3"/>
  <c r="Q20" i="3"/>
  <c r="P20" i="3"/>
  <c r="O20" i="3"/>
  <c r="N20" i="3"/>
  <c r="M20" i="3"/>
  <c r="L20" i="3"/>
  <c r="K20" i="3"/>
  <c r="J20" i="3"/>
  <c r="I20" i="3"/>
  <c r="H20" i="3"/>
  <c r="G20" i="3"/>
  <c r="E20" i="3"/>
  <c r="D20" i="3"/>
  <c r="C20" i="3"/>
  <c r="H102" i="1"/>
  <c r="J102" i="1" s="1"/>
  <c r="S102" i="1" s="1"/>
  <c r="H101" i="1"/>
  <c r="H100" i="1"/>
  <c r="J100" i="1" s="1"/>
  <c r="S100" i="1" s="1"/>
  <c r="Q92" i="1"/>
  <c r="Q91" i="1"/>
  <c r="Q90" i="1"/>
  <c r="P91" i="1"/>
  <c r="T91" i="1" s="1"/>
  <c r="P90" i="1"/>
  <c r="N92" i="1"/>
  <c r="N91" i="1"/>
  <c r="M91" i="1"/>
  <c r="M90" i="1"/>
  <c r="L90" i="1"/>
  <c r="I92" i="1"/>
  <c r="I91" i="1"/>
  <c r="I90" i="1"/>
  <c r="H92" i="1"/>
  <c r="H91" i="1"/>
  <c r="H90" i="1"/>
  <c r="N86" i="1"/>
  <c r="J86" i="1"/>
  <c r="J87" i="1" s="1"/>
  <c r="Q76" i="1"/>
  <c r="Q77" i="1"/>
  <c r="Q78" i="1"/>
  <c r="Q79" i="1"/>
  <c r="Q81" i="1"/>
  <c r="Q82" i="1"/>
  <c r="Q83" i="1"/>
  <c r="P83" i="1"/>
  <c r="P82" i="1"/>
  <c r="P81" i="1"/>
  <c r="P79" i="1"/>
  <c r="P78" i="1"/>
  <c r="P77" i="1"/>
  <c r="P76" i="1"/>
  <c r="P74" i="1"/>
  <c r="M83" i="1"/>
  <c r="M82" i="1"/>
  <c r="M81" i="1"/>
  <c r="M79" i="1"/>
  <c r="N79" i="1" s="1"/>
  <c r="M78" i="1"/>
  <c r="M77" i="1"/>
  <c r="M76" i="1"/>
  <c r="M74" i="1"/>
  <c r="L74" i="1"/>
  <c r="L76" i="1"/>
  <c r="L77" i="1"/>
  <c r="L78" i="1"/>
  <c r="L79" i="1"/>
  <c r="L81" i="1"/>
  <c r="L82" i="1"/>
  <c r="L83" i="1"/>
  <c r="N83" i="1" s="1"/>
  <c r="I76" i="1"/>
  <c r="I77" i="1"/>
  <c r="I78" i="1"/>
  <c r="I79" i="1"/>
  <c r="I81" i="1"/>
  <c r="I82" i="1"/>
  <c r="I83" i="1"/>
  <c r="H83" i="1"/>
  <c r="H82" i="1"/>
  <c r="H81" i="1"/>
  <c r="H79" i="1"/>
  <c r="H78" i="1"/>
  <c r="H77" i="1"/>
  <c r="H76" i="1"/>
  <c r="I74" i="1"/>
  <c r="H74" i="1"/>
  <c r="N106" i="1"/>
  <c r="N105" i="1"/>
  <c r="N104" i="1"/>
  <c r="N103" i="1"/>
  <c r="T103" i="1" s="1"/>
  <c r="N102" i="1"/>
  <c r="N101" i="1"/>
  <c r="N100" i="1"/>
  <c r="J106" i="1"/>
  <c r="J105" i="1"/>
  <c r="J104" i="1"/>
  <c r="J103" i="1"/>
  <c r="S103" i="1" s="1"/>
  <c r="J101" i="1"/>
  <c r="S101" i="1" s="1"/>
  <c r="Q87" i="1"/>
  <c r="P87" i="1"/>
  <c r="O87" i="1"/>
  <c r="N87" i="1"/>
  <c r="M87" i="1"/>
  <c r="L87" i="1"/>
  <c r="K87" i="1"/>
  <c r="I87" i="1"/>
  <c r="H87" i="1"/>
  <c r="G87" i="1"/>
  <c r="E87" i="1"/>
  <c r="D87" i="1"/>
  <c r="C87" i="1"/>
  <c r="J62" i="1"/>
  <c r="S62" i="1" s="1"/>
  <c r="J61" i="1"/>
  <c r="S61" i="1" s="1"/>
  <c r="N62" i="1"/>
  <c r="T62" i="1" s="1"/>
  <c r="N61" i="1"/>
  <c r="T61" i="1" s="1"/>
  <c r="C66" i="1"/>
  <c r="N58" i="1"/>
  <c r="J58" i="1"/>
  <c r="B22" i="3"/>
  <c r="B21" i="3"/>
  <c r="B20" i="3"/>
  <c r="Q16" i="3"/>
  <c r="P16" i="3"/>
  <c r="O16" i="3"/>
  <c r="M16" i="3"/>
  <c r="L16" i="3"/>
  <c r="K16" i="3"/>
  <c r="I16" i="3"/>
  <c r="H16" i="3"/>
  <c r="G16" i="3"/>
  <c r="Q15" i="3"/>
  <c r="P15" i="3"/>
  <c r="O15" i="3"/>
  <c r="M15" i="3"/>
  <c r="L15" i="3"/>
  <c r="K15" i="3"/>
  <c r="I15" i="3"/>
  <c r="H15" i="3"/>
  <c r="G15" i="3"/>
  <c r="E16" i="3"/>
  <c r="D16" i="3"/>
  <c r="C16" i="3"/>
  <c r="E15" i="3"/>
  <c r="D15" i="3"/>
  <c r="C15" i="3"/>
  <c r="Q11" i="3"/>
  <c r="P11" i="3"/>
  <c r="O11" i="3"/>
  <c r="M11" i="3"/>
  <c r="L11" i="3"/>
  <c r="K11" i="3"/>
  <c r="I11" i="3"/>
  <c r="H11" i="3"/>
  <c r="G11" i="3"/>
  <c r="Q10" i="3"/>
  <c r="P10" i="3"/>
  <c r="O10" i="3"/>
  <c r="M10" i="3"/>
  <c r="L10" i="3"/>
  <c r="K10" i="3"/>
  <c r="I10" i="3"/>
  <c r="H10" i="3"/>
  <c r="G10" i="3"/>
  <c r="E11" i="3"/>
  <c r="D11" i="3"/>
  <c r="C11" i="3"/>
  <c r="E10" i="3"/>
  <c r="D10" i="3"/>
  <c r="C10" i="3"/>
  <c r="T8" i="3"/>
  <c r="S8" i="3"/>
  <c r="T7" i="3"/>
  <c r="S7" i="3"/>
  <c r="N20" i="1"/>
  <c r="T20" i="1" s="1"/>
  <c r="N19" i="1"/>
  <c r="N15" i="3" s="1"/>
  <c r="N18" i="1"/>
  <c r="T18" i="1" s="1"/>
  <c r="N17" i="1"/>
  <c r="T17" i="1" s="1"/>
  <c r="N12" i="1"/>
  <c r="N11" i="3" s="1"/>
  <c r="N11" i="1"/>
  <c r="N10" i="3" s="1"/>
  <c r="Q13" i="1"/>
  <c r="Q21" i="1" s="1"/>
  <c r="P13" i="1"/>
  <c r="P21" i="1" s="1"/>
  <c r="O13" i="1"/>
  <c r="O21" i="1" s="1"/>
  <c r="M13" i="1"/>
  <c r="M21" i="1" s="1"/>
  <c r="L13" i="1"/>
  <c r="L21" i="1" s="1"/>
  <c r="K13" i="1"/>
  <c r="K21" i="1" s="1"/>
  <c r="I13" i="1"/>
  <c r="I21" i="1" s="1"/>
  <c r="H13" i="1"/>
  <c r="H21" i="1" s="1"/>
  <c r="G13" i="1"/>
  <c r="G21" i="1" s="1"/>
  <c r="E13" i="1"/>
  <c r="E21" i="1" s="1"/>
  <c r="D13" i="1"/>
  <c r="D21" i="1" s="1"/>
  <c r="C13" i="1"/>
  <c r="C21" i="1" s="1"/>
  <c r="J20" i="1"/>
  <c r="S20" i="1" s="1"/>
  <c r="J19" i="1"/>
  <c r="S19" i="1" s="1"/>
  <c r="J18" i="1"/>
  <c r="S18" i="1" s="1"/>
  <c r="J17" i="1"/>
  <c r="S17" i="1" s="1"/>
  <c r="J12" i="1"/>
  <c r="J11" i="3" s="1"/>
  <c r="J11" i="1"/>
  <c r="J10" i="3" s="1"/>
  <c r="T102" i="1"/>
  <c r="T101" i="1"/>
  <c r="T100" i="1"/>
  <c r="N95" i="1" a="1"/>
  <c r="N95" i="1" s="1"/>
  <c r="J95" i="1" a="1"/>
  <c r="J95" i="1" s="1"/>
  <c r="O93" i="1"/>
  <c r="K93" i="1"/>
  <c r="G93" i="1"/>
  <c r="E93" i="1"/>
  <c r="D93" i="1"/>
  <c r="C93" i="1"/>
  <c r="J92" i="1"/>
  <c r="S92" i="1" s="1"/>
  <c r="J91" i="1"/>
  <c r="S91" i="1" s="1"/>
  <c r="H93" i="1"/>
  <c r="O84" i="1"/>
  <c r="K84" i="1"/>
  <c r="G84" i="1"/>
  <c r="E84" i="1"/>
  <c r="D84" i="1"/>
  <c r="C84" i="1"/>
  <c r="N82" i="1"/>
  <c r="J82" i="1"/>
  <c r="N81" i="1"/>
  <c r="S77" i="1"/>
  <c r="Q66" i="1"/>
  <c r="P66" i="1"/>
  <c r="O66" i="1"/>
  <c r="M66" i="1"/>
  <c r="L66" i="1"/>
  <c r="K66" i="1"/>
  <c r="I66" i="1"/>
  <c r="H66" i="1"/>
  <c r="G66" i="1"/>
  <c r="E66" i="1"/>
  <c r="D66" i="1"/>
  <c r="N65" i="1"/>
  <c r="T65" i="1" s="1"/>
  <c r="J65" i="1"/>
  <c r="S65" i="1" s="1"/>
  <c r="N64" i="1"/>
  <c r="T64" i="1" s="1"/>
  <c r="J64" i="1"/>
  <c r="S64" i="1" s="1"/>
  <c r="N63" i="1"/>
  <c r="J63" i="1"/>
  <c r="S63" i="1" s="1"/>
  <c r="N53" i="1"/>
  <c r="T53" i="1" s="1"/>
  <c r="J53" i="1"/>
  <c r="S53" i="1" s="1"/>
  <c r="N51" i="1"/>
  <c r="T51" i="1" s="1"/>
  <c r="J51" i="1"/>
  <c r="S51" i="1" s="1"/>
  <c r="Q48" i="1"/>
  <c r="Q55" i="1" s="1"/>
  <c r="P48" i="1"/>
  <c r="P55" i="1" s="1"/>
  <c r="O48" i="1"/>
  <c r="O55" i="1" s="1"/>
  <c r="M48" i="1"/>
  <c r="M55" i="1" s="1"/>
  <c r="L48" i="1"/>
  <c r="L55" i="1" s="1"/>
  <c r="K48" i="1"/>
  <c r="K55" i="1" s="1"/>
  <c r="I48" i="1"/>
  <c r="I55" i="1" s="1"/>
  <c r="H48" i="1"/>
  <c r="H55" i="1" s="1"/>
  <c r="G48" i="1"/>
  <c r="G55" i="1" s="1"/>
  <c r="E48" i="1"/>
  <c r="E55" i="1" s="1"/>
  <c r="D48" i="1"/>
  <c r="D55" i="1" s="1"/>
  <c r="C48" i="1"/>
  <c r="C55" i="1" s="1"/>
  <c r="T47" i="1"/>
  <c r="J47" i="1"/>
  <c r="S47" i="1" s="1"/>
  <c r="N46" i="1"/>
  <c r="T46" i="1" s="1"/>
  <c r="J46" i="1"/>
  <c r="S46" i="1" s="1"/>
  <c r="N45" i="1"/>
  <c r="T45" i="1" s="1"/>
  <c r="J45" i="1"/>
  <c r="N44" i="1"/>
  <c r="T44" i="1" s="1"/>
  <c r="J44" i="1"/>
  <c r="S44" i="1" s="1"/>
  <c r="N43" i="1"/>
  <c r="J43" i="1"/>
  <c r="S43" i="1" s="1"/>
  <c r="N39" i="1"/>
  <c r="T39" i="1" s="1"/>
  <c r="J39" i="1"/>
  <c r="S39" i="1" s="1"/>
  <c r="N38" i="1"/>
  <c r="T38" i="1" s="1"/>
  <c r="J38" i="1"/>
  <c r="S38" i="1" s="1"/>
  <c r="Q35" i="1"/>
  <c r="Q40" i="1" s="1"/>
  <c r="P35" i="1"/>
  <c r="P40" i="1" s="1"/>
  <c r="O35" i="1"/>
  <c r="O40" i="1" s="1"/>
  <c r="M35" i="1"/>
  <c r="M40" i="1" s="1"/>
  <c r="L35" i="1"/>
  <c r="L40" i="1" s="1"/>
  <c r="K35" i="1"/>
  <c r="K40" i="1" s="1"/>
  <c r="I35" i="1"/>
  <c r="I40" i="1" s="1"/>
  <c r="H35" i="1"/>
  <c r="H40" i="1" s="1"/>
  <c r="G35" i="1"/>
  <c r="G40" i="1" s="1"/>
  <c r="E35" i="1"/>
  <c r="E40" i="1" s="1"/>
  <c r="D35" i="1"/>
  <c r="D40" i="1" s="1"/>
  <c r="C35" i="1"/>
  <c r="C40" i="1" s="1"/>
  <c r="N34" i="1"/>
  <c r="T34" i="1" s="1"/>
  <c r="J34" i="1"/>
  <c r="S34" i="1" s="1"/>
  <c r="N33" i="1"/>
  <c r="T33" i="1" s="1"/>
  <c r="J33" i="1"/>
  <c r="T8" i="1"/>
  <c r="S8" i="1"/>
  <c r="T7" i="1"/>
  <c r="S7" i="1"/>
  <c r="O19" i="4" l="1"/>
  <c r="T18" i="4"/>
  <c r="T19" i="4" s="1"/>
  <c r="M18" i="4"/>
  <c r="M19" i="4" s="1"/>
  <c r="C18" i="4"/>
  <c r="D19" i="4" s="1"/>
  <c r="S12" i="4"/>
  <c r="T12" i="4"/>
  <c r="T30" i="3"/>
  <c r="P93" i="1"/>
  <c r="N78" i="1"/>
  <c r="N76" i="1"/>
  <c r="H68" i="1"/>
  <c r="L68" i="1"/>
  <c r="V61" i="1"/>
  <c r="C68" i="1"/>
  <c r="G68" i="1"/>
  <c r="Q68" i="1"/>
  <c r="D68" i="1"/>
  <c r="I68" i="1"/>
  <c r="K68" i="1"/>
  <c r="M68" i="1"/>
  <c r="O68" i="1"/>
  <c r="E68" i="1"/>
  <c r="P68" i="1"/>
  <c r="O12" i="3"/>
  <c r="O17" i="3" s="1"/>
  <c r="P12" i="3"/>
  <c r="P17" i="3" s="1"/>
  <c r="Q22" i="1"/>
  <c r="H12" i="3"/>
  <c r="H17" i="3" s="1"/>
  <c r="I22" i="1"/>
  <c r="V17" i="1"/>
  <c r="E12" i="3"/>
  <c r="E17" i="3" s="1"/>
  <c r="V20" i="1"/>
  <c r="M12" i="3"/>
  <c r="M17" i="3" s="1"/>
  <c r="K12" i="3"/>
  <c r="K17" i="3" s="1"/>
  <c r="J15" i="3"/>
  <c r="S15" i="3" s="1"/>
  <c r="T15" i="3"/>
  <c r="P22" i="1"/>
  <c r="L12" i="3"/>
  <c r="L17" i="3" s="1"/>
  <c r="H22" i="1"/>
  <c r="C12" i="3"/>
  <c r="C17" i="3" s="1"/>
  <c r="Q12" i="3"/>
  <c r="Q17" i="3" s="1"/>
  <c r="I12" i="3"/>
  <c r="I17" i="3" s="1"/>
  <c r="N16" i="3"/>
  <c r="T16" i="3" s="1"/>
  <c r="M22" i="1"/>
  <c r="L22" i="1"/>
  <c r="D22" i="1"/>
  <c r="V18" i="1"/>
  <c r="E22" i="1"/>
  <c r="J16" i="3"/>
  <c r="S16" i="3" s="1"/>
  <c r="T19" i="1"/>
  <c r="V19" i="1" s="1"/>
  <c r="S10" i="3"/>
  <c r="G12" i="3"/>
  <c r="J12" i="3"/>
  <c r="T10" i="3"/>
  <c r="D12" i="3"/>
  <c r="S11" i="3"/>
  <c r="T11" i="3"/>
  <c r="N13" i="1"/>
  <c r="J13" i="1"/>
  <c r="S12" i="1"/>
  <c r="E14" i="1"/>
  <c r="D14" i="1"/>
  <c r="T12" i="1"/>
  <c r="V102" i="1"/>
  <c r="V51" i="1"/>
  <c r="T83" i="1"/>
  <c r="S66" i="1"/>
  <c r="V64" i="1"/>
  <c r="T35" i="1"/>
  <c r="J48" i="1"/>
  <c r="J55" i="1" s="1"/>
  <c r="V103" i="1"/>
  <c r="V65" i="1"/>
  <c r="T78" i="1"/>
  <c r="H14" i="1"/>
  <c r="V39" i="1"/>
  <c r="N66" i="1"/>
  <c r="J81" i="1"/>
  <c r="S81" i="1" s="1"/>
  <c r="S45" i="1"/>
  <c r="V45" i="1" s="1"/>
  <c r="T11" i="1"/>
  <c r="I14" i="1"/>
  <c r="T76" i="1"/>
  <c r="J83" i="1"/>
  <c r="S83" i="1" s="1"/>
  <c r="V44" i="1"/>
  <c r="J66" i="1"/>
  <c r="T81" i="1"/>
  <c r="Q93" i="1"/>
  <c r="V100" i="1"/>
  <c r="P14" i="1"/>
  <c r="M14" i="1"/>
  <c r="V101" i="1"/>
  <c r="J79" i="1"/>
  <c r="S79" i="1" s="1"/>
  <c r="Q14" i="1"/>
  <c r="N48" i="1"/>
  <c r="N55" i="1" s="1"/>
  <c r="T43" i="1"/>
  <c r="V53" i="1"/>
  <c r="T77" i="1"/>
  <c r="V77" i="1" s="1"/>
  <c r="J35" i="1"/>
  <c r="J40" i="1" s="1"/>
  <c r="S40" i="1" s="1"/>
  <c r="L93" i="1"/>
  <c r="V46" i="1"/>
  <c r="H84" i="1"/>
  <c r="T79" i="1"/>
  <c r="V91" i="1"/>
  <c r="M84" i="1"/>
  <c r="N74" i="1"/>
  <c r="V34" i="1"/>
  <c r="P84" i="1"/>
  <c r="V38" i="1"/>
  <c r="V47" i="1"/>
  <c r="L14" i="1"/>
  <c r="L84" i="1"/>
  <c r="T63" i="1"/>
  <c r="J76" i="1"/>
  <c r="S76" i="1" s="1"/>
  <c r="J78" i="1"/>
  <c r="S78" i="1" s="1"/>
  <c r="I93" i="1"/>
  <c r="N35" i="1"/>
  <c r="N40" i="1" s="1"/>
  <c r="T40" i="1" s="1"/>
  <c r="S33" i="1"/>
  <c r="S35" i="1" s="1"/>
  <c r="S11" i="1"/>
  <c r="T13" i="4" l="1"/>
  <c r="N19" i="4"/>
  <c r="N68" i="1"/>
  <c r="P18" i="3"/>
  <c r="P13" i="3"/>
  <c r="Q18" i="3"/>
  <c r="J68" i="1"/>
  <c r="E13" i="3"/>
  <c r="I18" i="3"/>
  <c r="S12" i="3"/>
  <c r="S17" i="3" s="1"/>
  <c r="I13" i="3"/>
  <c r="L18" i="3"/>
  <c r="L13" i="3"/>
  <c r="M18" i="3"/>
  <c r="Q13" i="3"/>
  <c r="M13" i="3"/>
  <c r="J14" i="1"/>
  <c r="J21" i="1"/>
  <c r="D13" i="3"/>
  <c r="D17" i="3"/>
  <c r="N14" i="1"/>
  <c r="N21" i="1"/>
  <c r="J13" i="3"/>
  <c r="J17" i="3"/>
  <c r="J18" i="3" s="1"/>
  <c r="H13" i="3"/>
  <c r="G17" i="3"/>
  <c r="H18" i="3" s="1"/>
  <c r="T12" i="3"/>
  <c r="K13" i="3"/>
  <c r="N12" i="3"/>
  <c r="N17" i="3" s="1"/>
  <c r="N18" i="3" s="1"/>
  <c r="T13" i="1"/>
  <c r="T21" i="1" s="1"/>
  <c r="V12" i="1"/>
  <c r="S13" i="1"/>
  <c r="S21" i="1" s="1"/>
  <c r="O14" i="1"/>
  <c r="S87" i="1"/>
  <c r="V35" i="1"/>
  <c r="V78" i="1"/>
  <c r="V83" i="1"/>
  <c r="T87" i="1"/>
  <c r="S48" i="1"/>
  <c r="S55" i="1" s="1"/>
  <c r="S68" i="1" s="1"/>
  <c r="V76" i="1"/>
  <c r="I84" i="1"/>
  <c r="T92" i="1"/>
  <c r="V92" i="1" s="1"/>
  <c r="Q84" i="1"/>
  <c r="K14" i="1"/>
  <c r="V81" i="1"/>
  <c r="V40" i="1"/>
  <c r="T48" i="1"/>
  <c r="V43" i="1"/>
  <c r="V11" i="1"/>
  <c r="V33" i="1"/>
  <c r="J74" i="1"/>
  <c r="T66" i="1"/>
  <c r="V63" i="1"/>
  <c r="M93" i="1"/>
  <c r="N90" i="1"/>
  <c r="V79" i="1"/>
  <c r="N84" i="1"/>
  <c r="T74" i="1"/>
  <c r="J90" i="1"/>
  <c r="T13" i="3" l="1"/>
  <c r="T17" i="3"/>
  <c r="T18" i="3" s="1"/>
  <c r="N22" i="1"/>
  <c r="O22" i="1"/>
  <c r="K18" i="3"/>
  <c r="O18" i="3"/>
  <c r="E18" i="3"/>
  <c r="D18" i="3"/>
  <c r="J22" i="1"/>
  <c r="K22" i="1"/>
  <c r="O13" i="3"/>
  <c r="N13" i="3"/>
  <c r="V21" i="1"/>
  <c r="V13" i="1"/>
  <c r="T22" i="1"/>
  <c r="T14" i="1"/>
  <c r="V87" i="1"/>
  <c r="T84" i="1"/>
  <c r="J84" i="1"/>
  <c r="S74" i="1"/>
  <c r="S84" i="1" s="1"/>
  <c r="N93" i="1"/>
  <c r="T93" i="1" s="1"/>
  <c r="T90" i="1"/>
  <c r="J93" i="1"/>
  <c r="S93" i="1" s="1"/>
  <c r="S90" i="1"/>
  <c r="V66" i="1"/>
  <c r="T55" i="1"/>
  <c r="V55" i="1" s="1"/>
  <c r="V48" i="1"/>
  <c r="V90" i="1" l="1"/>
  <c r="V93" i="1"/>
  <c r="T68" i="1"/>
  <c r="V68" i="1" s="1"/>
  <c r="V74" i="1"/>
  <c r="V8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<sst xmlns="http://schemas.openxmlformats.org/spreadsheetml/2006/main" count="239" uniqueCount="153">
  <si>
    <t>(In Millions)</t>
  </si>
  <si>
    <t>FYE</t>
  </si>
  <si>
    <t>Quarterly</t>
  </si>
  <si>
    <t>LTM</t>
  </si>
  <si>
    <t>LTM VAR</t>
  </si>
  <si>
    <t>X</t>
  </si>
  <si>
    <t xml:space="preserve">Income Statement </t>
  </si>
  <si>
    <t>FY2021</t>
  </si>
  <si>
    <t>FY2022</t>
  </si>
  <si>
    <t>FY2023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</si>
  <si>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</si>
  <si>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</si>
  <si>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</si>
  <si>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</si>
  <si>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</si>
  <si>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</si>
  <si>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</si>
  <si>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</si>
  <si>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</si>
  <si>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</si>
  <si>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</si>
  <si>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VAR</t>
  </si>
  <si>
    <t>Operating expenses:</t>
  </si>
  <si>
    <t>General and administrative</t>
  </si>
  <si>
    <t>Y/Y Growth, Q/Q Growth</t>
  </si>
  <si>
    <t>Interest income</t>
  </si>
  <si>
    <t>Net loss</t>
  </si>
  <si>
    <t xml:space="preserve">Balance Sheet Statement </t>
  </si>
  <si>
    <t>Consolidated Balance Sheets - USD ($) $ in Millions</t>
  </si>
  <si>
    <t>Current Assets</t>
  </si>
  <si>
    <t>Cash and cash equivalents</t>
  </si>
  <si>
    <t>Prepaid expenses and other current assets</t>
  </si>
  <si>
    <t>Total current assets</t>
  </si>
  <si>
    <t>Long-Term Assets</t>
  </si>
  <si>
    <t>—</t>
  </si>
  <si>
    <t>-</t>
  </si>
  <si>
    <t>Property and equipment, net</t>
  </si>
  <si>
    <t>Total assets</t>
  </si>
  <si>
    <t>Current Liabilities</t>
  </si>
  <si>
    <t>Total current liabilities</t>
  </si>
  <si>
    <t>Long-Term Liabilities</t>
  </si>
  <si>
    <t>Additional paid-in capital</t>
  </si>
  <si>
    <t>Accumulated deficit</t>
  </si>
  <si>
    <t>Total stockholders' equity</t>
  </si>
  <si>
    <t>Total liabilities and stockholders' equity</t>
  </si>
  <si>
    <t>Cash-Flows Statement</t>
  </si>
  <si>
    <t>Consolidated Statements of Cash Flows - USD ($) $ in Millions</t>
  </si>
  <si>
    <t>Changes in operating assets and liabilities:</t>
  </si>
  <si>
    <t>Other liabilities</t>
  </si>
  <si>
    <t>Net cash used in operating activities</t>
  </si>
  <si>
    <t>Cash flows from investing activities:</t>
  </si>
  <si>
    <t>Net cash used in investing activities</t>
  </si>
  <si>
    <t>Cash flows from financing activities:</t>
  </si>
  <si>
    <t>Net cash provided by financing activities</t>
  </si>
  <si>
    <t>Net (decrease) increase in cash and cash equivalents</t>
  </si>
  <si>
    <t>Cash and cash equivalents at beginning of period</t>
  </si>
  <si>
    <t>Cash and cash equivalents at end of period</t>
  </si>
  <si>
    <t>V</t>
  </si>
  <si>
    <t>Consolidated Statements of Income - USD ($) shares in Thousands</t>
  </si>
  <si>
    <t>Galectin Therapeutics Inc (NASDAQ: GALT)</t>
  </si>
  <si>
    <t>Research and development</t>
  </si>
  <si>
    <t>Total operating loss</t>
  </si>
  <si>
    <t>Other income (expense):</t>
  </si>
  <si>
    <t>Interest expense</t>
  </si>
  <si>
    <t>Change in fair value of derivatives</t>
  </si>
  <si>
    <t>Total other expense</t>
  </si>
  <si>
    <t>Preferred stock dividends</t>
  </si>
  <si>
    <t>Warrant modification - REVIEW</t>
  </si>
  <si>
    <t>Net loss applicable to common stockholders</t>
  </si>
  <si>
    <t>Basic and diluted net loss per share</t>
  </si>
  <si>
    <t>Weighted average common and potential common shares outstanding basic and diluted</t>
  </si>
  <si>
    <t>Company Name</t>
  </si>
  <si>
    <t xml:space="preserve">Ticker </t>
  </si>
  <si>
    <t>Galectin Therapeutics</t>
  </si>
  <si>
    <t>GALT</t>
  </si>
  <si>
    <t>Pipeline</t>
  </si>
  <si>
    <t xml:space="preserve">Target </t>
  </si>
  <si>
    <t xml:space="preserve">Drug </t>
  </si>
  <si>
    <t>Indication</t>
  </si>
  <si>
    <t>Stage</t>
  </si>
  <si>
    <t>Data Release</t>
  </si>
  <si>
    <t>Fibrosis</t>
  </si>
  <si>
    <t>Belapectin</t>
  </si>
  <si>
    <t>MASH Cirrhosis</t>
  </si>
  <si>
    <t>Cancer Immunotherapy (Combonation Therapy)</t>
  </si>
  <si>
    <t>Belapectin + Keytruda</t>
  </si>
  <si>
    <t>Melanoma + Head/Neck Cancer</t>
  </si>
  <si>
    <t xml:space="preserve">Oral Galectin-3 Inhibibtors </t>
  </si>
  <si>
    <t xml:space="preserve">Discovery </t>
  </si>
  <si>
    <t xml:space="preserve">Snapshot </t>
  </si>
  <si>
    <t>Equity Value</t>
  </si>
  <si>
    <t>Cash Position</t>
  </si>
  <si>
    <t>Total Debt</t>
  </si>
  <si>
    <t xml:space="preserve">Enterprise Value </t>
  </si>
  <si>
    <t>LTM Revenue</t>
  </si>
  <si>
    <t>LTM Adjusted EBITDA</t>
  </si>
  <si>
    <t>Earnings Before Interest &amp; Taxes (EBIT)</t>
  </si>
  <si>
    <t>Cash-Flow Items:</t>
  </si>
  <si>
    <t>Other</t>
  </si>
  <si>
    <t>Accounts payable</t>
  </si>
  <si>
    <t>Accrued expenses</t>
  </si>
  <si>
    <t>Accrued dividends payable</t>
  </si>
  <si>
    <t>Convertible notes payable and accrued interest, net of discounts – related party (Note 3)</t>
  </si>
  <si>
    <t>Derivative liabilities (Note 4)</t>
  </si>
  <si>
    <t>Convertible notes payable and accrued interest, net of debt discounts – related party (Note 5)</t>
  </si>
  <si>
    <t>Derivative liabilities (Note 6)</t>
  </si>
  <si>
    <t>Borrowing and accrued interest under convertible line of credit, net of debt discount – related party (Note 10)</t>
  </si>
  <si>
    <t>Commitments and contingencies (Note 12)</t>
  </si>
  <si>
    <t>Series C 6% super dividend redeemable convertible preferred stock;  1,000 
                shares authorized,  176  issued and outstanding at December 31, 2023 and 2022, redemption value: $ 8,177,000 , liquidation value: $ 1,760,000 
                at December 31, 2023</t>
  </si>
  <si>
    <t>Stockholders’ equity (deficit):</t>
  </si>
  <si>
    <t>Undesignated stock, $ 0.01  par value;  20,000,000  shares authorized at December 31, 2023 and 2022,  20,000,000  shares designated at December 31, 2023 and 2022, respectively</t>
  </si>
  <si>
    <t>Series A 12% convertible preferred stock;  1,742,500  shares authorized,
                 1,235,000  and  1,260,000 
                issued and outstanding at December 31, 2023 and 2022, respectively, liquidation value $ 1,235,000  at December 31, 2023</t>
  </si>
  <si>
    <t>Common stock, $ 0.001  par value;  150,000,000  shares authorized at December 31, 2023 and 2022,  61,852,914  and  59,426,005  issued and outstanding at December 31, 2023 and 2022,
                respectively</t>
  </si>
  <si>
    <t>Sum</t>
  </si>
  <si>
    <t>Average</t>
  </si>
  <si>
    <t>Running Total</t>
  </si>
  <si>
    <t>Count</t>
  </si>
  <si>
    <t>Total Liabilities</t>
  </si>
  <si>
    <t>CASH FLOWS FROM OPERATING ACTIVITIES:</t>
  </si>
  <si>
    <t>Adjustments to reconcile net loss to net cash from operating activities:</t>
  </si>
  <si>
    <t>Stock-based compensation expense</t>
  </si>
  <si>
    <t>Amortization of right to use asset</t>
  </si>
  <si>
    <t>Non-cash interest expense</t>
  </si>
  <si>
    <t>Prepaid expenses and other assets</t>
  </si>
  <si>
    <t>Accounts payable, accrued expenses and other liabilities</t>
  </si>
  <si>
    <t>Accrued interest on convertible notes payable and convertible line of credit – related party</t>
  </si>
  <si>
    <t>Net proceeds from convertible line of credit – related party</t>
  </si>
  <si>
    <t>Net proceeds from exercise of common stock purchase warrants</t>
  </si>
  <si>
    <t>Net proceeds from convertible notes payable – related party</t>
  </si>
  <si>
    <t>NONCASH FINANCING ACTIVITIES:</t>
  </si>
  <si>
    <t>Payment of preferred stock dividends in common stock</t>
  </si>
  <si>
    <t>Fair value of derivatives regarding related party convertible notes payable</t>
  </si>
  <si>
    <t>Reclassification of accrued bonus to additional paid in capital</t>
  </si>
  <si>
    <t>Noncash right to use lease asset</t>
  </si>
  <si>
    <t>Common stock purchase warrants issued in connection with related party line of credit</t>
  </si>
  <si>
    <t>Adjusted EBITDA</t>
  </si>
  <si>
    <t>Free-Cash-Flow After NWC</t>
  </si>
  <si>
    <t>FCF After NWC Changes</t>
  </si>
  <si>
    <t>FCF Analysis</t>
  </si>
  <si>
    <t xml:space="preserve">Leverage &amp; Liquidity </t>
  </si>
  <si>
    <t>Liquidity Profile:</t>
  </si>
  <si>
    <t>Convertible Revolver</t>
  </si>
  <si>
    <t xml:space="preserve">Total Liquidity </t>
  </si>
  <si>
    <t>Cash Position Profile:</t>
  </si>
  <si>
    <t xml:space="preserve">Net Change in Cash Position </t>
  </si>
  <si>
    <t>Cash Per Share Computation:</t>
  </si>
  <si>
    <t xml:space="preserve">Cash Per Share </t>
  </si>
  <si>
    <t>Leverage Profile:</t>
  </si>
  <si>
    <t>Convertible Lines of Credit Maturity - March'25</t>
  </si>
  <si>
    <t>6.40% Promissory Note</t>
  </si>
  <si>
    <t xml:space="preserve">Warrants </t>
  </si>
  <si>
    <t>Working Capital Loan' March'25</t>
  </si>
  <si>
    <t>Short 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</si>
</sst>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 &quot;#,##0_);_(&quot;$ &quot;\(#,##0\)"/>
    <numFmt numFmtId="165" formatCode="&quot;$&quot;#,##0"/>
    <numFmt numFmtId="166" formatCode="_(* #,##0_);_(* \(#,##0\);_(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9"/>
      <color theme="1"/>
      <name val="Calibri"/>
      <family val="2"/>
      <scheme val="minor"/>
    </font>
    <font>
      <i/>
      <sz val="10"/>
      <name val="Calibri"/>
      <family val="2"/>
    </font>
    <font>
      <b/>
      <sz val="11"/>
      <color theme="0"/>
      <name val="Calibri"/>
      <family val="2"/>
    </font>
    <font>
      <sz val="12"/>
      <color rgb="FF0000E1"/>
      <name val="Calibri"/>
      <family val="2"/>
      <scheme val="minor"/>
    </font>
    <font>
      <sz val="11"/>
      <color theme="9" tint="-0.249977111117893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E1"/>
      <name val="Calibri"/>
      <family val="2"/>
      <scheme val="minor"/>
    </font>
    <font>
      <sz val="11"/>
      <color rgb="FF0000E1"/>
      <name val="Calibri"/>
      <family val="2"/>
    </font>
    <font>
      <b/>
      <sz val="12"/>
      <name val="Calibri"/>
      <family val="2"/>
      <scheme val="minor"/>
    </font>
    <font>
      <b/>
      <sz val="11"/>
      <color rgb="FF0000CC"/>
      <name val="Calibri"/>
      <family val="2"/>
    </font>
    <font>
      <sz val="11"/>
      <color rgb="FF0000CC"/>
      <name val="Calibri"/>
      <family val="2"/>
      <scheme val="minor"/>
    </font>
    <font>
      <b/>
      <sz val="12"/>
      <color indexed="8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b/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7" fillId="2" borderId="0" xfId="0" applyFont="1" applyFill="1" applyAlignment="1">
      <alignment vertical="center"/>
    </xf>
    <xf numFmtId="165" fontId="8" fillId="0" borderId="2" xfId="0" applyNumberFormat="1" applyFont="1" applyBorder="1" applyAlignment="1">
      <alignment vertical="top" wrapText="1"/>
    </xf>
    <xf numFmtId="165" fontId="8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37" fontId="23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5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14" fontId="5" fillId="0" borderId="0" xfId="0" applyNumberFormat="1" applyFont="1" applyAlignment="1">
      <alignment horizontal="center" wrapText="1"/>
    </xf>
    <xf numFmtId="0" fontId="7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center" wrapText="1"/>
    </xf>
    <xf numFmtId="0" fontId="8" fillId="0" borderId="0" xfId="0" applyFont="1" applyAlignment="1">
      <alignment vertical="center" wrapText="1"/>
    </xf>
    <xf numFmtId="10" fontId="9" fillId="0" borderId="0" xfId="0" applyNumberFormat="1" applyFont="1" applyAlignment="1">
      <alignment horizontal="center" wrapText="1"/>
    </xf>
    <xf numFmtId="9" fontId="10" fillId="0" borderId="0" xfId="2" applyFont="1" applyBorder="1" applyAlignment="1">
      <alignment horizontal="right" vertical="center" wrapText="1"/>
    </xf>
    <xf numFmtId="37" fontId="13" fillId="0" borderId="0" xfId="0" applyNumberFormat="1" applyFont="1" applyAlignment="1">
      <alignment wrapText="1"/>
    </xf>
    <xf numFmtId="164" fontId="13" fillId="0" borderId="0" xfId="0" applyNumberFormat="1" applyFont="1" applyAlignment="1">
      <alignment wrapText="1"/>
    </xf>
    <xf numFmtId="10" fontId="14" fillId="3" borderId="0" xfId="2" applyNumberFormat="1" applyFont="1" applyFill="1" applyAlignment="1">
      <alignment horizontal="center" wrapText="1"/>
    </xf>
    <xf numFmtId="37" fontId="12" fillId="0" borderId="0" xfId="0" applyNumberFormat="1" applyFont="1" applyAlignment="1">
      <alignment horizontal="right" vertical="top" wrapText="1"/>
    </xf>
    <xf numFmtId="37" fontId="11" fillId="0" borderId="0" xfId="0" applyNumberFormat="1" applyFont="1" applyAlignment="1">
      <alignment horizontal="right" vertical="top" wrapText="1"/>
    </xf>
    <xf numFmtId="165" fontId="8" fillId="0" borderId="2" xfId="0" applyNumberFormat="1" applyFont="1" applyBorder="1" applyAlignment="1">
      <alignment horizontal="right" vertical="top" wrapText="1"/>
    </xf>
    <xf numFmtId="164" fontId="15" fillId="0" borderId="0" xfId="0" applyNumberFormat="1" applyFont="1" applyAlignment="1">
      <alignment wrapText="1"/>
    </xf>
    <xf numFmtId="10" fontId="16" fillId="3" borderId="0" xfId="2" applyNumberFormat="1" applyFont="1" applyFill="1" applyAlignment="1">
      <alignment horizontal="center" wrapText="1"/>
    </xf>
    <xf numFmtId="0" fontId="17" fillId="0" borderId="0" xfId="0" applyFont="1" applyAlignment="1">
      <alignment horizontal="right" vertical="center" wrapText="1"/>
    </xf>
    <xf numFmtId="165" fontId="8" fillId="0" borderId="0" xfId="0" applyNumberFormat="1" applyFont="1" applyAlignment="1">
      <alignment horizontal="right" vertical="top" wrapText="1"/>
    </xf>
    <xf numFmtId="10" fontId="16" fillId="0" borderId="0" xfId="2" applyNumberFormat="1" applyFont="1" applyFill="1" applyAlignment="1">
      <alignment horizontal="center" wrapText="1"/>
    </xf>
    <xf numFmtId="0" fontId="13" fillId="0" borderId="0" xfId="0" applyFont="1" applyAlignment="1">
      <alignment wrapText="1"/>
    </xf>
    <xf numFmtId="0" fontId="0" fillId="3" borderId="0" xfId="0" applyFill="1" applyAlignment="1">
      <alignment horizontal="center" wrapText="1"/>
    </xf>
    <xf numFmtId="0" fontId="8" fillId="0" borderId="2" xfId="0" applyFont="1" applyBorder="1" applyAlignment="1">
      <alignment vertical="top" wrapText="1"/>
    </xf>
    <xf numFmtId="37" fontId="8" fillId="0" borderId="2" xfId="0" applyNumberFormat="1" applyFont="1" applyBorder="1" applyAlignment="1">
      <alignment horizontal="right" vertical="top" wrapText="1"/>
    </xf>
    <xf numFmtId="39" fontId="10" fillId="0" borderId="0" xfId="0" applyNumberFormat="1" applyFont="1" applyAlignment="1">
      <alignment horizontal="right" vertical="center" wrapText="1"/>
    </xf>
    <xf numFmtId="9" fontId="10" fillId="0" borderId="0" xfId="2" applyFont="1" applyFill="1" applyBorder="1" applyAlignment="1">
      <alignment horizontal="right" vertical="center" wrapText="1"/>
    </xf>
    <xf numFmtId="10" fontId="14" fillId="0" borderId="0" xfId="2" applyNumberFormat="1" applyFont="1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37" fontId="19" fillId="0" borderId="0" xfId="0" applyNumberFormat="1" applyFont="1" applyAlignment="1">
      <alignment wrapText="1"/>
    </xf>
    <xf numFmtId="37" fontId="20" fillId="0" borderId="0" xfId="0" applyNumberFormat="1" applyFont="1" applyAlignment="1">
      <alignment horizontal="right" vertical="top" wrapText="1"/>
    </xf>
    <xf numFmtId="37" fontId="3" fillId="0" borderId="2" xfId="0" applyNumberFormat="1" applyFont="1" applyBorder="1" applyAlignment="1">
      <alignment wrapText="1"/>
    </xf>
    <xf numFmtId="37" fontId="21" fillId="0" borderId="0" xfId="0" applyNumberFormat="1" applyFont="1" applyAlignment="1">
      <alignment wrapText="1"/>
    </xf>
    <xf numFmtId="37" fontId="3" fillId="0" borderId="0" xfId="0" applyNumberFormat="1" applyFont="1" applyAlignment="1">
      <alignment wrapText="1"/>
    </xf>
    <xf numFmtId="37" fontId="8" fillId="0" borderId="0" xfId="0" applyNumberFormat="1" applyFont="1" applyAlignment="1">
      <alignment horizontal="right" vertical="top" wrapText="1"/>
    </xf>
    <xf numFmtId="37" fontId="22" fillId="0" borderId="0" xfId="0" applyNumberFormat="1" applyFont="1" applyAlignment="1">
      <alignment wrapText="1"/>
    </xf>
    <xf numFmtId="37" fontId="23" fillId="0" borderId="0" xfId="0" applyNumberFormat="1" applyFont="1" applyAlignment="1">
      <alignment horizontal="right" vertical="top" wrapText="1"/>
    </xf>
    <xf numFmtId="37" fontId="9" fillId="0" borderId="2" xfId="0" applyNumberFormat="1" applyFont="1" applyBorder="1" applyAlignment="1">
      <alignment wrapText="1"/>
    </xf>
    <xf numFmtId="164" fontId="15" fillId="0" borderId="2" xfId="0" applyNumberFormat="1" applyFont="1" applyBorder="1" applyAlignment="1">
      <alignment wrapText="1"/>
    </xf>
    <xf numFmtId="37" fontId="24" fillId="0" borderId="0" xfId="0" applyNumberFormat="1" applyFont="1" applyAlignment="1">
      <alignment wrapText="1"/>
    </xf>
    <xf numFmtId="37" fontId="25" fillId="0" borderId="0" xfId="0" applyNumberFormat="1" applyFont="1" applyAlignment="1">
      <alignment horizontal="right" vertical="top" wrapText="1"/>
    </xf>
    <xf numFmtId="0" fontId="21" fillId="0" borderId="0" xfId="0" applyFont="1" applyAlignment="1">
      <alignment wrapText="1"/>
    </xf>
    <xf numFmtId="37" fontId="9" fillId="0" borderId="0" xfId="0" applyNumberFormat="1" applyFont="1" applyAlignment="1">
      <alignment wrapText="1"/>
    </xf>
    <xf numFmtId="37" fontId="0" fillId="0" borderId="0" xfId="0" applyNumberFormat="1" applyAlignment="1">
      <alignment wrapText="1"/>
    </xf>
    <xf numFmtId="37" fontId="26" fillId="0" borderId="0" xfId="0" applyNumberFormat="1" applyFont="1" applyAlignment="1">
      <alignment wrapText="1"/>
    </xf>
    <xf numFmtId="0" fontId="23" fillId="0" borderId="0" xfId="0" applyFont="1" applyAlignment="1">
      <alignment wrapText="1"/>
    </xf>
    <xf numFmtId="37" fontId="23" fillId="0" borderId="0" xfId="0" applyNumberFormat="1" applyFont="1" applyAlignment="1">
      <alignment wrapText="1"/>
    </xf>
    <xf numFmtId="37" fontId="8" fillId="0" borderId="2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37" fontId="1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7" fillId="0" borderId="0" xfId="0" applyFont="1" applyAlignment="1">
      <alignment wrapText="1"/>
    </xf>
    <xf numFmtId="166" fontId="0" fillId="0" borderId="0" xfId="1" applyNumberFormat="1" applyFont="1" applyBorder="1" applyAlignment="1">
      <alignment wrapText="1"/>
    </xf>
    <xf numFmtId="37" fontId="12" fillId="0" borderId="0" xfId="1" applyNumberFormat="1" applyFont="1" applyBorder="1" applyAlignment="1">
      <alignment wrapText="1"/>
    </xf>
    <xf numFmtId="37" fontId="11" fillId="0" borderId="0" xfId="1" applyNumberFormat="1" applyFont="1" applyBorder="1" applyAlignment="1">
      <alignment wrapText="1"/>
    </xf>
    <xf numFmtId="0" fontId="28" fillId="0" borderId="0" xfId="0" applyFont="1" applyAlignment="1">
      <alignment wrapText="1"/>
    </xf>
    <xf numFmtId="37" fontId="12" fillId="0" borderId="0" xfId="1" applyNumberFormat="1" applyFont="1" applyFill="1" applyBorder="1" applyAlignment="1">
      <alignment wrapText="1"/>
    </xf>
    <xf numFmtId="0" fontId="21" fillId="0" borderId="2" xfId="0" applyFont="1" applyBorder="1" applyAlignment="1">
      <alignment wrapText="1"/>
    </xf>
    <xf numFmtId="37" fontId="8" fillId="0" borderId="2" xfId="1" applyNumberFormat="1" applyFont="1" applyBorder="1" applyAlignment="1">
      <alignment wrapText="1"/>
    </xf>
    <xf numFmtId="37" fontId="8" fillId="0" borderId="0" xfId="1" applyNumberFormat="1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24" fillId="0" borderId="0" xfId="0" applyFont="1" applyAlignment="1">
      <alignment wrapText="1"/>
    </xf>
    <xf numFmtId="37" fontId="15" fillId="0" borderId="0" xfId="1" applyNumberFormat="1" applyFont="1" applyBorder="1" applyAlignment="1">
      <alignment wrapText="1"/>
    </xf>
    <xf numFmtId="37" fontId="15" fillId="0" borderId="0" xfId="1" applyNumberFormat="1" applyFont="1" applyFill="1" applyBorder="1" applyAlignment="1">
      <alignment wrapText="1"/>
    </xf>
    <xf numFmtId="37" fontId="23" fillId="0" borderId="0" xfId="1" applyNumberFormat="1" applyFont="1" applyBorder="1" applyAlignment="1">
      <alignment wrapText="1"/>
    </xf>
    <xf numFmtId="37" fontId="23" fillId="0" borderId="0" xfId="1" applyNumberFormat="1" applyFont="1" applyFill="1" applyBorder="1" applyAlignment="1">
      <alignment wrapText="1"/>
    </xf>
    <xf numFmtId="37" fontId="11" fillId="0" borderId="0" xfId="1" applyNumberFormat="1" applyFont="1" applyFill="1" applyBorder="1" applyAlignment="1">
      <alignment wrapText="1"/>
    </xf>
    <xf numFmtId="166" fontId="3" fillId="0" borderId="0" xfId="1" applyNumberFormat="1" applyFont="1" applyBorder="1" applyAlignment="1">
      <alignment wrapText="1"/>
    </xf>
    <xf numFmtId="0" fontId="29" fillId="4" borderId="0" xfId="0" applyFont="1" applyFill="1"/>
    <xf numFmtId="0" fontId="6" fillId="2" borderId="0" xfId="0" applyFont="1" applyFill="1" applyAlignment="1">
      <alignment horizontal="center" vertical="center"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0" fillId="0" borderId="10" xfId="0" applyFont="1" applyBorder="1"/>
    <xf numFmtId="0" fontId="0" fillId="0" borderId="11" xfId="0" applyBorder="1"/>
    <xf numFmtId="0" fontId="0" fillId="0" borderId="1" xfId="0" applyBorder="1"/>
    <xf numFmtId="0" fontId="0" fillId="0" borderId="10" xfId="0" applyBorder="1"/>
    <xf numFmtId="0" fontId="0" fillId="0" borderId="0" xfId="0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11" fillId="0" borderId="0" xfId="0" applyFont="1" applyAlignment="1">
      <alignment vertical="top"/>
    </xf>
    <xf numFmtId="37" fontId="11" fillId="0" borderId="0" xfId="0" applyNumberFormat="1" applyFont="1" applyAlignment="1">
      <alignment horizontal="right" vertical="top"/>
    </xf>
    <xf numFmtId="0" fontId="3" fillId="0" borderId="0" xfId="0" applyFont="1"/>
    <xf numFmtId="0" fontId="0" fillId="0" borderId="0" xfId="0" applyAlignment="1">
      <alignment vertical="center"/>
    </xf>
    <xf numFmtId="37" fontId="20" fillId="0" borderId="0" xfId="1" applyNumberFormat="1" applyFont="1" applyBorder="1" applyAlignment="1">
      <alignment wrapText="1"/>
    </xf>
    <xf numFmtId="0" fontId="3" fillId="0" borderId="0" xfId="0" applyFont="1" applyAlignment="1"/>
    <xf numFmtId="0" fontId="22" fillId="0" borderId="0" xfId="0" applyFont="1" applyAlignment="1">
      <alignment wrapText="1"/>
    </xf>
    <xf numFmtId="0" fontId="0" fillId="0" borderId="0" xfId="0" applyFont="1" applyAlignment="1"/>
    <xf numFmtId="166" fontId="22" fillId="0" borderId="0" xfId="1" applyNumberFormat="1" applyFont="1" applyBorder="1" applyAlignment="1">
      <alignment wrapText="1"/>
    </xf>
    <xf numFmtId="0" fontId="3" fillId="0" borderId="2" xfId="0" applyFont="1" applyBorder="1"/>
    <xf numFmtId="37" fontId="3" fillId="0" borderId="2" xfId="0" applyNumberFormat="1" applyFont="1" applyBorder="1"/>
    <xf numFmtId="0" fontId="31" fillId="0" borderId="0" xfId="0" applyFont="1"/>
    <xf numFmtId="165" fontId="8" fillId="0" borderId="0" xfId="0" applyNumberFormat="1" applyFont="1" applyBorder="1" applyAlignment="1">
      <alignment horizontal="right" vertical="top" wrapText="1"/>
    </xf>
    <xf numFmtId="37" fontId="23" fillId="0" borderId="0" xfId="0" applyNumberFormat="1" applyFont="1" applyAlignment="1">
      <alignment horizontal="right" vertical="center"/>
    </xf>
    <xf numFmtId="37" fontId="23" fillId="0" borderId="0" xfId="2" applyNumberFormat="1" applyFont="1" applyBorder="1" applyAlignment="1">
      <alignment horizontal="right" vertical="center"/>
    </xf>
    <xf numFmtId="9" fontId="11" fillId="0" borderId="0" xfId="2" applyFont="1" applyBorder="1" applyAlignment="1">
      <alignment horizontal="right" vertical="center"/>
    </xf>
    <xf numFmtId="39" fontId="23" fillId="0" borderId="0" xfId="0" applyNumberFormat="1" applyFont="1" applyAlignment="1">
      <alignment horizontal="right" vertical="center"/>
    </xf>
    <xf numFmtId="39" fontId="23" fillId="0" borderId="0" xfId="2" applyNumberFormat="1" applyFont="1" applyBorder="1" applyAlignment="1">
      <alignment horizontal="right" vertical="center"/>
    </xf>
    <xf numFmtId="37" fontId="20" fillId="0" borderId="0" xfId="2" applyNumberFormat="1" applyFont="1" applyBorder="1" applyAlignment="1">
      <alignment horizontal="right" vertical="center"/>
    </xf>
    <xf numFmtId="37" fontId="22" fillId="0" borderId="0" xfId="0" applyNumberFormat="1" applyFont="1" applyAlignment="1">
      <alignment horizontal="right"/>
    </xf>
    <xf numFmtId="39" fontId="22" fillId="0" borderId="0" xfId="0" applyNumberFormat="1" applyFont="1" applyAlignment="1">
      <alignment horizontal="right"/>
    </xf>
    <xf numFmtId="39" fontId="11" fillId="0" borderId="0" xfId="0" applyNumberFormat="1" applyFont="1" applyAlignment="1">
      <alignment horizontal="right" vertical="top"/>
    </xf>
    <xf numFmtId="2" fontId="3" fillId="0" borderId="2" xfId="0" applyNumberFormat="1" applyFont="1" applyBorder="1"/>
    <xf numFmtId="166" fontId="2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2B6-927C-469C-B57D-F06A26CBF746}">
  <dimension ref="B1:F17"/>
  <sheetViews>
    <sheetView showGridLines="0" workbookViewId="0">
      <selection activeCell="F13" sqref="F13"/>
    </sheetView>
  </sheetViews>
  <sheetFormatPr defaultRowHeight="15" x14ac:dyDescent="0.25"/>
  <cols>
    <col min="1" max="1" width="3.140625" customWidth="1"/>
    <col min="2" max="2" width="44.85546875" bestFit="1" customWidth="1"/>
    <col min="3" max="3" width="20.5703125" bestFit="1" customWidth="1"/>
    <col min="4" max="4" width="29.140625" bestFit="1" customWidth="1"/>
    <col min="6" max="6" width="12.42578125" bestFit="1" customWidth="1"/>
  </cols>
  <sheetData>
    <row r="1" spans="2:6" ht="15.75" thickBot="1" x14ac:dyDescent="0.3"/>
    <row r="2" spans="2:6" x14ac:dyDescent="0.25">
      <c r="B2" s="88" t="s">
        <v>71</v>
      </c>
      <c r="C2" s="89" t="s">
        <v>72</v>
      </c>
    </row>
    <row r="3" spans="2:6" ht="15.75" thickBot="1" x14ac:dyDescent="0.3">
      <c r="B3" s="90" t="s">
        <v>73</v>
      </c>
      <c r="C3" s="91" t="s">
        <v>74</v>
      </c>
    </row>
    <row r="4" spans="2:6" ht="15.75" thickBot="1" x14ac:dyDescent="0.3"/>
    <row r="5" spans="2:6" ht="15.75" thickBot="1" x14ac:dyDescent="0.3">
      <c r="B5" s="92" t="s">
        <v>75</v>
      </c>
      <c r="C5" s="93"/>
      <c r="D5" s="93"/>
      <c r="E5" s="93"/>
      <c r="F5" s="94"/>
    </row>
    <row r="6" spans="2:6" ht="15.75" thickBot="1" x14ac:dyDescent="0.3">
      <c r="B6" s="95" t="s">
        <v>76</v>
      </c>
      <c r="C6" s="96" t="s">
        <v>77</v>
      </c>
      <c r="D6" s="96" t="s">
        <v>78</v>
      </c>
      <c r="E6" s="96" t="s">
        <v>79</v>
      </c>
      <c r="F6" s="97" t="s">
        <v>80</v>
      </c>
    </row>
    <row r="7" spans="2:6" x14ac:dyDescent="0.25">
      <c r="B7" s="98" t="s">
        <v>81</v>
      </c>
      <c r="C7" t="s">
        <v>82</v>
      </c>
      <c r="D7" t="s">
        <v>83</v>
      </c>
      <c r="E7">
        <v>3</v>
      </c>
      <c r="F7" s="99"/>
    </row>
    <row r="8" spans="2:6" x14ac:dyDescent="0.25">
      <c r="B8" s="98" t="s">
        <v>84</v>
      </c>
      <c r="C8" t="s">
        <v>85</v>
      </c>
      <c r="D8" t="s">
        <v>86</v>
      </c>
      <c r="E8">
        <v>2</v>
      </c>
      <c r="F8" s="99"/>
    </row>
    <row r="9" spans="2:6" ht="15.75" thickBot="1" x14ac:dyDescent="0.3">
      <c r="B9" s="90" t="s">
        <v>87</v>
      </c>
      <c r="C9" s="100" t="s">
        <v>35</v>
      </c>
      <c r="D9" s="100" t="s">
        <v>35</v>
      </c>
      <c r="E9" s="100" t="s">
        <v>88</v>
      </c>
      <c r="F9" s="91"/>
    </row>
    <row r="10" spans="2:6" ht="15.75" thickBot="1" x14ac:dyDescent="0.3"/>
    <row r="11" spans="2:6" x14ac:dyDescent="0.25">
      <c r="B11" s="88" t="s">
        <v>89</v>
      </c>
      <c r="C11" s="89"/>
    </row>
    <row r="12" spans="2:6" x14ac:dyDescent="0.25">
      <c r="B12" s="101" t="s">
        <v>90</v>
      </c>
      <c r="C12" s="99"/>
    </row>
    <row r="13" spans="2:6" x14ac:dyDescent="0.25">
      <c r="B13" s="101" t="s">
        <v>91</v>
      </c>
      <c r="C13" s="99"/>
    </row>
    <row r="14" spans="2:6" x14ac:dyDescent="0.25">
      <c r="B14" s="101" t="s">
        <v>92</v>
      </c>
      <c r="C14" s="99"/>
    </row>
    <row r="15" spans="2:6" x14ac:dyDescent="0.25">
      <c r="B15" s="101" t="s">
        <v>93</v>
      </c>
      <c r="C15" s="99"/>
    </row>
    <row r="16" spans="2:6" x14ac:dyDescent="0.25">
      <c r="B16" s="101" t="s">
        <v>94</v>
      </c>
      <c r="C16" s="99"/>
    </row>
    <row r="17" spans="2:3" ht="15.75" thickBot="1" x14ac:dyDescent="0.3">
      <c r="B17" s="90" t="s">
        <v>95</v>
      </c>
      <c r="C17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D900-3875-4BA8-844E-D33444418489}">
  <dimension ref="A1:V125"/>
  <sheetViews>
    <sheetView showGridLines="0" tabSelected="1" zoomScale="130" zoomScaleNormal="130" workbookViewId="0">
      <selection activeCell="B8" sqref="B8"/>
    </sheetView>
  </sheetViews>
  <sheetFormatPr defaultRowHeight="15" x14ac:dyDescent="0.25"/>
  <cols>
    <col min="1" max="1" width="2.42578125" style="6" customWidth="1"/>
    <col min="2" max="2" width="60" style="6" customWidth="1"/>
    <col min="3" max="5" width="15.5703125" style="6" bestFit="1" customWidth="1"/>
    <col min="6" max="6" width="3.140625" style="6" customWidth="1"/>
    <col min="7" max="9" width="10.28515625" style="6" bestFit="1" customWidth="1"/>
    <col min="10" max="10" width="11.28515625" style="6" bestFit="1" customWidth="1"/>
    <col min="11" max="11" width="11.140625" style="6" bestFit="1" customWidth="1"/>
    <col min="12" max="13" width="10.28515625" style="6" bestFit="1" customWidth="1"/>
    <col min="14" max="14" width="11.28515625" style="6" bestFit="1" customWidth="1"/>
    <col min="15" max="15" width="10.28515625" style="6" bestFit="1" customWidth="1"/>
    <col min="16" max="16" width="11.140625" style="6" bestFit="1" customWidth="1"/>
    <col min="17" max="17" width="10.140625" style="6" customWidth="1"/>
    <col min="18" max="18" width="0.7109375" style="6" customWidth="1"/>
    <col min="19" max="19" width="11.85546875" style="6" bestFit="1" customWidth="1"/>
    <col min="20" max="20" width="11" style="6" bestFit="1" customWidth="1"/>
    <col min="21" max="21" width="1.42578125" style="6" customWidth="1"/>
    <col min="22" max="22" width="11.42578125" style="6" bestFit="1" customWidth="1"/>
    <col min="23" max="23" width="1.5703125" style="6" customWidth="1"/>
    <col min="24" max="16384" width="9.140625" style="6"/>
  </cols>
  <sheetData>
    <row r="1" spans="1:22" ht="6" customHeight="1" x14ac:dyDescent="0.25">
      <c r="A1" s="6" t="s">
        <v>57</v>
      </c>
    </row>
    <row r="2" spans="1:22" x14ac:dyDescent="0.25">
      <c r="B2" s="7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x14ac:dyDescent="0.25">
      <c r="B3" s="9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ht="5.25" customHeight="1" x14ac:dyDescent="0.25">
      <c r="B4" s="10"/>
    </row>
    <row r="5" spans="1:22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ht="4.5" customHeight="1" x14ac:dyDescent="0.25"/>
    <row r="7" spans="1:22" x14ac:dyDescent="0.25">
      <c r="A7" s="6" t="s">
        <v>5</v>
      </c>
      <c r="B7" s="7" t="s">
        <v>6</v>
      </c>
      <c r="C7" s="13" t="s">
        <v>7</v>
      </c>
      <c r="D7" s="13" t="s">
        <v>8</v>
      </c>
      <c r="E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S7" s="13" t="str">
        <f>M7</f>
        <v>3Q23</v>
      </c>
      <c r="T7" s="13" t="str">
        <f>Q7</f>
        <v>3Q24</v>
      </c>
      <c r="U7" s="14"/>
      <c r="V7" s="87" t="s">
        <v>21</v>
      </c>
    </row>
    <row r="8" spans="1:22" x14ac:dyDescent="0.25">
      <c r="B8" s="1" t="s">
        <v>58</v>
      </c>
      <c r="C8" s="15">
        <v>44561</v>
      </c>
      <c r="D8" s="15">
        <v>44926</v>
      </c>
      <c r="E8" s="15">
        <v>45291</v>
      </c>
      <c r="G8" s="16">
        <v>44651</v>
      </c>
      <c r="H8" s="16">
        <v>44742</v>
      </c>
      <c r="I8" s="16">
        <v>44834</v>
      </c>
      <c r="J8" s="16">
        <v>44926</v>
      </c>
      <c r="K8" s="16">
        <v>45016</v>
      </c>
      <c r="L8" s="16">
        <v>45107</v>
      </c>
      <c r="M8" s="16">
        <v>45199</v>
      </c>
      <c r="N8" s="16">
        <v>45291</v>
      </c>
      <c r="O8" s="16">
        <v>45382</v>
      </c>
      <c r="P8" s="16">
        <v>45473</v>
      </c>
      <c r="Q8" s="16">
        <v>45565</v>
      </c>
      <c r="S8" s="16">
        <f>M8</f>
        <v>45199</v>
      </c>
      <c r="T8" s="16">
        <f>Q8</f>
        <v>45565</v>
      </c>
      <c r="U8" s="17"/>
      <c r="V8" s="87"/>
    </row>
    <row r="9" spans="1:22" ht="3.75" customHeight="1" x14ac:dyDescent="0.25">
      <c r="B9" s="18"/>
      <c r="C9" s="17"/>
      <c r="D9" s="17"/>
      <c r="E9" s="17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 s="19"/>
      <c r="T9" s="19"/>
      <c r="U9" s="19"/>
    </row>
    <row r="10" spans="1:22" x14ac:dyDescent="0.25">
      <c r="B10" s="20" t="s">
        <v>22</v>
      </c>
      <c r="C10" s="17"/>
      <c r="D10" s="17"/>
      <c r="E10" s="17"/>
      <c r="G10" s="19"/>
      <c r="H10" s="19"/>
      <c r="I10" s="21"/>
      <c r="J10" s="21"/>
      <c r="K10" s="22"/>
      <c r="L10" s="22"/>
      <c r="M10" s="22"/>
      <c r="N10" s="22"/>
      <c r="O10" s="22"/>
      <c r="P10" s="22"/>
      <c r="Q10" s="22"/>
      <c r="S10" s="19"/>
      <c r="T10" s="19"/>
      <c r="U10" s="19"/>
    </row>
    <row r="11" spans="1:22" x14ac:dyDescent="0.25">
      <c r="B11" s="4" t="s">
        <v>60</v>
      </c>
      <c r="C11" s="26">
        <v>-23818</v>
      </c>
      <c r="D11" s="26">
        <v>-31737</v>
      </c>
      <c r="E11" s="26">
        <v>-32130</v>
      </c>
      <c r="F11" s="61"/>
      <c r="G11" s="26">
        <v>-8058</v>
      </c>
      <c r="H11" s="26">
        <v>-8074</v>
      </c>
      <c r="I11" s="26">
        <v>-6598</v>
      </c>
      <c r="J11" s="27">
        <f>SUM(D11-SUM(G11:I11))</f>
        <v>-9007</v>
      </c>
      <c r="K11" s="26">
        <v>-8799</v>
      </c>
      <c r="L11" s="26">
        <v>-7371</v>
      </c>
      <c r="M11" s="26">
        <v>-7732</v>
      </c>
      <c r="N11" s="27">
        <f>SUM(E11-SUM(K11:M11))</f>
        <v>-8228</v>
      </c>
      <c r="O11" s="26">
        <v>-8054</v>
      </c>
      <c r="P11" s="26">
        <v>-9813</v>
      </c>
      <c r="Q11" s="26">
        <v>-7595</v>
      </c>
      <c r="S11" s="23">
        <f t="shared" ref="S11:S12" si="0">SUM(J11:M11)</f>
        <v>-32909</v>
      </c>
      <c r="T11" s="23">
        <f t="shared" ref="T11:T12" si="1">SUM(N11:Q11)</f>
        <v>-33690</v>
      </c>
      <c r="U11" s="24"/>
      <c r="V11" s="25">
        <f>SUM(T11/S11)-1</f>
        <v>2.3732109757209185E-2</v>
      </c>
    </row>
    <row r="12" spans="1:22" x14ac:dyDescent="0.25">
      <c r="B12" s="4" t="s">
        <v>23</v>
      </c>
      <c r="C12" s="26">
        <v>-6361</v>
      </c>
      <c r="D12" s="26">
        <v>-6615</v>
      </c>
      <c r="E12" s="26">
        <v>-5942</v>
      </c>
      <c r="F12" s="61"/>
      <c r="G12" s="26">
        <v>-1877</v>
      </c>
      <c r="H12" s="26">
        <v>-1588</v>
      </c>
      <c r="I12" s="26">
        <v>-1524</v>
      </c>
      <c r="J12" s="27">
        <f>SUM(D12-SUM(G12:I12))</f>
        <v>-1626</v>
      </c>
      <c r="K12" s="26">
        <v>-1543</v>
      </c>
      <c r="L12" s="26">
        <v>-1632</v>
      </c>
      <c r="M12" s="26">
        <v>-1434</v>
      </c>
      <c r="N12" s="27">
        <f>SUM(E12-SUM(K12:M12))</f>
        <v>-1333</v>
      </c>
      <c r="O12" s="26">
        <v>-1594</v>
      </c>
      <c r="P12" s="26">
        <v>-1478</v>
      </c>
      <c r="Q12" s="26">
        <v>-1471</v>
      </c>
      <c r="S12" s="23">
        <f t="shared" si="0"/>
        <v>-6235</v>
      </c>
      <c r="T12" s="23">
        <f t="shared" si="1"/>
        <v>-5876</v>
      </c>
      <c r="U12" s="23"/>
      <c r="V12" s="25">
        <f>SUM(T12/S12)-1</f>
        <v>-5.7578187650360824E-2</v>
      </c>
    </row>
    <row r="13" spans="1:22" x14ac:dyDescent="0.25">
      <c r="B13" s="2" t="s">
        <v>61</v>
      </c>
      <c r="C13" s="37">
        <f>SUM(C11:C12)</f>
        <v>-30179</v>
      </c>
      <c r="D13" s="37">
        <f t="shared" ref="D13:E13" si="2">SUM(D11:D12)</f>
        <v>-38352</v>
      </c>
      <c r="E13" s="37">
        <f t="shared" si="2"/>
        <v>-38072</v>
      </c>
      <c r="F13" s="61"/>
      <c r="G13" s="37">
        <f t="shared" ref="G13" si="3">SUM(G11:G12)</f>
        <v>-9935</v>
      </c>
      <c r="H13" s="37">
        <f t="shared" ref="H13" si="4">SUM(H11:H12)</f>
        <v>-9662</v>
      </c>
      <c r="I13" s="37">
        <f t="shared" ref="I13" si="5">SUM(I11:I12)</f>
        <v>-8122</v>
      </c>
      <c r="J13" s="37">
        <f t="shared" ref="J13" si="6">SUM(J11:J12)</f>
        <v>-10633</v>
      </c>
      <c r="K13" s="37">
        <f t="shared" ref="K13" si="7">SUM(K11:K12)</f>
        <v>-10342</v>
      </c>
      <c r="L13" s="37">
        <f t="shared" ref="L13" si="8">SUM(L11:L12)</f>
        <v>-9003</v>
      </c>
      <c r="M13" s="37">
        <f t="shared" ref="M13" si="9">SUM(M11:M12)</f>
        <v>-9166</v>
      </c>
      <c r="N13" s="37">
        <f t="shared" ref="N13" si="10">SUM(N11:N12)</f>
        <v>-9561</v>
      </c>
      <c r="O13" s="37">
        <f t="shared" ref="O13" si="11">SUM(O11:O12)</f>
        <v>-9648</v>
      </c>
      <c r="P13" s="37">
        <f t="shared" ref="P13" si="12">SUM(P11:P12)</f>
        <v>-11291</v>
      </c>
      <c r="Q13" s="37">
        <f t="shared" ref="Q13" si="13">SUM(Q11:Q12)</f>
        <v>-9066</v>
      </c>
      <c r="S13" s="28">
        <f>SUM(S11:S12)</f>
        <v>-39144</v>
      </c>
      <c r="T13" s="28">
        <f>SUM(T11:T12)</f>
        <v>-39566</v>
      </c>
      <c r="U13" s="29"/>
      <c r="V13" s="30">
        <f>SUM(T13/S13)-1</f>
        <v>1.0780707132638456E-2</v>
      </c>
    </row>
    <row r="14" spans="1:22" x14ac:dyDescent="0.25">
      <c r="B14" s="31" t="s">
        <v>24</v>
      </c>
      <c r="C14" s="32"/>
      <c r="D14" s="22">
        <f>D13/C13-1</f>
        <v>0.27081745584678085</v>
      </c>
      <c r="E14" s="22">
        <f>E13/D13-1</f>
        <v>-7.3007926574885085E-3</v>
      </c>
      <c r="F14" s="22"/>
      <c r="H14" s="22">
        <f t="shared" ref="H14:Q14" si="14">H13/G13-1</f>
        <v>-2.7478610971313544E-2</v>
      </c>
      <c r="I14" s="22">
        <f t="shared" si="14"/>
        <v>-0.15938729041606292</v>
      </c>
      <c r="J14" s="22">
        <f t="shared" si="14"/>
        <v>0.30916030534351147</v>
      </c>
      <c r="K14" s="22">
        <f t="shared" si="14"/>
        <v>-2.7367629079281475E-2</v>
      </c>
      <c r="L14" s="22">
        <f t="shared" si="14"/>
        <v>-0.12947205569522335</v>
      </c>
      <c r="M14" s="22">
        <f t="shared" si="14"/>
        <v>1.8105076085749294E-2</v>
      </c>
      <c r="N14" s="22">
        <f t="shared" si="14"/>
        <v>4.3094043203142141E-2</v>
      </c>
      <c r="O14" s="22">
        <f>O13/N13-1</f>
        <v>9.0994665829933208E-3</v>
      </c>
      <c r="P14" s="22">
        <f t="shared" si="14"/>
        <v>0.17029436152570487</v>
      </c>
      <c r="Q14" s="22">
        <f t="shared" si="14"/>
        <v>-0.19705960499512887</v>
      </c>
      <c r="T14" s="22">
        <f>T13/S13-1</f>
        <v>1.0780707132638456E-2</v>
      </c>
      <c r="U14" s="29"/>
      <c r="V14" s="33"/>
    </row>
    <row r="15" spans="1:22" ht="2.25" customHeight="1" x14ac:dyDescent="0.25">
      <c r="B15" s="3" t="s">
        <v>25</v>
      </c>
      <c r="C15" s="32">
        <v>49</v>
      </c>
      <c r="D15" s="32">
        <v>2777</v>
      </c>
      <c r="E15" s="32">
        <v>7833</v>
      </c>
      <c r="G15" s="32"/>
      <c r="H15" s="32"/>
      <c r="I15" s="32"/>
      <c r="J15" s="32"/>
      <c r="K15" s="32"/>
      <c r="L15" s="32">
        <v>-28777</v>
      </c>
      <c r="M15" s="32">
        <v>-27879</v>
      </c>
      <c r="N15" s="32"/>
      <c r="O15" s="32">
        <v>-19934</v>
      </c>
      <c r="P15" s="32">
        <v>-61402</v>
      </c>
      <c r="Q15" s="32"/>
      <c r="S15" s="34"/>
      <c r="T15" s="34"/>
      <c r="U15" s="34"/>
      <c r="V15" s="35"/>
    </row>
    <row r="16" spans="1:22" x14ac:dyDescent="0.25">
      <c r="B16" s="46" t="s">
        <v>62</v>
      </c>
      <c r="C16" s="26"/>
      <c r="D16" s="26"/>
      <c r="E16" s="26"/>
      <c r="G16" s="26"/>
      <c r="H16" s="26"/>
      <c r="I16" s="26"/>
      <c r="J16" s="27"/>
      <c r="K16" s="26"/>
      <c r="L16" s="26"/>
      <c r="M16" s="26"/>
      <c r="N16" s="27"/>
      <c r="O16" s="26"/>
      <c r="P16" s="26"/>
      <c r="Q16" s="26"/>
      <c r="S16" s="23"/>
      <c r="T16" s="23"/>
      <c r="U16" s="23"/>
      <c r="V16" s="25"/>
    </row>
    <row r="17" spans="1:22" x14ac:dyDescent="0.25">
      <c r="B17" s="4" t="s">
        <v>25</v>
      </c>
      <c r="C17" s="26">
        <v>3</v>
      </c>
      <c r="D17" s="26">
        <v>52</v>
      </c>
      <c r="E17" s="26">
        <v>230</v>
      </c>
      <c r="G17" s="26">
        <v>1</v>
      </c>
      <c r="H17" s="26">
        <v>3</v>
      </c>
      <c r="I17" s="26">
        <v>18</v>
      </c>
      <c r="J17" s="27">
        <f t="shared" ref="J17:J20" si="15">SUM(D17-SUM(G17:I17))</f>
        <v>30</v>
      </c>
      <c r="K17" s="26">
        <v>44</v>
      </c>
      <c r="L17" s="26">
        <v>50</v>
      </c>
      <c r="M17" s="26">
        <v>62</v>
      </c>
      <c r="N17" s="27">
        <f t="shared" ref="N17:N20" si="16">SUM(E17-SUM(K17:M17))</f>
        <v>74</v>
      </c>
      <c r="O17" s="26">
        <v>80</v>
      </c>
      <c r="P17" s="26">
        <v>80</v>
      </c>
      <c r="Q17" s="26">
        <v>93</v>
      </c>
      <c r="S17" s="23">
        <f t="shared" ref="S17:S20" si="17">SUM(J17:M17)</f>
        <v>186</v>
      </c>
      <c r="T17" s="23">
        <f t="shared" ref="T17:T20" si="18">SUM(N17:Q17)</f>
        <v>327</v>
      </c>
      <c r="U17" s="23"/>
      <c r="V17" s="25">
        <f t="shared" ref="V17:V20" si="19">SUM(T17/S17)-1</f>
        <v>0.75806451612903225</v>
      </c>
    </row>
    <row r="18" spans="1:22" x14ac:dyDescent="0.25">
      <c r="B18" s="4" t="s">
        <v>63</v>
      </c>
      <c r="C18" s="26">
        <v>-489</v>
      </c>
      <c r="D18" s="26">
        <v>-1033</v>
      </c>
      <c r="E18" s="26">
        <v>-2792</v>
      </c>
      <c r="G18" s="26">
        <v>-227</v>
      </c>
      <c r="H18" s="26">
        <v>-229</v>
      </c>
      <c r="I18" s="26">
        <v>-269</v>
      </c>
      <c r="J18" s="27">
        <f t="shared" si="15"/>
        <v>-308</v>
      </c>
      <c r="K18" s="26">
        <v>-460</v>
      </c>
      <c r="L18" s="26">
        <v>-650</v>
      </c>
      <c r="M18" s="26">
        <v>-835</v>
      </c>
      <c r="N18" s="27">
        <f t="shared" si="16"/>
        <v>-847</v>
      </c>
      <c r="O18" s="26">
        <v>-869</v>
      </c>
      <c r="P18" s="26">
        <v>-1269</v>
      </c>
      <c r="Q18" s="26">
        <v>-1494</v>
      </c>
      <c r="S18" s="23">
        <f t="shared" si="17"/>
        <v>-2253</v>
      </c>
      <c r="T18" s="23">
        <f t="shared" si="18"/>
        <v>-4479</v>
      </c>
      <c r="U18" s="23"/>
      <c r="V18" s="25">
        <f t="shared" si="19"/>
        <v>0.98801597869507329</v>
      </c>
    </row>
    <row r="19" spans="1:22" x14ac:dyDescent="0.25">
      <c r="B19" s="4" t="s">
        <v>64</v>
      </c>
      <c r="C19" s="26">
        <v>138</v>
      </c>
      <c r="D19" s="26">
        <v>557</v>
      </c>
      <c r="E19" s="26">
        <v>-432</v>
      </c>
      <c r="G19" s="26">
        <v>229</v>
      </c>
      <c r="H19" s="26">
        <v>275</v>
      </c>
      <c r="I19" s="26">
        <v>-224</v>
      </c>
      <c r="J19" s="27">
        <f t="shared" si="15"/>
        <v>277</v>
      </c>
      <c r="K19" s="26">
        <v>-769</v>
      </c>
      <c r="L19" s="26">
        <v>489</v>
      </c>
      <c r="M19" s="26">
        <v>-489</v>
      </c>
      <c r="N19" s="27">
        <f t="shared" si="16"/>
        <v>337</v>
      </c>
      <c r="O19" s="26">
        <v>-1052</v>
      </c>
      <c r="P19" s="26">
        <v>109</v>
      </c>
      <c r="Q19" s="26">
        <v>-753</v>
      </c>
      <c r="S19" s="23">
        <f t="shared" si="17"/>
        <v>-492</v>
      </c>
      <c r="T19" s="23">
        <f t="shared" si="18"/>
        <v>-1359</v>
      </c>
      <c r="U19" s="23"/>
      <c r="V19" s="25">
        <f t="shared" si="19"/>
        <v>1.7621951219512195</v>
      </c>
    </row>
    <row r="20" spans="1:22" x14ac:dyDescent="0.25">
      <c r="B20" s="4" t="s">
        <v>65</v>
      </c>
      <c r="C20" s="26">
        <v>-348</v>
      </c>
      <c r="D20" s="26">
        <v>-424</v>
      </c>
      <c r="E20" s="26">
        <v>-2994</v>
      </c>
      <c r="G20" s="26">
        <v>3</v>
      </c>
      <c r="H20" s="26">
        <v>49</v>
      </c>
      <c r="I20" s="26">
        <v>-475</v>
      </c>
      <c r="J20" s="27">
        <f t="shared" si="15"/>
        <v>-1</v>
      </c>
      <c r="K20" s="26">
        <v>-1185</v>
      </c>
      <c r="L20" s="26">
        <v>-111</v>
      </c>
      <c r="M20" s="26">
        <v>-1262</v>
      </c>
      <c r="N20" s="27">
        <f t="shared" si="16"/>
        <v>-436</v>
      </c>
      <c r="O20" s="26">
        <v>-1841</v>
      </c>
      <c r="P20" s="26">
        <v>-1080</v>
      </c>
      <c r="Q20" s="26">
        <v>-2154</v>
      </c>
      <c r="S20" s="23">
        <f t="shared" si="17"/>
        <v>-2559</v>
      </c>
      <c r="T20" s="23">
        <f t="shared" si="18"/>
        <v>-5511</v>
      </c>
      <c r="U20" s="23"/>
      <c r="V20" s="25">
        <f t="shared" si="19"/>
        <v>1.1535756154747947</v>
      </c>
    </row>
    <row r="21" spans="1:22" x14ac:dyDescent="0.25">
      <c r="B21" s="36" t="s">
        <v>26</v>
      </c>
      <c r="C21" s="37">
        <f>SUM(C13+SUM(C17:C19))</f>
        <v>-30527</v>
      </c>
      <c r="D21" s="37">
        <f t="shared" ref="D21:Q21" si="20">SUM(D13+SUM(D17:D19))</f>
        <v>-38776</v>
      </c>
      <c r="E21" s="37">
        <f t="shared" si="20"/>
        <v>-41066</v>
      </c>
      <c r="G21" s="37">
        <f t="shared" si="20"/>
        <v>-9932</v>
      </c>
      <c r="H21" s="37">
        <f t="shared" si="20"/>
        <v>-9613</v>
      </c>
      <c r="I21" s="37">
        <f t="shared" si="20"/>
        <v>-8597</v>
      </c>
      <c r="J21" s="37">
        <f t="shared" si="20"/>
        <v>-10634</v>
      </c>
      <c r="K21" s="37">
        <f t="shared" si="20"/>
        <v>-11527</v>
      </c>
      <c r="L21" s="37">
        <f t="shared" si="20"/>
        <v>-9114</v>
      </c>
      <c r="M21" s="37">
        <f t="shared" si="20"/>
        <v>-10428</v>
      </c>
      <c r="N21" s="37">
        <f t="shared" si="20"/>
        <v>-9997</v>
      </c>
      <c r="O21" s="37">
        <f t="shared" si="20"/>
        <v>-11489</v>
      </c>
      <c r="P21" s="37">
        <f t="shared" si="20"/>
        <v>-12371</v>
      </c>
      <c r="Q21" s="37">
        <f t="shared" si="20"/>
        <v>-11220</v>
      </c>
      <c r="S21" s="37">
        <f>SUM(S16:S20)-S13</f>
        <v>34026</v>
      </c>
      <c r="T21" s="37">
        <f>SUM(T16:T20)-T13</f>
        <v>28544</v>
      </c>
      <c r="U21" s="29"/>
      <c r="V21" s="30">
        <f>SUM(T21/S21)-1</f>
        <v>-0.16111209075412924</v>
      </c>
    </row>
    <row r="22" spans="1:22" x14ac:dyDescent="0.25">
      <c r="B22" s="31" t="s">
        <v>24</v>
      </c>
      <c r="C22" s="38"/>
      <c r="D22" s="22">
        <f>D21/C21-1</f>
        <v>0.27021980541815438</v>
      </c>
      <c r="E22" s="22">
        <f>E21/D21-1</f>
        <v>5.9057148751805233E-2</v>
      </c>
      <c r="F22" s="22"/>
      <c r="H22" s="22">
        <f t="shared" ref="H22:Q22" si="21">H21/G21-1</f>
        <v>-3.2118405155054375E-2</v>
      </c>
      <c r="I22" s="22">
        <f t="shared" si="21"/>
        <v>-0.10569021117237076</v>
      </c>
      <c r="J22" s="22">
        <f t="shared" si="21"/>
        <v>0.23694311969291615</v>
      </c>
      <c r="K22" s="22">
        <f t="shared" si="21"/>
        <v>8.3975926274214796E-2</v>
      </c>
      <c r="L22" s="22">
        <f t="shared" si="21"/>
        <v>-0.20933460570833695</v>
      </c>
      <c r="M22" s="22">
        <f t="shared" si="21"/>
        <v>0.14417379855167867</v>
      </c>
      <c r="N22" s="22">
        <f t="shared" si="21"/>
        <v>-4.1331031837360976E-2</v>
      </c>
      <c r="O22" s="22">
        <f t="shared" si="21"/>
        <v>0.14924477343202969</v>
      </c>
      <c r="P22" s="22">
        <f t="shared" si="21"/>
        <v>7.6769083471146304E-2</v>
      </c>
      <c r="Q22" s="22">
        <f t="shared" si="21"/>
        <v>-9.3040174601891512E-2</v>
      </c>
      <c r="T22" s="22">
        <f>T21/S21-1</f>
        <v>-0.16111209075412924</v>
      </c>
      <c r="U22" s="39"/>
      <c r="V22" s="40"/>
    </row>
    <row r="23" spans="1:22" x14ac:dyDescent="0.25">
      <c r="B23" t="s">
        <v>66</v>
      </c>
      <c r="C23" s="121">
        <v>-171</v>
      </c>
      <c r="D23" s="122">
        <v>-97</v>
      </c>
      <c r="E23" s="122">
        <v>-120</v>
      </c>
      <c r="F23" s="123"/>
      <c r="G23" s="127">
        <v>16</v>
      </c>
      <c r="H23" s="122">
        <v>-64</v>
      </c>
      <c r="I23" s="122">
        <v>16</v>
      </c>
      <c r="J23" s="122"/>
      <c r="K23" s="122">
        <v>0</v>
      </c>
      <c r="L23" s="122">
        <v>-63</v>
      </c>
      <c r="M23" s="122">
        <v>6</v>
      </c>
      <c r="N23" s="122"/>
      <c r="O23" s="122">
        <v>-8</v>
      </c>
      <c r="P23" s="122">
        <v>-64</v>
      </c>
      <c r="Q23" s="122">
        <v>-18</v>
      </c>
      <c r="T23" s="22"/>
      <c r="U23" s="39"/>
      <c r="V23" s="40"/>
    </row>
    <row r="24" spans="1:22" x14ac:dyDescent="0.25">
      <c r="B24" s="86" t="s">
        <v>67</v>
      </c>
      <c r="C24" s="121"/>
      <c r="D24" s="122"/>
      <c r="E24" s="122"/>
      <c r="F24" s="123"/>
      <c r="G24" s="127"/>
      <c r="H24" s="122"/>
      <c r="I24" s="122"/>
      <c r="J24" s="122"/>
      <c r="K24" s="122"/>
      <c r="L24" s="122"/>
      <c r="M24" s="122">
        <v>-3619</v>
      </c>
      <c r="N24" s="122"/>
      <c r="O24" s="122"/>
      <c r="P24" s="122"/>
      <c r="Q24" s="122"/>
      <c r="T24" s="22"/>
      <c r="U24" s="39"/>
      <c r="V24" s="40"/>
    </row>
    <row r="25" spans="1:22" x14ac:dyDescent="0.25">
      <c r="B25" t="s">
        <v>68</v>
      </c>
      <c r="C25" s="121">
        <v>-30698</v>
      </c>
      <c r="D25" s="122">
        <v>-38873</v>
      </c>
      <c r="E25" s="122">
        <v>-44805</v>
      </c>
      <c r="F25" s="123"/>
      <c r="G25" s="127">
        <v>-9916</v>
      </c>
      <c r="H25" s="122">
        <v>-9677</v>
      </c>
      <c r="I25" s="122">
        <v>-8581</v>
      </c>
      <c r="J25" s="109">
        <f t="shared" ref="J25:J26" si="22">SUM(D25-SUM(G25:I25))</f>
        <v>-10699</v>
      </c>
      <c r="K25" s="122">
        <v>-11527</v>
      </c>
      <c r="L25" s="122">
        <v>-9177</v>
      </c>
      <c r="M25" s="122">
        <v>-14041</v>
      </c>
      <c r="N25" s="109">
        <f t="shared" ref="N25:N26" si="23">SUM(E25-SUM(K25:M25))</f>
        <v>-10060</v>
      </c>
      <c r="O25" s="122">
        <v>-11497</v>
      </c>
      <c r="P25" s="122">
        <v>-12435</v>
      </c>
      <c r="Q25" s="122">
        <v>-11238</v>
      </c>
      <c r="T25" s="22"/>
      <c r="U25" s="39"/>
      <c r="V25" s="40"/>
    </row>
    <row r="26" spans="1:22" x14ac:dyDescent="0.25">
      <c r="B26" t="s">
        <v>69</v>
      </c>
      <c r="C26" s="124">
        <v>-0.52</v>
      </c>
      <c r="D26" s="125">
        <v>-0.65</v>
      </c>
      <c r="E26" s="125">
        <v>-0.74</v>
      </c>
      <c r="F26" s="123"/>
      <c r="G26" s="128">
        <v>-0.17</v>
      </c>
      <c r="H26" s="125">
        <v>-0.16</v>
      </c>
      <c r="I26" s="125">
        <v>-0.14000000000000001</v>
      </c>
      <c r="J26" s="129">
        <f t="shared" si="22"/>
        <v>-0.18</v>
      </c>
      <c r="K26" s="125">
        <v>-0.19</v>
      </c>
      <c r="L26" s="125">
        <v>-0.15</v>
      </c>
      <c r="M26" s="125">
        <v>-0.24</v>
      </c>
      <c r="N26" s="129">
        <f t="shared" si="23"/>
        <v>-0.16000000000000003</v>
      </c>
      <c r="O26" s="125">
        <v>-0.19</v>
      </c>
      <c r="P26" s="125">
        <v>-0.2</v>
      </c>
      <c r="Q26" s="125">
        <v>-0.18</v>
      </c>
      <c r="T26" s="22"/>
      <c r="U26" s="39"/>
      <c r="V26" s="40"/>
    </row>
    <row r="27" spans="1:22" x14ac:dyDescent="0.25">
      <c r="B27" t="s">
        <v>70</v>
      </c>
      <c r="C27" s="121">
        <v>58527</v>
      </c>
      <c r="D27" s="122">
        <v>59391</v>
      </c>
      <c r="E27" s="122">
        <v>60159</v>
      </c>
      <c r="F27" s="123"/>
      <c r="G27" s="127">
        <v>59354</v>
      </c>
      <c r="H27" s="122">
        <v>59389</v>
      </c>
      <c r="I27" s="122">
        <v>59396</v>
      </c>
      <c r="J27" s="126">
        <f>D27</f>
        <v>59391</v>
      </c>
      <c r="K27" s="122">
        <v>59480</v>
      </c>
      <c r="L27" s="122">
        <v>59582</v>
      </c>
      <c r="M27" s="122">
        <v>59704</v>
      </c>
      <c r="N27" s="126">
        <f t="shared" ref="N26:N27" si="24">E27</f>
        <v>60159</v>
      </c>
      <c r="O27" s="122">
        <v>61976</v>
      </c>
      <c r="P27" s="122">
        <v>62233</v>
      </c>
      <c r="Q27" s="122">
        <v>62278</v>
      </c>
      <c r="T27" s="22"/>
      <c r="U27" s="39"/>
      <c r="V27" s="40"/>
    </row>
    <row r="28" spans="1:22" x14ac:dyDescent="0.25">
      <c r="B28" s="31"/>
      <c r="C28" s="38"/>
      <c r="D28" s="22"/>
      <c r="E28" s="22"/>
      <c r="F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T28" s="22"/>
      <c r="U28" s="39"/>
      <c r="V28" s="40"/>
    </row>
    <row r="29" spans="1:22" x14ac:dyDescent="0.25">
      <c r="A29" s="6" t="s">
        <v>5</v>
      </c>
      <c r="B29" s="7" t="s">
        <v>27</v>
      </c>
      <c r="C29" s="41"/>
      <c r="D29" s="41"/>
      <c r="E29" s="41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2" x14ac:dyDescent="0.25">
      <c r="B30" s="42" t="s">
        <v>28</v>
      </c>
      <c r="C30" s="43"/>
      <c r="D30" s="43"/>
      <c r="E30" s="43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1:22" ht="3.75" customHeight="1" x14ac:dyDescent="0.25">
      <c r="B31" s="44"/>
      <c r="C31" s="45"/>
      <c r="D31" s="45"/>
      <c r="E31" s="45"/>
    </row>
    <row r="32" spans="1:22" x14ac:dyDescent="0.25">
      <c r="B32" s="46" t="s">
        <v>29</v>
      </c>
      <c r="D32" s="26"/>
      <c r="E32" s="26"/>
    </row>
    <row r="33" spans="2:22" ht="15.75" x14ac:dyDescent="0.25">
      <c r="B33" s="4" t="s">
        <v>30</v>
      </c>
      <c r="C33" s="47">
        <v>39648</v>
      </c>
      <c r="D33" s="47">
        <v>18592</v>
      </c>
      <c r="E33" s="26">
        <v>25660</v>
      </c>
      <c r="G33" s="26">
        <v>31606</v>
      </c>
      <c r="H33" s="26">
        <v>24178</v>
      </c>
      <c r="I33" s="26">
        <v>15831</v>
      </c>
      <c r="J33" s="48">
        <f t="shared" ref="J33:J39" si="25">D33</f>
        <v>18592</v>
      </c>
      <c r="K33" s="26">
        <v>17799</v>
      </c>
      <c r="L33" s="26">
        <v>17966</v>
      </c>
      <c r="M33" s="26">
        <v>20362</v>
      </c>
      <c r="N33" s="48">
        <f>E33</f>
        <v>25660</v>
      </c>
      <c r="O33" s="26">
        <v>23555</v>
      </c>
      <c r="P33" s="26">
        <v>25598</v>
      </c>
      <c r="Q33" s="26">
        <v>27060</v>
      </c>
      <c r="S33" s="23">
        <f>SUM(J33:M33)</f>
        <v>74719</v>
      </c>
      <c r="T33" s="23">
        <f>SUM(N33:Q33)</f>
        <v>101873</v>
      </c>
      <c r="U33" s="23"/>
      <c r="V33" s="25">
        <f t="shared" ref="V33:V40" si="26">SUM(T33/S33)-1</f>
        <v>0.36341492792997765</v>
      </c>
    </row>
    <row r="34" spans="2:22" ht="15.75" x14ac:dyDescent="0.25">
      <c r="B34" s="111" t="s">
        <v>31</v>
      </c>
      <c r="C34" s="47">
        <v>2172</v>
      </c>
      <c r="D34" s="47">
        <v>1960</v>
      </c>
      <c r="E34" s="26">
        <v>2050</v>
      </c>
      <c r="G34" s="26">
        <v>1901</v>
      </c>
      <c r="H34" s="26">
        <v>1607</v>
      </c>
      <c r="I34" s="26">
        <v>1290</v>
      </c>
      <c r="J34" s="48">
        <f t="shared" si="25"/>
        <v>1960</v>
      </c>
      <c r="K34" s="26">
        <v>1753</v>
      </c>
      <c r="L34" s="26">
        <v>1502</v>
      </c>
      <c r="M34" s="26">
        <v>1249</v>
      </c>
      <c r="N34" s="48">
        <f>E34</f>
        <v>2050</v>
      </c>
      <c r="O34" s="26">
        <v>1905</v>
      </c>
      <c r="P34" s="26">
        <v>1689</v>
      </c>
      <c r="Q34" s="26">
        <v>1606</v>
      </c>
      <c r="S34" s="23">
        <f>SUM(J34:M34)</f>
        <v>6464</v>
      </c>
      <c r="T34" s="23">
        <f>SUM(N34:Q34)</f>
        <v>7250</v>
      </c>
      <c r="U34" s="23"/>
      <c r="V34" s="25">
        <f t="shared" si="26"/>
        <v>0.12159653465346532</v>
      </c>
    </row>
    <row r="35" spans="2:22" x14ac:dyDescent="0.25">
      <c r="B35" s="36" t="s">
        <v>32</v>
      </c>
      <c r="C35" s="49">
        <f>SUM(C33:C34)</f>
        <v>41820</v>
      </c>
      <c r="D35" s="49">
        <f>SUM(D33:D34)</f>
        <v>20552</v>
      </c>
      <c r="E35" s="49">
        <f>SUM(E33:E34)</f>
        <v>27710</v>
      </c>
      <c r="G35" s="49">
        <f>SUM(G33:G34)</f>
        <v>33507</v>
      </c>
      <c r="H35" s="49">
        <f>SUM(H33:H34)</f>
        <v>25785</v>
      </c>
      <c r="I35" s="49">
        <f>SUM(I33:I34)</f>
        <v>17121</v>
      </c>
      <c r="J35" s="49">
        <f>SUM(J33:J34)</f>
        <v>20552</v>
      </c>
      <c r="K35" s="49">
        <f>SUM(K33:K34)</f>
        <v>19552</v>
      </c>
      <c r="L35" s="49">
        <f>SUM(L33:L34)</f>
        <v>19468</v>
      </c>
      <c r="M35" s="49">
        <f>SUM(M33:M34)</f>
        <v>21611</v>
      </c>
      <c r="N35" s="49">
        <f>SUM(N33:N34)</f>
        <v>27710</v>
      </c>
      <c r="O35" s="49">
        <f>SUM(O33:O34)</f>
        <v>25460</v>
      </c>
      <c r="P35" s="49">
        <f>SUM(P33:P34)</f>
        <v>27287</v>
      </c>
      <c r="Q35" s="49">
        <f>SUM(Q33:Q34)</f>
        <v>28666</v>
      </c>
      <c r="S35" s="49">
        <f>SUM(S33:S34)</f>
        <v>81183</v>
      </c>
      <c r="T35" s="49">
        <f>SUM(T33:T34)</f>
        <v>109123</v>
      </c>
      <c r="U35" s="29"/>
      <c r="V35" s="30">
        <f t="shared" si="26"/>
        <v>0.34416072330413994</v>
      </c>
    </row>
    <row r="36" spans="2:22" ht="15.75" x14ac:dyDescent="0.25">
      <c r="B36" s="46"/>
      <c r="C36" s="50"/>
      <c r="D36" s="51"/>
      <c r="E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S36" s="29"/>
      <c r="T36" s="29"/>
      <c r="U36" s="29"/>
      <c r="V36" s="33"/>
    </row>
    <row r="37" spans="2:22" ht="15.75" x14ac:dyDescent="0.25">
      <c r="B37" s="46" t="s">
        <v>33</v>
      </c>
      <c r="C37" s="50"/>
      <c r="D37" s="51"/>
      <c r="E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S37" s="29"/>
      <c r="T37" s="29"/>
      <c r="U37" s="29"/>
      <c r="V37" s="30"/>
    </row>
    <row r="38" spans="2:22" ht="15.75" x14ac:dyDescent="0.25">
      <c r="B38" s="4" t="s">
        <v>36</v>
      </c>
      <c r="C38" s="47">
        <v>0</v>
      </c>
      <c r="D38" s="53">
        <v>0</v>
      </c>
      <c r="E38" s="54">
        <v>0</v>
      </c>
      <c r="G38" s="54"/>
      <c r="H38" s="54">
        <v>0</v>
      </c>
      <c r="I38" s="54" t="s">
        <v>35</v>
      </c>
      <c r="J38" s="48">
        <f t="shared" si="25"/>
        <v>0</v>
      </c>
      <c r="K38" s="54">
        <v>0</v>
      </c>
      <c r="L38" s="54">
        <v>0</v>
      </c>
      <c r="M38" s="54">
        <v>0</v>
      </c>
      <c r="N38" s="48">
        <f>E38</f>
        <v>0</v>
      </c>
      <c r="O38" s="54"/>
      <c r="P38" s="54">
        <v>0</v>
      </c>
      <c r="Q38" s="54" t="s">
        <v>35</v>
      </c>
      <c r="S38" s="23">
        <f>SUM(J38:M38)</f>
        <v>0</v>
      </c>
      <c r="T38" s="23">
        <f>SUM(N38:Q38)</f>
        <v>0</v>
      </c>
      <c r="U38" s="23"/>
      <c r="V38" s="25" t="e">
        <f t="shared" si="26"/>
        <v>#DIV/0!</v>
      </c>
    </row>
    <row r="39" spans="2:22" ht="15.75" x14ac:dyDescent="0.25">
      <c r="B39" s="4" t="s">
        <v>98</v>
      </c>
      <c r="C39" s="47">
        <v>7</v>
      </c>
      <c r="D39" s="47">
        <v>733</v>
      </c>
      <c r="E39" s="54">
        <v>490</v>
      </c>
      <c r="G39" s="54">
        <v>108</v>
      </c>
      <c r="H39" s="54">
        <v>101</v>
      </c>
      <c r="I39" s="54">
        <v>793</v>
      </c>
      <c r="J39" s="48">
        <f t="shared" si="25"/>
        <v>733</v>
      </c>
      <c r="K39" s="54">
        <v>673</v>
      </c>
      <c r="L39" s="54">
        <v>613</v>
      </c>
      <c r="M39" s="54">
        <v>552</v>
      </c>
      <c r="N39" s="48">
        <f>E39</f>
        <v>490</v>
      </c>
      <c r="O39" s="54">
        <v>430</v>
      </c>
      <c r="P39" s="54">
        <v>368</v>
      </c>
      <c r="Q39" s="54">
        <v>306</v>
      </c>
      <c r="S39" s="23">
        <f>SUM(J39:M39)</f>
        <v>2571</v>
      </c>
      <c r="T39" s="23">
        <f>SUM(N39:Q39)</f>
        <v>1594</v>
      </c>
      <c r="U39" s="23"/>
      <c r="V39" s="25">
        <f t="shared" si="26"/>
        <v>-0.38000777907429018</v>
      </c>
    </row>
    <row r="40" spans="2:22" x14ac:dyDescent="0.25">
      <c r="B40" s="36" t="s">
        <v>37</v>
      </c>
      <c r="C40" s="55">
        <f>SUM(C38:C39)+C35</f>
        <v>41827</v>
      </c>
      <c r="D40" s="55">
        <f>SUM(D38:D39)+D35</f>
        <v>21285</v>
      </c>
      <c r="E40" s="55">
        <f>SUM(E38:E39)+E35</f>
        <v>28200</v>
      </c>
      <c r="G40" s="55">
        <f>SUM(G38:G39)+G35</f>
        <v>33615</v>
      </c>
      <c r="H40" s="55">
        <f>SUM(H38:H39)+H35</f>
        <v>25886</v>
      </c>
      <c r="I40" s="55">
        <f>SUM(I38:I39)+I35</f>
        <v>17914</v>
      </c>
      <c r="J40" s="55">
        <f>SUM(J38:J39)+J35</f>
        <v>21285</v>
      </c>
      <c r="K40" s="55">
        <f>SUM(K38:K39)+K35</f>
        <v>20225</v>
      </c>
      <c r="L40" s="55">
        <f>SUM(L38:L39)+L35</f>
        <v>20081</v>
      </c>
      <c r="M40" s="55">
        <f>SUM(M38:M39)+M35</f>
        <v>22163</v>
      </c>
      <c r="N40" s="55">
        <f>SUM(N38:N39)+N35</f>
        <v>28200</v>
      </c>
      <c r="O40" s="55">
        <f>SUM(O38:O39)+O35</f>
        <v>25890</v>
      </c>
      <c r="P40" s="55">
        <f>SUM(P38:P39)+P35</f>
        <v>27655</v>
      </c>
      <c r="Q40" s="55">
        <f>SUM(Q38:Q39)+Q35</f>
        <v>28972</v>
      </c>
      <c r="S40" s="56">
        <f>SUM(I40:L40)</f>
        <v>79505</v>
      </c>
      <c r="T40" s="56">
        <f>SUM(M40:P40)</f>
        <v>103908</v>
      </c>
      <c r="U40" s="29"/>
      <c r="V40" s="30">
        <f t="shared" si="26"/>
        <v>0.30693667064964458</v>
      </c>
    </row>
    <row r="41" spans="2:22" ht="15.75" x14ac:dyDescent="0.25">
      <c r="B41" s="46"/>
      <c r="C41" s="57"/>
      <c r="D41" s="57"/>
      <c r="E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S41" s="29"/>
      <c r="T41" s="29"/>
      <c r="U41" s="29"/>
      <c r="V41" s="30"/>
    </row>
    <row r="42" spans="2:22" s="59" customFormat="1" ht="15.75" x14ac:dyDescent="0.25">
      <c r="B42" s="46" t="s">
        <v>38</v>
      </c>
      <c r="C42" s="50"/>
      <c r="D42" s="50"/>
      <c r="E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58"/>
      <c r="T42" s="58"/>
      <c r="U42" s="58"/>
    </row>
    <row r="43" spans="2:22" ht="15.75" x14ac:dyDescent="0.25">
      <c r="B43" s="4" t="s">
        <v>99</v>
      </c>
      <c r="C43" s="47">
        <v>1805</v>
      </c>
      <c r="D43" s="53">
        <v>3890</v>
      </c>
      <c r="E43" s="54">
        <v>6431</v>
      </c>
      <c r="G43" s="54">
        <v>1906</v>
      </c>
      <c r="H43" s="54">
        <v>2964</v>
      </c>
      <c r="I43" s="54">
        <v>2352</v>
      </c>
      <c r="J43" s="48">
        <f t="shared" ref="J43:J53" si="27">D43</f>
        <v>3890</v>
      </c>
      <c r="K43" s="54">
        <v>2553</v>
      </c>
      <c r="L43" s="54">
        <v>1976</v>
      </c>
      <c r="M43" s="54">
        <v>2681</v>
      </c>
      <c r="N43" s="48">
        <f>E43</f>
        <v>6431</v>
      </c>
      <c r="O43" s="54">
        <v>3797</v>
      </c>
      <c r="P43" s="54">
        <v>3698</v>
      </c>
      <c r="Q43" s="54">
        <v>2795</v>
      </c>
      <c r="S43" s="23">
        <f t="shared" ref="S43:S47" si="28">SUM(J43:M43)</f>
        <v>11100</v>
      </c>
      <c r="T43" s="23">
        <f t="shared" ref="T43:T47" si="29">SUM(N43:Q43)</f>
        <v>16721</v>
      </c>
      <c r="U43" s="23"/>
      <c r="V43" s="25">
        <f t="shared" ref="V43:V47" si="30">SUM(T43/S43)-1</f>
        <v>0.50639639639639644</v>
      </c>
    </row>
    <row r="44" spans="2:22" ht="15.75" x14ac:dyDescent="0.25">
      <c r="B44" s="4" t="s">
        <v>100</v>
      </c>
      <c r="C44" s="47">
        <v>7163</v>
      </c>
      <c r="D44" s="53">
        <v>9058</v>
      </c>
      <c r="E44" s="54">
        <v>9182</v>
      </c>
      <c r="G44" s="54">
        <v>7629</v>
      </c>
      <c r="H44" s="54">
        <v>7864</v>
      </c>
      <c r="I44" s="54">
        <v>7236</v>
      </c>
      <c r="J44" s="48">
        <f t="shared" si="27"/>
        <v>9058</v>
      </c>
      <c r="K44" s="54">
        <v>8980</v>
      </c>
      <c r="L44" s="54">
        <v>7913</v>
      </c>
      <c r="M44" s="54">
        <v>7841</v>
      </c>
      <c r="N44" s="48">
        <f>E44</f>
        <v>9182</v>
      </c>
      <c r="O44" s="54">
        <v>8836</v>
      </c>
      <c r="P44" s="54">
        <v>10856</v>
      </c>
      <c r="Q44" s="54">
        <v>11586</v>
      </c>
      <c r="S44" s="23">
        <f t="shared" si="28"/>
        <v>33792</v>
      </c>
      <c r="T44" s="23">
        <f t="shared" si="29"/>
        <v>40460</v>
      </c>
      <c r="U44" s="23"/>
      <c r="V44" s="25">
        <f t="shared" si="30"/>
        <v>0.19732481060606055</v>
      </c>
    </row>
    <row r="45" spans="2:22" ht="15.75" x14ac:dyDescent="0.25">
      <c r="B45" s="4" t="s">
        <v>101</v>
      </c>
      <c r="C45" s="47">
        <v>65</v>
      </c>
      <c r="D45" s="53">
        <v>64</v>
      </c>
      <c r="E45" s="54">
        <v>63</v>
      </c>
      <c r="G45" s="54" t="s">
        <v>34</v>
      </c>
      <c r="H45" s="54">
        <v>64</v>
      </c>
      <c r="I45" s="54" t="s">
        <v>34</v>
      </c>
      <c r="J45" s="48">
        <f t="shared" si="27"/>
        <v>64</v>
      </c>
      <c r="K45" s="54" t="s">
        <v>34</v>
      </c>
      <c r="L45" s="54">
        <v>64</v>
      </c>
      <c r="M45" s="54" t="s">
        <v>34</v>
      </c>
      <c r="N45" s="48">
        <f>E45</f>
        <v>63</v>
      </c>
      <c r="O45" s="54">
        <v>0</v>
      </c>
      <c r="P45" s="54">
        <v>63</v>
      </c>
      <c r="Q45" s="54" t="s">
        <v>34</v>
      </c>
      <c r="S45" s="23">
        <f t="shared" si="28"/>
        <v>128</v>
      </c>
      <c r="T45" s="23">
        <f t="shared" si="29"/>
        <v>126</v>
      </c>
      <c r="U45" s="23"/>
      <c r="V45" s="25">
        <f t="shared" si="30"/>
        <v>-1.5625E-2</v>
      </c>
    </row>
    <row r="46" spans="2:22" ht="15.75" x14ac:dyDescent="0.25">
      <c r="B46" s="108" t="s">
        <v>102</v>
      </c>
      <c r="C46" s="47"/>
      <c r="D46" s="53"/>
      <c r="E46" s="54"/>
      <c r="G46" s="54"/>
      <c r="H46" s="54"/>
      <c r="I46" s="54"/>
      <c r="J46" s="48">
        <f t="shared" si="27"/>
        <v>0</v>
      </c>
      <c r="K46" s="54"/>
      <c r="L46" s="54"/>
      <c r="M46" s="54"/>
      <c r="N46" s="48">
        <f>E46</f>
        <v>0</v>
      </c>
      <c r="O46" s="54"/>
      <c r="P46" s="54"/>
      <c r="Q46" s="54">
        <v>10518</v>
      </c>
      <c r="S46" s="23">
        <f t="shared" si="28"/>
        <v>0</v>
      </c>
      <c r="T46" s="23">
        <f t="shared" si="29"/>
        <v>10518</v>
      </c>
      <c r="U46" s="23"/>
      <c r="V46" s="25" t="e">
        <f t="shared" si="30"/>
        <v>#DIV/0!</v>
      </c>
    </row>
    <row r="47" spans="2:22" x14ac:dyDescent="0.25">
      <c r="B47" s="108" t="s">
        <v>103</v>
      </c>
      <c r="C47" s="54"/>
      <c r="D47" s="54"/>
      <c r="E47" s="54"/>
      <c r="G47" s="54"/>
      <c r="H47" s="54"/>
      <c r="I47" s="54"/>
      <c r="J47" s="48">
        <f t="shared" si="27"/>
        <v>0</v>
      </c>
      <c r="K47" s="54"/>
      <c r="L47" s="54"/>
      <c r="M47" s="54"/>
      <c r="N47" s="48" t="s">
        <v>34</v>
      </c>
      <c r="O47" s="54"/>
      <c r="P47" s="54"/>
      <c r="Q47" s="54">
        <v>359</v>
      </c>
      <c r="S47" s="23">
        <f t="shared" si="28"/>
        <v>0</v>
      </c>
      <c r="T47" s="23">
        <f t="shared" si="29"/>
        <v>359</v>
      </c>
      <c r="U47" s="23"/>
      <c r="V47" s="25" t="e">
        <f t="shared" si="30"/>
        <v>#DIV/0!</v>
      </c>
    </row>
    <row r="48" spans="2:22" x14ac:dyDescent="0.25">
      <c r="B48" s="36" t="s">
        <v>39</v>
      </c>
      <c r="C48" s="55">
        <f>SUM(C43:C47)</f>
        <v>9033</v>
      </c>
      <c r="D48" s="55">
        <f>SUM(D43:D47)</f>
        <v>13012</v>
      </c>
      <c r="E48" s="55">
        <f>SUM(E43:E47)</f>
        <v>15676</v>
      </c>
      <c r="G48" s="55">
        <f>SUM(G43:G47)</f>
        <v>9535</v>
      </c>
      <c r="H48" s="55">
        <f>SUM(H43:H47)</f>
        <v>10892</v>
      </c>
      <c r="I48" s="55">
        <f>SUM(I43:I47)</f>
        <v>9588</v>
      </c>
      <c r="J48" s="55">
        <f>SUM(J43:J47)</f>
        <v>13012</v>
      </c>
      <c r="K48" s="55">
        <f>SUM(K43:K47)</f>
        <v>11533</v>
      </c>
      <c r="L48" s="55">
        <f>SUM(L43:L47)</f>
        <v>9953</v>
      </c>
      <c r="M48" s="55">
        <f>SUM(M43:M47)</f>
        <v>10522</v>
      </c>
      <c r="N48" s="55">
        <f>SUM(N43:N47)</f>
        <v>15676</v>
      </c>
      <c r="O48" s="55">
        <f>SUM(O43:O47)</f>
        <v>12633</v>
      </c>
      <c r="P48" s="55">
        <f>SUM(P43:P47)</f>
        <v>14617</v>
      </c>
      <c r="Q48" s="55">
        <f>SUM(Q43:Q47)</f>
        <v>25258</v>
      </c>
      <c r="S48" s="55">
        <f>SUM(S43:S47)</f>
        <v>45020</v>
      </c>
      <c r="T48" s="55">
        <f>SUM(T43:T47)</f>
        <v>68184</v>
      </c>
      <c r="U48" s="29"/>
      <c r="V48" s="30">
        <f>SUM(T48/S48)-1</f>
        <v>0.51452687694358068</v>
      </c>
    </row>
    <row r="49" spans="2:22" ht="15.75" x14ac:dyDescent="0.25">
      <c r="B49" s="46"/>
      <c r="C49" s="57"/>
      <c r="D49" s="60"/>
      <c r="E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S49" s="29"/>
      <c r="T49" s="29"/>
      <c r="U49" s="29"/>
      <c r="V49" s="30"/>
    </row>
    <row r="50" spans="2:22" ht="15.75" x14ac:dyDescent="0.25">
      <c r="B50" s="46" t="s">
        <v>40</v>
      </c>
      <c r="C50" s="57"/>
      <c r="D50" s="60"/>
      <c r="E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S50" s="29"/>
      <c r="T50" s="29"/>
      <c r="U50" s="29"/>
      <c r="V50" s="30"/>
    </row>
    <row r="51" spans="2:22" ht="15.75" x14ac:dyDescent="0.25">
      <c r="B51" s="108" t="s">
        <v>104</v>
      </c>
      <c r="C51" s="47">
        <v>29048</v>
      </c>
      <c r="D51" s="53">
        <v>29964</v>
      </c>
      <c r="E51" s="54">
        <v>30902</v>
      </c>
      <c r="G51" s="54">
        <v>29275</v>
      </c>
      <c r="H51" s="54">
        <v>29504</v>
      </c>
      <c r="I51" s="54">
        <v>29734</v>
      </c>
      <c r="J51" s="48">
        <f t="shared" si="27"/>
        <v>29964</v>
      </c>
      <c r="K51" s="54">
        <v>30200</v>
      </c>
      <c r="L51" s="54">
        <v>30433</v>
      </c>
      <c r="M51" s="54">
        <v>30666</v>
      </c>
      <c r="N51" s="48">
        <f>E51</f>
        <v>30902</v>
      </c>
      <c r="O51" s="54">
        <v>31139</v>
      </c>
      <c r="P51" s="54">
        <v>31375</v>
      </c>
      <c r="Q51" s="54">
        <v>21094</v>
      </c>
      <c r="S51" s="23">
        <f t="shared" ref="S51:S53" si="31">SUM(J51:M51)</f>
        <v>121263</v>
      </c>
      <c r="T51" s="23">
        <f t="shared" ref="T51:T53" si="32">SUM(N51:Q51)</f>
        <v>114510</v>
      </c>
      <c r="U51" s="23"/>
      <c r="V51" s="25">
        <f>SUM(T51/S51)-1</f>
        <v>-5.5688874594888804E-2</v>
      </c>
    </row>
    <row r="52" spans="2:22" ht="15.75" x14ac:dyDescent="0.25">
      <c r="B52" s="108" t="s">
        <v>105</v>
      </c>
      <c r="C52" s="47">
        <v>1130</v>
      </c>
      <c r="D52" s="53">
        <v>573</v>
      </c>
      <c r="E52" s="54">
        <v>1004</v>
      </c>
      <c r="G52" s="54">
        <v>901</v>
      </c>
      <c r="H52" s="54">
        <v>626</v>
      </c>
      <c r="I52" s="54">
        <v>850</v>
      </c>
      <c r="J52" s="48"/>
      <c r="K52" s="54">
        <v>1342</v>
      </c>
      <c r="L52" s="54">
        <v>852</v>
      </c>
      <c r="M52" s="54">
        <v>1342</v>
      </c>
      <c r="N52" s="48"/>
      <c r="O52" s="54">
        <v>1873</v>
      </c>
      <c r="P52" s="54">
        <v>1764</v>
      </c>
      <c r="Q52" s="54">
        <v>2159</v>
      </c>
      <c r="S52" s="23"/>
      <c r="T52" s="23"/>
      <c r="U52" s="23"/>
      <c r="V52" s="25"/>
    </row>
    <row r="53" spans="2:22" ht="15.75" x14ac:dyDescent="0.25">
      <c r="B53" s="108" t="s">
        <v>106</v>
      </c>
      <c r="C53" s="47">
        <v>0</v>
      </c>
      <c r="D53" s="53">
        <v>9864</v>
      </c>
      <c r="E53" s="54">
        <v>40839</v>
      </c>
      <c r="G53" s="54"/>
      <c r="H53" s="54">
        <v>0</v>
      </c>
      <c r="I53" s="54"/>
      <c r="J53" s="48">
        <f t="shared" si="27"/>
        <v>9864</v>
      </c>
      <c r="K53" s="54">
        <v>19741</v>
      </c>
      <c r="L53" s="54">
        <v>29926</v>
      </c>
      <c r="M53" s="54">
        <v>30474</v>
      </c>
      <c r="N53" s="48">
        <f>E53</f>
        <v>40839</v>
      </c>
      <c r="O53" s="54">
        <v>51324</v>
      </c>
      <c r="P53" s="54">
        <v>62046</v>
      </c>
      <c r="Q53" s="54">
        <v>72942</v>
      </c>
      <c r="S53" s="23">
        <f t="shared" si="31"/>
        <v>90005</v>
      </c>
      <c r="T53" s="23">
        <f t="shared" si="32"/>
        <v>227151</v>
      </c>
      <c r="U53" s="23"/>
      <c r="V53" s="25">
        <f>SUM(T53/S53)-1</f>
        <v>1.5237597911227154</v>
      </c>
    </row>
    <row r="54" spans="2:22" ht="15.75" x14ac:dyDescent="0.25">
      <c r="B54" s="108" t="s">
        <v>48</v>
      </c>
      <c r="C54" s="47">
        <v>0</v>
      </c>
      <c r="D54" s="53">
        <v>66</v>
      </c>
      <c r="E54" s="54">
        <v>20</v>
      </c>
      <c r="G54" s="54">
        <v>97</v>
      </c>
      <c r="H54" s="54">
        <v>87</v>
      </c>
      <c r="I54" s="54">
        <v>77</v>
      </c>
      <c r="J54" s="48"/>
      <c r="K54" s="54">
        <v>55</v>
      </c>
      <c r="L54" s="54">
        <v>44</v>
      </c>
      <c r="M54" s="54">
        <v>32</v>
      </c>
      <c r="N54" s="48"/>
      <c r="O54" s="54">
        <v>7</v>
      </c>
      <c r="P54" s="54">
        <v>0</v>
      </c>
      <c r="Q54" s="54" t="s">
        <v>35</v>
      </c>
      <c r="S54" s="23"/>
      <c r="T54" s="23"/>
      <c r="U54" s="23"/>
      <c r="V54" s="25"/>
    </row>
    <row r="55" spans="2:22" x14ac:dyDescent="0.25">
      <c r="B55" s="36" t="s">
        <v>117</v>
      </c>
      <c r="C55" s="49">
        <f>SUM(C51:C54)+C48</f>
        <v>39211</v>
      </c>
      <c r="D55" s="49">
        <f t="shared" ref="D55:E55" si="33">SUM(D51:D54)+D48</f>
        <v>53479</v>
      </c>
      <c r="E55" s="49">
        <f t="shared" si="33"/>
        <v>88441</v>
      </c>
      <c r="G55" s="49">
        <f t="shared" ref="G55" si="34">SUM(G51:G54)+G48</f>
        <v>39808</v>
      </c>
      <c r="H55" s="49">
        <f t="shared" ref="H55" si="35">SUM(H51:H54)+H48</f>
        <v>41109</v>
      </c>
      <c r="I55" s="49">
        <f t="shared" ref="I55" si="36">SUM(I51:I54)+I48</f>
        <v>40249</v>
      </c>
      <c r="J55" s="49">
        <f t="shared" ref="J55" si="37">SUM(J51:J54)+J48</f>
        <v>52840</v>
      </c>
      <c r="K55" s="49">
        <f t="shared" ref="K55" si="38">SUM(K51:K54)+K48</f>
        <v>62871</v>
      </c>
      <c r="L55" s="49">
        <f t="shared" ref="L55" si="39">SUM(L51:L54)+L48</f>
        <v>71208</v>
      </c>
      <c r="M55" s="49">
        <f t="shared" ref="M55" si="40">SUM(M51:M54)+M48</f>
        <v>73036</v>
      </c>
      <c r="N55" s="49">
        <f t="shared" ref="N55" si="41">SUM(N51:N54)+N48</f>
        <v>87417</v>
      </c>
      <c r="O55" s="49">
        <f t="shared" ref="O55" si="42">SUM(O51:O54)+O48</f>
        <v>96976</v>
      </c>
      <c r="P55" s="49">
        <f t="shared" ref="P55" si="43">SUM(P51:P54)+P48</f>
        <v>109802</v>
      </c>
      <c r="Q55" s="49">
        <f t="shared" ref="Q55" si="44">SUM(Q51:Q54)+Q48</f>
        <v>121453</v>
      </c>
      <c r="S55" s="49">
        <f t="shared" ref="S55" si="45">SUM(S51:S53)+S48</f>
        <v>256288</v>
      </c>
      <c r="T55" s="49">
        <f t="shared" ref="T55" si="46">SUM(T51:T53)+T48</f>
        <v>409845</v>
      </c>
      <c r="U55" s="29"/>
      <c r="V55" s="30">
        <f>SUM(T55/S55)-1</f>
        <v>0.59915797852416031</v>
      </c>
    </row>
    <row r="56" spans="2:22" ht="15.75" x14ac:dyDescent="0.25">
      <c r="B56" s="46"/>
      <c r="C56" s="50"/>
      <c r="D56" s="51"/>
      <c r="E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S56" s="29"/>
      <c r="T56" s="29"/>
      <c r="U56" s="29"/>
      <c r="V56" s="30"/>
    </row>
    <row r="57" spans="2:22" ht="15.75" x14ac:dyDescent="0.25">
      <c r="B57" s="110" t="s">
        <v>107</v>
      </c>
      <c r="C57" s="50"/>
      <c r="D57" s="51"/>
      <c r="E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S57" s="29"/>
      <c r="T57" s="29"/>
      <c r="U57" s="29"/>
      <c r="V57" s="30"/>
    </row>
    <row r="58" spans="2:22" ht="15.75" x14ac:dyDescent="0.25">
      <c r="B58" t="s">
        <v>108</v>
      </c>
      <c r="C58" s="47">
        <v>1723</v>
      </c>
      <c r="D58" s="53">
        <v>1723</v>
      </c>
      <c r="E58" s="54">
        <v>1723</v>
      </c>
      <c r="G58" s="54">
        <v>1723</v>
      </c>
      <c r="H58" s="54">
        <v>1723</v>
      </c>
      <c r="I58" s="54">
        <v>1723</v>
      </c>
      <c r="J58" s="48">
        <f t="shared" ref="J58" si="47">D58</f>
        <v>1723</v>
      </c>
      <c r="K58" s="54">
        <v>1723</v>
      </c>
      <c r="L58" s="54">
        <v>1723</v>
      </c>
      <c r="M58" s="54">
        <v>1723</v>
      </c>
      <c r="N58" s="48">
        <f>E58</f>
        <v>1723</v>
      </c>
      <c r="O58" s="54">
        <v>1723</v>
      </c>
      <c r="P58" s="54">
        <v>1723</v>
      </c>
      <c r="Q58" s="54">
        <v>1723</v>
      </c>
      <c r="S58" s="29"/>
      <c r="T58" s="29"/>
      <c r="U58" s="29"/>
      <c r="V58" s="30"/>
    </row>
    <row r="59" spans="2:22" ht="15.75" x14ac:dyDescent="0.25">
      <c r="B59" s="46"/>
      <c r="C59" s="50"/>
      <c r="D59" s="51"/>
      <c r="E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S59" s="29"/>
      <c r="T59" s="29"/>
      <c r="U59" s="29"/>
      <c r="V59" s="30"/>
    </row>
    <row r="60" spans="2:22" x14ac:dyDescent="0.25">
      <c r="B60" s="46" t="s">
        <v>109</v>
      </c>
      <c r="C60" s="61"/>
      <c r="D60" s="62"/>
      <c r="E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spans="2:22" x14ac:dyDescent="0.25">
      <c r="B61" s="108" t="s">
        <v>110</v>
      </c>
      <c r="C61" s="54">
        <v>0</v>
      </c>
      <c r="D61" s="54">
        <v>0</v>
      </c>
      <c r="E61" s="54">
        <v>0</v>
      </c>
      <c r="F61" s="63"/>
      <c r="G61" s="54">
        <v>0</v>
      </c>
      <c r="H61" s="54">
        <v>0</v>
      </c>
      <c r="I61" s="54">
        <v>0</v>
      </c>
      <c r="J61" s="48">
        <f t="shared" ref="J61:J63" si="48">D61</f>
        <v>0</v>
      </c>
      <c r="K61" s="54">
        <v>0</v>
      </c>
      <c r="L61" s="54">
        <v>0</v>
      </c>
      <c r="M61" s="54">
        <v>0</v>
      </c>
      <c r="N61" s="48">
        <f t="shared" ref="N61:N63" si="49">E61</f>
        <v>0</v>
      </c>
      <c r="O61" s="54">
        <v>0</v>
      </c>
      <c r="P61" s="54">
        <v>0</v>
      </c>
      <c r="Q61" s="54">
        <v>0</v>
      </c>
      <c r="S61" s="23">
        <f t="shared" ref="S61:S62" si="50">SUM(J61:M61)</f>
        <v>0</v>
      </c>
      <c r="T61" s="23">
        <f t="shared" ref="T61:T62" si="51">SUM(N61:Q61)</f>
        <v>0</v>
      </c>
      <c r="U61" s="23"/>
      <c r="V61" s="25" t="e">
        <f>SUM(T61/S61)-1</f>
        <v>#DIV/0!</v>
      </c>
    </row>
    <row r="62" spans="2:22" x14ac:dyDescent="0.25">
      <c r="B62" s="108" t="s">
        <v>111</v>
      </c>
      <c r="C62" s="54">
        <v>527</v>
      </c>
      <c r="D62" s="54">
        <v>510</v>
      </c>
      <c r="E62" s="54">
        <v>500</v>
      </c>
      <c r="F62" s="63"/>
      <c r="G62" s="54">
        <v>527</v>
      </c>
      <c r="H62" s="54">
        <v>510</v>
      </c>
      <c r="I62" s="54">
        <v>510</v>
      </c>
      <c r="J62" s="48">
        <f t="shared" si="48"/>
        <v>510</v>
      </c>
      <c r="K62" s="54">
        <v>510</v>
      </c>
      <c r="L62" s="54">
        <v>510</v>
      </c>
      <c r="M62" s="54">
        <v>510</v>
      </c>
      <c r="N62" s="48">
        <f t="shared" si="49"/>
        <v>500</v>
      </c>
      <c r="O62" s="54">
        <v>500</v>
      </c>
      <c r="P62" s="54">
        <v>500</v>
      </c>
      <c r="Q62" s="54">
        <v>500</v>
      </c>
      <c r="S62" s="23">
        <f t="shared" si="50"/>
        <v>2040</v>
      </c>
      <c r="T62" s="23">
        <f t="shared" si="51"/>
        <v>2000</v>
      </c>
      <c r="U62" s="23"/>
      <c r="V62" s="25"/>
    </row>
    <row r="63" spans="2:22" x14ac:dyDescent="0.25">
      <c r="B63" s="108" t="s">
        <v>112</v>
      </c>
      <c r="C63" s="64">
        <v>59</v>
      </c>
      <c r="D63" s="64">
        <v>59</v>
      </c>
      <c r="E63" s="5">
        <v>61</v>
      </c>
      <c r="F63" s="63"/>
      <c r="G63" s="5">
        <v>59</v>
      </c>
      <c r="H63" s="5">
        <v>59</v>
      </c>
      <c r="I63" s="5">
        <v>59</v>
      </c>
      <c r="J63" s="48">
        <f>D63</f>
        <v>59</v>
      </c>
      <c r="K63" s="5">
        <v>59</v>
      </c>
      <c r="L63" s="5">
        <v>59</v>
      </c>
      <c r="M63" s="5">
        <v>61</v>
      </c>
      <c r="N63" s="48">
        <f>E63</f>
        <v>61</v>
      </c>
      <c r="O63" s="5">
        <v>61</v>
      </c>
      <c r="P63" s="5">
        <v>62</v>
      </c>
      <c r="Q63" s="5">
        <v>62</v>
      </c>
      <c r="S63" s="23">
        <f t="shared" ref="S63:S65" si="52">SUM(J63:M63)</f>
        <v>238</v>
      </c>
      <c r="T63" s="23">
        <f t="shared" ref="T63:T65" si="53">SUM(N63:Q63)</f>
        <v>246</v>
      </c>
      <c r="U63" s="23"/>
      <c r="V63" s="25">
        <f>SUM(T63/S63)-1</f>
        <v>3.3613445378151363E-2</v>
      </c>
    </row>
    <row r="64" spans="2:22" x14ac:dyDescent="0.25">
      <c r="B64" s="108" t="s">
        <v>41</v>
      </c>
      <c r="C64" s="64">
        <v>271001</v>
      </c>
      <c r="D64" s="64">
        <v>275081</v>
      </c>
      <c r="E64" s="54">
        <v>291847</v>
      </c>
      <c r="F64" s="63"/>
      <c r="G64" s="54">
        <v>272108</v>
      </c>
      <c r="H64" s="54">
        <v>272772</v>
      </c>
      <c r="I64" s="54">
        <v>274241</v>
      </c>
      <c r="J64" s="48">
        <f>D64</f>
        <v>275081</v>
      </c>
      <c r="K64" s="54">
        <v>276156</v>
      </c>
      <c r="L64" s="54">
        <v>276852</v>
      </c>
      <c r="M64" s="54">
        <v>291145</v>
      </c>
      <c r="N64" s="48">
        <f>E64</f>
        <v>291847</v>
      </c>
      <c r="O64" s="54">
        <v>292499</v>
      </c>
      <c r="P64" s="54">
        <v>293872</v>
      </c>
      <c r="Q64" s="54">
        <v>294776</v>
      </c>
      <c r="S64" s="23">
        <f t="shared" si="52"/>
        <v>1119234</v>
      </c>
      <c r="T64" s="23">
        <f t="shared" si="53"/>
        <v>1172994</v>
      </c>
      <c r="U64" s="23"/>
      <c r="V64" s="25">
        <f>SUM(T64/S64)-1</f>
        <v>4.803285103919297E-2</v>
      </c>
    </row>
    <row r="65" spans="1:22" x14ac:dyDescent="0.25">
      <c r="B65" s="108" t="s">
        <v>42</v>
      </c>
      <c r="C65" s="64">
        <v>-270694</v>
      </c>
      <c r="D65" s="64">
        <v>-309567</v>
      </c>
      <c r="E65" s="54">
        <v>-354372</v>
      </c>
      <c r="F65" s="63"/>
      <c r="G65" s="54">
        <v>-280610</v>
      </c>
      <c r="H65" s="54">
        <v>-290287</v>
      </c>
      <c r="I65" s="54">
        <v>-298868</v>
      </c>
      <c r="J65" s="48">
        <f>D65</f>
        <v>-309567</v>
      </c>
      <c r="K65" s="54">
        <v>-321094</v>
      </c>
      <c r="L65" s="54">
        <v>-330271</v>
      </c>
      <c r="M65" s="54">
        <v>-344312</v>
      </c>
      <c r="N65" s="48">
        <f>E65</f>
        <v>-354372</v>
      </c>
      <c r="O65" s="54">
        <v>-365869</v>
      </c>
      <c r="P65" s="54">
        <v>-378304</v>
      </c>
      <c r="Q65" s="54">
        <v>-389542</v>
      </c>
      <c r="S65" s="23">
        <f t="shared" si="52"/>
        <v>-1305244</v>
      </c>
      <c r="T65" s="23">
        <f t="shared" si="53"/>
        <v>-1488087</v>
      </c>
      <c r="U65" s="23"/>
      <c r="V65" s="25">
        <f>SUM(T65/S65)-1</f>
        <v>0.14008338670777265</v>
      </c>
    </row>
    <row r="66" spans="1:22" x14ac:dyDescent="0.25">
      <c r="B66" s="36" t="s">
        <v>43</v>
      </c>
      <c r="C66" s="65">
        <f>SUM(C61:C65)</f>
        <v>893</v>
      </c>
      <c r="D66" s="65">
        <f t="shared" ref="D66:E66" si="54">SUM(D63:D65)</f>
        <v>-34427</v>
      </c>
      <c r="E66" s="65">
        <f t="shared" si="54"/>
        <v>-62464</v>
      </c>
      <c r="F66" s="66"/>
      <c r="G66" s="65">
        <f t="shared" ref="G66:Q66" si="55">SUM(G63:G65)</f>
        <v>-8443</v>
      </c>
      <c r="H66" s="65">
        <f t="shared" si="55"/>
        <v>-17456</v>
      </c>
      <c r="I66" s="65">
        <f t="shared" si="55"/>
        <v>-24568</v>
      </c>
      <c r="J66" s="65">
        <f t="shared" si="55"/>
        <v>-34427</v>
      </c>
      <c r="K66" s="65">
        <f t="shared" si="55"/>
        <v>-44879</v>
      </c>
      <c r="L66" s="65">
        <f t="shared" si="55"/>
        <v>-53360</v>
      </c>
      <c r="M66" s="65">
        <f t="shared" si="55"/>
        <v>-53106</v>
      </c>
      <c r="N66" s="65">
        <f t="shared" si="55"/>
        <v>-62464</v>
      </c>
      <c r="O66" s="65">
        <f t="shared" si="55"/>
        <v>-73309</v>
      </c>
      <c r="P66" s="65">
        <f t="shared" si="55"/>
        <v>-84370</v>
      </c>
      <c r="Q66" s="65">
        <f t="shared" si="55"/>
        <v>-94704</v>
      </c>
      <c r="S66" s="65">
        <f t="shared" ref="S66:T66" si="56">SUM(S63:S65)</f>
        <v>-185772</v>
      </c>
      <c r="T66" s="65">
        <f t="shared" si="56"/>
        <v>-314847</v>
      </c>
      <c r="U66" s="29"/>
      <c r="V66" s="25">
        <f>SUM(T66/S66)-1</f>
        <v>0.69480330727989137</v>
      </c>
    </row>
    <row r="67" spans="1:22" ht="6" customHeight="1" x14ac:dyDescent="0.25">
      <c r="B67" s="4"/>
      <c r="C67" s="64"/>
      <c r="D67" s="64"/>
      <c r="E67" s="54"/>
      <c r="F67" s="63"/>
      <c r="J67" s="54"/>
      <c r="K67" s="54"/>
      <c r="L67" s="54"/>
      <c r="M67" s="54"/>
      <c r="N67" s="54"/>
      <c r="O67" s="54"/>
      <c r="P67" s="54"/>
      <c r="Q67" s="54"/>
      <c r="S67" s="54"/>
      <c r="T67" s="54"/>
      <c r="U67" s="54"/>
    </row>
    <row r="68" spans="1:22" x14ac:dyDescent="0.25">
      <c r="B68" s="4" t="s">
        <v>44</v>
      </c>
      <c r="C68" s="67">
        <f>SUM(C66+C55)+C58</f>
        <v>41827</v>
      </c>
      <c r="D68" s="67">
        <f t="shared" ref="D68:Q68" si="57">SUM(D66+D55)+D58</f>
        <v>20775</v>
      </c>
      <c r="E68" s="67">
        <f t="shared" si="57"/>
        <v>27700</v>
      </c>
      <c r="F68" s="63"/>
      <c r="G68" s="67">
        <f t="shared" si="57"/>
        <v>33088</v>
      </c>
      <c r="H68" s="67">
        <f t="shared" si="57"/>
        <v>25376</v>
      </c>
      <c r="I68" s="67">
        <f t="shared" si="57"/>
        <v>17404</v>
      </c>
      <c r="J68" s="67">
        <f t="shared" si="57"/>
        <v>20136</v>
      </c>
      <c r="K68" s="67">
        <f t="shared" si="57"/>
        <v>19715</v>
      </c>
      <c r="L68" s="67">
        <f t="shared" si="57"/>
        <v>19571</v>
      </c>
      <c r="M68" s="67">
        <f t="shared" si="57"/>
        <v>21653</v>
      </c>
      <c r="N68" s="67">
        <f t="shared" si="57"/>
        <v>26676</v>
      </c>
      <c r="O68" s="67">
        <f t="shared" si="57"/>
        <v>25390</v>
      </c>
      <c r="P68" s="67">
        <f t="shared" si="57"/>
        <v>27155</v>
      </c>
      <c r="Q68" s="67">
        <f t="shared" si="57"/>
        <v>28472</v>
      </c>
      <c r="S68" s="67">
        <f>SUM(S66+S55)</f>
        <v>70516</v>
      </c>
      <c r="T68" s="67">
        <f>SUM(T66+T55)</f>
        <v>94998</v>
      </c>
      <c r="U68" s="23"/>
      <c r="V68" s="25">
        <f>SUM(T68/S68)-1</f>
        <v>0.34718361790232</v>
      </c>
    </row>
    <row r="69" spans="1:22" x14ac:dyDescent="0.25">
      <c r="B69" s="46"/>
      <c r="C69" s="68"/>
      <c r="D69" s="27"/>
      <c r="E69" s="27"/>
      <c r="F69" s="68"/>
    </row>
    <row r="70" spans="1:22" x14ac:dyDescent="0.25">
      <c r="A70" s="6" t="s">
        <v>5</v>
      </c>
      <c r="B70" s="7" t="s">
        <v>45</v>
      </c>
      <c r="C70" s="13"/>
      <c r="D70" s="13"/>
      <c r="E70" s="1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2" x14ac:dyDescent="0.25">
      <c r="B71" s="9" t="s">
        <v>46</v>
      </c>
      <c r="C71" s="43"/>
      <c r="D71" s="43"/>
      <c r="E71" s="4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2" ht="3" customHeight="1" x14ac:dyDescent="0.25">
      <c r="B72" s="10"/>
      <c r="C72" s="45"/>
      <c r="D72" s="45"/>
      <c r="E72" s="45"/>
    </row>
    <row r="73" spans="1:22" ht="15.75" x14ac:dyDescent="0.25">
      <c r="B73" s="69" t="s">
        <v>118</v>
      </c>
      <c r="C73" s="70"/>
      <c r="D73" s="70"/>
      <c r="E73" s="70"/>
    </row>
    <row r="74" spans="1:22" x14ac:dyDescent="0.25">
      <c r="B74" s="6" t="s">
        <v>26</v>
      </c>
      <c r="C74" s="71">
        <v>-30527</v>
      </c>
      <c r="D74" s="71">
        <v>-38776</v>
      </c>
      <c r="E74" s="71">
        <v>-41066</v>
      </c>
      <c r="G74" s="71">
        <v>-9932</v>
      </c>
      <c r="H74" s="71">
        <f>-19545-G74</f>
        <v>-9613</v>
      </c>
      <c r="I74" s="71">
        <f>-28142-H74-G74</f>
        <v>-8597</v>
      </c>
      <c r="J74" s="72">
        <f>D74-G74-H74-I74</f>
        <v>-10634</v>
      </c>
      <c r="K74" s="71">
        <v>-11527</v>
      </c>
      <c r="L74" s="71">
        <f>-20641-K74</f>
        <v>-9114</v>
      </c>
      <c r="M74" s="71">
        <f>-31069-L74-K74</f>
        <v>-10428</v>
      </c>
      <c r="N74" s="72">
        <f>E74-M74-L74-K74</f>
        <v>-9997</v>
      </c>
      <c r="O74" s="71">
        <v>-11489</v>
      </c>
      <c r="P74" s="71">
        <f>-23860-O74</f>
        <v>-12371</v>
      </c>
      <c r="Q74" s="71">
        <v>-35080</v>
      </c>
      <c r="S74" s="23">
        <f t="shared" ref="S74" si="58">SUM(J74:M74)</f>
        <v>-41703</v>
      </c>
      <c r="T74" s="23">
        <f t="shared" ref="T74" si="59">SUM(N74:Q74)</f>
        <v>-68937</v>
      </c>
      <c r="U74" s="23"/>
      <c r="V74" s="25">
        <f>SUM(T74/S74)-1</f>
        <v>0.65304654341414281</v>
      </c>
    </row>
    <row r="75" spans="1:22" ht="31.5" x14ac:dyDescent="0.25">
      <c r="B75" s="73" t="s">
        <v>119</v>
      </c>
      <c r="C75" s="71"/>
      <c r="D75" s="71"/>
      <c r="E75" s="71"/>
      <c r="G75" s="71"/>
      <c r="H75" s="71"/>
      <c r="I75" s="71"/>
      <c r="J75" s="72"/>
      <c r="K75" s="71"/>
      <c r="L75" s="71"/>
      <c r="M75" s="71"/>
      <c r="N75" s="72"/>
      <c r="O75" s="71"/>
      <c r="P75" s="71"/>
      <c r="Q75" s="71"/>
      <c r="S75" s="71"/>
      <c r="T75" s="71"/>
      <c r="U75" s="74"/>
    </row>
    <row r="76" spans="1:22" x14ac:dyDescent="0.25">
      <c r="B76" s="102" t="s">
        <v>120</v>
      </c>
      <c r="C76" s="71">
        <v>2076</v>
      </c>
      <c r="D76" s="71">
        <v>2867</v>
      </c>
      <c r="E76" s="71">
        <v>2261</v>
      </c>
      <c r="G76" s="71">
        <v>858</v>
      </c>
      <c r="H76" s="71">
        <f>1505-G76</f>
        <v>647</v>
      </c>
      <c r="I76" s="71">
        <f>2186-H76-G76</f>
        <v>681</v>
      </c>
      <c r="J76" s="72">
        <f>D76-G76-H76-I76</f>
        <v>681</v>
      </c>
      <c r="K76" s="71">
        <v>662</v>
      </c>
      <c r="L76" s="71">
        <f>1178-K76</f>
        <v>516</v>
      </c>
      <c r="M76" s="71">
        <f>1764-L76-K76</f>
        <v>586</v>
      </c>
      <c r="N76" s="72">
        <f>E76-M76-L76-K76</f>
        <v>497</v>
      </c>
      <c r="O76" s="71">
        <v>604</v>
      </c>
      <c r="P76" s="71">
        <f>1342-O76</f>
        <v>738</v>
      </c>
      <c r="Q76" s="71">
        <f>1857-P76-O76</f>
        <v>515</v>
      </c>
      <c r="S76" s="23">
        <f t="shared" ref="S76:S79" si="60">SUM(J76:M76)</f>
        <v>2445</v>
      </c>
      <c r="T76" s="23">
        <f t="shared" ref="T76:T79" si="61">SUM(N76:Q76)</f>
        <v>2354</v>
      </c>
      <c r="U76" s="23"/>
      <c r="V76" s="25">
        <f>SUM(T76/S76)-1</f>
        <v>-3.7218813905930515E-2</v>
      </c>
    </row>
    <row r="77" spans="1:22" x14ac:dyDescent="0.25">
      <c r="B77" s="102" t="s">
        <v>121</v>
      </c>
      <c r="C77" s="71">
        <v>41</v>
      </c>
      <c r="D77" s="71">
        <v>32</v>
      </c>
      <c r="E77" s="71">
        <v>33</v>
      </c>
      <c r="G77" s="71">
        <v>10</v>
      </c>
      <c r="H77" s="71">
        <f>17-G77</f>
        <v>7</v>
      </c>
      <c r="I77" s="71">
        <f>24-H77-G77</f>
        <v>7</v>
      </c>
      <c r="J77" s="72"/>
      <c r="K77" s="71">
        <v>32</v>
      </c>
      <c r="L77" s="71">
        <f>16-K77</f>
        <v>-16</v>
      </c>
      <c r="M77" s="71">
        <f>24-L77-K77</f>
        <v>8</v>
      </c>
      <c r="N77" s="72"/>
      <c r="O77" s="71">
        <v>9</v>
      </c>
      <c r="P77" s="71">
        <f>18-O773</f>
        <v>18</v>
      </c>
      <c r="Q77" s="71">
        <f>27-P77-O77</f>
        <v>0</v>
      </c>
      <c r="S77" s="23">
        <f t="shared" si="60"/>
        <v>24</v>
      </c>
      <c r="T77" s="23">
        <f t="shared" si="61"/>
        <v>27</v>
      </c>
      <c r="U77" s="23"/>
      <c r="V77" s="25">
        <f>SUM(T77/S77)-1</f>
        <v>0.125</v>
      </c>
    </row>
    <row r="78" spans="1:22" x14ac:dyDescent="0.25">
      <c r="B78" s="102" t="s">
        <v>122</v>
      </c>
      <c r="C78" s="71">
        <v>283</v>
      </c>
      <c r="D78" s="71">
        <v>410</v>
      </c>
      <c r="E78" s="71">
        <v>697</v>
      </c>
      <c r="G78" s="71">
        <v>80</v>
      </c>
      <c r="H78" s="71">
        <f>158-G78</f>
        <v>78</v>
      </c>
      <c r="I78" s="71">
        <f>276-H78-G78</f>
        <v>118</v>
      </c>
      <c r="J78" s="72">
        <f>D78-G78-H78-I78</f>
        <v>134</v>
      </c>
      <c r="K78" s="71">
        <v>144</v>
      </c>
      <c r="L78" s="71">
        <f>313-K78</f>
        <v>169</v>
      </c>
      <c r="M78" s="71">
        <f>505-L78-K78</f>
        <v>192</v>
      </c>
      <c r="N78" s="72">
        <f>E78-M78-L78-K78</f>
        <v>192</v>
      </c>
      <c r="O78" s="71">
        <v>208</v>
      </c>
      <c r="P78" s="71">
        <f>457-O78</f>
        <v>249</v>
      </c>
      <c r="Q78" s="71">
        <f>748-P78-O78</f>
        <v>291</v>
      </c>
      <c r="S78" s="23">
        <f t="shared" si="60"/>
        <v>639</v>
      </c>
      <c r="T78" s="23">
        <f t="shared" si="61"/>
        <v>940</v>
      </c>
      <c r="U78" s="23"/>
      <c r="V78" s="25">
        <f>SUM(T78/S78)-1</f>
        <v>0.47104851330203434</v>
      </c>
    </row>
    <row r="79" spans="1:22" x14ac:dyDescent="0.25">
      <c r="B79" s="102" t="s">
        <v>64</v>
      </c>
      <c r="C79" s="71">
        <v>-138</v>
      </c>
      <c r="D79" s="71">
        <v>-557</v>
      </c>
      <c r="E79" s="71">
        <v>432</v>
      </c>
      <c r="G79" s="71">
        <v>-229</v>
      </c>
      <c r="H79" s="71">
        <f>-504-G79</f>
        <v>-275</v>
      </c>
      <c r="I79" s="71">
        <f>-280-H79-G79</f>
        <v>224</v>
      </c>
      <c r="J79" s="72">
        <f>D79-G79-H79-I79</f>
        <v>-277</v>
      </c>
      <c r="K79" s="71">
        <v>769</v>
      </c>
      <c r="L79" s="71">
        <f>279-K79</f>
        <v>-490</v>
      </c>
      <c r="M79" s="71">
        <f>769-L79-K79</f>
        <v>490</v>
      </c>
      <c r="N79" s="72">
        <f>E79-M79-L79-K79</f>
        <v>-337</v>
      </c>
      <c r="O79" s="71">
        <v>868</v>
      </c>
      <c r="P79" s="71">
        <f>760-O79</f>
        <v>-108</v>
      </c>
      <c r="Q79" s="71">
        <f>1514-P79-O79</f>
        <v>754</v>
      </c>
      <c r="S79" s="23">
        <f t="shared" si="60"/>
        <v>492</v>
      </c>
      <c r="T79" s="23">
        <f t="shared" si="61"/>
        <v>1177</v>
      </c>
      <c r="U79" s="23"/>
      <c r="V79" s="25">
        <f>SUM(T79/S79)-1</f>
        <v>1.3922764227642275</v>
      </c>
    </row>
    <row r="80" spans="1:22" ht="15.75" x14ac:dyDescent="0.25">
      <c r="B80" s="59" t="s">
        <v>47</v>
      </c>
      <c r="C80" s="71"/>
      <c r="D80" s="71"/>
      <c r="E80" s="71"/>
      <c r="G80" s="71"/>
      <c r="H80" s="71"/>
      <c r="I80" s="71"/>
      <c r="J80" s="72"/>
      <c r="K80" s="71"/>
      <c r="L80" s="71"/>
      <c r="M80" s="71"/>
      <c r="N80" s="72"/>
      <c r="O80" s="71"/>
      <c r="P80" s="71"/>
      <c r="Q80" s="71"/>
      <c r="S80" s="71"/>
      <c r="T80" s="71"/>
      <c r="U80" s="74"/>
    </row>
    <row r="81" spans="2:22" x14ac:dyDescent="0.25">
      <c r="B81" s="102" t="s">
        <v>123</v>
      </c>
      <c r="C81" s="71">
        <v>65</v>
      </c>
      <c r="D81" s="71">
        <v>101</v>
      </c>
      <c r="E81" s="71">
        <v>-90</v>
      </c>
      <c r="G81" s="71">
        <v>160</v>
      </c>
      <c r="H81" s="71">
        <f>454-G81</f>
        <v>294</v>
      </c>
      <c r="I81" s="71">
        <f>772-H81-G81</f>
        <v>318</v>
      </c>
      <c r="J81" s="72">
        <f t="shared" ref="J81:J83" si="62">D81-G81-H81-I81</f>
        <v>-671</v>
      </c>
      <c r="K81" s="71">
        <v>183</v>
      </c>
      <c r="L81" s="71">
        <f>458-K81</f>
        <v>275</v>
      </c>
      <c r="M81" s="71">
        <f>711-L81-K81</f>
        <v>253</v>
      </c>
      <c r="N81" s="72">
        <f t="shared" ref="N81:N83" si="63">E81-M81-L81-K81</f>
        <v>-801</v>
      </c>
      <c r="O81" s="71">
        <v>145</v>
      </c>
      <c r="P81" s="71">
        <f>361-O81</f>
        <v>216</v>
      </c>
      <c r="Q81" s="71">
        <f>444-P81-O81</f>
        <v>83</v>
      </c>
      <c r="S81" s="23">
        <f t="shared" ref="S81" si="64">SUM(J81:M81)</f>
        <v>40</v>
      </c>
      <c r="T81" s="23">
        <f t="shared" ref="T81" si="65">SUM(N81:Q81)</f>
        <v>-357</v>
      </c>
      <c r="U81" s="23"/>
      <c r="V81" s="25">
        <f>SUM(T81/S81)-1</f>
        <v>-9.9250000000000007</v>
      </c>
    </row>
    <row r="82" spans="2:22" x14ac:dyDescent="0.25">
      <c r="B82" s="102" t="s">
        <v>124</v>
      </c>
      <c r="C82" s="71">
        <v>3686</v>
      </c>
      <c r="D82" s="71">
        <v>4244</v>
      </c>
      <c r="E82" s="71">
        <v>2671</v>
      </c>
      <c r="G82" s="71">
        <v>864</v>
      </c>
      <c r="H82" s="71">
        <f>2147-G82</f>
        <v>1283</v>
      </c>
      <c r="I82" s="71">
        <f>899-H82-G82</f>
        <v>-1248</v>
      </c>
      <c r="J82" s="72">
        <f t="shared" si="62"/>
        <v>3345</v>
      </c>
      <c r="K82" s="71">
        <v>-1372</v>
      </c>
      <c r="L82" s="71">
        <f>-3027-K82</f>
        <v>-1655</v>
      </c>
      <c r="M82" s="71">
        <f>-2406-L82-K82</f>
        <v>621</v>
      </c>
      <c r="N82" s="72">
        <f t="shared" si="63"/>
        <v>5077</v>
      </c>
      <c r="O82" s="71">
        <v>-3293</v>
      </c>
      <c r="P82" s="71">
        <f>-1380-O82</f>
        <v>1913</v>
      </c>
      <c r="Q82" s="71">
        <f>-1553-P82-O82</f>
        <v>-173</v>
      </c>
      <c r="S82" s="71"/>
      <c r="T82" s="71"/>
      <c r="U82" s="74"/>
    </row>
    <row r="83" spans="2:22" x14ac:dyDescent="0.25">
      <c r="B83" s="102" t="s">
        <v>125</v>
      </c>
      <c r="C83" s="71">
        <v>206</v>
      </c>
      <c r="D83" s="71">
        <v>623</v>
      </c>
      <c r="E83" s="71">
        <v>2097</v>
      </c>
      <c r="G83" s="71">
        <v>147</v>
      </c>
      <c r="H83" s="71">
        <f>298-G83</f>
        <v>151</v>
      </c>
      <c r="I83" s="71">
        <f>448-H83-G83</f>
        <v>150</v>
      </c>
      <c r="J83" s="72">
        <f t="shared" si="62"/>
        <v>175</v>
      </c>
      <c r="K83" s="71">
        <v>316</v>
      </c>
      <c r="L83" s="71">
        <f>798-K83</f>
        <v>482</v>
      </c>
      <c r="M83" s="71">
        <f>1439-L83-K83</f>
        <v>641</v>
      </c>
      <c r="N83" s="72">
        <f t="shared" si="63"/>
        <v>658</v>
      </c>
      <c r="O83" s="71">
        <v>843</v>
      </c>
      <c r="P83" s="71">
        <f>1864-O83</f>
        <v>1021</v>
      </c>
      <c r="Q83" s="71">
        <f>3067-P83-O83</f>
        <v>1203</v>
      </c>
      <c r="S83" s="23">
        <f t="shared" ref="S83" si="66">SUM(J83:M83)</f>
        <v>1614</v>
      </c>
      <c r="T83" s="23">
        <f t="shared" ref="T83" si="67">SUM(N83:Q83)</f>
        <v>3725</v>
      </c>
      <c r="U83" s="23"/>
      <c r="V83" s="25">
        <f>SUM(T83/S83)-1</f>
        <v>1.3079306071871128</v>
      </c>
    </row>
    <row r="84" spans="2:22" ht="15.75" x14ac:dyDescent="0.25">
      <c r="B84" s="75" t="s">
        <v>49</v>
      </c>
      <c r="C84" s="76">
        <f>SUM(C74:C83)</f>
        <v>-24308</v>
      </c>
      <c r="D84" s="76">
        <f>SUM(D74:D83)</f>
        <v>-31056</v>
      </c>
      <c r="E84" s="76">
        <f>SUM(E74:E83)</f>
        <v>-32965</v>
      </c>
      <c r="G84" s="76">
        <f>SUM(G74:G83)</f>
        <v>-8042</v>
      </c>
      <c r="H84" s="76">
        <f>SUM(H74:H83)</f>
        <v>-7428</v>
      </c>
      <c r="I84" s="76">
        <f>SUM(I74:I83)</f>
        <v>-8347</v>
      </c>
      <c r="J84" s="76">
        <f>SUM(J74:J83)</f>
        <v>-7247</v>
      </c>
      <c r="K84" s="76">
        <f>SUM(K74:K83)</f>
        <v>-10793</v>
      </c>
      <c r="L84" s="76">
        <f>SUM(L74:L83)</f>
        <v>-9833</v>
      </c>
      <c r="M84" s="76">
        <f>SUM(M74:M83)</f>
        <v>-7637</v>
      </c>
      <c r="N84" s="76">
        <f>SUM(N74:N83)</f>
        <v>-4711</v>
      </c>
      <c r="O84" s="76">
        <f>SUM(O74:O83)</f>
        <v>-12105</v>
      </c>
      <c r="P84" s="76">
        <f>SUM(P74:P83)</f>
        <v>-8324</v>
      </c>
      <c r="Q84" s="76">
        <f>SUM(Q74:Q83)</f>
        <v>-32407</v>
      </c>
      <c r="S84" s="76">
        <f>SUM(S74:S83)</f>
        <v>-36449</v>
      </c>
      <c r="T84" s="76">
        <f>SUM(T74:T83)</f>
        <v>-61071</v>
      </c>
      <c r="U84" s="29"/>
      <c r="V84" s="25">
        <f>SUM(T84/S84)-1</f>
        <v>0.67551921863425601</v>
      </c>
    </row>
    <row r="85" spans="2:22" ht="15.75" x14ac:dyDescent="0.25">
      <c r="B85" s="59"/>
      <c r="C85" s="77"/>
      <c r="D85" s="77"/>
      <c r="E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S85" s="29"/>
      <c r="T85" s="29"/>
      <c r="U85" s="29"/>
      <c r="V85" s="25"/>
    </row>
    <row r="86" spans="2:22" ht="15.75" x14ac:dyDescent="0.25">
      <c r="B86" s="59" t="s">
        <v>50</v>
      </c>
      <c r="C86" s="71">
        <v>0</v>
      </c>
      <c r="D86" s="71">
        <v>0</v>
      </c>
      <c r="E86" s="71">
        <v>0</v>
      </c>
      <c r="G86" s="71">
        <v>0</v>
      </c>
      <c r="H86" s="71">
        <v>0</v>
      </c>
      <c r="I86" s="71">
        <v>0</v>
      </c>
      <c r="J86" s="72">
        <f t="shared" ref="J86" si="68">D86-G86-H86-I86</f>
        <v>0</v>
      </c>
      <c r="K86" s="71">
        <v>0</v>
      </c>
      <c r="L86" s="71">
        <v>0</v>
      </c>
      <c r="M86" s="71">
        <v>0</v>
      </c>
      <c r="N86" s="72">
        <f t="shared" ref="N86" si="69">H86-K86-L86-M86</f>
        <v>0</v>
      </c>
      <c r="O86" s="71">
        <v>0</v>
      </c>
      <c r="P86" s="71">
        <v>0</v>
      </c>
      <c r="Q86" s="71">
        <v>0</v>
      </c>
      <c r="S86" s="71"/>
      <c r="T86" s="71"/>
      <c r="U86" s="74"/>
    </row>
    <row r="87" spans="2:22" ht="15.75" x14ac:dyDescent="0.25">
      <c r="B87" s="78" t="s">
        <v>51</v>
      </c>
      <c r="C87" s="76">
        <f>SUM(C86)</f>
        <v>0</v>
      </c>
      <c r="D87" s="76">
        <f t="shared" ref="D87:E87" si="70">SUM(D86)</f>
        <v>0</v>
      </c>
      <c r="E87" s="76">
        <f t="shared" si="70"/>
        <v>0</v>
      </c>
      <c r="G87" s="76">
        <f t="shared" ref="G87" si="71">SUM(G86)</f>
        <v>0</v>
      </c>
      <c r="H87" s="76">
        <f t="shared" ref="H87" si="72">SUM(H86)</f>
        <v>0</v>
      </c>
      <c r="I87" s="76">
        <f t="shared" ref="I87" si="73">SUM(I86)</f>
        <v>0</v>
      </c>
      <c r="J87" s="76">
        <f t="shared" ref="J87" si="74">SUM(J86)</f>
        <v>0</v>
      </c>
      <c r="K87" s="76">
        <f t="shared" ref="K87" si="75">SUM(K86)</f>
        <v>0</v>
      </c>
      <c r="L87" s="76">
        <f t="shared" ref="L87" si="76">SUM(L86)</f>
        <v>0</v>
      </c>
      <c r="M87" s="76">
        <f t="shared" ref="M87" si="77">SUM(M86)</f>
        <v>0</v>
      </c>
      <c r="N87" s="76">
        <f t="shared" ref="N87" si="78">SUM(N86)</f>
        <v>0</v>
      </c>
      <c r="O87" s="76">
        <f t="shared" ref="O87" si="79">SUM(O86)</f>
        <v>0</v>
      </c>
      <c r="P87" s="76">
        <f t="shared" ref="P87" si="80">SUM(P86)</f>
        <v>0</v>
      </c>
      <c r="Q87" s="76">
        <f t="shared" ref="Q87" si="81">SUM(Q86)</f>
        <v>0</v>
      </c>
      <c r="S87" s="56">
        <f>SUM(I87:L87)</f>
        <v>0</v>
      </c>
      <c r="T87" s="56">
        <f>SUM(M87:P87)</f>
        <v>0</v>
      </c>
      <c r="U87" s="29"/>
      <c r="V87" s="25" t="e">
        <f>SUM(T87/S87)-1</f>
        <v>#DIV/0!</v>
      </c>
    </row>
    <row r="88" spans="2:22" ht="15.75" x14ac:dyDescent="0.25">
      <c r="B88" s="79"/>
      <c r="C88" s="77"/>
      <c r="D88" s="77"/>
      <c r="E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S88" s="29"/>
      <c r="T88" s="29"/>
      <c r="U88" s="29"/>
      <c r="V88" s="25"/>
    </row>
    <row r="89" spans="2:22" ht="15.75" x14ac:dyDescent="0.25">
      <c r="B89" s="59" t="s">
        <v>52</v>
      </c>
      <c r="C89" s="80"/>
      <c r="D89" s="80"/>
      <c r="E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S89" s="80"/>
      <c r="T89" s="80"/>
      <c r="U89" s="81"/>
    </row>
    <row r="90" spans="2:22" x14ac:dyDescent="0.25">
      <c r="B90" s="6" t="s">
        <v>126</v>
      </c>
      <c r="C90" s="82">
        <v>0</v>
      </c>
      <c r="D90" s="82">
        <v>10000</v>
      </c>
      <c r="E90" s="82">
        <v>30000</v>
      </c>
      <c r="G90" s="82">
        <v>0</v>
      </c>
      <c r="H90" s="82">
        <f>0-G90</f>
        <v>0</v>
      </c>
      <c r="I90" s="82">
        <f>0-H90-G90</f>
        <v>0</v>
      </c>
      <c r="J90" s="72">
        <f>D90-G90-H90-I90</f>
        <v>10000</v>
      </c>
      <c r="K90" s="82">
        <v>10000</v>
      </c>
      <c r="L90" s="82">
        <f>20000-K90</f>
        <v>10000</v>
      </c>
      <c r="M90" s="82">
        <f>20000-L90-K90</f>
        <v>0</v>
      </c>
      <c r="N90" s="72">
        <f>E90-M90-L90-K90</f>
        <v>10000</v>
      </c>
      <c r="O90" s="82">
        <v>10000</v>
      </c>
      <c r="P90" s="82">
        <f>20000-O90</f>
        <v>10000</v>
      </c>
      <c r="Q90" s="82">
        <f>30000-P90-O90</f>
        <v>10000</v>
      </c>
      <c r="S90" s="23">
        <f t="shared" ref="S90:S92" si="82">SUM(J90:M90)</f>
        <v>30000</v>
      </c>
      <c r="T90" s="23">
        <f t="shared" ref="T90:T92" si="83">SUM(N90:Q90)</f>
        <v>40000</v>
      </c>
      <c r="U90" s="23"/>
      <c r="V90" s="25">
        <f>SUM(T90/S90)-1</f>
        <v>0.33333333333333326</v>
      </c>
    </row>
    <row r="91" spans="2:22" x14ac:dyDescent="0.25">
      <c r="B91" s="6" t="s">
        <v>127</v>
      </c>
      <c r="C91" s="82">
        <v>6814</v>
      </c>
      <c r="D91" s="82">
        <v>0</v>
      </c>
      <c r="E91" s="82">
        <v>10033</v>
      </c>
      <c r="G91" s="82">
        <v>0</v>
      </c>
      <c r="H91" s="82">
        <f t="shared" ref="H91:H92" si="84">0-G91</f>
        <v>0</v>
      </c>
      <c r="I91" s="82">
        <f t="shared" ref="I91:I92" si="85">0-H91-G91</f>
        <v>0</v>
      </c>
      <c r="J91" s="72">
        <f>D91-G91-H91-I91</f>
        <v>0</v>
      </c>
      <c r="K91" s="82">
        <v>0</v>
      </c>
      <c r="L91" s="82">
        <v>0</v>
      </c>
      <c r="M91" s="82">
        <f>10033-L91-K91</f>
        <v>10033</v>
      </c>
      <c r="N91" s="72">
        <f t="shared" ref="N91:N92" si="86">E91-M91-L91-K91</f>
        <v>0</v>
      </c>
      <c r="O91" s="82">
        <v>0</v>
      </c>
      <c r="P91" s="82">
        <f>376-O91</f>
        <v>376</v>
      </c>
      <c r="Q91" s="82">
        <f>376-P91-O91</f>
        <v>0</v>
      </c>
      <c r="S91" s="23">
        <f t="shared" si="82"/>
        <v>10033</v>
      </c>
      <c r="T91" s="23">
        <f t="shared" si="83"/>
        <v>376</v>
      </c>
      <c r="U91" s="23"/>
      <c r="V91" s="25">
        <f>SUM(T91/S91)-1</f>
        <v>-0.96252367188278676</v>
      </c>
    </row>
    <row r="92" spans="2:22" x14ac:dyDescent="0.25">
      <c r="B92" s="6" t="s">
        <v>128</v>
      </c>
      <c r="C92" s="82">
        <v>30000</v>
      </c>
      <c r="D92" s="82"/>
      <c r="E92" s="82"/>
      <c r="G92" s="82">
        <v>0</v>
      </c>
      <c r="H92" s="82">
        <f t="shared" si="84"/>
        <v>0</v>
      </c>
      <c r="I92" s="82">
        <f t="shared" si="85"/>
        <v>0</v>
      </c>
      <c r="J92" s="72">
        <f>D92-G92-H92-I92</f>
        <v>0</v>
      </c>
      <c r="K92" s="82">
        <v>0</v>
      </c>
      <c r="L92" s="82">
        <v>0</v>
      </c>
      <c r="M92" s="82">
        <v>0</v>
      </c>
      <c r="N92" s="72">
        <f t="shared" si="86"/>
        <v>0</v>
      </c>
      <c r="O92" s="82">
        <v>0</v>
      </c>
      <c r="P92" s="82">
        <v>0</v>
      </c>
      <c r="Q92" s="82">
        <f>0-P92-O92</f>
        <v>0</v>
      </c>
      <c r="S92" s="23">
        <f t="shared" si="82"/>
        <v>0</v>
      </c>
      <c r="T92" s="23">
        <f t="shared" si="83"/>
        <v>0</v>
      </c>
      <c r="U92" s="23"/>
      <c r="V92" s="25" t="e">
        <f>SUM(T92/S92)-1</f>
        <v>#DIV/0!</v>
      </c>
    </row>
    <row r="93" spans="2:22" ht="15.75" x14ac:dyDescent="0.25">
      <c r="B93" s="75" t="s">
        <v>53</v>
      </c>
      <c r="C93" s="76">
        <f>SUM(C90:C92)</f>
        <v>36814</v>
      </c>
      <c r="D93" s="76">
        <f>SUM(D90:D92)</f>
        <v>10000</v>
      </c>
      <c r="E93" s="76">
        <f>SUM(E90:E92)</f>
        <v>40033</v>
      </c>
      <c r="G93" s="76">
        <f>SUM(G90:G92)</f>
        <v>0</v>
      </c>
      <c r="H93" s="76">
        <f>SUM(H90:H92)</f>
        <v>0</v>
      </c>
      <c r="I93" s="76">
        <f>SUM(I90:I92)</f>
        <v>0</v>
      </c>
      <c r="J93" s="76">
        <f>SUM(J90:J92)</f>
        <v>10000</v>
      </c>
      <c r="K93" s="76">
        <f>SUM(K90:K92)</f>
        <v>10000</v>
      </c>
      <c r="L93" s="76">
        <f>SUM(L90:L92)</f>
        <v>10000</v>
      </c>
      <c r="M93" s="76">
        <f>SUM(M90:M92)</f>
        <v>10033</v>
      </c>
      <c r="N93" s="76">
        <f>SUM(N90:N92)</f>
        <v>10000</v>
      </c>
      <c r="O93" s="76">
        <f>SUM(O90:O92)</f>
        <v>10000</v>
      </c>
      <c r="P93" s="76">
        <f>SUM(P90:P92)</f>
        <v>10376</v>
      </c>
      <c r="Q93" s="76">
        <f>SUM(Q90:Q92)</f>
        <v>10000</v>
      </c>
      <c r="S93" s="56">
        <f>SUM(I93:L93)</f>
        <v>30000</v>
      </c>
      <c r="T93" s="56">
        <f>SUM(M93:P93)</f>
        <v>40409</v>
      </c>
      <c r="U93" s="29"/>
      <c r="V93" s="25">
        <f>SUM(T93/S93)-1</f>
        <v>0.34696666666666665</v>
      </c>
    </row>
    <row r="94" spans="2:22" ht="15.75" x14ac:dyDescent="0.25">
      <c r="B94" s="59"/>
      <c r="C94" s="77"/>
      <c r="D94" s="77"/>
      <c r="E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S94" s="29"/>
      <c r="T94" s="29"/>
      <c r="U94" s="29"/>
      <c r="V94" s="40"/>
    </row>
    <row r="95" spans="2:22" x14ac:dyDescent="0.25">
      <c r="B95" s="6" t="s">
        <v>54</v>
      </c>
      <c r="C95" s="82">
        <v>12506</v>
      </c>
      <c r="D95" s="82">
        <v>-21056</v>
      </c>
      <c r="E95" s="82">
        <v>7068</v>
      </c>
      <c r="G95" s="82">
        <v>-8042</v>
      </c>
      <c r="H95" s="82">
        <v>-15470</v>
      </c>
      <c r="I95" s="82">
        <v>-23817</v>
      </c>
      <c r="J95" s="112" cm="1">
        <f t="array" ref="J95:J97">D95:D97</f>
        <v>-21056</v>
      </c>
      <c r="K95" s="82">
        <v>-793</v>
      </c>
      <c r="L95" s="82">
        <v>-626</v>
      </c>
      <c r="M95" s="82">
        <v>1770</v>
      </c>
      <c r="N95" s="112" cm="1">
        <f t="array" ref="N95:N97">E95:E97</f>
        <v>7068</v>
      </c>
      <c r="O95" s="82">
        <v>-2105</v>
      </c>
      <c r="P95" s="82">
        <v>-62</v>
      </c>
      <c r="Q95" s="82">
        <v>1400</v>
      </c>
      <c r="S95" s="23"/>
      <c r="T95" s="23"/>
      <c r="U95" s="23"/>
      <c r="V95" s="40"/>
    </row>
    <row r="96" spans="2:22" x14ac:dyDescent="0.25">
      <c r="B96" s="6" t="s">
        <v>55</v>
      </c>
      <c r="C96" s="82">
        <v>27142</v>
      </c>
      <c r="D96" s="82">
        <v>39648</v>
      </c>
      <c r="E96" s="82">
        <v>18592</v>
      </c>
      <c r="G96" s="82">
        <v>39648</v>
      </c>
      <c r="H96" s="82">
        <v>39648</v>
      </c>
      <c r="I96" s="82">
        <v>39648</v>
      </c>
      <c r="J96" s="112">
        <v>39648</v>
      </c>
      <c r="K96" s="82">
        <v>18592</v>
      </c>
      <c r="L96" s="82">
        <v>18592</v>
      </c>
      <c r="M96" s="82">
        <v>18592</v>
      </c>
      <c r="N96" s="112">
        <v>18592</v>
      </c>
      <c r="O96" s="82">
        <v>25660</v>
      </c>
      <c r="P96" s="82">
        <v>25660</v>
      </c>
      <c r="Q96" s="82">
        <v>25660</v>
      </c>
      <c r="S96" s="23"/>
      <c r="T96" s="23"/>
      <c r="U96" s="23"/>
      <c r="V96" s="40"/>
    </row>
    <row r="97" spans="2:22" x14ac:dyDescent="0.25">
      <c r="B97" s="6" t="s">
        <v>56</v>
      </c>
      <c r="C97" s="82">
        <v>39648</v>
      </c>
      <c r="D97" s="82">
        <v>18592</v>
      </c>
      <c r="E97" s="82">
        <v>25660</v>
      </c>
      <c r="G97" s="82">
        <v>31606</v>
      </c>
      <c r="H97" s="82">
        <v>24178</v>
      </c>
      <c r="I97" s="82">
        <v>15831</v>
      </c>
      <c r="J97" s="112">
        <v>18592</v>
      </c>
      <c r="K97" s="82">
        <v>17999</v>
      </c>
      <c r="L97" s="82">
        <v>17966</v>
      </c>
      <c r="M97" s="82">
        <v>20362</v>
      </c>
      <c r="N97" s="112">
        <v>25660</v>
      </c>
      <c r="O97" s="82">
        <v>23555</v>
      </c>
      <c r="P97" s="82">
        <v>25598</v>
      </c>
      <c r="Q97" s="82">
        <v>27060</v>
      </c>
      <c r="S97" s="23"/>
      <c r="T97" s="23"/>
      <c r="U97" s="23"/>
      <c r="V97" s="40"/>
    </row>
    <row r="98" spans="2:22" x14ac:dyDescent="0.25">
      <c r="C98" s="83"/>
      <c r="D98" s="83"/>
      <c r="E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S98" s="23"/>
      <c r="T98" s="23"/>
      <c r="U98" s="23"/>
      <c r="V98" s="40"/>
    </row>
    <row r="99" spans="2:22" ht="15.75" x14ac:dyDescent="0.25">
      <c r="B99" s="59" t="s">
        <v>129</v>
      </c>
      <c r="C99" s="72"/>
      <c r="D99" s="72"/>
      <c r="E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S99" s="72"/>
      <c r="T99" s="72"/>
      <c r="U99" s="84"/>
    </row>
    <row r="100" spans="2:22" x14ac:dyDescent="0.25">
      <c r="B100" s="102" t="s">
        <v>130</v>
      </c>
      <c r="C100" s="82">
        <v>171</v>
      </c>
      <c r="D100" s="82">
        <v>97</v>
      </c>
      <c r="E100" s="82">
        <v>120</v>
      </c>
      <c r="G100" s="82">
        <v>49</v>
      </c>
      <c r="H100" s="82">
        <f>49-G100</f>
        <v>0</v>
      </c>
      <c r="I100" s="82">
        <v>32</v>
      </c>
      <c r="J100" s="72">
        <f t="shared" ref="J100:J106" si="87">D100-G100-H100-I100</f>
        <v>16</v>
      </c>
      <c r="K100" s="82">
        <v>62</v>
      </c>
      <c r="L100" s="82">
        <v>62</v>
      </c>
      <c r="M100" s="82">
        <v>57</v>
      </c>
      <c r="N100" s="72">
        <f>E100-M100-L100-K100</f>
        <v>-61</v>
      </c>
      <c r="O100" s="82">
        <v>72</v>
      </c>
      <c r="P100" s="82">
        <v>72</v>
      </c>
      <c r="Q100" s="82">
        <v>90</v>
      </c>
      <c r="S100" s="23">
        <f>SUM(I100:L100)</f>
        <v>172</v>
      </c>
      <c r="T100" s="23">
        <f>SUM(M100:P100)</f>
        <v>140</v>
      </c>
      <c r="U100" s="23"/>
      <c r="V100" s="25">
        <f t="shared" ref="V100:V103" si="88">SUM(T100/S100)-1</f>
        <v>-0.18604651162790697</v>
      </c>
    </row>
    <row r="101" spans="2:22" x14ac:dyDescent="0.25">
      <c r="B101" s="102" t="s">
        <v>131</v>
      </c>
      <c r="C101" s="82">
        <v>1268</v>
      </c>
      <c r="D101" s="116">
        <v>0</v>
      </c>
      <c r="E101" s="116">
        <v>0</v>
      </c>
      <c r="G101" s="82"/>
      <c r="H101" s="82">
        <f>0-G101</f>
        <v>0</v>
      </c>
      <c r="I101" s="82"/>
      <c r="J101" s="72">
        <f t="shared" si="87"/>
        <v>0</v>
      </c>
      <c r="K101" s="82"/>
      <c r="L101" s="82"/>
      <c r="M101" s="82"/>
      <c r="N101" s="72">
        <f t="shared" ref="N101:N106" si="89">E101-M101-L101-K101</f>
        <v>0</v>
      </c>
      <c r="O101" s="82"/>
      <c r="P101" s="82"/>
      <c r="Q101" s="82"/>
      <c r="S101" s="23">
        <f>SUM(I101:L101)</f>
        <v>0</v>
      </c>
      <c r="T101" s="23">
        <f>SUM(M101:P101)</f>
        <v>0</v>
      </c>
      <c r="U101" s="23"/>
      <c r="V101" s="25" t="e">
        <f t="shared" si="88"/>
        <v>#DIV/0!</v>
      </c>
    </row>
    <row r="102" spans="2:22" x14ac:dyDescent="0.25">
      <c r="B102" s="102" t="s">
        <v>132</v>
      </c>
      <c r="C102" s="82">
        <v>60</v>
      </c>
      <c r="D102" s="82">
        <v>200</v>
      </c>
      <c r="E102" s="82">
        <v>210</v>
      </c>
      <c r="G102" s="82">
        <v>200</v>
      </c>
      <c r="H102" s="82">
        <f>200-G102</f>
        <v>0</v>
      </c>
      <c r="I102" s="82">
        <v>200</v>
      </c>
      <c r="J102" s="72">
        <f t="shared" si="87"/>
        <v>-200</v>
      </c>
      <c r="K102" s="82">
        <v>210</v>
      </c>
      <c r="L102" s="82">
        <v>210</v>
      </c>
      <c r="M102" s="82">
        <v>210</v>
      </c>
      <c r="N102" s="72">
        <f t="shared" si="89"/>
        <v>-420</v>
      </c>
      <c r="O102" s="82"/>
      <c r="P102" s="82"/>
      <c r="Q102" s="82" t="s">
        <v>34</v>
      </c>
      <c r="S102" s="23">
        <f>SUM(I102:L102)</f>
        <v>420</v>
      </c>
      <c r="T102" s="23">
        <f>SUM(M102:P102)</f>
        <v>-210</v>
      </c>
      <c r="U102" s="23"/>
      <c r="V102" s="25">
        <f t="shared" si="88"/>
        <v>-1.5</v>
      </c>
    </row>
    <row r="103" spans="2:22" x14ac:dyDescent="0.25">
      <c r="B103" s="102" t="s">
        <v>133</v>
      </c>
      <c r="C103" s="82">
        <v>0</v>
      </c>
      <c r="D103" s="82">
        <v>111</v>
      </c>
      <c r="E103" s="116">
        <v>0</v>
      </c>
      <c r="G103" s="116">
        <v>0</v>
      </c>
      <c r="H103" s="116">
        <v>0</v>
      </c>
      <c r="I103" s="82"/>
      <c r="J103" s="72">
        <f t="shared" si="87"/>
        <v>111</v>
      </c>
      <c r="K103" s="82"/>
      <c r="L103" s="82"/>
      <c r="M103" s="82"/>
      <c r="N103" s="72">
        <f t="shared" si="89"/>
        <v>0</v>
      </c>
      <c r="O103" s="82"/>
      <c r="P103" s="82"/>
      <c r="Q103" s="82"/>
      <c r="S103" s="23">
        <f>SUM(I103:L103)</f>
        <v>111</v>
      </c>
      <c r="T103" s="23">
        <f>SUM(M103:P103)</f>
        <v>0</v>
      </c>
      <c r="U103" s="23"/>
      <c r="V103" s="25">
        <f t="shared" si="88"/>
        <v>-1</v>
      </c>
    </row>
    <row r="104" spans="2:22" x14ac:dyDescent="0.25">
      <c r="B104" s="115" t="s">
        <v>134</v>
      </c>
      <c r="C104" s="116">
        <v>0</v>
      </c>
      <c r="D104" s="116">
        <v>899</v>
      </c>
      <c r="E104" s="116">
        <v>671</v>
      </c>
      <c r="G104" s="116">
        <v>0</v>
      </c>
      <c r="H104" s="116">
        <v>0</v>
      </c>
      <c r="I104" s="114">
        <v>738</v>
      </c>
      <c r="J104" s="72">
        <f t="shared" si="87"/>
        <v>161</v>
      </c>
      <c r="K104" s="114">
        <v>297</v>
      </c>
      <c r="L104" s="114">
        <v>477</v>
      </c>
      <c r="M104" s="114">
        <v>477</v>
      </c>
      <c r="N104" s="72">
        <f t="shared" si="89"/>
        <v>-580</v>
      </c>
      <c r="O104" s="114">
        <v>277</v>
      </c>
      <c r="P104" s="114">
        <v>537</v>
      </c>
      <c r="Q104" s="114">
        <v>845</v>
      </c>
      <c r="V104" s="40"/>
    </row>
    <row r="105" spans="2:22" x14ac:dyDescent="0.25">
      <c r="B105" s="113" t="s">
        <v>67</v>
      </c>
      <c r="C105" s="116">
        <v>0</v>
      </c>
      <c r="D105" s="116">
        <v>0</v>
      </c>
      <c r="E105" s="116">
        <v>0</v>
      </c>
      <c r="G105" s="116">
        <v>0</v>
      </c>
      <c r="H105" s="116">
        <v>0</v>
      </c>
      <c r="I105" s="114"/>
      <c r="J105" s="72">
        <f t="shared" si="87"/>
        <v>0</v>
      </c>
      <c r="K105" s="114"/>
      <c r="L105" s="114"/>
      <c r="M105" s="114">
        <v>3619</v>
      </c>
      <c r="N105" s="72">
        <f t="shared" si="89"/>
        <v>-3619</v>
      </c>
      <c r="O105" s="114"/>
      <c r="P105" s="114"/>
      <c r="Q105" s="114"/>
    </row>
    <row r="106" spans="2:22" x14ac:dyDescent="0.25">
      <c r="B106" s="102" t="s">
        <v>133</v>
      </c>
      <c r="C106" s="116">
        <v>0</v>
      </c>
      <c r="D106" s="116">
        <v>0</v>
      </c>
      <c r="E106" s="116">
        <v>0</v>
      </c>
      <c r="G106" s="114">
        <v>111</v>
      </c>
      <c r="H106" s="114">
        <v>111</v>
      </c>
      <c r="I106" s="114">
        <v>111</v>
      </c>
      <c r="J106" s="72">
        <f t="shared" si="87"/>
        <v>-333</v>
      </c>
      <c r="K106" s="114" t="s">
        <v>35</v>
      </c>
      <c r="L106" s="114" t="s">
        <v>35</v>
      </c>
      <c r="M106" s="114"/>
      <c r="N106" s="72" t="e">
        <f t="shared" si="89"/>
        <v>#VALUE!</v>
      </c>
      <c r="O106" s="114"/>
      <c r="P106" s="114"/>
      <c r="Q106" s="114"/>
    </row>
    <row r="107" spans="2:22" x14ac:dyDescent="0.25">
      <c r="C107" s="70"/>
      <c r="D107" s="70"/>
      <c r="E107" s="70"/>
    </row>
    <row r="108" spans="2:22" x14ac:dyDescent="0.25">
      <c r="C108" s="70"/>
      <c r="D108" s="70"/>
      <c r="E108" s="70"/>
    </row>
    <row r="109" spans="2:22" x14ac:dyDescent="0.25">
      <c r="C109" s="70"/>
      <c r="D109" s="70"/>
      <c r="E109" s="70"/>
    </row>
    <row r="110" spans="2:22" x14ac:dyDescent="0.25">
      <c r="C110" s="70"/>
      <c r="D110" s="70"/>
      <c r="E110" s="70"/>
    </row>
    <row r="111" spans="2:22" x14ac:dyDescent="0.25">
      <c r="C111" s="70"/>
      <c r="D111" s="70"/>
      <c r="E111" s="70"/>
    </row>
    <row r="112" spans="2:22" x14ac:dyDescent="0.25">
      <c r="C112" s="70"/>
      <c r="D112" s="70"/>
      <c r="E112" s="70"/>
    </row>
    <row r="113" spans="2:5" x14ac:dyDescent="0.25">
      <c r="C113" s="70"/>
      <c r="D113" s="70"/>
      <c r="E113" s="70"/>
    </row>
    <row r="114" spans="2:5" x14ac:dyDescent="0.25">
      <c r="C114" s="70"/>
      <c r="D114" s="70"/>
      <c r="E114" s="70"/>
    </row>
    <row r="115" spans="2:5" x14ac:dyDescent="0.25">
      <c r="C115" s="70"/>
      <c r="D115" s="70"/>
      <c r="E115" s="70"/>
    </row>
    <row r="116" spans="2:5" x14ac:dyDescent="0.25">
      <c r="C116" s="70"/>
      <c r="D116" s="70"/>
      <c r="E116" s="70"/>
    </row>
    <row r="117" spans="2:5" x14ac:dyDescent="0.25">
      <c r="B117" s="68"/>
      <c r="C117" s="85"/>
      <c r="D117" s="85"/>
      <c r="E117" s="85"/>
    </row>
    <row r="118" spans="2:5" ht="3.75" customHeight="1" x14ac:dyDescent="0.25">
      <c r="B118" s="68"/>
      <c r="C118" s="85"/>
      <c r="D118" s="85"/>
      <c r="E118" s="85"/>
    </row>
    <row r="119" spans="2:5" x14ac:dyDescent="0.25">
      <c r="C119" s="70"/>
      <c r="D119" s="70"/>
      <c r="E119" s="70"/>
    </row>
    <row r="120" spans="2:5" x14ac:dyDescent="0.25">
      <c r="C120" s="70"/>
      <c r="D120" s="70"/>
      <c r="E120" s="70"/>
    </row>
    <row r="121" spans="2:5" x14ac:dyDescent="0.25">
      <c r="C121" s="70"/>
      <c r="D121" s="70"/>
      <c r="E121" s="70"/>
    </row>
    <row r="122" spans="2:5" x14ac:dyDescent="0.25">
      <c r="C122" s="70"/>
      <c r="D122" s="70"/>
      <c r="E122" s="70"/>
    </row>
    <row r="123" spans="2:5" x14ac:dyDescent="0.25">
      <c r="C123" s="70"/>
      <c r="D123" s="70"/>
      <c r="E123" s="70"/>
    </row>
    <row r="124" spans="2:5" x14ac:dyDescent="0.25">
      <c r="C124" s="70"/>
      <c r="D124" s="70"/>
      <c r="E124" s="70"/>
    </row>
    <row r="125" spans="2:5" x14ac:dyDescent="0.25">
      <c r="C125" s="70"/>
      <c r="D125" s="70"/>
      <c r="E125" s="70"/>
    </row>
  </sheetData>
  <mergeCells count="1">
    <mergeCell ref="V7:V8"/>
  </mergeCells>
  <conditionalFormatting sqref="C8:Q9 C10:J10 L10:Q10">
    <cfRule type="timePeriod" dxfId="12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11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3FA3-7DED-4B37-A4B2-5960A4583810}">
  <dimension ref="A2:V33"/>
  <sheetViews>
    <sheetView showGridLines="0" topLeftCell="C1" zoomScale="115" zoomScaleNormal="115" workbookViewId="0">
      <selection activeCell="C18" sqref="C18"/>
    </sheetView>
  </sheetViews>
  <sheetFormatPr defaultRowHeight="15" x14ac:dyDescent="0.25"/>
  <cols>
    <col min="1" max="1" width="4.5703125" customWidth="1"/>
    <col min="2" max="2" width="60.5703125" bestFit="1" customWidth="1"/>
    <col min="3" max="5" width="12.5703125" bestFit="1" customWidth="1"/>
    <col min="6" max="6" width="1" customWidth="1"/>
    <col min="7" max="9" width="10.7109375" bestFit="1" customWidth="1"/>
    <col min="10" max="10" width="11.85546875" bestFit="1" customWidth="1"/>
    <col min="11" max="13" width="10.7109375" bestFit="1" customWidth="1"/>
    <col min="14" max="14" width="11.85546875" bestFit="1" customWidth="1"/>
    <col min="15" max="17" width="10.7109375" bestFit="1" customWidth="1"/>
    <col min="18" max="18" width="1.28515625" customWidth="1"/>
    <col min="19" max="20" width="10.7109375" bestFit="1" customWidth="1"/>
    <col min="21" max="21" width="2.28515625" customWidth="1"/>
  </cols>
  <sheetData>
    <row r="2" spans="1:22" s="6" customFormat="1" x14ac:dyDescent="0.25">
      <c r="B2" s="103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4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3" t="s">
        <v>138</v>
      </c>
      <c r="C7" s="105" t="s">
        <v>7</v>
      </c>
      <c r="D7" s="105" t="s">
        <v>8</v>
      </c>
      <c r="E7" s="105" t="s">
        <v>9</v>
      </c>
      <c r="F7" s="102"/>
      <c r="G7" s="105" t="s">
        <v>10</v>
      </c>
      <c r="H7" s="105" t="s">
        <v>11</v>
      </c>
      <c r="I7" s="105" t="s">
        <v>12</v>
      </c>
      <c r="J7" s="105" t="s">
        <v>13</v>
      </c>
      <c r="K7" s="105" t="s">
        <v>14</v>
      </c>
      <c r="L7" s="105" t="s">
        <v>15</v>
      </c>
      <c r="M7" s="105" t="s">
        <v>16</v>
      </c>
      <c r="N7" s="105" t="s">
        <v>17</v>
      </c>
      <c r="O7" s="105" t="s">
        <v>18</v>
      </c>
      <c r="P7" s="105" t="s">
        <v>19</v>
      </c>
      <c r="Q7" s="105" t="s">
        <v>20</v>
      </c>
      <c r="R7" s="102"/>
      <c r="S7" s="105" t="str">
        <f>M7</f>
        <v>3Q23</v>
      </c>
      <c r="T7" s="105" t="str">
        <f>Q7</f>
        <v>3Q24</v>
      </c>
      <c r="U7" s="14"/>
      <c r="V7" s="87" t="s">
        <v>21</v>
      </c>
    </row>
    <row r="8" spans="1:22" s="6" customFormat="1" x14ac:dyDescent="0.25">
      <c r="B8" s="1" t="s">
        <v>58</v>
      </c>
      <c r="C8" s="106">
        <v>44561</v>
      </c>
      <c r="D8" s="106">
        <v>44926</v>
      </c>
      <c r="E8" s="106">
        <v>45291</v>
      </c>
      <c r="F8" s="102"/>
      <c r="G8" s="107">
        <v>44651</v>
      </c>
      <c r="H8" s="107">
        <v>44742</v>
      </c>
      <c r="I8" s="107">
        <v>44834</v>
      </c>
      <c r="J8" s="107">
        <v>44926</v>
      </c>
      <c r="K8" s="107">
        <v>45016</v>
      </c>
      <c r="L8" s="107">
        <v>45107</v>
      </c>
      <c r="M8" s="107">
        <v>45199</v>
      </c>
      <c r="N8" s="107">
        <v>45291</v>
      </c>
      <c r="O8" s="107">
        <v>45382</v>
      </c>
      <c r="P8" s="107">
        <v>45473</v>
      </c>
      <c r="Q8" s="107">
        <v>45565</v>
      </c>
      <c r="R8" s="102"/>
      <c r="S8" s="107">
        <f>M8</f>
        <v>45199</v>
      </c>
      <c r="T8" s="107">
        <f>Q8</f>
        <v>45565</v>
      </c>
      <c r="U8" s="17"/>
      <c r="V8" s="87"/>
    </row>
    <row r="9" spans="1:22" x14ac:dyDescent="0.25">
      <c r="B9" s="20" t="s">
        <v>22</v>
      </c>
      <c r="C9" s="17"/>
      <c r="D9" s="17"/>
      <c r="E9" s="17"/>
      <c r="F9" s="6"/>
      <c r="G9" s="19"/>
      <c r="H9" s="19"/>
      <c r="I9" s="21"/>
      <c r="J9" s="21"/>
      <c r="K9" s="22"/>
      <c r="L9" s="22"/>
      <c r="M9" s="22"/>
      <c r="N9" s="22"/>
      <c r="O9" s="22"/>
      <c r="P9" s="22"/>
      <c r="Q9" s="22"/>
      <c r="R9" s="6"/>
      <c r="S9" s="19"/>
      <c r="T9" s="19"/>
    </row>
    <row r="10" spans="1:22" x14ac:dyDescent="0.25">
      <c r="B10" s="4" t="s">
        <v>60</v>
      </c>
      <c r="C10" s="48">
        <f>'Base Financials'!C11</f>
        <v>-23818</v>
      </c>
      <c r="D10" s="48">
        <f>'Base Financials'!D11</f>
        <v>-31737</v>
      </c>
      <c r="E10" s="48">
        <f>'Base Financials'!E11</f>
        <v>-32130</v>
      </c>
      <c r="F10" s="61"/>
      <c r="G10" s="48">
        <f>'Base Financials'!G11</f>
        <v>-8058</v>
      </c>
      <c r="H10" s="48">
        <f>'Base Financials'!H11</f>
        <v>-8074</v>
      </c>
      <c r="I10" s="48">
        <f>'Base Financials'!I11</f>
        <v>-6598</v>
      </c>
      <c r="J10" s="48">
        <f>'Base Financials'!J11</f>
        <v>-9007</v>
      </c>
      <c r="K10" s="48">
        <f>'Base Financials'!K11</f>
        <v>-8799</v>
      </c>
      <c r="L10" s="48">
        <f>'Base Financials'!L11</f>
        <v>-7371</v>
      </c>
      <c r="M10" s="48">
        <f>'Base Financials'!M11</f>
        <v>-7732</v>
      </c>
      <c r="N10" s="48">
        <f>'Base Financials'!N11</f>
        <v>-8228</v>
      </c>
      <c r="O10" s="48">
        <f>'Base Financials'!O11</f>
        <v>-8054</v>
      </c>
      <c r="P10" s="48">
        <f>'Base Financials'!P11</f>
        <v>-9813</v>
      </c>
      <c r="Q10" s="48">
        <f>'Base Financials'!Q11</f>
        <v>-7595</v>
      </c>
      <c r="R10" s="6"/>
      <c r="S10" s="23">
        <f t="shared" ref="S10:S11" si="0">SUM(J10:M10)</f>
        <v>-32909</v>
      </c>
      <c r="T10" s="23">
        <f t="shared" ref="T10:T11" si="1">SUM(N10:Q10)</f>
        <v>-33690</v>
      </c>
    </row>
    <row r="11" spans="1:22" x14ac:dyDescent="0.25">
      <c r="B11" s="4" t="s">
        <v>23</v>
      </c>
      <c r="C11" s="48">
        <f>'Base Financials'!C12</f>
        <v>-6361</v>
      </c>
      <c r="D11" s="48">
        <f>'Base Financials'!D12</f>
        <v>-6615</v>
      </c>
      <c r="E11" s="48">
        <f>'Base Financials'!E12</f>
        <v>-5942</v>
      </c>
      <c r="F11" s="61"/>
      <c r="G11" s="48">
        <f>'Base Financials'!G12</f>
        <v>-1877</v>
      </c>
      <c r="H11" s="48">
        <f>'Base Financials'!H12</f>
        <v>-1588</v>
      </c>
      <c r="I11" s="48">
        <f>'Base Financials'!I12</f>
        <v>-1524</v>
      </c>
      <c r="J11" s="48">
        <f>'Base Financials'!J12</f>
        <v>-1626</v>
      </c>
      <c r="K11" s="48">
        <f>'Base Financials'!K12</f>
        <v>-1543</v>
      </c>
      <c r="L11" s="48">
        <f>'Base Financials'!L12</f>
        <v>-1632</v>
      </c>
      <c r="M11" s="48">
        <f>'Base Financials'!M12</f>
        <v>-1434</v>
      </c>
      <c r="N11" s="48">
        <f>'Base Financials'!N12</f>
        <v>-1333</v>
      </c>
      <c r="O11" s="48">
        <f>'Base Financials'!O12</f>
        <v>-1594</v>
      </c>
      <c r="P11" s="48">
        <f>'Base Financials'!P12</f>
        <v>-1478</v>
      </c>
      <c r="Q11" s="48">
        <f>'Base Financials'!Q12</f>
        <v>-1471</v>
      </c>
      <c r="R11" s="6"/>
      <c r="S11" s="23">
        <f t="shared" si="0"/>
        <v>-6235</v>
      </c>
      <c r="T11" s="23">
        <f t="shared" si="1"/>
        <v>-5876</v>
      </c>
    </row>
    <row r="12" spans="1:22" x14ac:dyDescent="0.25">
      <c r="B12" s="2" t="s">
        <v>61</v>
      </c>
      <c r="C12" s="37">
        <f>SUM(C10:C11)</f>
        <v>-30179</v>
      </c>
      <c r="D12" s="37">
        <f t="shared" ref="D12:E12" si="2">SUM(D10:D11)</f>
        <v>-38352</v>
      </c>
      <c r="E12" s="37">
        <f t="shared" si="2"/>
        <v>-38072</v>
      </c>
      <c r="F12" s="61"/>
      <c r="G12" s="37">
        <f t="shared" ref="G12:Q12" si="3">SUM(G10:G11)</f>
        <v>-9935</v>
      </c>
      <c r="H12" s="37">
        <f t="shared" si="3"/>
        <v>-9662</v>
      </c>
      <c r="I12" s="37">
        <f t="shared" si="3"/>
        <v>-8122</v>
      </c>
      <c r="J12" s="37">
        <f t="shared" si="3"/>
        <v>-10633</v>
      </c>
      <c r="K12" s="37">
        <f t="shared" si="3"/>
        <v>-10342</v>
      </c>
      <c r="L12" s="37">
        <f t="shared" si="3"/>
        <v>-9003</v>
      </c>
      <c r="M12" s="37">
        <f t="shared" si="3"/>
        <v>-9166</v>
      </c>
      <c r="N12" s="37">
        <f t="shared" si="3"/>
        <v>-9561</v>
      </c>
      <c r="O12" s="37">
        <f t="shared" si="3"/>
        <v>-9648</v>
      </c>
      <c r="P12" s="37">
        <f t="shared" si="3"/>
        <v>-11291</v>
      </c>
      <c r="Q12" s="37">
        <f t="shared" si="3"/>
        <v>-9066</v>
      </c>
      <c r="R12" s="6"/>
      <c r="S12" s="28">
        <f>SUM(S10:S11)</f>
        <v>-39144</v>
      </c>
      <c r="T12" s="28">
        <f>SUM(T10:T11)</f>
        <v>-39566</v>
      </c>
    </row>
    <row r="13" spans="1:22" x14ac:dyDescent="0.25">
      <c r="B13" s="31" t="s">
        <v>24</v>
      </c>
      <c r="C13" s="32"/>
      <c r="D13" s="22">
        <f>D12/C12-1</f>
        <v>0.27081745584678085</v>
      </c>
      <c r="E13" s="22">
        <f>E12/D12-1</f>
        <v>-7.3007926574885085E-3</v>
      </c>
      <c r="F13" s="22"/>
      <c r="G13" s="6"/>
      <c r="H13" s="22">
        <f t="shared" ref="H13:Q13" si="4">H12/G12-1</f>
        <v>-2.7478610971313544E-2</v>
      </c>
      <c r="I13" s="22">
        <f t="shared" si="4"/>
        <v>-0.15938729041606292</v>
      </c>
      <c r="J13" s="22">
        <f t="shared" si="4"/>
        <v>0.30916030534351147</v>
      </c>
      <c r="K13" s="22">
        <f t="shared" si="4"/>
        <v>-2.7367629079281475E-2</v>
      </c>
      <c r="L13" s="22">
        <f t="shared" si="4"/>
        <v>-0.12947205569522335</v>
      </c>
      <c r="M13" s="22">
        <f t="shared" si="4"/>
        <v>1.8105076085749294E-2</v>
      </c>
      <c r="N13" s="22">
        <f t="shared" si="4"/>
        <v>4.3094043203142141E-2</v>
      </c>
      <c r="O13" s="22">
        <f>O12/N12-1</f>
        <v>9.0994665829933208E-3</v>
      </c>
      <c r="P13" s="22">
        <f t="shared" si="4"/>
        <v>0.17029436152570487</v>
      </c>
      <c r="Q13" s="22">
        <f t="shared" si="4"/>
        <v>-0.19705960499512887</v>
      </c>
      <c r="R13" s="6"/>
      <c r="S13" s="6"/>
      <c r="T13" s="22">
        <f>T12/S12-1</f>
        <v>1.0780707132638456E-2</v>
      </c>
    </row>
    <row r="14" spans="1:22" x14ac:dyDescent="0.25">
      <c r="B14" s="46" t="s">
        <v>62</v>
      </c>
    </row>
    <row r="15" spans="1:22" x14ac:dyDescent="0.25">
      <c r="B15" s="4" t="s">
        <v>64</v>
      </c>
      <c r="C15" s="48">
        <f>'Base Financials'!C19</f>
        <v>138</v>
      </c>
      <c r="D15" s="48">
        <f>'Base Financials'!D19</f>
        <v>557</v>
      </c>
      <c r="E15" s="48">
        <f>'Base Financials'!E19</f>
        <v>-432</v>
      </c>
      <c r="F15" s="6"/>
      <c r="G15" s="48">
        <f>'Base Financials'!G19</f>
        <v>229</v>
      </c>
      <c r="H15" s="48">
        <f>'Base Financials'!H19</f>
        <v>275</v>
      </c>
      <c r="I15" s="48">
        <f>'Base Financials'!I19</f>
        <v>-224</v>
      </c>
      <c r="J15" s="48">
        <f>'Base Financials'!J19</f>
        <v>277</v>
      </c>
      <c r="K15" s="48">
        <f>'Base Financials'!K19</f>
        <v>-769</v>
      </c>
      <c r="L15" s="48">
        <f>'Base Financials'!L19</f>
        <v>489</v>
      </c>
      <c r="M15" s="48">
        <f>'Base Financials'!M19</f>
        <v>-489</v>
      </c>
      <c r="N15" s="48">
        <f>'Base Financials'!N19</f>
        <v>337</v>
      </c>
      <c r="O15" s="48">
        <f>'Base Financials'!O19</f>
        <v>-1052</v>
      </c>
      <c r="P15" s="48">
        <f>'Base Financials'!P19</f>
        <v>109</v>
      </c>
      <c r="Q15" s="48">
        <f>'Base Financials'!Q19</f>
        <v>-753</v>
      </c>
      <c r="R15" s="6"/>
      <c r="S15" s="23">
        <f t="shared" ref="S15:S18" si="5">SUM(J15:M15)</f>
        <v>-492</v>
      </c>
      <c r="T15" s="23">
        <f t="shared" ref="T15:T18" si="6">SUM(N15:Q15)</f>
        <v>-1359</v>
      </c>
    </row>
    <row r="16" spans="1:22" x14ac:dyDescent="0.25">
      <c r="B16" s="4" t="s">
        <v>65</v>
      </c>
      <c r="C16" s="48">
        <f>'Base Financials'!C20</f>
        <v>-348</v>
      </c>
      <c r="D16" s="48">
        <f>'Base Financials'!D20</f>
        <v>-424</v>
      </c>
      <c r="E16" s="48">
        <f>'Base Financials'!E20</f>
        <v>-2994</v>
      </c>
      <c r="F16" s="6"/>
      <c r="G16" s="48">
        <f>'Base Financials'!G20</f>
        <v>3</v>
      </c>
      <c r="H16" s="48">
        <f>'Base Financials'!H20</f>
        <v>49</v>
      </c>
      <c r="I16" s="48">
        <f>'Base Financials'!I20</f>
        <v>-475</v>
      </c>
      <c r="J16" s="48">
        <f>'Base Financials'!J20</f>
        <v>-1</v>
      </c>
      <c r="K16" s="48">
        <f>'Base Financials'!K20</f>
        <v>-1185</v>
      </c>
      <c r="L16" s="48">
        <f>'Base Financials'!L20</f>
        <v>-111</v>
      </c>
      <c r="M16" s="48">
        <f>'Base Financials'!M20</f>
        <v>-1262</v>
      </c>
      <c r="N16" s="48">
        <f>'Base Financials'!N20</f>
        <v>-436</v>
      </c>
      <c r="O16" s="48">
        <f>'Base Financials'!O20</f>
        <v>-1841</v>
      </c>
      <c r="P16" s="48">
        <f>'Base Financials'!P20</f>
        <v>-1080</v>
      </c>
      <c r="Q16" s="48">
        <f>'Base Financials'!Q20</f>
        <v>-2154</v>
      </c>
      <c r="R16" s="6"/>
      <c r="S16" s="23">
        <f t="shared" si="5"/>
        <v>-2559</v>
      </c>
      <c r="T16" s="23">
        <f t="shared" si="6"/>
        <v>-5511</v>
      </c>
    </row>
    <row r="17" spans="2:20" x14ac:dyDescent="0.25">
      <c r="B17" s="36" t="s">
        <v>96</v>
      </c>
      <c r="C17" s="37">
        <f>SUM(C12+SUM(C15:C16))</f>
        <v>-30389</v>
      </c>
      <c r="D17" s="37">
        <f t="shared" ref="D17:E17" si="7">SUM(D12+SUM(D15:D16))</f>
        <v>-38219</v>
      </c>
      <c r="E17" s="37">
        <f t="shared" si="7"/>
        <v>-41498</v>
      </c>
      <c r="F17" s="6"/>
      <c r="G17" s="37">
        <f t="shared" ref="G17" si="8">SUM(G12+SUM(G15:G16))</f>
        <v>-9703</v>
      </c>
      <c r="H17" s="37">
        <f t="shared" ref="H17" si="9">SUM(H12+SUM(H15:H16))</f>
        <v>-9338</v>
      </c>
      <c r="I17" s="37">
        <f t="shared" ref="I17" si="10">SUM(I12+SUM(I15:I16))</f>
        <v>-8821</v>
      </c>
      <c r="J17" s="37">
        <f t="shared" ref="J17" si="11">SUM(J12+SUM(J15:J16))</f>
        <v>-10357</v>
      </c>
      <c r="K17" s="37">
        <f t="shared" ref="K17" si="12">SUM(K12+SUM(K15:K16))</f>
        <v>-12296</v>
      </c>
      <c r="L17" s="37">
        <f t="shared" ref="L17" si="13">SUM(L12+SUM(L15:L16))</f>
        <v>-8625</v>
      </c>
      <c r="M17" s="37">
        <f t="shared" ref="M17" si="14">SUM(M12+SUM(M15:M16))</f>
        <v>-10917</v>
      </c>
      <c r="N17" s="37">
        <f t="shared" ref="N17" si="15">SUM(N12+SUM(N15:N16))</f>
        <v>-9660</v>
      </c>
      <c r="O17" s="37">
        <f t="shared" ref="O17" si="16">SUM(O12+SUM(O15:O16))</f>
        <v>-12541</v>
      </c>
      <c r="P17" s="37">
        <f t="shared" ref="P17" si="17">SUM(P12+SUM(P15:P16))</f>
        <v>-12262</v>
      </c>
      <c r="Q17" s="37">
        <f t="shared" ref="Q17" si="18">SUM(Q12+SUM(Q15:Q16))</f>
        <v>-11973</v>
      </c>
      <c r="R17" s="6"/>
      <c r="S17" s="37">
        <f t="shared" ref="S17" si="19">SUM(S12+SUM(S15:S16))</f>
        <v>-42195</v>
      </c>
      <c r="T17" s="37">
        <f t="shared" ref="T17" si="20">SUM(T12+SUM(T15:T16))</f>
        <v>-46436</v>
      </c>
    </row>
    <row r="18" spans="2:20" x14ac:dyDescent="0.25">
      <c r="B18" s="31" t="s">
        <v>24</v>
      </c>
      <c r="C18" s="38"/>
      <c r="D18" s="22">
        <f>D17/C17-1</f>
        <v>0.25765902135641183</v>
      </c>
      <c r="E18" s="22">
        <f>E17/D17-1</f>
        <v>8.5795023417671867E-2</v>
      </c>
      <c r="F18" s="22"/>
      <c r="G18" s="6"/>
      <c r="H18" s="22">
        <f t="shared" ref="H18:Q18" si="21">H17/G17-1</f>
        <v>-3.7617231783984351E-2</v>
      </c>
      <c r="I18" s="22">
        <f t="shared" si="21"/>
        <v>-5.5365174555579322E-2</v>
      </c>
      <c r="J18" s="22">
        <f t="shared" si="21"/>
        <v>0.17412991724294291</v>
      </c>
      <c r="K18" s="22">
        <f t="shared" si="21"/>
        <v>0.1872163753982814</v>
      </c>
      <c r="L18" s="22">
        <f t="shared" si="21"/>
        <v>-0.29855237475601826</v>
      </c>
      <c r="M18" s="22">
        <f t="shared" si="21"/>
        <v>0.2657391304347827</v>
      </c>
      <c r="N18" s="22">
        <f t="shared" si="21"/>
        <v>-0.11514152239626274</v>
      </c>
      <c r="O18" s="22">
        <f t="shared" si="21"/>
        <v>0.29824016563146993</v>
      </c>
      <c r="P18" s="22">
        <f t="shared" si="21"/>
        <v>-2.2247029742444746E-2</v>
      </c>
      <c r="Q18" s="22">
        <f t="shared" si="21"/>
        <v>-2.356874898059047E-2</v>
      </c>
      <c r="R18" s="6"/>
      <c r="S18" s="6"/>
      <c r="T18" s="22">
        <f>T17/S17-1</f>
        <v>0.10050953904491045</v>
      </c>
    </row>
    <row r="19" spans="2:20" x14ac:dyDescent="0.25">
      <c r="B19" s="110" t="s">
        <v>97</v>
      </c>
    </row>
    <row r="20" spans="2:20" x14ac:dyDescent="0.25">
      <c r="B20" t="str">
        <f>'Base Financials'!B76</f>
        <v>Stock-based compensation expense</v>
      </c>
      <c r="C20" s="48">
        <f>'Base Financials'!C76</f>
        <v>2076</v>
      </c>
      <c r="D20" s="48">
        <f>'Base Financials'!D76</f>
        <v>2867</v>
      </c>
      <c r="E20" s="48">
        <f>'Base Financials'!E76</f>
        <v>2261</v>
      </c>
      <c r="G20" s="48">
        <f>'Base Financials'!G76</f>
        <v>858</v>
      </c>
      <c r="H20" s="48">
        <f>'Base Financials'!H76</f>
        <v>647</v>
      </c>
      <c r="I20" s="48">
        <f>'Base Financials'!I76</f>
        <v>681</v>
      </c>
      <c r="J20" s="48">
        <f>'Base Financials'!J76</f>
        <v>681</v>
      </c>
      <c r="K20" s="48">
        <f>'Base Financials'!K76</f>
        <v>662</v>
      </c>
      <c r="L20" s="48">
        <f>'Base Financials'!L76</f>
        <v>516</v>
      </c>
      <c r="M20" s="48">
        <f>'Base Financials'!M76</f>
        <v>586</v>
      </c>
      <c r="N20" s="48">
        <f>'Base Financials'!N76</f>
        <v>497</v>
      </c>
      <c r="O20" s="48">
        <f>'Base Financials'!O76</f>
        <v>604</v>
      </c>
      <c r="P20" s="48">
        <f>'Base Financials'!P76</f>
        <v>738</v>
      </c>
      <c r="Q20" s="48">
        <f>'Base Financials'!Q76</f>
        <v>515</v>
      </c>
      <c r="S20" s="23">
        <f t="shared" ref="S20:S22" si="22">SUM(J20:M20)</f>
        <v>2445</v>
      </c>
      <c r="T20" s="23">
        <f t="shared" ref="T20:T22" si="23">SUM(N20:Q20)</f>
        <v>2354</v>
      </c>
    </row>
    <row r="21" spans="2:20" x14ac:dyDescent="0.25">
      <c r="B21" t="str">
        <f>'Base Financials'!B78</f>
        <v>Non-cash interest expense</v>
      </c>
      <c r="C21" s="48">
        <f>'Base Financials'!C78</f>
        <v>283</v>
      </c>
      <c r="D21" s="48">
        <f>'Base Financials'!D78</f>
        <v>410</v>
      </c>
      <c r="E21" s="48">
        <f>'Base Financials'!E78</f>
        <v>697</v>
      </c>
      <c r="G21" s="48">
        <f>'Base Financials'!G78</f>
        <v>80</v>
      </c>
      <c r="H21" s="48">
        <f>'Base Financials'!H78</f>
        <v>78</v>
      </c>
      <c r="I21" s="48">
        <f>'Base Financials'!I78</f>
        <v>118</v>
      </c>
      <c r="J21" s="48">
        <f>'Base Financials'!J78</f>
        <v>134</v>
      </c>
      <c r="K21" s="48">
        <f>'Base Financials'!K78</f>
        <v>144</v>
      </c>
      <c r="L21" s="48">
        <f>'Base Financials'!L78</f>
        <v>169</v>
      </c>
      <c r="M21" s="48">
        <f>'Base Financials'!M78</f>
        <v>192</v>
      </c>
      <c r="N21" s="48">
        <f>'Base Financials'!N78</f>
        <v>192</v>
      </c>
      <c r="O21" s="48">
        <f>'Base Financials'!O78</f>
        <v>208</v>
      </c>
      <c r="P21" s="48">
        <f>'Base Financials'!P78</f>
        <v>249</v>
      </c>
      <c r="Q21" s="48">
        <f>'Base Financials'!Q78</f>
        <v>291</v>
      </c>
      <c r="S21" s="23">
        <f t="shared" si="22"/>
        <v>639</v>
      </c>
      <c r="T21" s="23">
        <f t="shared" si="23"/>
        <v>940</v>
      </c>
    </row>
    <row r="22" spans="2:20" x14ac:dyDescent="0.25">
      <c r="B22" t="str">
        <f>'Base Financials'!B79</f>
        <v>Change in fair value of derivatives</v>
      </c>
      <c r="C22" s="48">
        <f>'Base Financials'!C79</f>
        <v>-138</v>
      </c>
      <c r="D22" s="48">
        <f>'Base Financials'!D79</f>
        <v>-557</v>
      </c>
      <c r="E22" s="48">
        <f>'Base Financials'!E79</f>
        <v>432</v>
      </c>
      <c r="G22" s="48">
        <f>'Base Financials'!G79</f>
        <v>-229</v>
      </c>
      <c r="H22" s="48">
        <f>'Base Financials'!H79</f>
        <v>-275</v>
      </c>
      <c r="I22" s="48">
        <f>'Base Financials'!I79</f>
        <v>224</v>
      </c>
      <c r="J22" s="48">
        <f>'Base Financials'!J79</f>
        <v>-277</v>
      </c>
      <c r="K22" s="48">
        <f>'Base Financials'!K79</f>
        <v>769</v>
      </c>
      <c r="L22" s="48">
        <f>'Base Financials'!L79</f>
        <v>-490</v>
      </c>
      <c r="M22" s="48">
        <f>'Base Financials'!M79</f>
        <v>490</v>
      </c>
      <c r="N22" s="48">
        <f>'Base Financials'!N79</f>
        <v>-337</v>
      </c>
      <c r="O22" s="48">
        <f>'Base Financials'!O79</f>
        <v>868</v>
      </c>
      <c r="P22" s="48">
        <f>'Base Financials'!P79</f>
        <v>-108</v>
      </c>
      <c r="Q22" s="48">
        <f>'Base Financials'!Q79</f>
        <v>754</v>
      </c>
      <c r="S22" s="23">
        <f t="shared" si="22"/>
        <v>492</v>
      </c>
      <c r="T22" s="23">
        <f t="shared" si="23"/>
        <v>1177</v>
      </c>
    </row>
    <row r="23" spans="2:20" x14ac:dyDescent="0.25">
      <c r="B23" s="117" t="s">
        <v>135</v>
      </c>
      <c r="C23" s="118">
        <f>SUM(C17+SUM(C20:C22))</f>
        <v>-28168</v>
      </c>
      <c r="D23" s="118">
        <f t="shared" ref="D23:E23" si="24">SUM(D17+SUM(D20:D22))</f>
        <v>-35499</v>
      </c>
      <c r="E23" s="118">
        <f t="shared" si="24"/>
        <v>-38108</v>
      </c>
      <c r="G23" s="118">
        <f t="shared" ref="G23" si="25">SUM(G17+SUM(G20:G22))</f>
        <v>-8994</v>
      </c>
      <c r="H23" s="118">
        <f t="shared" ref="H23" si="26">SUM(H17+SUM(H20:H22))</f>
        <v>-8888</v>
      </c>
      <c r="I23" s="118">
        <f t="shared" ref="I23" si="27">SUM(I17+SUM(I20:I22))</f>
        <v>-7798</v>
      </c>
      <c r="J23" s="118">
        <f t="shared" ref="J23" si="28">SUM(J17+SUM(J20:J22))</f>
        <v>-9819</v>
      </c>
      <c r="K23" s="118">
        <f t="shared" ref="K23" si="29">SUM(K17+SUM(K20:K22))</f>
        <v>-10721</v>
      </c>
      <c r="L23" s="118">
        <f t="shared" ref="L23" si="30">SUM(L17+SUM(L20:L22))</f>
        <v>-8430</v>
      </c>
      <c r="M23" s="118">
        <f t="shared" ref="M23" si="31">SUM(M17+SUM(M20:M22))</f>
        <v>-9649</v>
      </c>
      <c r="N23" s="118">
        <f t="shared" ref="N23" si="32">SUM(N17+SUM(N20:N22))</f>
        <v>-9308</v>
      </c>
      <c r="O23" s="118">
        <f t="shared" ref="O23" si="33">SUM(O17+SUM(O20:O22))</f>
        <v>-10861</v>
      </c>
      <c r="P23" s="118">
        <f t="shared" ref="P23" si="34">SUM(P17+SUM(P20:P22))</f>
        <v>-11383</v>
      </c>
      <c r="Q23" s="118">
        <f t="shared" ref="Q23" si="35">SUM(Q17+SUM(Q20:Q22))</f>
        <v>-10413</v>
      </c>
      <c r="S23" s="37">
        <f>SUM(S12+SUM(S15:S16))</f>
        <v>-42195</v>
      </c>
      <c r="T23" s="37">
        <f>SUM(T12+SUM(T15:T16))</f>
        <v>-46436</v>
      </c>
    </row>
    <row r="24" spans="2:20" x14ac:dyDescent="0.25">
      <c r="T24" s="22">
        <f>T23/S23-1</f>
        <v>0.10050953904491045</v>
      </c>
    </row>
    <row r="25" spans="2:20" x14ac:dyDescent="0.25">
      <c r="B25" s="110" t="s">
        <v>136</v>
      </c>
    </row>
    <row r="26" spans="2:20" x14ac:dyDescent="0.25">
      <c r="B26" t="s">
        <v>123</v>
      </c>
      <c r="C26" s="48">
        <f>'Base Financials'!C82</f>
        <v>3686</v>
      </c>
      <c r="D26" s="48">
        <f>'Base Financials'!D82</f>
        <v>4244</v>
      </c>
      <c r="E26" s="48">
        <f>'Base Financials'!E82</f>
        <v>2671</v>
      </c>
      <c r="G26" s="48">
        <f>'Base Financials'!G82</f>
        <v>864</v>
      </c>
      <c r="H26" s="48">
        <f>'Base Financials'!H82</f>
        <v>1283</v>
      </c>
      <c r="I26" s="48">
        <f>'Base Financials'!I82</f>
        <v>-1248</v>
      </c>
      <c r="J26" s="48">
        <f>'Base Financials'!J82</f>
        <v>3345</v>
      </c>
      <c r="K26" s="48">
        <f>'Base Financials'!K82</f>
        <v>-1372</v>
      </c>
      <c r="L26" s="48">
        <f>'Base Financials'!L82</f>
        <v>-1655</v>
      </c>
      <c r="M26" s="48">
        <f>'Base Financials'!M82</f>
        <v>621</v>
      </c>
      <c r="N26" s="48">
        <f>'Base Financials'!N82</f>
        <v>5077</v>
      </c>
      <c r="O26" s="48">
        <f>'Base Financials'!O82</f>
        <v>-3293</v>
      </c>
      <c r="P26" s="48">
        <f>'Base Financials'!P82</f>
        <v>1913</v>
      </c>
      <c r="Q26" s="48">
        <f>'Base Financials'!Q82</f>
        <v>-173</v>
      </c>
      <c r="S26" s="23">
        <f t="shared" ref="S26:S28" si="36">SUM(J26:M26)</f>
        <v>939</v>
      </c>
      <c r="T26" s="23">
        <f t="shared" ref="T26:T28" si="37">SUM(N26:Q26)</f>
        <v>3524</v>
      </c>
    </row>
    <row r="27" spans="2:20" x14ac:dyDescent="0.25">
      <c r="B27" t="s">
        <v>124</v>
      </c>
      <c r="C27" s="48">
        <f>'Base Financials'!C83</f>
        <v>206</v>
      </c>
      <c r="D27" s="48">
        <f>'Base Financials'!D83</f>
        <v>623</v>
      </c>
      <c r="E27" s="48">
        <f>'Base Financials'!E83</f>
        <v>2097</v>
      </c>
      <c r="G27" s="48">
        <f>'Base Financials'!G83</f>
        <v>147</v>
      </c>
      <c r="H27" s="48">
        <f>'Base Financials'!H83</f>
        <v>151</v>
      </c>
      <c r="I27" s="48">
        <f>'Base Financials'!I83</f>
        <v>150</v>
      </c>
      <c r="J27" s="48">
        <f>'Base Financials'!J83</f>
        <v>175</v>
      </c>
      <c r="K27" s="48">
        <f>'Base Financials'!K83</f>
        <v>316</v>
      </c>
      <c r="L27" s="48">
        <f>'Base Financials'!L83</f>
        <v>482</v>
      </c>
      <c r="M27" s="48">
        <f>'Base Financials'!M83</f>
        <v>641</v>
      </c>
      <c r="N27" s="48">
        <f>'Base Financials'!N83</f>
        <v>658</v>
      </c>
      <c r="O27" s="48">
        <f>'Base Financials'!O83</f>
        <v>843</v>
      </c>
      <c r="P27" s="48">
        <f>'Base Financials'!P83</f>
        <v>1021</v>
      </c>
      <c r="Q27" s="48">
        <f>'Base Financials'!Q83</f>
        <v>1203</v>
      </c>
      <c r="S27" s="23">
        <f t="shared" si="36"/>
        <v>1614</v>
      </c>
      <c r="T27" s="23">
        <f t="shared" si="37"/>
        <v>3725</v>
      </c>
    </row>
    <row r="28" spans="2:20" x14ac:dyDescent="0.25">
      <c r="B28" t="s">
        <v>125</v>
      </c>
      <c r="C28" s="48">
        <f>'Base Financials'!C84</f>
        <v>-24308</v>
      </c>
      <c r="D28" s="48">
        <f>'Base Financials'!D84</f>
        <v>-31056</v>
      </c>
      <c r="E28" s="48">
        <f>'Base Financials'!E84</f>
        <v>-32965</v>
      </c>
      <c r="G28" s="48">
        <f>'Base Financials'!G84</f>
        <v>-8042</v>
      </c>
      <c r="H28" s="48">
        <f>'Base Financials'!H84</f>
        <v>-7428</v>
      </c>
      <c r="I28" s="48">
        <f>'Base Financials'!I84</f>
        <v>-8347</v>
      </c>
      <c r="J28" s="48">
        <f>'Base Financials'!J84</f>
        <v>-7247</v>
      </c>
      <c r="K28" s="48">
        <f>'Base Financials'!K84</f>
        <v>-10793</v>
      </c>
      <c r="L28" s="48">
        <f>'Base Financials'!L84</f>
        <v>-9833</v>
      </c>
      <c r="M28" s="48">
        <f>'Base Financials'!M84</f>
        <v>-7637</v>
      </c>
      <c r="N28" s="48">
        <f>'Base Financials'!N84</f>
        <v>-4711</v>
      </c>
      <c r="O28" s="48">
        <f>'Base Financials'!O84</f>
        <v>-12105</v>
      </c>
      <c r="P28" s="48">
        <f>'Base Financials'!P84</f>
        <v>-8324</v>
      </c>
      <c r="Q28" s="48">
        <f>'Base Financials'!Q84</f>
        <v>-32407</v>
      </c>
      <c r="S28" s="23">
        <f t="shared" si="36"/>
        <v>-35510</v>
      </c>
      <c r="T28" s="23">
        <f t="shared" si="37"/>
        <v>-57547</v>
      </c>
    </row>
    <row r="29" spans="2:20" x14ac:dyDescent="0.25">
      <c r="B29" s="117" t="s">
        <v>137</v>
      </c>
      <c r="C29" s="118">
        <f>SUM(C23+SUM(C26:C28))</f>
        <v>-48584</v>
      </c>
      <c r="D29" s="118">
        <f t="shared" ref="D29:E29" si="38">SUM(D23+SUM(D26:D28))</f>
        <v>-61688</v>
      </c>
      <c r="E29" s="118">
        <f t="shared" si="38"/>
        <v>-66305</v>
      </c>
      <c r="G29" s="118">
        <f t="shared" ref="G29" si="39">SUM(G23+SUM(G26:G28))</f>
        <v>-16025</v>
      </c>
      <c r="H29" s="118">
        <f t="shared" ref="H29" si="40">SUM(H23+SUM(H26:H28))</f>
        <v>-14882</v>
      </c>
      <c r="I29" s="118">
        <f t="shared" ref="I29" si="41">SUM(I23+SUM(I26:I28))</f>
        <v>-17243</v>
      </c>
      <c r="J29" s="118">
        <f t="shared" ref="J29" si="42">SUM(J23+SUM(J26:J28))</f>
        <v>-13546</v>
      </c>
      <c r="K29" s="118">
        <f t="shared" ref="K29" si="43">SUM(K23+SUM(K26:K28))</f>
        <v>-22570</v>
      </c>
      <c r="L29" s="118">
        <f t="shared" ref="L29" si="44">SUM(L23+SUM(L26:L28))</f>
        <v>-19436</v>
      </c>
      <c r="M29" s="118">
        <f t="shared" ref="M29" si="45">SUM(M23+SUM(M26:M28))</f>
        <v>-16024</v>
      </c>
      <c r="N29" s="118">
        <f t="shared" ref="N29" si="46">SUM(N23+SUM(N26:N28))</f>
        <v>-8284</v>
      </c>
      <c r="O29" s="118">
        <f t="shared" ref="O29" si="47">SUM(O23+SUM(O26:O28))</f>
        <v>-25416</v>
      </c>
      <c r="P29" s="118">
        <f t="shared" ref="P29" si="48">SUM(P23+SUM(P26:P28))</f>
        <v>-16773</v>
      </c>
      <c r="Q29" s="118">
        <f t="shared" ref="Q29" si="49">SUM(Q23+SUM(Q26:Q28))</f>
        <v>-41790</v>
      </c>
      <c r="R29" s="118">
        <f t="shared" ref="R29" si="50">SUM(R23+SUM(R26:R28))</f>
        <v>0</v>
      </c>
      <c r="S29" s="37">
        <f>SUM(S18+SUM(S21:S22))</f>
        <v>1131</v>
      </c>
      <c r="T29" s="37">
        <f>SUM(T18+SUM(T21:T22))</f>
        <v>2117.1005095390451</v>
      </c>
    </row>
    <row r="30" spans="2:20" x14ac:dyDescent="0.25">
      <c r="S30" s="6"/>
      <c r="T30" s="22">
        <f>T29/S29-1</f>
        <v>0.87188373964548638</v>
      </c>
    </row>
    <row r="33" spans="2:2" x14ac:dyDescent="0.25">
      <c r="B33" s="110"/>
    </row>
  </sheetData>
  <mergeCells count="1">
    <mergeCell ref="V7:V8"/>
  </mergeCells>
  <conditionalFormatting sqref="C8:Q8">
    <cfRule type="timePeriod" dxfId="4" priority="3" timePeriod="lastWeek">
      <formula>AND(TODAY()-ROUNDDOWN(C8,0)&gt;=(WEEKDAY(TODAY())),TODAY()-ROUNDDOWN(C8,0)&lt;(WEEKDAY(TODAY())+7))</formula>
    </cfRule>
  </conditionalFormatting>
  <conditionalFormatting sqref="S8:T8">
    <cfRule type="timePeriod" dxfId="3" priority="2" timePeriod="lastWeek">
      <formula>AND(TODAY()-ROUNDDOWN(S8,0)&gt;=(WEEKDAY(TODAY())),TODAY()-ROUNDDOWN(S8,0)&lt;(WEEKDAY(TODAY())+7))</formula>
    </cfRule>
  </conditionalFormatting>
  <conditionalFormatting sqref="C9:J9 L9:Q9">
    <cfRule type="timePeriod" dxfId="2" priority="1" timePeriod="lastWeek">
      <formula>AND(TODAY()-ROUNDDOWN(C9,0)&gt;=(WEEKDAY(TODAY())),TODAY()-ROUNDDOWN(C9,0)&lt;(WEEKDAY(TODAY())+7))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D67-A19B-47A3-B640-FDE06E34F50E}">
  <dimension ref="A2:V33"/>
  <sheetViews>
    <sheetView showGridLines="0" topLeftCell="A16" zoomScale="145" zoomScaleNormal="145" workbookViewId="0">
      <selection activeCell="B33" sqref="B33"/>
    </sheetView>
  </sheetViews>
  <sheetFormatPr defaultRowHeight="15" x14ac:dyDescent="0.25"/>
  <cols>
    <col min="1" max="1" width="2.140625" bestFit="1" customWidth="1"/>
    <col min="2" max="2" width="60.5703125" bestFit="1" customWidth="1"/>
    <col min="3" max="3" width="14" bestFit="1" customWidth="1"/>
    <col min="4" max="5" width="11.28515625" bestFit="1" customWidth="1"/>
    <col min="6" max="6" width="2.28515625" customWidth="1"/>
    <col min="7" max="9" width="10.140625" bestFit="1" customWidth="1"/>
    <col min="10" max="10" width="11" bestFit="1" customWidth="1"/>
    <col min="11" max="11" width="10.140625" bestFit="1" customWidth="1"/>
    <col min="12" max="13" width="9.7109375" bestFit="1" customWidth="1"/>
    <col min="14" max="14" width="11" bestFit="1" customWidth="1"/>
    <col min="15" max="16" width="9.7109375" bestFit="1" customWidth="1"/>
    <col min="17" max="17" width="11.7109375" bestFit="1" customWidth="1"/>
    <col min="18" max="18" width="2.28515625" customWidth="1"/>
    <col min="19" max="20" width="9.7109375" bestFit="1" customWidth="1"/>
    <col min="22" max="22" width="8.85546875" bestFit="1" customWidth="1"/>
  </cols>
  <sheetData>
    <row r="2" spans="1:22" s="6" customFormat="1" x14ac:dyDescent="0.25">
      <c r="B2" s="103" t="s">
        <v>59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2" s="6" customFormat="1" x14ac:dyDescent="0.25">
      <c r="B3" s="104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2" s="6" customFormat="1" ht="5.25" customHeight="1" x14ac:dyDescent="0.25">
      <c r="B4" s="10"/>
    </row>
    <row r="5" spans="1:22" s="6" customFormat="1" ht="15.75" thickBot="1" x14ac:dyDescent="0.3">
      <c r="B5" s="11"/>
      <c r="C5" s="11" t="s">
        <v>1</v>
      </c>
      <c r="D5" s="11"/>
      <c r="E5" s="11"/>
      <c r="G5" s="11" t="s">
        <v>2</v>
      </c>
      <c r="H5" s="11"/>
      <c r="I5" s="11"/>
      <c r="J5" s="11"/>
      <c r="K5" s="11"/>
      <c r="L5" s="11"/>
      <c r="M5" s="11"/>
      <c r="N5" s="11"/>
      <c r="O5" s="11"/>
      <c r="P5" s="11"/>
      <c r="Q5" s="11"/>
      <c r="S5" s="11" t="s">
        <v>3</v>
      </c>
      <c r="T5" s="11"/>
      <c r="U5" s="12"/>
      <c r="V5" s="11" t="s">
        <v>4</v>
      </c>
    </row>
    <row r="6" spans="1:22" s="6" customFormat="1" ht="4.5" customHeight="1" x14ac:dyDescent="0.25"/>
    <row r="7" spans="1:22" s="6" customFormat="1" x14ac:dyDescent="0.25">
      <c r="A7" s="6" t="s">
        <v>5</v>
      </c>
      <c r="B7" s="103" t="s">
        <v>139</v>
      </c>
      <c r="C7" s="105" t="s">
        <v>7</v>
      </c>
      <c r="D7" s="105" t="s">
        <v>8</v>
      </c>
      <c r="E7" s="105" t="s">
        <v>9</v>
      </c>
      <c r="F7" s="102"/>
      <c r="G7" s="105" t="s">
        <v>10</v>
      </c>
      <c r="H7" s="105" t="s">
        <v>11</v>
      </c>
      <c r="I7" s="105" t="s">
        <v>12</v>
      </c>
      <c r="J7" s="105" t="s">
        <v>13</v>
      </c>
      <c r="K7" s="105" t="s">
        <v>14</v>
      </c>
      <c r="L7" s="105" t="s">
        <v>15</v>
      </c>
      <c r="M7" s="105" t="s">
        <v>16</v>
      </c>
      <c r="N7" s="105" t="s">
        <v>17</v>
      </c>
      <c r="O7" s="105" t="s">
        <v>18</v>
      </c>
      <c r="P7" s="105" t="s">
        <v>19</v>
      </c>
      <c r="Q7" s="105" t="s">
        <v>20</v>
      </c>
      <c r="R7" s="102"/>
      <c r="S7" s="105" t="str">
        <f>M7</f>
        <v>3Q23</v>
      </c>
      <c r="T7" s="105" t="str">
        <f>Q7</f>
        <v>3Q24</v>
      </c>
      <c r="U7" s="14"/>
      <c r="V7" s="87" t="s">
        <v>21</v>
      </c>
    </row>
    <row r="8" spans="1:22" s="6" customFormat="1" x14ac:dyDescent="0.25">
      <c r="B8" s="1" t="s">
        <v>58</v>
      </c>
      <c r="C8" s="106">
        <v>44561</v>
      </c>
      <c r="D8" s="106">
        <v>44926</v>
      </c>
      <c r="E8" s="106">
        <v>45291</v>
      </c>
      <c r="F8" s="102"/>
      <c r="G8" s="107">
        <v>44651</v>
      </c>
      <c r="H8" s="107">
        <v>44742</v>
      </c>
      <c r="I8" s="107">
        <v>44834</v>
      </c>
      <c r="J8" s="107">
        <v>44926</v>
      </c>
      <c r="K8" s="107">
        <v>45016</v>
      </c>
      <c r="L8" s="107">
        <v>45107</v>
      </c>
      <c r="M8" s="107">
        <v>45199</v>
      </c>
      <c r="N8" s="107">
        <v>45291</v>
      </c>
      <c r="O8" s="107">
        <v>45382</v>
      </c>
      <c r="P8" s="107">
        <v>45473</v>
      </c>
      <c r="Q8" s="107">
        <v>45565</v>
      </c>
      <c r="R8" s="102"/>
      <c r="S8" s="107">
        <f>M8</f>
        <v>45199</v>
      </c>
      <c r="T8" s="107">
        <f>Q8</f>
        <v>45565</v>
      </c>
      <c r="U8" s="17"/>
      <c r="V8" s="87"/>
    </row>
    <row r="9" spans="1:22" x14ac:dyDescent="0.25">
      <c r="B9" s="119" t="s">
        <v>140</v>
      </c>
    </row>
    <row r="10" spans="1:22" x14ac:dyDescent="0.25">
      <c r="B10" t="str">
        <f>'Base Financials'!B33</f>
        <v>Cash and cash equivalents</v>
      </c>
      <c r="C10" s="48">
        <f>'Base Financials'!C33</f>
        <v>39648</v>
      </c>
      <c r="D10" s="48">
        <f>'Base Financials'!D33</f>
        <v>18592</v>
      </c>
      <c r="E10" s="48">
        <f>'Base Financials'!E33</f>
        <v>25660</v>
      </c>
      <c r="G10" s="48">
        <f>'Base Financials'!G33</f>
        <v>31606</v>
      </c>
      <c r="H10" s="48">
        <f>'Base Financials'!H33</f>
        <v>24178</v>
      </c>
      <c r="I10" s="48">
        <f>'Base Financials'!I33</f>
        <v>15831</v>
      </c>
      <c r="J10" s="48">
        <f>'Base Financials'!J33</f>
        <v>18592</v>
      </c>
      <c r="K10" s="48">
        <f>'Base Financials'!K33</f>
        <v>17799</v>
      </c>
      <c r="L10" s="48">
        <f>'Base Financials'!L33</f>
        <v>17966</v>
      </c>
      <c r="M10" s="48">
        <f>'Base Financials'!M33</f>
        <v>20362</v>
      </c>
      <c r="N10" s="48">
        <f>'Base Financials'!N33</f>
        <v>25660</v>
      </c>
      <c r="O10" s="48">
        <f>'Base Financials'!O33</f>
        <v>23555</v>
      </c>
      <c r="P10" s="48">
        <f>'Base Financials'!P33</f>
        <v>25598</v>
      </c>
      <c r="Q10" s="48">
        <f>'Base Financials'!Q33</f>
        <v>27060</v>
      </c>
      <c r="S10" s="23">
        <f>M10</f>
        <v>20362</v>
      </c>
      <c r="T10" s="23">
        <f>Q10</f>
        <v>27060</v>
      </c>
    </row>
    <row r="11" spans="1:22" x14ac:dyDescent="0.25">
      <c r="B11" t="s">
        <v>141</v>
      </c>
      <c r="S11" s="23">
        <f t="shared" ref="S10:S11" si="0">SUM(J11:M11)</f>
        <v>0</v>
      </c>
      <c r="T11" s="23">
        <f t="shared" ref="T10:T11" si="1">SUM(N11:Q11)</f>
        <v>0</v>
      </c>
    </row>
    <row r="12" spans="1:22" x14ac:dyDescent="0.25">
      <c r="B12" s="117" t="s">
        <v>142</v>
      </c>
      <c r="C12" s="118">
        <f>SUM(C10:C11)</f>
        <v>39648</v>
      </c>
      <c r="D12" s="118">
        <f t="shared" ref="D12:E12" si="2">SUM(D10:D11)</f>
        <v>18592</v>
      </c>
      <c r="E12" s="118">
        <f t="shared" si="2"/>
        <v>25660</v>
      </c>
      <c r="G12" s="118">
        <f t="shared" ref="G12" si="3">SUM(G10:G11)</f>
        <v>31606</v>
      </c>
      <c r="H12" s="118">
        <f t="shared" ref="H12" si="4">SUM(H10:H11)</f>
        <v>24178</v>
      </c>
      <c r="I12" s="118">
        <f t="shared" ref="I12" si="5">SUM(I10:I11)</f>
        <v>15831</v>
      </c>
      <c r="J12" s="118">
        <f t="shared" ref="J12" si="6">SUM(J10:J11)</f>
        <v>18592</v>
      </c>
      <c r="K12" s="118">
        <f t="shared" ref="K12" si="7">SUM(K10:K11)</f>
        <v>17799</v>
      </c>
      <c r="L12" s="118">
        <f t="shared" ref="L12" si="8">SUM(L10:L11)</f>
        <v>17966</v>
      </c>
      <c r="M12" s="118">
        <f t="shared" ref="M12" si="9">SUM(M10:M11)</f>
        <v>20362</v>
      </c>
      <c r="N12" s="118">
        <f t="shared" ref="N12" si="10">SUM(N10:N11)</f>
        <v>25660</v>
      </c>
      <c r="O12" s="118">
        <f t="shared" ref="O12" si="11">SUM(O10:O11)</f>
        <v>23555</v>
      </c>
      <c r="P12" s="118">
        <f t="shared" ref="P12" si="12">SUM(P10:P11)</f>
        <v>25598</v>
      </c>
      <c r="Q12" s="118">
        <f t="shared" ref="Q12" si="13">SUM(Q10:Q11)</f>
        <v>27060</v>
      </c>
      <c r="S12" s="28">
        <f>SUM(S10:S11)</f>
        <v>20362</v>
      </c>
      <c r="T12" s="28">
        <f>SUM(T10:T11)</f>
        <v>27060</v>
      </c>
    </row>
    <row r="13" spans="1:22" x14ac:dyDescent="0.25">
      <c r="B13" s="31" t="s">
        <v>24</v>
      </c>
      <c r="C13" s="32"/>
      <c r="D13" s="22">
        <f>D12/C12-1</f>
        <v>-0.53107344632768361</v>
      </c>
      <c r="E13" s="22">
        <f>E12/D12-1</f>
        <v>0.38016351118760761</v>
      </c>
      <c r="H13" s="22">
        <f>H12/G12-1</f>
        <v>-0.23501866734164401</v>
      </c>
      <c r="I13" s="22">
        <f t="shared" ref="I13" si="14">I12/H12-1</f>
        <v>-0.34523120191910006</v>
      </c>
      <c r="J13" s="22">
        <f t="shared" ref="J13" si="15">J12/I12-1</f>
        <v>0.17440464910618414</v>
      </c>
      <c r="K13" s="22">
        <f t="shared" ref="K13" si="16">K12/J12-1</f>
        <v>-4.2652753872633342E-2</v>
      </c>
      <c r="L13" s="22">
        <f t="shared" ref="L13" si="17">L12/K12-1</f>
        <v>9.3825495814372495E-3</v>
      </c>
      <c r="M13" s="22">
        <f t="shared" ref="M13" si="18">M12/L12-1</f>
        <v>0.13336301903595671</v>
      </c>
      <c r="N13" s="22">
        <f t="shared" ref="N13" si="19">N12/M12-1</f>
        <v>0.26019055102642175</v>
      </c>
      <c r="O13" s="22">
        <f t="shared" ref="O13" si="20">O12/N12-1</f>
        <v>-8.2034294621979753E-2</v>
      </c>
      <c r="P13" s="22">
        <f t="shared" ref="P13" si="21">P12/O12-1</f>
        <v>8.6733177669284567E-2</v>
      </c>
      <c r="Q13" s="22">
        <f t="shared" ref="Q13" si="22">Q12/P12-1</f>
        <v>5.7113837018517133E-2</v>
      </c>
      <c r="S13" s="120"/>
      <c r="T13" s="22">
        <f>T12/S12-1</f>
        <v>0.32894607602396619</v>
      </c>
    </row>
    <row r="14" spans="1:22" x14ac:dyDescent="0.25">
      <c r="S14" s="6"/>
      <c r="T14" s="22"/>
    </row>
    <row r="15" spans="1:22" x14ac:dyDescent="0.25">
      <c r="B15" s="119" t="s">
        <v>143</v>
      </c>
    </row>
    <row r="16" spans="1:22" x14ac:dyDescent="0.25">
      <c r="B16" t="s">
        <v>55</v>
      </c>
      <c r="C16" s="48">
        <f>'Base Financials'!C96</f>
        <v>27142</v>
      </c>
      <c r="D16" s="48">
        <f>'Base Financials'!D96</f>
        <v>39648</v>
      </c>
      <c r="E16" s="48">
        <f>'Base Financials'!E96</f>
        <v>18592</v>
      </c>
      <c r="G16" s="48">
        <f>'Base Financials'!G96</f>
        <v>39648</v>
      </c>
      <c r="H16" s="48">
        <f>'Base Financials'!H96</f>
        <v>39648</v>
      </c>
      <c r="I16" s="48">
        <f>'Base Financials'!I96</f>
        <v>39648</v>
      </c>
      <c r="J16" s="48">
        <f>'Base Financials'!J96</f>
        <v>39648</v>
      </c>
      <c r="K16" s="48">
        <f>'Base Financials'!K96</f>
        <v>18592</v>
      </c>
      <c r="L16" s="48">
        <f>'Base Financials'!L96</f>
        <v>18592</v>
      </c>
      <c r="M16" s="48">
        <f>'Base Financials'!M96</f>
        <v>18592</v>
      </c>
      <c r="N16" s="48">
        <f>'Base Financials'!N96</f>
        <v>18592</v>
      </c>
      <c r="O16" s="48">
        <f>'Base Financials'!O96</f>
        <v>25660</v>
      </c>
      <c r="P16" s="48">
        <f>'Base Financials'!P96</f>
        <v>25660</v>
      </c>
      <c r="Q16" s="48">
        <f>'Base Financials'!Q96</f>
        <v>25660</v>
      </c>
      <c r="S16" s="23">
        <f>M16</f>
        <v>18592</v>
      </c>
      <c r="T16" s="23">
        <f>Q16</f>
        <v>25660</v>
      </c>
    </row>
    <row r="17" spans="2:20" x14ac:dyDescent="0.25">
      <c r="B17" t="s">
        <v>56</v>
      </c>
      <c r="C17" s="48">
        <f>'Base Financials'!C97</f>
        <v>39648</v>
      </c>
      <c r="D17" s="48">
        <f>'Base Financials'!D97</f>
        <v>18592</v>
      </c>
      <c r="E17" s="48">
        <f>'Base Financials'!E97</f>
        <v>25660</v>
      </c>
      <c r="G17" s="48">
        <f>'Base Financials'!G97</f>
        <v>31606</v>
      </c>
      <c r="H17" s="48">
        <f>'Base Financials'!H97</f>
        <v>24178</v>
      </c>
      <c r="I17" s="48">
        <f>'Base Financials'!I97</f>
        <v>15831</v>
      </c>
      <c r="J17" s="48">
        <f>'Base Financials'!J97</f>
        <v>18592</v>
      </c>
      <c r="K17" s="48">
        <f>'Base Financials'!K97</f>
        <v>17999</v>
      </c>
      <c r="L17" s="48">
        <f>'Base Financials'!L97</f>
        <v>17966</v>
      </c>
      <c r="M17" s="48">
        <f>'Base Financials'!M97</f>
        <v>20362</v>
      </c>
      <c r="N17" s="48">
        <f>'Base Financials'!N97</f>
        <v>25660</v>
      </c>
      <c r="O17" s="48">
        <f>'Base Financials'!O97</f>
        <v>23555</v>
      </c>
      <c r="P17" s="48">
        <f>'Base Financials'!P97</f>
        <v>25598</v>
      </c>
      <c r="Q17" s="48">
        <f>'Base Financials'!Q97</f>
        <v>27060</v>
      </c>
      <c r="S17" s="23">
        <f>M17</f>
        <v>20362</v>
      </c>
      <c r="T17" s="23">
        <f>Q17</f>
        <v>27060</v>
      </c>
    </row>
    <row r="18" spans="2:20" x14ac:dyDescent="0.25">
      <c r="B18" s="117" t="s">
        <v>144</v>
      </c>
      <c r="C18" s="118">
        <f>SUM(C17-C16)</f>
        <v>12506</v>
      </c>
      <c r="D18" s="118">
        <f t="shared" ref="D18:E18" si="23">SUM(D17-D16)</f>
        <v>-21056</v>
      </c>
      <c r="E18" s="118">
        <f>SUM(E17-E16)</f>
        <v>7068</v>
      </c>
      <c r="G18" s="118">
        <f t="shared" ref="G18:Q18" si="24">SUM(G17-G16)</f>
        <v>-8042</v>
      </c>
      <c r="H18" s="118">
        <f t="shared" si="24"/>
        <v>-15470</v>
      </c>
      <c r="I18" s="118">
        <f t="shared" si="24"/>
        <v>-23817</v>
      </c>
      <c r="J18" s="118">
        <f t="shared" si="24"/>
        <v>-21056</v>
      </c>
      <c r="K18" s="118">
        <f t="shared" si="24"/>
        <v>-593</v>
      </c>
      <c r="L18" s="118">
        <f t="shared" si="24"/>
        <v>-626</v>
      </c>
      <c r="M18" s="118">
        <f t="shared" si="24"/>
        <v>1770</v>
      </c>
      <c r="N18" s="118">
        <f t="shared" si="24"/>
        <v>7068</v>
      </c>
      <c r="O18" s="118">
        <f t="shared" si="24"/>
        <v>-2105</v>
      </c>
      <c r="P18" s="118">
        <f t="shared" si="24"/>
        <v>-62</v>
      </c>
      <c r="Q18" s="118">
        <f t="shared" si="24"/>
        <v>1400</v>
      </c>
      <c r="S18" s="118">
        <f t="shared" ref="S18" si="25">SUM(S17-S16)</f>
        <v>1770</v>
      </c>
      <c r="T18" s="118">
        <f t="shared" ref="T18" si="26">SUM(T17-T16)</f>
        <v>1400</v>
      </c>
    </row>
    <row r="19" spans="2:20" x14ac:dyDescent="0.25">
      <c r="B19" s="31" t="s">
        <v>24</v>
      </c>
      <c r="C19" s="32"/>
      <c r="D19" s="22">
        <f>D18/C18-1</f>
        <v>-2.6836718375179913</v>
      </c>
      <c r="E19" s="22">
        <f>E18/D18-1</f>
        <v>-1.3356762917933132</v>
      </c>
      <c r="H19" s="22">
        <f>H18/G18-1</f>
        <v>0.92365083312608798</v>
      </c>
      <c r="I19" s="22">
        <f t="shared" ref="I19:Q19" si="27">I18/H18-1</f>
        <v>0.53956043956043964</v>
      </c>
      <c r="J19" s="22">
        <f t="shared" si="27"/>
        <v>-0.11592559936180036</v>
      </c>
      <c r="K19" s="22">
        <f t="shared" si="27"/>
        <v>-0.97183700607902734</v>
      </c>
      <c r="L19" s="22">
        <f t="shared" si="27"/>
        <v>5.5649241146711548E-2</v>
      </c>
      <c r="M19" s="22">
        <f t="shared" si="27"/>
        <v>-3.8274760383386583</v>
      </c>
      <c r="N19" s="22">
        <f t="shared" si="27"/>
        <v>2.993220338983051</v>
      </c>
      <c r="O19" s="22">
        <f t="shared" si="27"/>
        <v>-1.2978211658177703</v>
      </c>
      <c r="P19" s="22">
        <f t="shared" si="27"/>
        <v>-0.97054631828978621</v>
      </c>
      <c r="Q19" s="22">
        <f t="shared" si="27"/>
        <v>-23.580645161290324</v>
      </c>
      <c r="T19" s="22">
        <f>T18/S18-1</f>
        <v>-0.20903954802259883</v>
      </c>
    </row>
    <row r="21" spans="2:20" x14ac:dyDescent="0.25">
      <c r="B21" s="119" t="s">
        <v>145</v>
      </c>
    </row>
    <row r="22" spans="2:20" x14ac:dyDescent="0.25">
      <c r="B22" s="102" t="s">
        <v>70</v>
      </c>
      <c r="C22" s="48">
        <f>'Base Financials'!C27</f>
        <v>58527</v>
      </c>
      <c r="D22" s="48">
        <f>'Base Financials'!D27</f>
        <v>59391</v>
      </c>
      <c r="E22" s="48">
        <f>'Base Financials'!E27</f>
        <v>60159</v>
      </c>
      <c r="G22" s="48">
        <f>'Base Financials'!G27</f>
        <v>59354</v>
      </c>
      <c r="H22" s="48">
        <f>'Base Financials'!H27</f>
        <v>59389</v>
      </c>
      <c r="I22" s="48">
        <f>'Base Financials'!I27</f>
        <v>59396</v>
      </c>
      <c r="J22" s="48">
        <f>'Base Financials'!J27</f>
        <v>59391</v>
      </c>
      <c r="K22" s="48">
        <f>'Base Financials'!K27</f>
        <v>59480</v>
      </c>
      <c r="L22" s="48">
        <f>'Base Financials'!L27</f>
        <v>59582</v>
      </c>
      <c r="M22" s="48">
        <f>'Base Financials'!M27</f>
        <v>59704</v>
      </c>
      <c r="N22" s="48">
        <f>'Base Financials'!N27</f>
        <v>60159</v>
      </c>
      <c r="O22" s="48">
        <f>'Base Financials'!O27</f>
        <v>61976</v>
      </c>
      <c r="P22" s="48">
        <f>'Base Financials'!P27</f>
        <v>62233</v>
      </c>
      <c r="Q22" s="48">
        <f>'Base Financials'!Q27</f>
        <v>62278</v>
      </c>
    </row>
    <row r="23" spans="2:20" x14ac:dyDescent="0.25">
      <c r="B23" s="117" t="s">
        <v>146</v>
      </c>
      <c r="C23" s="130">
        <f>C10/C22</f>
        <v>0.6774309293146753</v>
      </c>
      <c r="D23" s="130">
        <f t="shared" ref="D23:E23" si="28">D10/D22</f>
        <v>0.31304406391540807</v>
      </c>
      <c r="E23" s="130">
        <f t="shared" si="28"/>
        <v>0.42653634535148521</v>
      </c>
      <c r="G23" s="130">
        <f t="shared" ref="G23" si="29">G10/G22</f>
        <v>0.53249991575967925</v>
      </c>
      <c r="H23" s="130">
        <f t="shared" ref="H23" si="30">H10/H22</f>
        <v>0.40711242822744953</v>
      </c>
      <c r="I23" s="130">
        <f t="shared" ref="I23" si="31">I10/I22</f>
        <v>0.26653309987204526</v>
      </c>
      <c r="J23" s="130">
        <f t="shared" ref="J23" si="32">J10/J22</f>
        <v>0.31304406391540807</v>
      </c>
      <c r="K23" s="130">
        <f t="shared" ref="K23" si="33">K10/K22</f>
        <v>0.29924344317417617</v>
      </c>
      <c r="L23" s="130">
        <f t="shared" ref="L23" si="34">L10/L22</f>
        <v>0.30153402034171395</v>
      </c>
      <c r="M23" s="130">
        <f t="shared" ref="M23" si="35">M10/M22</f>
        <v>0.34104917593461076</v>
      </c>
      <c r="N23" s="130">
        <f t="shared" ref="N23" si="36">N10/N22</f>
        <v>0.42653634535148521</v>
      </c>
      <c r="O23" s="130">
        <f t="shared" ref="O23" si="37">O10/O22</f>
        <v>0.38006647734606946</v>
      </c>
      <c r="P23" s="130">
        <f t="shared" ref="P23" si="38">P10/P22</f>
        <v>0.41132518117397521</v>
      </c>
      <c r="Q23" s="130">
        <f t="shared" ref="Q23" si="39">Q10/Q22</f>
        <v>0.43450335592022865</v>
      </c>
    </row>
    <row r="25" spans="2:20" x14ac:dyDescent="0.25">
      <c r="B25" s="119" t="s">
        <v>147</v>
      </c>
    </row>
    <row r="26" spans="2:20" x14ac:dyDescent="0.25">
      <c r="B26" t="s">
        <v>148</v>
      </c>
      <c r="C26" s="131">
        <v>10000000</v>
      </c>
      <c r="Q26" s="131">
        <v>10000000</v>
      </c>
    </row>
    <row r="27" spans="2:20" x14ac:dyDescent="0.25">
      <c r="B27" t="s">
        <v>149</v>
      </c>
      <c r="C27" s="131">
        <v>10000000</v>
      </c>
    </row>
    <row r="28" spans="2:20" x14ac:dyDescent="0.25">
      <c r="B28" t="s">
        <v>150</v>
      </c>
      <c r="E28" s="131">
        <v>307780</v>
      </c>
    </row>
    <row r="29" spans="2:20" x14ac:dyDescent="0.25">
      <c r="B29" t="s">
        <v>151</v>
      </c>
      <c r="E29" s="131">
        <v>6000000</v>
      </c>
    </row>
    <row r="32" spans="2:20" x14ac:dyDescent="0.25">
      <c r="B32" t="s">
        <v>152</v>
      </c>
    </row>
    <row r="33" spans="2:2" x14ac:dyDescent="0.25">
      <c r="B33" t="s">
        <v>102</v>
      </c>
    </row>
  </sheetData>
  <mergeCells count="1">
    <mergeCell ref="V7:V8"/>
  </mergeCells>
  <conditionalFormatting sqref="C8:Q8">
    <cfRule type="timePeriod" dxfId="1" priority="2" timePeriod="lastWeek">
      <formula>AND(TODAY()-ROUNDDOWN(C8,0)&gt;=(WEEKDAY(TODAY())),TODAY()-ROUNDDOWN(C8,0)&lt;(WEEKDAY(TODAY())+7))</formula>
    </cfRule>
  </conditionalFormatting>
  <conditionalFormatting sqref="S8:T8">
    <cfRule type="timePeriod" dxfId="0" priority="1" timePeriod="lastWeek">
      <formula>AND(TODAY()-ROUNDDOWN(S8,0)&gt;=(WEEKDAY(TODAY())),TODAY()-ROUNDDOWN(S8,0)&lt;(WEEKDAY(TODAY())+7))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764-8300-4A5C-AF2F-4C54340D74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Background</vt:lpstr>
      <vt:lpstr>Base Financials</vt:lpstr>
      <vt:lpstr>FCF Analysis</vt:lpstr>
      <vt:lpstr>Leverage &amp; Liquidity Profile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Garcia</dc:creator>
  <cp:lastModifiedBy>Felix Garcia</cp:lastModifiedBy>
  <cp:lastPrinted>2024-12-11T18:33:05Z</cp:lastPrinted>
  <dcterms:created xsi:type="dcterms:W3CDTF">2024-12-10T22:43:30Z</dcterms:created>
  <dcterms:modified xsi:type="dcterms:W3CDTF">2024-12-11T18:33:15Z</dcterms:modified>
</cp:coreProperties>
</file>