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92482D40-2299-48F8-B823-DAC74E595370}" xr6:coauthVersionLast="47" xr6:coauthVersionMax="47" xr10:uidLastSave="{00000000-0000-0000-0000-000000000000}"/>
  <bookViews>
    <workbookView xWindow="-120" yWindow="-120" windowWidth="29040" windowHeight="15720" xr2:uid="{D8DF2202-62BF-453D-A849-EFD132DF8234}"/>
  </bookViews>
  <sheets>
    <sheet name="Base Financials " sheetId="4" r:id="rId1"/>
    <sheet name="FCF" sheetId="11" r:id="rId2"/>
    <sheet name=" Segment Data" sheetId="6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13" i="4" l="1"/>
  <c r="AK112" i="4"/>
  <c r="AK111" i="4"/>
  <c r="AK110" i="4"/>
  <c r="AK109" i="4"/>
  <c r="AK108" i="4"/>
  <c r="AK107" i="4"/>
  <c r="AK106" i="4"/>
  <c r="AK105" i="4"/>
  <c r="AK104" i="4"/>
  <c r="AK103" i="4"/>
  <c r="AK100" i="4"/>
  <c r="AK99" i="4"/>
  <c r="AK98" i="4"/>
  <c r="AK97" i="4"/>
  <c r="AK94" i="4"/>
  <c r="AK93" i="4"/>
  <c r="AK92" i="4"/>
  <c r="AK91" i="4"/>
  <c r="AK90" i="4"/>
  <c r="AK89" i="4"/>
  <c r="AK88" i="4"/>
  <c r="AK87" i="4"/>
  <c r="AK86" i="4"/>
  <c r="AK85" i="4"/>
  <c r="AK82" i="4"/>
  <c r="AK81" i="4"/>
  <c r="AK80" i="4"/>
  <c r="AK79" i="4"/>
  <c r="AK78" i="4"/>
  <c r="AK77" i="4"/>
  <c r="AK76" i="4"/>
  <c r="AK75" i="4"/>
  <c r="AK73" i="4"/>
  <c r="AK68" i="4"/>
  <c r="AK67" i="4"/>
  <c r="AK66" i="4"/>
  <c r="AK65" i="4"/>
  <c r="AK64" i="4"/>
  <c r="AK63" i="4"/>
  <c r="AK61" i="4"/>
  <c r="AK60" i="4"/>
  <c r="AK59" i="4"/>
  <c r="AK58" i="4"/>
  <c r="AK55" i="4"/>
  <c r="AK54" i="4"/>
  <c r="AK53" i="4"/>
  <c r="AK52" i="4"/>
  <c r="AK51" i="4"/>
  <c r="AK50" i="4"/>
  <c r="AK48" i="4"/>
  <c r="AK47" i="4"/>
  <c r="AK46" i="4"/>
  <c r="AK45" i="4"/>
  <c r="AK44" i="4"/>
  <c r="AK43" i="4"/>
  <c r="AK42" i="4"/>
  <c r="AK40" i="4"/>
  <c r="AK39" i="4"/>
  <c r="AK38" i="4"/>
  <c r="AK37" i="4"/>
  <c r="AK36" i="4"/>
  <c r="AK35" i="4"/>
  <c r="AK31" i="4"/>
  <c r="AK24" i="4"/>
  <c r="AK18" i="4"/>
  <c r="AI18" i="4"/>
  <c r="AH18" i="4"/>
  <c r="AG18" i="4"/>
  <c r="AF18" i="4"/>
  <c r="AE18" i="4"/>
  <c r="AD18" i="4"/>
  <c r="AC18" i="4"/>
  <c r="AB18" i="4"/>
  <c r="AA18" i="4"/>
  <c r="Z18" i="4"/>
  <c r="Y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E18" i="4"/>
  <c r="D18" i="4"/>
  <c r="C18" i="4"/>
  <c r="H18" i="4"/>
  <c r="G18" i="4"/>
  <c r="F18" i="4"/>
  <c r="AK30" i="4"/>
  <c r="AK29" i="4"/>
  <c r="AK27" i="4"/>
  <c r="AK26" i="4"/>
  <c r="AK23" i="4"/>
  <c r="AK22" i="4"/>
  <c r="AK21" i="4"/>
  <c r="AK20" i="4"/>
  <c r="AK17" i="4"/>
  <c r="AK16" i="4"/>
  <c r="AK14" i="4"/>
  <c r="AK13" i="4"/>
  <c r="AK12" i="4"/>
  <c r="AK11" i="4"/>
  <c r="AK10" i="4"/>
  <c r="AK9" i="4"/>
  <c r="AK8" i="4"/>
  <c r="Y119" i="4"/>
  <c r="Y118" i="4"/>
  <c r="Y117" i="4"/>
  <c r="Y116" i="4"/>
  <c r="Y112" i="4"/>
  <c r="Y111" i="4"/>
  <c r="Y110" i="4"/>
  <c r="Y109" i="4"/>
  <c r="Y108" i="4"/>
  <c r="Y107" i="4"/>
  <c r="Y106" i="4"/>
  <c r="Y105" i="4"/>
  <c r="Y113" i="4" s="1"/>
  <c r="Y104" i="4"/>
  <c r="Y103" i="4"/>
  <c r="Y99" i="4"/>
  <c r="Y98" i="4"/>
  <c r="Y100" i="4" s="1"/>
  <c r="Y97" i="4"/>
  <c r="Y93" i="4"/>
  <c r="Y92" i="4"/>
  <c r="Y91" i="4"/>
  <c r="Y90" i="4"/>
  <c r="Y89" i="4"/>
  <c r="Y88" i="4"/>
  <c r="Y87" i="4"/>
  <c r="Y86" i="4"/>
  <c r="Y85" i="4"/>
  <c r="Y82" i="4"/>
  <c r="Y81" i="4"/>
  <c r="Y80" i="4"/>
  <c r="Y79" i="4"/>
  <c r="Y78" i="4"/>
  <c r="Y77" i="4"/>
  <c r="Y76" i="4"/>
  <c r="Y73" i="4"/>
  <c r="Y94" i="4" s="1"/>
  <c r="Y68" i="4"/>
  <c r="Y66" i="4"/>
  <c r="Y65" i="4"/>
  <c r="Y64" i="4"/>
  <c r="Y63" i="4"/>
  <c r="Y67" i="4" s="1"/>
  <c r="Y60" i="4"/>
  <c r="Y59" i="4"/>
  <c r="Y58" i="4"/>
  <c r="Y55" i="4"/>
  <c r="Y54" i="4"/>
  <c r="Y53" i="4"/>
  <c r="Y52" i="4"/>
  <c r="Y51" i="4"/>
  <c r="Y56" i="4" s="1"/>
  <c r="Y61" i="4" s="1"/>
  <c r="Y50" i="4"/>
  <c r="Y47" i="4"/>
  <c r="Y46" i="4"/>
  <c r="Y45" i="4"/>
  <c r="Y44" i="4"/>
  <c r="Y43" i="4"/>
  <c r="Y42" i="4"/>
  <c r="Y39" i="4"/>
  <c r="Y38" i="4"/>
  <c r="Y37" i="4"/>
  <c r="Y36" i="4"/>
  <c r="Y35" i="4"/>
  <c r="Y40" i="4" s="1"/>
  <c r="Y48" i="4" s="1"/>
  <c r="Y29" i="4"/>
  <c r="Y26" i="4"/>
  <c r="Y22" i="4"/>
  <c r="Y21" i="4"/>
  <c r="Y20" i="4"/>
  <c r="Y16" i="4"/>
  <c r="Y13" i="4"/>
  <c r="Y12" i="4"/>
  <c r="Y11" i="4"/>
  <c r="Y10" i="4"/>
  <c r="Y14" i="4" s="1"/>
  <c r="Y17" i="4" s="1"/>
  <c r="Y9" i="4"/>
  <c r="Y8" i="4"/>
  <c r="Y4" i="4"/>
  <c r="Y3" i="4"/>
  <c r="AA104" i="4"/>
  <c r="Z104" i="4"/>
  <c r="AA103" i="4"/>
  <c r="Z103" i="4"/>
  <c r="AA98" i="4"/>
  <c r="Z98" i="4"/>
  <c r="AA82" i="4"/>
  <c r="Z82" i="4"/>
  <c r="AA66" i="4"/>
  <c r="Z66" i="4"/>
  <c r="AA65" i="4"/>
  <c r="Z65" i="4"/>
  <c r="AA64" i="4"/>
  <c r="Z64" i="4"/>
  <c r="AA63" i="4"/>
  <c r="Z63" i="4"/>
  <c r="Z67" i="4" s="1"/>
  <c r="AA60" i="4"/>
  <c r="Z60" i="4"/>
  <c r="AA59" i="4"/>
  <c r="Z59" i="4"/>
  <c r="AA58" i="4"/>
  <c r="Z58" i="4"/>
  <c r="AA56" i="4"/>
  <c r="AA55" i="4"/>
  <c r="Z55" i="4"/>
  <c r="AA54" i="4"/>
  <c r="Z54" i="4"/>
  <c r="AA53" i="4"/>
  <c r="Z53" i="4"/>
  <c r="AA52" i="4"/>
  <c r="Z52" i="4"/>
  <c r="Z56" i="4" s="1"/>
  <c r="Z61" i="4" s="1"/>
  <c r="AA51" i="4"/>
  <c r="Z51" i="4"/>
  <c r="AA50" i="4"/>
  <c r="Z50" i="4"/>
  <c r="AA47" i="4"/>
  <c r="Z47" i="4"/>
  <c r="AA46" i="4"/>
  <c r="Z46" i="4"/>
  <c r="AA45" i="4"/>
  <c r="Z45" i="4"/>
  <c r="AA44" i="4"/>
  <c r="Z44" i="4"/>
  <c r="AA43" i="4"/>
  <c r="Z43" i="4"/>
  <c r="AA42" i="4"/>
  <c r="Z42" i="4"/>
  <c r="AA39" i="4"/>
  <c r="Z39" i="4"/>
  <c r="AA38" i="4"/>
  <c r="Z38" i="4"/>
  <c r="AA37" i="4"/>
  <c r="Z37" i="4"/>
  <c r="AA36" i="4"/>
  <c r="Z36" i="4"/>
  <c r="Z40" i="4" s="1"/>
  <c r="Z48" i="4" s="1"/>
  <c r="AA35" i="4"/>
  <c r="Z35" i="4"/>
  <c r="AA4" i="4"/>
  <c r="Z4" i="4"/>
  <c r="AA3" i="4"/>
  <c r="Z3" i="4"/>
  <c r="AC104" i="4"/>
  <c r="AB104" i="4"/>
  <c r="AC103" i="4"/>
  <c r="AB103" i="4"/>
  <c r="AC98" i="4"/>
  <c r="AB98" i="4"/>
  <c r="AC82" i="4"/>
  <c r="AB82" i="4"/>
  <c r="AB66" i="4"/>
  <c r="AB65" i="4"/>
  <c r="AB64" i="4"/>
  <c r="AB63" i="4"/>
  <c r="AB60" i="4"/>
  <c r="AB59" i="4"/>
  <c r="AB58" i="4"/>
  <c r="AB55" i="4"/>
  <c r="AB54" i="4"/>
  <c r="AB53" i="4"/>
  <c r="AB52" i="4"/>
  <c r="AB51" i="4"/>
  <c r="AB50" i="4"/>
  <c r="AB47" i="4"/>
  <c r="AB46" i="4"/>
  <c r="AB45" i="4"/>
  <c r="AB44" i="4"/>
  <c r="AB43" i="4"/>
  <c r="AB42" i="4"/>
  <c r="AB39" i="4"/>
  <c r="AB38" i="4"/>
  <c r="AB37" i="4"/>
  <c r="AB36" i="4"/>
  <c r="AB35" i="4"/>
  <c r="AC4" i="4"/>
  <c r="AB4" i="4"/>
  <c r="AC3" i="4"/>
  <c r="AB3" i="4"/>
  <c r="AE104" i="4"/>
  <c r="AD104" i="4"/>
  <c r="AE103" i="4"/>
  <c r="AD103" i="4"/>
  <c r="AE98" i="4"/>
  <c r="AD98" i="4"/>
  <c r="AE82" i="4"/>
  <c r="AD82" i="4"/>
  <c r="AE66" i="4"/>
  <c r="AD66" i="4"/>
  <c r="AE65" i="4"/>
  <c r="AD65" i="4"/>
  <c r="AE64" i="4"/>
  <c r="AD64" i="4"/>
  <c r="AE63" i="4"/>
  <c r="AD63" i="4"/>
  <c r="AE60" i="4"/>
  <c r="AD60" i="4"/>
  <c r="AE59" i="4"/>
  <c r="AD59" i="4"/>
  <c r="AE58" i="4"/>
  <c r="AD58" i="4"/>
  <c r="AE55" i="4"/>
  <c r="AD55" i="4"/>
  <c r="AE54" i="4"/>
  <c r="AD54" i="4"/>
  <c r="AE53" i="4"/>
  <c r="AD53" i="4"/>
  <c r="AE52" i="4"/>
  <c r="AD52" i="4"/>
  <c r="AE51" i="4"/>
  <c r="AD51" i="4"/>
  <c r="AE50" i="4"/>
  <c r="AD50" i="4"/>
  <c r="AE47" i="4"/>
  <c r="AD47" i="4"/>
  <c r="AE46" i="4"/>
  <c r="AD46" i="4"/>
  <c r="AE45" i="4"/>
  <c r="AD45" i="4"/>
  <c r="AE44" i="4"/>
  <c r="AD44" i="4"/>
  <c r="AE43" i="4"/>
  <c r="AD43" i="4"/>
  <c r="AE42" i="4"/>
  <c r="AD42" i="4"/>
  <c r="AE39" i="4"/>
  <c r="AD39" i="4"/>
  <c r="AE38" i="4"/>
  <c r="AD38" i="4"/>
  <c r="AE37" i="4"/>
  <c r="AD37" i="4"/>
  <c r="AE36" i="4"/>
  <c r="AD36" i="4"/>
  <c r="AE35" i="4"/>
  <c r="AD35" i="4"/>
  <c r="AE4" i="4"/>
  <c r="AD4" i="4"/>
  <c r="AE3" i="4"/>
  <c r="AD3" i="4"/>
  <c r="AH104" i="4"/>
  <c r="AG104" i="4"/>
  <c r="AF104" i="4"/>
  <c r="AH103" i="4"/>
  <c r="AG103" i="4"/>
  <c r="AF103" i="4"/>
  <c r="AH98" i="4"/>
  <c r="AG98" i="4"/>
  <c r="AF98" i="4"/>
  <c r="AH82" i="4"/>
  <c r="AG82" i="4"/>
  <c r="AF82" i="4"/>
  <c r="AH81" i="4"/>
  <c r="AG81" i="4"/>
  <c r="AH66" i="4"/>
  <c r="AF66" i="4"/>
  <c r="AH65" i="4"/>
  <c r="AF65" i="4"/>
  <c r="AH64" i="4"/>
  <c r="AF64" i="4"/>
  <c r="AH63" i="4"/>
  <c r="AF63" i="4"/>
  <c r="AH60" i="4"/>
  <c r="AF60" i="4"/>
  <c r="AH59" i="4"/>
  <c r="AF59" i="4"/>
  <c r="AH58" i="4"/>
  <c r="AF58" i="4"/>
  <c r="AH55" i="4"/>
  <c r="AF55" i="4"/>
  <c r="AH54" i="4"/>
  <c r="AF54" i="4"/>
  <c r="AH53" i="4"/>
  <c r="AF53" i="4"/>
  <c r="AH52" i="4"/>
  <c r="AF52" i="4"/>
  <c r="AH51" i="4"/>
  <c r="AF51" i="4"/>
  <c r="AH50" i="4"/>
  <c r="AF50" i="4"/>
  <c r="AH47" i="4"/>
  <c r="AF47" i="4"/>
  <c r="AH46" i="4"/>
  <c r="AF46" i="4"/>
  <c r="AH45" i="4"/>
  <c r="AF45" i="4"/>
  <c r="AH44" i="4"/>
  <c r="AF44" i="4"/>
  <c r="AH43" i="4"/>
  <c r="AF43" i="4"/>
  <c r="AH42" i="4"/>
  <c r="AF42" i="4"/>
  <c r="AH39" i="4"/>
  <c r="AF39" i="4"/>
  <c r="AH38" i="4"/>
  <c r="AF38" i="4"/>
  <c r="AH37" i="4"/>
  <c r="AF37" i="4"/>
  <c r="AH36" i="4"/>
  <c r="AF36" i="4"/>
  <c r="AH35" i="4"/>
  <c r="AF35" i="4"/>
  <c r="AH4" i="4"/>
  <c r="AF4" i="4"/>
  <c r="AH3" i="4"/>
  <c r="AG3" i="4"/>
  <c r="AF3" i="4"/>
  <c r="AI81" i="4"/>
  <c r="AI66" i="4"/>
  <c r="AI65" i="4"/>
  <c r="AI64" i="4"/>
  <c r="AI63" i="4"/>
  <c r="AI60" i="4"/>
  <c r="AI59" i="4"/>
  <c r="AI58" i="4"/>
  <c r="AI55" i="4"/>
  <c r="AI54" i="4"/>
  <c r="AI53" i="4"/>
  <c r="AI52" i="4"/>
  <c r="AI51" i="4"/>
  <c r="AI50" i="4"/>
  <c r="AI47" i="4"/>
  <c r="AI46" i="4"/>
  <c r="AI45" i="4"/>
  <c r="AI44" i="4"/>
  <c r="AI43" i="4"/>
  <c r="AI42" i="4"/>
  <c r="AI39" i="4"/>
  <c r="AI38" i="4"/>
  <c r="AI37" i="4"/>
  <c r="AI36" i="4"/>
  <c r="AI35" i="4"/>
  <c r="AI4" i="4"/>
  <c r="AI3" i="4"/>
  <c r="AA22" i="6"/>
  <c r="Z22" i="6"/>
  <c r="Y22" i="6"/>
  <c r="AA21" i="6"/>
  <c r="Z21" i="6"/>
  <c r="Y21" i="6"/>
  <c r="AA20" i="6"/>
  <c r="Z20" i="6"/>
  <c r="Y20" i="6"/>
  <c r="AA19" i="6"/>
  <c r="Z19" i="6"/>
  <c r="Y19" i="6"/>
  <c r="AA18" i="6"/>
  <c r="Z18" i="6"/>
  <c r="Y18" i="6"/>
  <c r="AA17" i="6"/>
  <c r="Z17" i="6"/>
  <c r="Y17" i="6"/>
  <c r="AA13" i="6"/>
  <c r="Z13" i="6"/>
  <c r="Y13" i="6"/>
  <c r="AA12" i="6"/>
  <c r="Z12" i="6"/>
  <c r="Y12" i="6"/>
  <c r="AA11" i="6"/>
  <c r="Z11" i="6"/>
  <c r="Y11" i="6"/>
  <c r="AA10" i="6"/>
  <c r="Z10" i="6"/>
  <c r="Z14" i="6" s="1"/>
  <c r="Y10" i="6"/>
  <c r="AA9" i="6"/>
  <c r="Z9" i="6"/>
  <c r="Y9" i="6"/>
  <c r="AA8" i="6"/>
  <c r="AA14" i="6" s="1"/>
  <c r="Z8" i="6"/>
  <c r="Y8" i="6"/>
  <c r="Y14" i="6" s="1"/>
  <c r="AA7" i="6"/>
  <c r="Z7" i="6"/>
  <c r="Y7" i="6"/>
  <c r="AB17" i="6"/>
  <c r="AC17" i="6"/>
  <c r="AE17" i="6"/>
  <c r="AB18" i="6"/>
  <c r="AC18" i="6"/>
  <c r="AE18" i="6"/>
  <c r="AB19" i="6"/>
  <c r="AC19" i="6"/>
  <c r="AE19" i="6"/>
  <c r="AB20" i="6"/>
  <c r="AC20" i="6"/>
  <c r="AE20" i="6"/>
  <c r="AB21" i="6"/>
  <c r="AC21" i="6"/>
  <c r="AE21" i="6"/>
  <c r="AB22" i="6"/>
  <c r="AC22" i="6"/>
  <c r="AE22" i="6"/>
  <c r="AF22" i="6"/>
  <c r="AF21" i="6"/>
  <c r="AF20" i="6"/>
  <c r="AF19" i="6"/>
  <c r="AF18" i="6"/>
  <c r="AF17" i="6"/>
  <c r="W63" i="11"/>
  <c r="AI63" i="11" s="1"/>
  <c r="V63" i="11"/>
  <c r="AH63" i="11" s="1"/>
  <c r="W58" i="11"/>
  <c r="AI58" i="11" s="1"/>
  <c r="V58" i="11"/>
  <c r="AH58" i="11" s="1"/>
  <c r="W57" i="11"/>
  <c r="AI57" i="11" s="1"/>
  <c r="V57" i="11"/>
  <c r="AH57" i="11" s="1"/>
  <c r="W56" i="11"/>
  <c r="AI56" i="11" s="1"/>
  <c r="V56" i="11"/>
  <c r="AH56" i="11" s="1"/>
  <c r="AH52" i="11"/>
  <c r="W51" i="11"/>
  <c r="AI51" i="11" s="1"/>
  <c r="V51" i="11"/>
  <c r="AH51" i="11" s="1"/>
  <c r="V45" i="11"/>
  <c r="V44" i="11"/>
  <c r="W43" i="11"/>
  <c r="V43" i="11"/>
  <c r="W42" i="11"/>
  <c r="V42" i="11"/>
  <c r="V39" i="11"/>
  <c r="W38" i="11"/>
  <c r="V38" i="11"/>
  <c r="V36" i="11"/>
  <c r="V35" i="11"/>
  <c r="V30" i="11"/>
  <c r="V26" i="11"/>
  <c r="W22" i="11"/>
  <c r="W31" i="11" s="1"/>
  <c r="V22" i="11"/>
  <c r="V31" i="11" s="1"/>
  <c r="W21" i="11"/>
  <c r="V21" i="11"/>
  <c r="W20" i="11"/>
  <c r="V20" i="11"/>
  <c r="W16" i="11"/>
  <c r="V16" i="11"/>
  <c r="AI52" i="11"/>
  <c r="AG52" i="11"/>
  <c r="AF52" i="11"/>
  <c r="AI67" i="11"/>
  <c r="AH67" i="11"/>
  <c r="AG67" i="11"/>
  <c r="AI66" i="11"/>
  <c r="AH66" i="11"/>
  <c r="AG66" i="11"/>
  <c r="AI64" i="11"/>
  <c r="AH64" i="11"/>
  <c r="AG64" i="11"/>
  <c r="AA61" i="4" l="1"/>
  <c r="Y23" i="4"/>
  <c r="AA67" i="4"/>
  <c r="AA40" i="4"/>
  <c r="AA48" i="4" s="1"/>
  <c r="AB40" i="4"/>
  <c r="AB48" i="4" s="1"/>
  <c r="AB67" i="4"/>
  <c r="AB56" i="4"/>
  <c r="AB61" i="4" s="1"/>
  <c r="AD67" i="4"/>
  <c r="AE40" i="4"/>
  <c r="AE48" i="4" s="1"/>
  <c r="AE56" i="4"/>
  <c r="AE61" i="4" s="1"/>
  <c r="AD40" i="4"/>
  <c r="AD48" i="4" s="1"/>
  <c r="AD56" i="4"/>
  <c r="AD61" i="4" s="1"/>
  <c r="AE67" i="4"/>
  <c r="AF40" i="4"/>
  <c r="AF48" i="4" s="1"/>
  <c r="AF56" i="4"/>
  <c r="AF61" i="4" s="1"/>
  <c r="AF67" i="4"/>
  <c r="AH40" i="4"/>
  <c r="AH48" i="4" s="1"/>
  <c r="AH67" i="4"/>
  <c r="AH56" i="4"/>
  <c r="AH61" i="4" s="1"/>
  <c r="AI53" i="11"/>
  <c r="AH53" i="11"/>
  <c r="Y27" i="4" l="1"/>
  <c r="Y30" i="4" s="1"/>
  <c r="Y31" i="4" s="1"/>
  <c r="Y24" i="4"/>
  <c r="W77" i="4"/>
  <c r="W76" i="4"/>
  <c r="W26" i="11" s="1"/>
  <c r="W78" i="4"/>
  <c r="W79" i="4"/>
  <c r="W30" i="11" s="1"/>
  <c r="W80" i="4"/>
  <c r="W82" i="4"/>
  <c r="AI82" i="4" s="1"/>
  <c r="W86" i="4"/>
  <c r="W85" i="4"/>
  <c r="W87" i="4"/>
  <c r="W88" i="4"/>
  <c r="W89" i="4"/>
  <c r="W90" i="4"/>
  <c r="W91" i="4"/>
  <c r="W92" i="4"/>
  <c r="W93" i="4"/>
  <c r="W97" i="4"/>
  <c r="W35" i="11" s="1"/>
  <c r="W98" i="4"/>
  <c r="AI98" i="4" s="1"/>
  <c r="W99" i="4"/>
  <c r="W103" i="4"/>
  <c r="AI103" i="4" s="1"/>
  <c r="W104" i="4"/>
  <c r="AI104" i="4" s="1"/>
  <c r="W110" i="4"/>
  <c r="W111" i="4"/>
  <c r="W112" i="4"/>
  <c r="W119" i="4"/>
  <c r="W118" i="4"/>
  <c r="W117" i="4"/>
  <c r="V113" i="4"/>
  <c r="R113" i="4"/>
  <c r="N113" i="4"/>
  <c r="J113" i="4"/>
  <c r="E113" i="4"/>
  <c r="D113" i="4"/>
  <c r="C113" i="4"/>
  <c r="H113" i="4"/>
  <c r="G113" i="4"/>
  <c r="F113" i="4"/>
  <c r="W73" i="4"/>
  <c r="W13" i="6"/>
  <c r="W13" i="4" s="1"/>
  <c r="W11" i="11" s="1"/>
  <c r="W12" i="6"/>
  <c r="W12" i="4" s="1"/>
  <c r="W10" i="11" s="1"/>
  <c r="W11" i="6"/>
  <c r="W11" i="4" s="1"/>
  <c r="W9" i="11" s="1"/>
  <c r="W10" i="6"/>
  <c r="W10" i="4" s="1"/>
  <c r="W8" i="11" s="1"/>
  <c r="W9" i="6"/>
  <c r="W9" i="4" s="1"/>
  <c r="W7" i="11" s="1"/>
  <c r="W8" i="6"/>
  <c r="W8" i="4" s="1"/>
  <c r="W6" i="11" s="1"/>
  <c r="V13" i="6"/>
  <c r="V12" i="6"/>
  <c r="V12" i="4" s="1"/>
  <c r="V10" i="11" s="1"/>
  <c r="V11" i="6"/>
  <c r="V11" i="4" s="1"/>
  <c r="V9" i="11" s="1"/>
  <c r="V10" i="6"/>
  <c r="V10" i="4" s="1"/>
  <c r="V8" i="11" s="1"/>
  <c r="V9" i="6"/>
  <c r="V9" i="4" s="1"/>
  <c r="V7" i="11" s="1"/>
  <c r="V8" i="6"/>
  <c r="V8" i="4" s="1"/>
  <c r="V6" i="11" s="1"/>
  <c r="T66" i="11"/>
  <c r="T67" i="11" s="1"/>
  <c r="U52" i="11"/>
  <c r="W67" i="11"/>
  <c r="V67" i="11"/>
  <c r="W53" i="11"/>
  <c r="V53" i="11"/>
  <c r="W4" i="11"/>
  <c r="AI4" i="11" s="1"/>
  <c r="V4" i="11"/>
  <c r="AH4" i="11" s="1"/>
  <c r="W3" i="11"/>
  <c r="AI3" i="11" s="1"/>
  <c r="V3" i="11"/>
  <c r="AH3" i="11" s="1"/>
  <c r="W4" i="6"/>
  <c r="AF4" i="6" s="1"/>
  <c r="V4" i="6"/>
  <c r="AE4" i="6" s="1"/>
  <c r="W3" i="6"/>
  <c r="AF3" i="6" s="1"/>
  <c r="V3" i="6"/>
  <c r="AE3" i="6" s="1"/>
  <c r="U67" i="11"/>
  <c r="U38" i="11"/>
  <c r="U3" i="11"/>
  <c r="AG3" i="11" s="1"/>
  <c r="U7" i="6"/>
  <c r="U22" i="6"/>
  <c r="AD22" i="6" s="1"/>
  <c r="U21" i="6"/>
  <c r="AD21" i="6" s="1"/>
  <c r="U20" i="6"/>
  <c r="AD20" i="6" s="1"/>
  <c r="U19" i="6"/>
  <c r="AD19" i="6" s="1"/>
  <c r="U18" i="6"/>
  <c r="AD18" i="6" s="1"/>
  <c r="U17" i="6"/>
  <c r="AD17" i="6" s="1"/>
  <c r="U3" i="6"/>
  <c r="AD3" i="6" s="1"/>
  <c r="H67" i="11"/>
  <c r="H63" i="11"/>
  <c r="H58" i="11"/>
  <c r="H57" i="11"/>
  <c r="H56" i="11"/>
  <c r="H51" i="11"/>
  <c r="H53" i="11" s="1"/>
  <c r="H45" i="11"/>
  <c r="H44" i="11"/>
  <c r="H43" i="11"/>
  <c r="H42" i="11"/>
  <c r="H39" i="11"/>
  <c r="H37" i="11"/>
  <c r="H36" i="11"/>
  <c r="H35" i="11"/>
  <c r="H30" i="11"/>
  <c r="H26" i="11"/>
  <c r="H22" i="11"/>
  <c r="H31" i="11" s="1"/>
  <c r="H21" i="11"/>
  <c r="H20" i="11"/>
  <c r="H16" i="11"/>
  <c r="H4" i="11"/>
  <c r="H3" i="11"/>
  <c r="S117" i="4"/>
  <c r="O117" i="4"/>
  <c r="L116" i="4"/>
  <c r="U66" i="4"/>
  <c r="AG66" i="4" s="1"/>
  <c r="U65" i="4"/>
  <c r="AG65" i="4" s="1"/>
  <c r="U64" i="4"/>
  <c r="AG64" i="4" s="1"/>
  <c r="U63" i="4"/>
  <c r="AG63" i="4" s="1"/>
  <c r="U60" i="4"/>
  <c r="AG60" i="4" s="1"/>
  <c r="U59" i="4"/>
  <c r="AG59" i="4" s="1"/>
  <c r="U58" i="4"/>
  <c r="AG58" i="4" s="1"/>
  <c r="U55" i="4"/>
  <c r="U54" i="4"/>
  <c r="AG54" i="4" s="1"/>
  <c r="U53" i="4"/>
  <c r="AG53" i="4" s="1"/>
  <c r="U52" i="4"/>
  <c r="AG52" i="4" s="1"/>
  <c r="U51" i="4"/>
  <c r="AG51" i="4" s="1"/>
  <c r="U50" i="4"/>
  <c r="AG50" i="4" s="1"/>
  <c r="U47" i="4"/>
  <c r="AG47" i="4" s="1"/>
  <c r="U46" i="4"/>
  <c r="AG46" i="4" s="1"/>
  <c r="U45" i="4"/>
  <c r="AG45" i="4" s="1"/>
  <c r="U44" i="4"/>
  <c r="AG44" i="4" s="1"/>
  <c r="U43" i="4"/>
  <c r="AG43" i="4" s="1"/>
  <c r="U42" i="4"/>
  <c r="U39" i="4"/>
  <c r="AG39" i="4" s="1"/>
  <c r="U38" i="4"/>
  <c r="AG38" i="4" s="1"/>
  <c r="U37" i="4"/>
  <c r="AG37" i="4" s="1"/>
  <c r="U36" i="4"/>
  <c r="U35" i="4"/>
  <c r="U119" i="4"/>
  <c r="S118" i="4"/>
  <c r="O118" i="4"/>
  <c r="K117" i="4"/>
  <c r="K118" i="4"/>
  <c r="U116" i="4"/>
  <c r="U108" i="4"/>
  <c r="U107" i="4"/>
  <c r="U106" i="4"/>
  <c r="W67" i="4"/>
  <c r="W69" i="11" s="1"/>
  <c r="AI69" i="11" s="1"/>
  <c r="AI70" i="11" s="1"/>
  <c r="AI81" i="11" s="1"/>
  <c r="W56" i="4"/>
  <c r="W59" i="11" s="1"/>
  <c r="AI59" i="11" s="1"/>
  <c r="W40" i="4"/>
  <c r="W48" i="4" s="1"/>
  <c r="V100" i="4"/>
  <c r="V37" i="11" s="1"/>
  <c r="V94" i="4"/>
  <c r="V67" i="4"/>
  <c r="V56" i="4"/>
  <c r="V40" i="4"/>
  <c r="V48" i="4" s="1"/>
  <c r="U29" i="4"/>
  <c r="U26" i="4"/>
  <c r="U22" i="4"/>
  <c r="U21" i="4"/>
  <c r="U20" i="4"/>
  <c r="U16" i="4"/>
  <c r="U4" i="4"/>
  <c r="T4" i="6"/>
  <c r="AC4" i="6" s="1"/>
  <c r="S4" i="6"/>
  <c r="AB4" i="6" s="1"/>
  <c r="R4" i="6"/>
  <c r="AA4" i="6" s="1"/>
  <c r="Q4" i="6"/>
  <c r="Z4" i="6" s="1"/>
  <c r="P4" i="6"/>
  <c r="Y4" i="6" s="1"/>
  <c r="O4" i="6"/>
  <c r="N4" i="6"/>
  <c r="M4" i="6"/>
  <c r="L4" i="6"/>
  <c r="K4" i="6"/>
  <c r="T3" i="6"/>
  <c r="AC3" i="6" s="1"/>
  <c r="S3" i="6"/>
  <c r="AB3" i="6" s="1"/>
  <c r="R3" i="6"/>
  <c r="AA3" i="6" s="1"/>
  <c r="Q3" i="6"/>
  <c r="Z3" i="6" s="1"/>
  <c r="P3" i="6"/>
  <c r="Y3" i="6" s="1"/>
  <c r="O3" i="6"/>
  <c r="N3" i="6"/>
  <c r="M3" i="6"/>
  <c r="L3" i="6"/>
  <c r="K3" i="6"/>
  <c r="J4" i="6"/>
  <c r="J3" i="6"/>
  <c r="H4" i="6"/>
  <c r="G4" i="6"/>
  <c r="F4" i="6"/>
  <c r="E4" i="6"/>
  <c r="D4" i="6"/>
  <c r="H3" i="6"/>
  <c r="G3" i="6"/>
  <c r="F3" i="6"/>
  <c r="E3" i="6"/>
  <c r="D3" i="6"/>
  <c r="C4" i="6"/>
  <c r="C3" i="6"/>
  <c r="H13" i="6"/>
  <c r="H13" i="4" s="1"/>
  <c r="H11" i="11" s="1"/>
  <c r="H12" i="6"/>
  <c r="H12" i="4" s="1"/>
  <c r="H11" i="6"/>
  <c r="H11" i="4" s="1"/>
  <c r="H9" i="11" s="1"/>
  <c r="H10" i="6"/>
  <c r="H10" i="4" s="1"/>
  <c r="H9" i="6"/>
  <c r="H9" i="4" s="1"/>
  <c r="H8" i="6"/>
  <c r="H8" i="4" s="1"/>
  <c r="H100" i="4"/>
  <c r="H67" i="4"/>
  <c r="H69" i="11" s="1"/>
  <c r="H56" i="4"/>
  <c r="H61" i="4" s="1"/>
  <c r="H60" i="11" s="1"/>
  <c r="H40" i="4"/>
  <c r="H48" i="4" s="1"/>
  <c r="Q66" i="11"/>
  <c r="AC66" i="11" s="1"/>
  <c r="AC67" i="11" s="1"/>
  <c r="P52" i="11"/>
  <c r="AB52" i="11" s="1"/>
  <c r="M52" i="11"/>
  <c r="Y52" i="11" s="1"/>
  <c r="T63" i="11"/>
  <c r="AF63" i="11" s="1"/>
  <c r="S63" i="11"/>
  <c r="AE63" i="11" s="1"/>
  <c r="R63" i="11"/>
  <c r="AD63" i="11" s="1"/>
  <c r="P63" i="11"/>
  <c r="AB63" i="11" s="1"/>
  <c r="O63" i="11"/>
  <c r="AA63" i="11" s="1"/>
  <c r="N63" i="11"/>
  <c r="Z63" i="11" s="1"/>
  <c r="L63" i="11"/>
  <c r="K63" i="11"/>
  <c r="J63" i="11"/>
  <c r="S67" i="11"/>
  <c r="R67" i="11"/>
  <c r="P67" i="11"/>
  <c r="O67" i="11"/>
  <c r="N67" i="11"/>
  <c r="M67" i="11"/>
  <c r="L67" i="11"/>
  <c r="K67" i="11"/>
  <c r="J67" i="11"/>
  <c r="G67" i="11"/>
  <c r="F67" i="11"/>
  <c r="E67" i="11"/>
  <c r="D67" i="11"/>
  <c r="C67" i="11"/>
  <c r="R39" i="11"/>
  <c r="N39" i="11"/>
  <c r="J39" i="11"/>
  <c r="T58" i="11"/>
  <c r="AF58" i="11" s="1"/>
  <c r="S58" i="11"/>
  <c r="AE58" i="11" s="1"/>
  <c r="R58" i="11"/>
  <c r="AD58" i="11" s="1"/>
  <c r="P58" i="11"/>
  <c r="AB58" i="11" s="1"/>
  <c r="O58" i="11"/>
  <c r="AA58" i="11" s="1"/>
  <c r="N58" i="11"/>
  <c r="Z58" i="11" s="1"/>
  <c r="L58" i="11"/>
  <c r="K58" i="11"/>
  <c r="T57" i="11"/>
  <c r="AF57" i="11" s="1"/>
  <c r="S57" i="11"/>
  <c r="AE57" i="11" s="1"/>
  <c r="R57" i="11"/>
  <c r="AD57" i="11" s="1"/>
  <c r="P57" i="11"/>
  <c r="AB57" i="11" s="1"/>
  <c r="O57" i="11"/>
  <c r="AA57" i="11" s="1"/>
  <c r="N57" i="11"/>
  <c r="Z57" i="11" s="1"/>
  <c r="L57" i="11"/>
  <c r="K57" i="11"/>
  <c r="T56" i="11"/>
  <c r="AF56" i="11" s="1"/>
  <c r="S56" i="11"/>
  <c r="AE56" i="11" s="1"/>
  <c r="R56" i="11"/>
  <c r="AD56" i="11" s="1"/>
  <c r="P56" i="11"/>
  <c r="AB56" i="11" s="1"/>
  <c r="O56" i="11"/>
  <c r="AA56" i="11" s="1"/>
  <c r="N56" i="11"/>
  <c r="Z56" i="11" s="1"/>
  <c r="L56" i="11"/>
  <c r="K56" i="11"/>
  <c r="J58" i="11"/>
  <c r="J57" i="11"/>
  <c r="J56" i="11"/>
  <c r="T51" i="11"/>
  <c r="AF51" i="11" s="1"/>
  <c r="S51" i="11"/>
  <c r="AE51" i="11" s="1"/>
  <c r="R51" i="11"/>
  <c r="AD51" i="11" s="1"/>
  <c r="P51" i="11"/>
  <c r="AB51" i="11" s="1"/>
  <c r="O51" i="11"/>
  <c r="AA51" i="11" s="1"/>
  <c r="N51" i="11"/>
  <c r="Z51" i="11" s="1"/>
  <c r="L51" i="11"/>
  <c r="K51" i="11"/>
  <c r="J51" i="11"/>
  <c r="R45" i="11"/>
  <c r="N45" i="11"/>
  <c r="R44" i="11"/>
  <c r="N44" i="11"/>
  <c r="R43" i="11"/>
  <c r="P43" i="11"/>
  <c r="O43" i="11"/>
  <c r="N43" i="11"/>
  <c r="L43" i="11"/>
  <c r="K43" i="11"/>
  <c r="S42" i="11"/>
  <c r="R42" i="11"/>
  <c r="O42" i="11"/>
  <c r="N42" i="11"/>
  <c r="L42" i="11"/>
  <c r="K42" i="11"/>
  <c r="J45" i="11"/>
  <c r="J44" i="11"/>
  <c r="J43" i="11"/>
  <c r="J42" i="11"/>
  <c r="T38" i="11"/>
  <c r="S38" i="11"/>
  <c r="R38" i="11"/>
  <c r="Q38" i="11"/>
  <c r="P38" i="11"/>
  <c r="O38" i="11"/>
  <c r="N38" i="11"/>
  <c r="M38" i="11"/>
  <c r="L38" i="11"/>
  <c r="K38" i="11"/>
  <c r="R36" i="11"/>
  <c r="N36" i="11"/>
  <c r="R35" i="11"/>
  <c r="N35" i="11"/>
  <c r="J38" i="11"/>
  <c r="J36" i="11"/>
  <c r="J35" i="11"/>
  <c r="R30" i="11"/>
  <c r="N30" i="11"/>
  <c r="J30" i="11"/>
  <c r="R26" i="11"/>
  <c r="N26" i="11"/>
  <c r="J26" i="11"/>
  <c r="T22" i="11"/>
  <c r="S22" i="11"/>
  <c r="R22" i="11"/>
  <c r="P22" i="11"/>
  <c r="P31" i="11" s="1"/>
  <c r="O22" i="11"/>
  <c r="N22" i="11"/>
  <c r="N31" i="11" s="1"/>
  <c r="L22" i="11"/>
  <c r="L31" i="11" s="1"/>
  <c r="K22" i="11"/>
  <c r="K31" i="11" s="1"/>
  <c r="T21" i="11"/>
  <c r="S21" i="11"/>
  <c r="R21" i="11"/>
  <c r="P21" i="11"/>
  <c r="O21" i="11"/>
  <c r="N21" i="11"/>
  <c r="L21" i="11"/>
  <c r="K21" i="11"/>
  <c r="T20" i="11"/>
  <c r="S20" i="11"/>
  <c r="R20" i="11"/>
  <c r="P20" i="11"/>
  <c r="O20" i="11"/>
  <c r="N20" i="11"/>
  <c r="L20" i="11"/>
  <c r="K20" i="11"/>
  <c r="J22" i="11"/>
  <c r="J31" i="11" s="1"/>
  <c r="J21" i="11"/>
  <c r="J20" i="11"/>
  <c r="AE66" i="11"/>
  <c r="AE67" i="11" s="1"/>
  <c r="AD66" i="11"/>
  <c r="AD67" i="11" s="1"/>
  <c r="AB66" i="11"/>
  <c r="AB67" i="11" s="1"/>
  <c r="AA66" i="11"/>
  <c r="AA67" i="11" s="1"/>
  <c r="Z66" i="11"/>
  <c r="Z67" i="11" s="1"/>
  <c r="Y66" i="11"/>
  <c r="Y67" i="11" s="1"/>
  <c r="AE64" i="11"/>
  <c r="AD64" i="11"/>
  <c r="AC64" i="11"/>
  <c r="AB64" i="11"/>
  <c r="AA64" i="11"/>
  <c r="Z64" i="11"/>
  <c r="Y64" i="11"/>
  <c r="AE52" i="11"/>
  <c r="AD52" i="11"/>
  <c r="AC52" i="11"/>
  <c r="AA52" i="11"/>
  <c r="Z52" i="11"/>
  <c r="AF66" i="11"/>
  <c r="AF67" i="11" s="1"/>
  <c r="AF64" i="11"/>
  <c r="T16" i="11"/>
  <c r="S16" i="11"/>
  <c r="R16" i="11"/>
  <c r="P16" i="11"/>
  <c r="O16" i="11"/>
  <c r="N16" i="11"/>
  <c r="L16" i="11"/>
  <c r="K16" i="11"/>
  <c r="J16" i="11"/>
  <c r="T4" i="11"/>
  <c r="AF4" i="11" s="1"/>
  <c r="S4" i="11"/>
  <c r="AE4" i="11" s="1"/>
  <c r="R4" i="11"/>
  <c r="AD4" i="11" s="1"/>
  <c r="Q4" i="11"/>
  <c r="AC4" i="11" s="1"/>
  <c r="P4" i="11"/>
  <c r="AB4" i="11" s="1"/>
  <c r="O4" i="11"/>
  <c r="AA4" i="11" s="1"/>
  <c r="N4" i="11"/>
  <c r="Z4" i="11" s="1"/>
  <c r="M4" i="11"/>
  <c r="Y4" i="11" s="1"/>
  <c r="L4" i="11"/>
  <c r="K4" i="11"/>
  <c r="T3" i="11"/>
  <c r="AF3" i="11" s="1"/>
  <c r="S3" i="11"/>
  <c r="AE3" i="11" s="1"/>
  <c r="R3" i="11"/>
  <c r="AD3" i="11" s="1"/>
  <c r="Q3" i="11"/>
  <c r="AC3" i="11" s="1"/>
  <c r="P3" i="11"/>
  <c r="AB3" i="11" s="1"/>
  <c r="O3" i="11"/>
  <c r="AA3" i="11" s="1"/>
  <c r="N3" i="11"/>
  <c r="Z3" i="11" s="1"/>
  <c r="M3" i="11"/>
  <c r="Y3" i="11" s="1"/>
  <c r="L3" i="11"/>
  <c r="K3" i="11"/>
  <c r="J4" i="11"/>
  <c r="J3" i="11"/>
  <c r="G45" i="11"/>
  <c r="F45" i="11"/>
  <c r="E45" i="11"/>
  <c r="G44" i="11"/>
  <c r="F44" i="11"/>
  <c r="E44" i="11"/>
  <c r="D44" i="11"/>
  <c r="G43" i="11"/>
  <c r="F43" i="11"/>
  <c r="E43" i="11"/>
  <c r="D43" i="11"/>
  <c r="G42" i="11"/>
  <c r="F42" i="11"/>
  <c r="E42" i="11"/>
  <c r="D42" i="11"/>
  <c r="C44" i="11"/>
  <c r="C43" i="11"/>
  <c r="C42" i="11"/>
  <c r="G63" i="11"/>
  <c r="F63" i="11"/>
  <c r="E63" i="11"/>
  <c r="D63" i="11"/>
  <c r="C63" i="11"/>
  <c r="G58" i="11"/>
  <c r="F58" i="11"/>
  <c r="E58" i="11"/>
  <c r="D58" i="11"/>
  <c r="G57" i="11"/>
  <c r="F57" i="11"/>
  <c r="E57" i="11"/>
  <c r="D57" i="11"/>
  <c r="G56" i="11"/>
  <c r="F56" i="11"/>
  <c r="E56" i="11"/>
  <c r="D56" i="11"/>
  <c r="C58" i="11"/>
  <c r="C57" i="11"/>
  <c r="C56" i="11"/>
  <c r="G51" i="11"/>
  <c r="F51" i="11"/>
  <c r="E51" i="11"/>
  <c r="D51" i="11"/>
  <c r="D53" i="11" s="1"/>
  <c r="C51" i="11"/>
  <c r="C53" i="11" s="1"/>
  <c r="G39" i="11"/>
  <c r="F39" i="11"/>
  <c r="E39" i="11"/>
  <c r="D39" i="11"/>
  <c r="C39" i="11"/>
  <c r="G37" i="11"/>
  <c r="F37" i="11"/>
  <c r="E37" i="11"/>
  <c r="D37" i="11"/>
  <c r="C37" i="11"/>
  <c r="G36" i="11"/>
  <c r="F36" i="11"/>
  <c r="E36" i="11"/>
  <c r="D36" i="11"/>
  <c r="C36" i="11"/>
  <c r="G35" i="11"/>
  <c r="F35" i="11"/>
  <c r="E35" i="11"/>
  <c r="D35" i="11"/>
  <c r="C35" i="11"/>
  <c r="G30" i="11"/>
  <c r="F30" i="11"/>
  <c r="E30" i="11"/>
  <c r="D30" i="11"/>
  <c r="C30" i="11"/>
  <c r="G26" i="11"/>
  <c r="F26" i="11"/>
  <c r="E26" i="11"/>
  <c r="D26" i="11"/>
  <c r="C26" i="11"/>
  <c r="G22" i="11"/>
  <c r="G31" i="11" s="1"/>
  <c r="F22" i="11"/>
  <c r="F31" i="11" s="1"/>
  <c r="E22" i="11"/>
  <c r="E31" i="11" s="1"/>
  <c r="D22" i="11"/>
  <c r="D31" i="11" s="1"/>
  <c r="C22" i="11"/>
  <c r="C31" i="11" s="1"/>
  <c r="G21" i="11"/>
  <c r="F21" i="11"/>
  <c r="E21" i="11"/>
  <c r="D21" i="11"/>
  <c r="C21" i="11"/>
  <c r="G20" i="11"/>
  <c r="F20" i="11"/>
  <c r="E20" i="11"/>
  <c r="D20" i="11"/>
  <c r="C20" i="11"/>
  <c r="G16" i="11"/>
  <c r="F16" i="11"/>
  <c r="E16" i="11"/>
  <c r="D16" i="11"/>
  <c r="C16" i="11"/>
  <c r="G4" i="11"/>
  <c r="F4" i="11"/>
  <c r="E4" i="11"/>
  <c r="D4" i="11"/>
  <c r="C4" i="11"/>
  <c r="G3" i="11"/>
  <c r="F3" i="11"/>
  <c r="E3" i="11"/>
  <c r="D3" i="11"/>
  <c r="C3" i="11"/>
  <c r="L118" i="4" l="1"/>
  <c r="L117" i="4"/>
  <c r="P117" i="4"/>
  <c r="P118" i="4"/>
  <c r="W100" i="4"/>
  <c r="W37" i="11" s="1"/>
  <c r="U4" i="11"/>
  <c r="AG4" i="11" s="1"/>
  <c r="AG4" i="4"/>
  <c r="AI106" i="4"/>
  <c r="AH106" i="4"/>
  <c r="AG106" i="4"/>
  <c r="AI119" i="4"/>
  <c r="AH119" i="4"/>
  <c r="AG119" i="4"/>
  <c r="AH16" i="4"/>
  <c r="AG16" i="4"/>
  <c r="AI107" i="4"/>
  <c r="AH107" i="4"/>
  <c r="AG107" i="4"/>
  <c r="U51" i="11"/>
  <c r="AG51" i="11" s="1"/>
  <c r="AG53" i="11" s="1"/>
  <c r="AG35" i="4"/>
  <c r="U63" i="11"/>
  <c r="AG63" i="11" s="1"/>
  <c r="AG55" i="4"/>
  <c r="AG56" i="4" s="1"/>
  <c r="AG61" i="4" s="1"/>
  <c r="AH20" i="4"/>
  <c r="AG20" i="4"/>
  <c r="AI108" i="4"/>
  <c r="AH108" i="4"/>
  <c r="AG108" i="4"/>
  <c r="U56" i="11"/>
  <c r="AG56" i="11" s="1"/>
  <c r="AG36" i="4"/>
  <c r="W44" i="11"/>
  <c r="AG21" i="4"/>
  <c r="AH21" i="4"/>
  <c r="AI116" i="4"/>
  <c r="AH116" i="4"/>
  <c r="AG116" i="4"/>
  <c r="T117" i="4"/>
  <c r="AH22" i="4"/>
  <c r="AG22" i="4"/>
  <c r="AI26" i="4"/>
  <c r="AG26" i="4"/>
  <c r="AH26" i="4"/>
  <c r="AG67" i="4"/>
  <c r="AI29" i="4"/>
  <c r="AH29" i="4"/>
  <c r="AG29" i="4"/>
  <c r="U58" i="11"/>
  <c r="AG58" i="11" s="1"/>
  <c r="AG42" i="4"/>
  <c r="T118" i="4"/>
  <c r="S31" i="11"/>
  <c r="AI38" i="11"/>
  <c r="T31" i="11"/>
  <c r="V61" i="4"/>
  <c r="V60" i="11" s="1"/>
  <c r="AH60" i="11" s="1"/>
  <c r="V59" i="11"/>
  <c r="AH59" i="11" s="1"/>
  <c r="U16" i="11"/>
  <c r="AG16" i="11" s="1"/>
  <c r="AI16" i="4"/>
  <c r="V69" i="11"/>
  <c r="AH69" i="11" s="1"/>
  <c r="AH70" i="11" s="1"/>
  <c r="AH81" i="11" s="1"/>
  <c r="W45" i="11"/>
  <c r="W36" i="11"/>
  <c r="U20" i="11"/>
  <c r="AG20" i="11" s="1"/>
  <c r="AI20" i="4"/>
  <c r="U21" i="11"/>
  <c r="AH21" i="11" s="1"/>
  <c r="AI21" i="4"/>
  <c r="W113" i="4"/>
  <c r="W39" i="11"/>
  <c r="AG38" i="11"/>
  <c r="U22" i="11"/>
  <c r="U31" i="11" s="1"/>
  <c r="AI22" i="4"/>
  <c r="R31" i="11"/>
  <c r="AH38" i="11"/>
  <c r="W27" i="6"/>
  <c r="W14" i="6"/>
  <c r="W30" i="6"/>
  <c r="U12" i="6"/>
  <c r="V29" i="6" s="1"/>
  <c r="W25" i="6"/>
  <c r="W26" i="6"/>
  <c r="V13" i="4"/>
  <c r="V11" i="11" s="1"/>
  <c r="V12" i="11" s="1"/>
  <c r="V17" i="11" s="1"/>
  <c r="U9" i="6"/>
  <c r="W28" i="6"/>
  <c r="T52" i="11"/>
  <c r="W94" i="4"/>
  <c r="U4" i="6"/>
  <c r="AD4" i="6" s="1"/>
  <c r="H59" i="11"/>
  <c r="U56" i="4"/>
  <c r="U59" i="11" s="1"/>
  <c r="AG59" i="11" s="1"/>
  <c r="U67" i="4"/>
  <c r="U69" i="11" s="1"/>
  <c r="U57" i="11"/>
  <c r="AG57" i="11" s="1"/>
  <c r="W61" i="4"/>
  <c r="W60" i="11" s="1"/>
  <c r="AI60" i="11" s="1"/>
  <c r="W14" i="4"/>
  <c r="W17" i="4" s="1"/>
  <c r="W23" i="4" s="1"/>
  <c r="W12" i="11"/>
  <c r="W17" i="11" s="1"/>
  <c r="W29" i="6"/>
  <c r="U10" i="6"/>
  <c r="U10" i="4" s="1"/>
  <c r="U11" i="6"/>
  <c r="U11" i="4" s="1"/>
  <c r="U8" i="6"/>
  <c r="U8" i="4" s="1"/>
  <c r="U13" i="6"/>
  <c r="U13" i="4" s="1"/>
  <c r="W70" i="11"/>
  <c r="W81" i="11" s="1"/>
  <c r="H70" i="11"/>
  <c r="H81" i="11" s="1"/>
  <c r="H8" i="11"/>
  <c r="H10" i="11"/>
  <c r="H6" i="11"/>
  <c r="H7" i="11"/>
  <c r="Q67" i="11"/>
  <c r="U40" i="4"/>
  <c r="U48" i="4" s="1"/>
  <c r="H14" i="4"/>
  <c r="H17" i="4" s="1"/>
  <c r="V14" i="6"/>
  <c r="H14" i="6"/>
  <c r="H68" i="4"/>
  <c r="AA53" i="11"/>
  <c r="Y38" i="11"/>
  <c r="AE53" i="11"/>
  <c r="AA38" i="11"/>
  <c r="AB53" i="11"/>
  <c r="O31" i="11"/>
  <c r="Z38" i="11"/>
  <c r="Z53" i="11"/>
  <c r="AC38" i="11"/>
  <c r="AE38" i="11"/>
  <c r="AF38" i="11"/>
  <c r="AB38" i="11"/>
  <c r="AD38" i="11"/>
  <c r="AD53" i="11"/>
  <c r="F53" i="11"/>
  <c r="E53" i="11"/>
  <c r="L53" i="11"/>
  <c r="T53" i="11"/>
  <c r="J53" i="11"/>
  <c r="G53" i="11"/>
  <c r="P53" i="11"/>
  <c r="K53" i="11"/>
  <c r="S53" i="11"/>
  <c r="N53" i="11"/>
  <c r="O53" i="11"/>
  <c r="AF53" i="11"/>
  <c r="R53" i="11"/>
  <c r="AG21" i="11" l="1"/>
  <c r="AG22" i="11"/>
  <c r="U53" i="11"/>
  <c r="AH16" i="11"/>
  <c r="AI16" i="11"/>
  <c r="AI20" i="11"/>
  <c r="AK38" i="11"/>
  <c r="AG40" i="4"/>
  <c r="AG48" i="4" s="1"/>
  <c r="AI21" i="11"/>
  <c r="AH22" i="11"/>
  <c r="U117" i="4"/>
  <c r="U118" i="4"/>
  <c r="AG118" i="4" s="1"/>
  <c r="AI31" i="11"/>
  <c r="AH31" i="11"/>
  <c r="AG31" i="11"/>
  <c r="V70" i="11"/>
  <c r="V81" i="11" s="1"/>
  <c r="V68" i="4"/>
  <c r="AH68" i="4" s="1"/>
  <c r="AI22" i="11"/>
  <c r="AH20" i="11"/>
  <c r="U70" i="11"/>
  <c r="U81" i="11" s="1"/>
  <c r="AG69" i="11"/>
  <c r="AG70" i="11" s="1"/>
  <c r="AG81" i="11" s="1"/>
  <c r="V25" i="6"/>
  <c r="U12" i="4"/>
  <c r="U14" i="6"/>
  <c r="V14" i="4"/>
  <c r="V17" i="4" s="1"/>
  <c r="V27" i="6"/>
  <c r="V26" i="6"/>
  <c r="U9" i="4"/>
  <c r="V30" i="6"/>
  <c r="V28" i="6"/>
  <c r="U61" i="4"/>
  <c r="W68" i="4"/>
  <c r="AI68" i="4" s="1"/>
  <c r="W14" i="11"/>
  <c r="H23" i="4"/>
  <c r="H27" i="4" s="1"/>
  <c r="H30" i="4" s="1"/>
  <c r="W23" i="11"/>
  <c r="W18" i="11"/>
  <c r="V23" i="11"/>
  <c r="V18" i="11"/>
  <c r="H12" i="11"/>
  <c r="W27" i="4"/>
  <c r="W30" i="4" s="1"/>
  <c r="W31" i="4" s="1"/>
  <c r="W24" i="4"/>
  <c r="AI117" i="4" l="1"/>
  <c r="AH117" i="4"/>
  <c r="AI118" i="4"/>
  <c r="AH118" i="4"/>
  <c r="AG117" i="4"/>
  <c r="H24" i="4"/>
  <c r="V23" i="4"/>
  <c r="U68" i="4"/>
  <c r="AG68" i="4" s="1"/>
  <c r="U60" i="11"/>
  <c r="AG60" i="11" s="1"/>
  <c r="V24" i="11"/>
  <c r="V27" i="11"/>
  <c r="W24" i="11"/>
  <c r="W27" i="11"/>
  <c r="H17" i="11"/>
  <c r="H94" i="4"/>
  <c r="H31" i="4"/>
  <c r="V27" i="4" l="1"/>
  <c r="V30" i="4" s="1"/>
  <c r="V31" i="4" s="1"/>
  <c r="V24" i="4"/>
  <c r="W32" i="11"/>
  <c r="W28" i="11"/>
  <c r="V28" i="11"/>
  <c r="V32" i="11"/>
  <c r="H23" i="11"/>
  <c r="H18" i="11"/>
  <c r="W40" i="11" l="1"/>
  <c r="W46" i="11" s="1"/>
  <c r="W33" i="11"/>
  <c r="V40" i="11"/>
  <c r="V46" i="11" s="1"/>
  <c r="V33" i="11"/>
  <c r="H27" i="11"/>
  <c r="H24" i="11"/>
  <c r="W47" i="11" l="1"/>
  <c r="V47" i="11"/>
  <c r="H28" i="11"/>
  <c r="H32" i="11"/>
  <c r="H76" i="11" l="1"/>
  <c r="H75" i="11"/>
  <c r="H79" i="11" a="1"/>
  <c r="H79" i="11" s="1"/>
  <c r="H80" i="11" a="1"/>
  <c r="H80" i="11" s="1"/>
  <c r="H40" i="11"/>
  <c r="H46" i="11" s="1"/>
  <c r="H47" i="11" s="1"/>
  <c r="H78" i="11"/>
  <c r="H74" i="11"/>
  <c r="H33" i="11"/>
  <c r="K112" i="4" l="1"/>
  <c r="K111" i="4"/>
  <c r="K110" i="4"/>
  <c r="K97" i="4"/>
  <c r="K99" i="4"/>
  <c r="K85" i="4"/>
  <c r="K86" i="4"/>
  <c r="K87" i="4"/>
  <c r="K88" i="4"/>
  <c r="K89" i="4"/>
  <c r="K90" i="4"/>
  <c r="K91" i="4"/>
  <c r="K92" i="4"/>
  <c r="K93" i="4"/>
  <c r="K80" i="4"/>
  <c r="K79" i="4"/>
  <c r="K78" i="4"/>
  <c r="K77" i="4"/>
  <c r="K76" i="4"/>
  <c r="L73" i="4"/>
  <c r="J56" i="4"/>
  <c r="J59" i="11" s="1"/>
  <c r="M55" i="4"/>
  <c r="M63" i="11" s="1"/>
  <c r="Y63" i="11" s="1"/>
  <c r="K56" i="4"/>
  <c r="K59" i="11" s="1"/>
  <c r="M119" i="4"/>
  <c r="M118" i="4"/>
  <c r="M117" i="4"/>
  <c r="M116" i="4"/>
  <c r="M81" i="4"/>
  <c r="M106" i="4"/>
  <c r="M108" i="4"/>
  <c r="M109" i="4"/>
  <c r="M105" i="4"/>
  <c r="M107" i="4"/>
  <c r="R100" i="4"/>
  <c r="R37" i="11" s="1"/>
  <c r="J100" i="4"/>
  <c r="J37" i="11" s="1"/>
  <c r="M16" i="4"/>
  <c r="M20" i="4"/>
  <c r="M21" i="4"/>
  <c r="M22" i="4"/>
  <c r="M26" i="4"/>
  <c r="M29" i="4"/>
  <c r="M35" i="4"/>
  <c r="M51" i="11" s="1"/>
  <c r="M36" i="4"/>
  <c r="M56" i="11" s="1"/>
  <c r="Y56" i="11" s="1"/>
  <c r="M37" i="4"/>
  <c r="M38" i="4"/>
  <c r="M39" i="4"/>
  <c r="M42" i="4"/>
  <c r="M58" i="11" s="1"/>
  <c r="Y58" i="11" s="1"/>
  <c r="M43" i="4"/>
  <c r="M44" i="4"/>
  <c r="M45" i="4"/>
  <c r="M46" i="4"/>
  <c r="M47" i="4"/>
  <c r="M50" i="4"/>
  <c r="M57" i="11" s="1"/>
  <c r="Y57" i="11" s="1"/>
  <c r="M51" i="4"/>
  <c r="M52" i="4"/>
  <c r="M53" i="4"/>
  <c r="M54" i="4"/>
  <c r="M58" i="4"/>
  <c r="M59" i="4"/>
  <c r="M63" i="4"/>
  <c r="M64" i="4"/>
  <c r="M65" i="4"/>
  <c r="M66" i="4"/>
  <c r="L56" i="4"/>
  <c r="L59" i="11" s="1"/>
  <c r="M7" i="6"/>
  <c r="AB7" i="6" s="1"/>
  <c r="Q7" i="6"/>
  <c r="L9" i="6"/>
  <c r="L9" i="4" s="1"/>
  <c r="N56" i="4"/>
  <c r="N59" i="11" s="1"/>
  <c r="Z59" i="11" s="1"/>
  <c r="Q29" i="4"/>
  <c r="AC29" i="4" s="1"/>
  <c r="Q39" i="4"/>
  <c r="AC39" i="4" s="1"/>
  <c r="Q38" i="4"/>
  <c r="AC38" i="4" s="1"/>
  <c r="Q37" i="4"/>
  <c r="AC37" i="4" s="1"/>
  <c r="Q36" i="4"/>
  <c r="Q35" i="4"/>
  <c r="Q47" i="4"/>
  <c r="AC47" i="4" s="1"/>
  <c r="Q46" i="4"/>
  <c r="AC46" i="4" s="1"/>
  <c r="Q45" i="4"/>
  <c r="AC45" i="4" s="1"/>
  <c r="Q44" i="4"/>
  <c r="AC44" i="4" s="1"/>
  <c r="Q43" i="4"/>
  <c r="AC43" i="4" s="1"/>
  <c r="Q42" i="4"/>
  <c r="Q55" i="4"/>
  <c r="Q54" i="4"/>
  <c r="AC54" i="4" s="1"/>
  <c r="Q53" i="4"/>
  <c r="AC53" i="4" s="1"/>
  <c r="Q52" i="4"/>
  <c r="AC52" i="4" s="1"/>
  <c r="Q51" i="4"/>
  <c r="AC51" i="4" s="1"/>
  <c r="Q50" i="4"/>
  <c r="Q59" i="4"/>
  <c r="AC59" i="4" s="1"/>
  <c r="Q58" i="4"/>
  <c r="AC58" i="4" s="1"/>
  <c r="Q65" i="4"/>
  <c r="AC65" i="4" s="1"/>
  <c r="Q64" i="4"/>
  <c r="AC64" i="4" s="1"/>
  <c r="Q63" i="4"/>
  <c r="AC63" i="4" s="1"/>
  <c r="Q66" i="4"/>
  <c r="AC66" i="4" s="1"/>
  <c r="Q81" i="4"/>
  <c r="AC81" i="4" s="1"/>
  <c r="Q119" i="4"/>
  <c r="AC119" i="4" s="1"/>
  <c r="Q118" i="4"/>
  <c r="AC118" i="4" s="1"/>
  <c r="Q117" i="4"/>
  <c r="AC117" i="4" s="1"/>
  <c r="Q116" i="4"/>
  <c r="AC116" i="4" s="1"/>
  <c r="Q106" i="4"/>
  <c r="AC106" i="4" s="1"/>
  <c r="Q108" i="4"/>
  <c r="AC108" i="4" s="1"/>
  <c r="Q107" i="4"/>
  <c r="AC107" i="4" s="1"/>
  <c r="Q109" i="4"/>
  <c r="AC109" i="4" s="1"/>
  <c r="O110" i="4"/>
  <c r="O111" i="4"/>
  <c r="O112" i="4"/>
  <c r="O80" i="4"/>
  <c r="O79" i="4"/>
  <c r="O78" i="4"/>
  <c r="O77" i="4"/>
  <c r="O76" i="4"/>
  <c r="O73" i="4"/>
  <c r="O93" i="4"/>
  <c r="O92" i="4"/>
  <c r="O91" i="4"/>
  <c r="O90" i="4"/>
  <c r="O89" i="4"/>
  <c r="O88" i="4"/>
  <c r="O87" i="4"/>
  <c r="O86" i="4"/>
  <c r="O85" i="4"/>
  <c r="O99" i="4"/>
  <c r="O97" i="4"/>
  <c r="O56" i="4"/>
  <c r="O59" i="11" s="1"/>
  <c r="AA59" i="11" s="1"/>
  <c r="N100" i="4"/>
  <c r="N37" i="11" s="1"/>
  <c r="P105" i="4"/>
  <c r="AC105" i="4" s="1"/>
  <c r="Q26" i="4"/>
  <c r="AC26" i="4" s="1"/>
  <c r="Q22" i="4"/>
  <c r="AC22" i="4" s="1"/>
  <c r="Q21" i="4"/>
  <c r="AC21" i="4" s="1"/>
  <c r="Q20" i="4"/>
  <c r="AC20" i="4" s="1"/>
  <c r="Q16" i="4"/>
  <c r="AC16" i="4" s="1"/>
  <c r="S73" i="4"/>
  <c r="C60" i="4"/>
  <c r="S110" i="4"/>
  <c r="S111" i="4"/>
  <c r="S112" i="4"/>
  <c r="S109" i="4"/>
  <c r="T105" i="4"/>
  <c r="D99" i="4"/>
  <c r="C99" i="4"/>
  <c r="S97" i="4"/>
  <c r="S99" i="4"/>
  <c r="S93" i="4"/>
  <c r="S92" i="4"/>
  <c r="S91" i="4"/>
  <c r="S90" i="4"/>
  <c r="S89" i="4"/>
  <c r="S88" i="4"/>
  <c r="S87" i="4"/>
  <c r="S86" i="4"/>
  <c r="S85" i="4"/>
  <c r="S76" i="4"/>
  <c r="S77" i="4"/>
  <c r="S78" i="4"/>
  <c r="S79" i="4"/>
  <c r="S80" i="4"/>
  <c r="B13" i="4"/>
  <c r="T8" i="6"/>
  <c r="T13" i="6"/>
  <c r="S13" i="6"/>
  <c r="R13" i="6"/>
  <c r="P13" i="6"/>
  <c r="O13" i="6"/>
  <c r="O13" i="4" s="1"/>
  <c r="N13" i="6"/>
  <c r="N13" i="4" s="1"/>
  <c r="K13" i="6"/>
  <c r="K13" i="4" s="1"/>
  <c r="T12" i="6"/>
  <c r="S12" i="6"/>
  <c r="R12" i="6"/>
  <c r="P12" i="6"/>
  <c r="O12" i="6"/>
  <c r="N12" i="6"/>
  <c r="N12" i="4" s="1"/>
  <c r="K12" i="6"/>
  <c r="K12" i="4" s="1"/>
  <c r="T11" i="6"/>
  <c r="S11" i="6"/>
  <c r="R11" i="6"/>
  <c r="P11" i="6"/>
  <c r="O11" i="6"/>
  <c r="O11" i="4" s="1"/>
  <c r="N11" i="6"/>
  <c r="N11" i="4" s="1"/>
  <c r="K11" i="6"/>
  <c r="K11" i="4" s="1"/>
  <c r="T10" i="6"/>
  <c r="S10" i="6"/>
  <c r="AE10" i="6" s="1"/>
  <c r="R10" i="6"/>
  <c r="P10" i="6"/>
  <c r="O10" i="6"/>
  <c r="O10" i="4" s="1"/>
  <c r="N10" i="6"/>
  <c r="N10" i="4" s="1"/>
  <c r="L10" i="6"/>
  <c r="L10" i="4" s="1"/>
  <c r="K10" i="6"/>
  <c r="K10" i="4" s="1"/>
  <c r="T9" i="6"/>
  <c r="S9" i="6"/>
  <c r="AE9" i="6" s="1"/>
  <c r="R9" i="6"/>
  <c r="P9" i="6"/>
  <c r="O9" i="6"/>
  <c r="O9" i="4" s="1"/>
  <c r="N9" i="6"/>
  <c r="N9" i="4" s="1"/>
  <c r="K9" i="6"/>
  <c r="K9" i="4" s="1"/>
  <c r="S8" i="6"/>
  <c r="AE8" i="6" s="1"/>
  <c r="R8" i="6"/>
  <c r="P8" i="6"/>
  <c r="O8" i="6"/>
  <c r="N8" i="6"/>
  <c r="K8" i="6"/>
  <c r="J13" i="6"/>
  <c r="J13" i="4" s="1"/>
  <c r="J11" i="11" s="1"/>
  <c r="J12" i="6"/>
  <c r="J12" i="4" s="1"/>
  <c r="J10" i="11" s="1"/>
  <c r="J11" i="6"/>
  <c r="J10" i="6"/>
  <c r="J10" i="4" s="1"/>
  <c r="J8" i="11" s="1"/>
  <c r="J9" i="6"/>
  <c r="J9" i="4" s="1"/>
  <c r="J7" i="11" s="1"/>
  <c r="J8" i="6"/>
  <c r="M22" i="6"/>
  <c r="M21" i="6"/>
  <c r="M20" i="6"/>
  <c r="M19" i="6"/>
  <c r="M18" i="6"/>
  <c r="M17" i="6"/>
  <c r="Q22" i="6"/>
  <c r="Q21" i="6"/>
  <c r="Q20" i="6"/>
  <c r="Q19" i="6"/>
  <c r="Q18" i="6"/>
  <c r="Q17" i="6"/>
  <c r="G100" i="4"/>
  <c r="F100" i="4"/>
  <c r="E100" i="4"/>
  <c r="T8" i="4"/>
  <c r="G60" i="4"/>
  <c r="Q60" i="4" s="1"/>
  <c r="AC60" i="4" s="1"/>
  <c r="F60" i="4"/>
  <c r="E60" i="4"/>
  <c r="M60" i="4" s="1"/>
  <c r="D60" i="4"/>
  <c r="G56" i="4"/>
  <c r="G59" i="11" s="1"/>
  <c r="F56" i="4"/>
  <c r="F59" i="11" s="1"/>
  <c r="E56" i="4"/>
  <c r="E59" i="11" s="1"/>
  <c r="D56" i="4"/>
  <c r="D59" i="11" s="1"/>
  <c r="C56" i="4"/>
  <c r="C59" i="11" s="1"/>
  <c r="S56" i="4"/>
  <c r="S59" i="11" s="1"/>
  <c r="AE59" i="11" s="1"/>
  <c r="R56" i="4"/>
  <c r="R59" i="11" s="1"/>
  <c r="AD59" i="11" s="1"/>
  <c r="T56" i="4"/>
  <c r="T59" i="11" s="1"/>
  <c r="AF59" i="11" s="1"/>
  <c r="D20" i="6"/>
  <c r="D11" i="6" s="1"/>
  <c r="D11" i="4" s="1"/>
  <c r="D9" i="11" s="1"/>
  <c r="D19" i="6"/>
  <c r="D10" i="6" s="1"/>
  <c r="D10" i="4" s="1"/>
  <c r="D8" i="11" s="1"/>
  <c r="C20" i="6"/>
  <c r="C11" i="6" s="1"/>
  <c r="C11" i="4" s="1"/>
  <c r="C9" i="11" s="1"/>
  <c r="C19" i="6"/>
  <c r="C10" i="6" s="1"/>
  <c r="C10" i="4" s="1"/>
  <c r="C8" i="11" s="1"/>
  <c r="D12" i="6"/>
  <c r="D9" i="6"/>
  <c r="D9" i="4" s="1"/>
  <c r="D7" i="11" s="1"/>
  <c r="D8" i="6"/>
  <c r="C12" i="6"/>
  <c r="C12" i="4" s="1"/>
  <c r="C10" i="11" s="1"/>
  <c r="C9" i="6"/>
  <c r="C9" i="4" s="1"/>
  <c r="C7" i="11" s="1"/>
  <c r="C8" i="6"/>
  <c r="C13" i="6"/>
  <c r="C13" i="4" s="1"/>
  <c r="C11" i="11" s="1"/>
  <c r="D13" i="6"/>
  <c r="D13" i="4" s="1"/>
  <c r="D11" i="11" s="1"/>
  <c r="E13" i="6"/>
  <c r="E13" i="4" s="1"/>
  <c r="E11" i="11" s="1"/>
  <c r="F13" i="6"/>
  <c r="F13" i="4" s="1"/>
  <c r="F11" i="11" s="1"/>
  <c r="G13" i="6"/>
  <c r="H30" i="6" s="1"/>
  <c r="B12" i="4"/>
  <c r="B11" i="4"/>
  <c r="B10" i="4"/>
  <c r="B9" i="4"/>
  <c r="B8" i="4"/>
  <c r="E12" i="6"/>
  <c r="E12" i="4" s="1"/>
  <c r="E10" i="11" s="1"/>
  <c r="E11" i="6"/>
  <c r="E11" i="4" s="1"/>
  <c r="E9" i="11" s="1"/>
  <c r="E10" i="6"/>
  <c r="E10" i="4" s="1"/>
  <c r="E8" i="11" s="1"/>
  <c r="E9" i="6"/>
  <c r="E9" i="4" s="1"/>
  <c r="E7" i="11" s="1"/>
  <c r="E8" i="6"/>
  <c r="F12" i="6"/>
  <c r="F12" i="4" s="1"/>
  <c r="F10" i="11" s="1"/>
  <c r="F11" i="6"/>
  <c r="F11" i="4" s="1"/>
  <c r="F9" i="11" s="1"/>
  <c r="F10" i="6"/>
  <c r="F10" i="4" s="1"/>
  <c r="F8" i="11" s="1"/>
  <c r="F9" i="6"/>
  <c r="F9" i="4" s="1"/>
  <c r="F7" i="11" s="1"/>
  <c r="F8" i="6"/>
  <c r="G12" i="6"/>
  <c r="G11" i="6"/>
  <c r="G10" i="6"/>
  <c r="G9" i="6"/>
  <c r="G8" i="6"/>
  <c r="K30" i="11" l="1"/>
  <c r="Z22" i="4"/>
  <c r="AA22" i="4"/>
  <c r="AB109" i="4"/>
  <c r="Z109" i="4"/>
  <c r="AA109" i="4"/>
  <c r="AB26" i="4"/>
  <c r="AA26" i="4"/>
  <c r="Z26" i="4"/>
  <c r="Z105" i="4"/>
  <c r="AA105" i="4"/>
  <c r="AB119" i="4"/>
  <c r="AA119" i="4"/>
  <c r="Z119" i="4"/>
  <c r="AA21" i="4"/>
  <c r="Z21" i="4"/>
  <c r="AB108" i="4"/>
  <c r="AA108" i="4"/>
  <c r="Z108" i="4"/>
  <c r="AA20" i="4"/>
  <c r="Z20" i="4"/>
  <c r="AB106" i="4"/>
  <c r="AA106" i="4"/>
  <c r="Z106" i="4"/>
  <c r="L8" i="11"/>
  <c r="AA16" i="4"/>
  <c r="Z16" i="4"/>
  <c r="AB81" i="4"/>
  <c r="AA81" i="4"/>
  <c r="Z81" i="4"/>
  <c r="K35" i="11"/>
  <c r="K11" i="11"/>
  <c r="L7" i="11"/>
  <c r="AB116" i="4"/>
  <c r="Z116" i="4"/>
  <c r="AA116" i="4"/>
  <c r="K26" i="11"/>
  <c r="K7" i="11"/>
  <c r="K10" i="11"/>
  <c r="AB117" i="4"/>
  <c r="Z117" i="4"/>
  <c r="AA117" i="4"/>
  <c r="L111" i="4"/>
  <c r="K8" i="11"/>
  <c r="K9" i="11"/>
  <c r="AB29" i="4"/>
  <c r="AA29" i="4"/>
  <c r="Z29" i="4"/>
  <c r="AB107" i="4"/>
  <c r="AA107" i="4"/>
  <c r="Z107" i="4"/>
  <c r="AB118" i="4"/>
  <c r="Z118" i="4"/>
  <c r="AA118" i="4"/>
  <c r="L88" i="4"/>
  <c r="L112" i="4"/>
  <c r="AC67" i="4"/>
  <c r="AB105" i="4"/>
  <c r="Q57" i="11"/>
  <c r="AC57" i="11" s="1"/>
  <c r="AC50" i="4"/>
  <c r="M21" i="11"/>
  <c r="AB21" i="11" s="1"/>
  <c r="AB21" i="4"/>
  <c r="N8" i="11"/>
  <c r="M20" i="11"/>
  <c r="AB20" i="11" s="1"/>
  <c r="AB20" i="4"/>
  <c r="N9" i="11"/>
  <c r="Q58" i="11"/>
  <c r="AC58" i="11" s="1"/>
  <c r="AC42" i="4"/>
  <c r="M16" i="11"/>
  <c r="AB16" i="11" s="1"/>
  <c r="AB16" i="4"/>
  <c r="M22" i="11"/>
  <c r="Z22" i="11" s="1"/>
  <c r="AB22" i="4"/>
  <c r="N11" i="11"/>
  <c r="Q51" i="11"/>
  <c r="AC51" i="11" s="1"/>
  <c r="AC35" i="4"/>
  <c r="N7" i="11"/>
  <c r="N10" i="11"/>
  <c r="Q63" i="11"/>
  <c r="AC63" i="11" s="1"/>
  <c r="AC55" i="4"/>
  <c r="Q56" i="11"/>
  <c r="AC56" i="11" s="1"/>
  <c r="AC36" i="4"/>
  <c r="O9" i="11"/>
  <c r="AF21" i="4"/>
  <c r="AE21" i="4"/>
  <c r="AD21" i="4"/>
  <c r="P111" i="4"/>
  <c r="Q111" i="4" s="1"/>
  <c r="AF118" i="4"/>
  <c r="AD118" i="4"/>
  <c r="AE118" i="4"/>
  <c r="AE20" i="4"/>
  <c r="AD20" i="4"/>
  <c r="AF117" i="4"/>
  <c r="AD117" i="4"/>
  <c r="AE117" i="4"/>
  <c r="O7" i="11"/>
  <c r="O8" i="11"/>
  <c r="AF22" i="4"/>
  <c r="AE22" i="4"/>
  <c r="AD22" i="4"/>
  <c r="P73" i="4"/>
  <c r="AF119" i="4"/>
  <c r="AD119" i="4"/>
  <c r="AE119" i="4"/>
  <c r="AF26" i="4"/>
  <c r="AE26" i="4"/>
  <c r="AD26" i="4"/>
  <c r="AF81" i="4"/>
  <c r="AD81" i="4"/>
  <c r="AE81" i="4"/>
  <c r="AE105" i="4"/>
  <c r="AD105" i="4"/>
  <c r="AF107" i="4"/>
  <c r="AE107" i="4"/>
  <c r="AD107" i="4"/>
  <c r="AF29" i="4"/>
  <c r="AE29" i="4"/>
  <c r="AD29" i="4"/>
  <c r="AF108" i="4"/>
  <c r="AE108" i="4"/>
  <c r="AD108" i="4"/>
  <c r="AE109" i="4"/>
  <c r="AD109" i="4"/>
  <c r="O30" i="11"/>
  <c r="AF106" i="4"/>
  <c r="AE106" i="4"/>
  <c r="AD106" i="4"/>
  <c r="P112" i="4"/>
  <c r="O26" i="11"/>
  <c r="O11" i="11"/>
  <c r="AE16" i="4"/>
  <c r="AD16" i="4"/>
  <c r="O35" i="11"/>
  <c r="AF116" i="4"/>
  <c r="AE116" i="4"/>
  <c r="AD116" i="4"/>
  <c r="S113" i="4"/>
  <c r="AF105" i="4"/>
  <c r="Q20" i="11"/>
  <c r="AC20" i="11" s="1"/>
  <c r="AF20" i="4"/>
  <c r="T99" i="4"/>
  <c r="U99" i="4" s="1"/>
  <c r="AI99" i="4" s="1"/>
  <c r="T97" i="4"/>
  <c r="T35" i="11" s="1"/>
  <c r="K113" i="4"/>
  <c r="Q16" i="11"/>
  <c r="AC16" i="11" s="1"/>
  <c r="AF16" i="4"/>
  <c r="T6" i="11"/>
  <c r="AI8" i="4"/>
  <c r="P42" i="11"/>
  <c r="Q42" i="11"/>
  <c r="AD42" i="11" s="1"/>
  <c r="O113" i="4"/>
  <c r="AD11" i="6"/>
  <c r="AE12" i="6"/>
  <c r="AD12" i="6"/>
  <c r="AE13" i="6"/>
  <c r="AD9" i="6"/>
  <c r="AD10" i="6"/>
  <c r="AE11" i="6"/>
  <c r="AE14" i="6" s="1"/>
  <c r="AD8" i="6"/>
  <c r="AD7" i="6"/>
  <c r="AC7" i="6"/>
  <c r="AE7" i="6"/>
  <c r="AD13" i="6"/>
  <c r="S13" i="4"/>
  <c r="P10" i="4"/>
  <c r="S12" i="4"/>
  <c r="U30" i="6"/>
  <c r="AF13" i="6"/>
  <c r="P11" i="4"/>
  <c r="R12" i="4"/>
  <c r="R9" i="4"/>
  <c r="R10" i="4"/>
  <c r="S11" i="4"/>
  <c r="U29" i="6"/>
  <c r="AF12" i="6"/>
  <c r="U25" i="6"/>
  <c r="AF8" i="6"/>
  <c r="S9" i="4"/>
  <c r="S10" i="4"/>
  <c r="U28" i="6"/>
  <c r="AF11" i="6"/>
  <c r="U26" i="6"/>
  <c r="AF9" i="6"/>
  <c r="U27" i="6"/>
  <c r="AF10" i="6"/>
  <c r="R13" i="4"/>
  <c r="Q12" i="6"/>
  <c r="AC12" i="6" s="1"/>
  <c r="T88" i="4"/>
  <c r="T73" i="4"/>
  <c r="U73" i="4" s="1"/>
  <c r="S43" i="11"/>
  <c r="S30" i="11"/>
  <c r="T42" i="11"/>
  <c r="U105" i="4"/>
  <c r="AH105" i="4" s="1"/>
  <c r="S26" i="11"/>
  <c r="T112" i="4"/>
  <c r="T111" i="4"/>
  <c r="S35" i="11"/>
  <c r="U8" i="11"/>
  <c r="K44" i="11"/>
  <c r="M43" i="11"/>
  <c r="Y43" i="11" s="1"/>
  <c r="O44" i="11"/>
  <c r="Q43" i="11"/>
  <c r="AC43" i="11" s="1"/>
  <c r="S44" i="11"/>
  <c r="T9" i="4"/>
  <c r="T10" i="4"/>
  <c r="T13" i="4"/>
  <c r="T12" i="4"/>
  <c r="T11" i="4"/>
  <c r="R14" i="6"/>
  <c r="S8" i="4"/>
  <c r="S14" i="6"/>
  <c r="C8" i="4"/>
  <c r="C6" i="11" s="1"/>
  <c r="C12" i="11" s="1"/>
  <c r="C17" i="11" s="1"/>
  <c r="C14" i="6"/>
  <c r="K14" i="6"/>
  <c r="N8" i="4"/>
  <c r="N14" i="6"/>
  <c r="E8" i="4"/>
  <c r="E6" i="11" s="1"/>
  <c r="E12" i="11" s="1"/>
  <c r="E17" i="11" s="1"/>
  <c r="E14" i="6"/>
  <c r="D8" i="4"/>
  <c r="D6" i="11" s="1"/>
  <c r="D14" i="6"/>
  <c r="F8" i="4"/>
  <c r="F6" i="11" s="1"/>
  <c r="F12" i="11" s="1"/>
  <c r="F14" i="6"/>
  <c r="J14" i="6"/>
  <c r="O8" i="4"/>
  <c r="O14" i="6"/>
  <c r="T14" i="6"/>
  <c r="G14" i="6"/>
  <c r="P8" i="4"/>
  <c r="P14" i="6"/>
  <c r="G9" i="4"/>
  <c r="G7" i="11" s="1"/>
  <c r="H26" i="6"/>
  <c r="G10" i="4"/>
  <c r="G8" i="11" s="1"/>
  <c r="H27" i="6"/>
  <c r="G11" i="4"/>
  <c r="G9" i="11" s="1"/>
  <c r="H28" i="6"/>
  <c r="G12" i="4"/>
  <c r="G10" i="11" s="1"/>
  <c r="H29" i="6"/>
  <c r="G8" i="4"/>
  <c r="G6" i="11" s="1"/>
  <c r="H25" i="6"/>
  <c r="Q13" i="6"/>
  <c r="AC13" i="6" s="1"/>
  <c r="Q11" i="6"/>
  <c r="AC11" i="6" s="1"/>
  <c r="Q8" i="6"/>
  <c r="AC8" i="6" s="1"/>
  <c r="Q10" i="6"/>
  <c r="AC10" i="6" s="1"/>
  <c r="O29" i="6"/>
  <c r="Q9" i="6"/>
  <c r="AC9" i="6" s="1"/>
  <c r="AF7" i="6"/>
  <c r="K25" i="6"/>
  <c r="M9" i="6"/>
  <c r="O25" i="6"/>
  <c r="G13" i="4"/>
  <c r="G11" i="11" s="1"/>
  <c r="S45" i="11"/>
  <c r="S36" i="11"/>
  <c r="Z16" i="11"/>
  <c r="Y16" i="11"/>
  <c r="AA16" i="11"/>
  <c r="K39" i="11"/>
  <c r="L99" i="4"/>
  <c r="K45" i="11"/>
  <c r="K36" i="11"/>
  <c r="C100" i="4"/>
  <c r="C45" i="11"/>
  <c r="Y51" i="11"/>
  <c r="M53" i="11"/>
  <c r="D100" i="4"/>
  <c r="D45" i="11"/>
  <c r="Q21" i="11"/>
  <c r="P99" i="4"/>
  <c r="O45" i="11"/>
  <c r="O36" i="11"/>
  <c r="M42" i="11"/>
  <c r="Q22" i="11"/>
  <c r="O39" i="11"/>
  <c r="Y22" i="11"/>
  <c r="AB22" i="11"/>
  <c r="Z21" i="11"/>
  <c r="Y21" i="11"/>
  <c r="S39" i="11"/>
  <c r="L87" i="4"/>
  <c r="L89" i="4"/>
  <c r="L91" i="4"/>
  <c r="P76" i="4"/>
  <c r="T80" i="4"/>
  <c r="P89" i="4"/>
  <c r="P78" i="4"/>
  <c r="L86" i="4"/>
  <c r="T79" i="4"/>
  <c r="T89" i="4"/>
  <c r="P79" i="4"/>
  <c r="L76" i="4"/>
  <c r="L85" i="4"/>
  <c r="T78" i="4"/>
  <c r="T90" i="4"/>
  <c r="P80" i="4"/>
  <c r="L77" i="4"/>
  <c r="L92" i="4"/>
  <c r="T77" i="4"/>
  <c r="T91" i="4"/>
  <c r="T109" i="4"/>
  <c r="AF109" i="4" s="1"/>
  <c r="P92" i="4"/>
  <c r="M56" i="4"/>
  <c r="M59" i="11" s="1"/>
  <c r="Y59" i="11" s="1"/>
  <c r="L97" i="4"/>
  <c r="O100" i="4"/>
  <c r="O37" i="11" s="1"/>
  <c r="P91" i="4"/>
  <c r="T76" i="4"/>
  <c r="T92" i="4"/>
  <c r="P85" i="4"/>
  <c r="P93" i="4"/>
  <c r="M67" i="4"/>
  <c r="M69" i="11" s="1"/>
  <c r="L90" i="4"/>
  <c r="L110" i="4"/>
  <c r="T85" i="4"/>
  <c r="T93" i="4"/>
  <c r="P86" i="4"/>
  <c r="P110" i="4"/>
  <c r="L80" i="4"/>
  <c r="T86" i="4"/>
  <c r="T110" i="4"/>
  <c r="T87" i="4"/>
  <c r="P77" i="4"/>
  <c r="S100" i="4"/>
  <c r="S37" i="11" s="1"/>
  <c r="M40" i="4"/>
  <c r="M48" i="4" s="1"/>
  <c r="L93" i="4"/>
  <c r="K100" i="4"/>
  <c r="K37" i="11" s="1"/>
  <c r="M88" i="4"/>
  <c r="Z88" i="4" s="1"/>
  <c r="L78" i="4"/>
  <c r="M10" i="6"/>
  <c r="M13" i="6"/>
  <c r="M12" i="6"/>
  <c r="N29" i="6" s="1"/>
  <c r="M8" i="6"/>
  <c r="P90" i="4"/>
  <c r="P87" i="4"/>
  <c r="P88" i="4"/>
  <c r="L11" i="6"/>
  <c r="L11" i="4" s="1"/>
  <c r="L12" i="6"/>
  <c r="L12" i="4" s="1"/>
  <c r="L13" i="6"/>
  <c r="L13" i="4" s="1"/>
  <c r="L8" i="6"/>
  <c r="K28" i="6"/>
  <c r="O27" i="6"/>
  <c r="P97" i="4"/>
  <c r="P27" i="6"/>
  <c r="O12" i="4"/>
  <c r="O30" i="6"/>
  <c r="P30" i="6"/>
  <c r="P9" i="4"/>
  <c r="O28" i="6"/>
  <c r="J11" i="4"/>
  <c r="J9" i="11" s="1"/>
  <c r="P29" i="6"/>
  <c r="P13" i="4"/>
  <c r="P26" i="6"/>
  <c r="M11" i="6"/>
  <c r="P25" i="6"/>
  <c r="L27" i="6"/>
  <c r="L26" i="6"/>
  <c r="P28" i="6"/>
  <c r="O26" i="6"/>
  <c r="P12" i="4"/>
  <c r="K27" i="6"/>
  <c r="K29" i="6"/>
  <c r="J8" i="4"/>
  <c r="J6" i="11" s="1"/>
  <c r="K8" i="4"/>
  <c r="S30" i="6"/>
  <c r="S29" i="6"/>
  <c r="R11" i="4"/>
  <c r="S27" i="6"/>
  <c r="T26" i="6"/>
  <c r="T27" i="6"/>
  <c r="R8" i="4"/>
  <c r="S26" i="6"/>
  <c r="T30" i="6"/>
  <c r="S25" i="6"/>
  <c r="T29" i="6"/>
  <c r="T25" i="6"/>
  <c r="S28" i="6"/>
  <c r="T28" i="6"/>
  <c r="D29" i="6"/>
  <c r="D26" i="6"/>
  <c r="D12" i="4"/>
  <c r="D25" i="6"/>
  <c r="K26" i="6"/>
  <c r="D28" i="6"/>
  <c r="D27" i="6"/>
  <c r="K30" i="6"/>
  <c r="D30" i="6"/>
  <c r="E30" i="6"/>
  <c r="G30" i="6"/>
  <c r="F30" i="6"/>
  <c r="G26" i="6"/>
  <c r="E27" i="6"/>
  <c r="F27" i="6"/>
  <c r="F29" i="6"/>
  <c r="E25" i="6"/>
  <c r="G27" i="6"/>
  <c r="F25" i="6"/>
  <c r="E28" i="6"/>
  <c r="G25" i="6"/>
  <c r="F28" i="6"/>
  <c r="E26" i="6"/>
  <c r="G28" i="6"/>
  <c r="G29" i="6"/>
  <c r="F26" i="6"/>
  <c r="E29" i="6"/>
  <c r="Z78" i="4" l="1"/>
  <c r="L26" i="11"/>
  <c r="L113" i="4"/>
  <c r="M112" i="4"/>
  <c r="Z112" i="4" s="1"/>
  <c r="M91" i="4"/>
  <c r="AB91" i="4" s="1"/>
  <c r="AA91" i="4"/>
  <c r="AA77" i="4"/>
  <c r="L11" i="11"/>
  <c r="M87" i="4"/>
  <c r="Z87" i="4" s="1"/>
  <c r="AA87" i="4"/>
  <c r="L9" i="11"/>
  <c r="L35" i="11"/>
  <c r="M99" i="4"/>
  <c r="Z99" i="4" s="1"/>
  <c r="L10" i="11"/>
  <c r="AA88" i="4"/>
  <c r="M111" i="4"/>
  <c r="Z111" i="4" s="1"/>
  <c r="AA111" i="4"/>
  <c r="AD16" i="11"/>
  <c r="AF16" i="11"/>
  <c r="AE16" i="11"/>
  <c r="AK16" i="11" s="1"/>
  <c r="Q53" i="11"/>
  <c r="AC40" i="4"/>
  <c r="AA20" i="11"/>
  <c r="Z20" i="11"/>
  <c r="AB88" i="4"/>
  <c r="Y20" i="11"/>
  <c r="AB111" i="4"/>
  <c r="AA22" i="11"/>
  <c r="AC48" i="4"/>
  <c r="AA21" i="11"/>
  <c r="AB99" i="4"/>
  <c r="AC56" i="4"/>
  <c r="AC61" i="4" s="1"/>
  <c r="M31" i="11"/>
  <c r="AA31" i="11" s="1"/>
  <c r="AB87" i="4"/>
  <c r="AF20" i="11"/>
  <c r="AC111" i="4"/>
  <c r="N6" i="11"/>
  <c r="N12" i="11" s="1"/>
  <c r="N17" i="11" s="1"/>
  <c r="AD20" i="11"/>
  <c r="AE20" i="11"/>
  <c r="AK20" i="11" s="1"/>
  <c r="AF111" i="4"/>
  <c r="P35" i="11"/>
  <c r="P9" i="11"/>
  <c r="Q112" i="4"/>
  <c r="AD112" i="4" s="1"/>
  <c r="P30" i="11"/>
  <c r="O6" i="11"/>
  <c r="Q88" i="4"/>
  <c r="AF88" i="4" s="1"/>
  <c r="Q99" i="4"/>
  <c r="AD99" i="4" s="1"/>
  <c r="P44" i="11"/>
  <c r="P10" i="11"/>
  <c r="P8" i="11"/>
  <c r="AE42" i="11"/>
  <c r="AE111" i="4"/>
  <c r="P6" i="11"/>
  <c r="AD111" i="4"/>
  <c r="AG73" i="4"/>
  <c r="S6" i="11"/>
  <c r="AH8" i="4"/>
  <c r="R11" i="11"/>
  <c r="AG13" i="4"/>
  <c r="S7" i="11"/>
  <c r="AH9" i="4"/>
  <c r="R10" i="11"/>
  <c r="AG12" i="4"/>
  <c r="AG8" i="4"/>
  <c r="AC42" i="11"/>
  <c r="AG99" i="4"/>
  <c r="AG105" i="4"/>
  <c r="AH99" i="4"/>
  <c r="S10" i="11"/>
  <c r="AH12" i="4"/>
  <c r="AH73" i="4"/>
  <c r="U9" i="11"/>
  <c r="AG11" i="4"/>
  <c r="R8" i="11"/>
  <c r="AG10" i="4"/>
  <c r="S11" i="11"/>
  <c r="AH13" i="4"/>
  <c r="S9" i="11"/>
  <c r="AH11" i="4"/>
  <c r="S8" i="11"/>
  <c r="AH10" i="4"/>
  <c r="R7" i="11"/>
  <c r="AG9" i="4"/>
  <c r="T10" i="11"/>
  <c r="AI12" i="4"/>
  <c r="P113" i="4"/>
  <c r="U93" i="4"/>
  <c r="AH93" i="4" s="1"/>
  <c r="T26" i="11"/>
  <c r="U91" i="4"/>
  <c r="AH91" i="4" s="1"/>
  <c r="T8" i="11"/>
  <c r="AI10" i="4"/>
  <c r="T43" i="11"/>
  <c r="AF43" i="11" s="1"/>
  <c r="T11" i="11"/>
  <c r="AI13" i="4"/>
  <c r="U87" i="4"/>
  <c r="AI87" i="4" s="1"/>
  <c r="U77" i="4"/>
  <c r="AI77" i="4" s="1"/>
  <c r="T7" i="11"/>
  <c r="AI9" i="4"/>
  <c r="U111" i="4"/>
  <c r="AG111" i="4" s="1"/>
  <c r="AI73" i="4"/>
  <c r="T113" i="4"/>
  <c r="U90" i="4"/>
  <c r="AH90" i="4" s="1"/>
  <c r="T9" i="11"/>
  <c r="AI11" i="4"/>
  <c r="AF42" i="11"/>
  <c r="U78" i="4"/>
  <c r="AH78" i="4" s="1"/>
  <c r="U92" i="4"/>
  <c r="AI92" i="4" s="1"/>
  <c r="U80" i="4"/>
  <c r="AI80" i="4" s="1"/>
  <c r="U85" i="4"/>
  <c r="AI85" i="4" s="1"/>
  <c r="U89" i="4"/>
  <c r="AH89" i="4" s="1"/>
  <c r="U112" i="4"/>
  <c r="AH112" i="4" s="1"/>
  <c r="U88" i="4"/>
  <c r="AI105" i="4"/>
  <c r="U86" i="4"/>
  <c r="AI86" i="4" s="1"/>
  <c r="T30" i="11"/>
  <c r="AD14" i="6"/>
  <c r="AB12" i="6"/>
  <c r="AB13" i="6"/>
  <c r="AB10" i="6"/>
  <c r="AB9" i="6"/>
  <c r="AC14" i="6"/>
  <c r="AB8" i="6"/>
  <c r="AB11" i="6"/>
  <c r="Q12" i="4"/>
  <c r="AE12" i="4" s="1"/>
  <c r="Q28" i="6"/>
  <c r="Q13" i="4"/>
  <c r="AD13" i="4" s="1"/>
  <c r="Q10" i="4"/>
  <c r="AE10" i="4" s="1"/>
  <c r="R29" i="6"/>
  <c r="Q29" i="6"/>
  <c r="AI8" i="11"/>
  <c r="F14" i="4"/>
  <c r="F17" i="4" s="1"/>
  <c r="T44" i="11"/>
  <c r="U36" i="11"/>
  <c r="U45" i="11"/>
  <c r="U42" i="11"/>
  <c r="AH42" i="11" s="1"/>
  <c r="U97" i="4"/>
  <c r="U79" i="4"/>
  <c r="AH79" i="4" s="1"/>
  <c r="U110" i="4"/>
  <c r="U109" i="4"/>
  <c r="U43" i="11" s="1"/>
  <c r="U76" i="4"/>
  <c r="AH76" i="4" s="1"/>
  <c r="U10" i="11"/>
  <c r="AB43" i="11"/>
  <c r="AE43" i="11"/>
  <c r="AD43" i="11"/>
  <c r="U7" i="11"/>
  <c r="R6" i="11"/>
  <c r="U6" i="11"/>
  <c r="AI6" i="11" s="1"/>
  <c r="U11" i="11"/>
  <c r="AI11" i="11" s="1"/>
  <c r="AA43" i="11"/>
  <c r="Z43" i="11"/>
  <c r="E14" i="4"/>
  <c r="E17" i="4" s="1"/>
  <c r="T14" i="4"/>
  <c r="T17" i="4" s="1"/>
  <c r="C14" i="4"/>
  <c r="C17" i="4" s="1"/>
  <c r="S14" i="4"/>
  <c r="S17" i="4" s="1"/>
  <c r="G12" i="11"/>
  <c r="M14" i="6"/>
  <c r="Q25" i="6"/>
  <c r="Q14" i="6"/>
  <c r="L14" i="6"/>
  <c r="N14" i="4"/>
  <c r="N17" i="4" s="1"/>
  <c r="R28" i="6"/>
  <c r="R30" i="6"/>
  <c r="Q30" i="6"/>
  <c r="Q27" i="6"/>
  <c r="Q26" i="6"/>
  <c r="R27" i="6"/>
  <c r="Q11" i="4"/>
  <c r="Q8" i="4"/>
  <c r="AF8" i="4" s="1"/>
  <c r="R25" i="6"/>
  <c r="M26" i="6"/>
  <c r="L29" i="6"/>
  <c r="Q9" i="4"/>
  <c r="R26" i="6"/>
  <c r="G14" i="4"/>
  <c r="G17" i="4" s="1"/>
  <c r="N26" i="6"/>
  <c r="M9" i="4"/>
  <c r="M25" i="6"/>
  <c r="M30" i="6"/>
  <c r="M10" i="4"/>
  <c r="M29" i="6"/>
  <c r="N27" i="6"/>
  <c r="M8" i="4"/>
  <c r="M27" i="6"/>
  <c r="M12" i="4"/>
  <c r="AA12" i="4" s="1"/>
  <c r="P11" i="11"/>
  <c r="P7" i="11"/>
  <c r="Y69" i="11"/>
  <c r="Y70" i="11" s="1"/>
  <c r="Y81" i="11" s="1"/>
  <c r="M70" i="11"/>
  <c r="M81" i="11" s="1"/>
  <c r="J12" i="11"/>
  <c r="J17" i="11" s="1"/>
  <c r="O14" i="4"/>
  <c r="O17" i="4" s="1"/>
  <c r="O10" i="11"/>
  <c r="P36" i="11"/>
  <c r="P45" i="11"/>
  <c r="L45" i="11"/>
  <c r="L36" i="11"/>
  <c r="K14" i="4"/>
  <c r="K17" i="4" s="1"/>
  <c r="K6" i="11"/>
  <c r="L39" i="11"/>
  <c r="Q31" i="11"/>
  <c r="AD22" i="11"/>
  <c r="AE22" i="11"/>
  <c r="AK22" i="11" s="1"/>
  <c r="AC22" i="11"/>
  <c r="AF22" i="11"/>
  <c r="AE21" i="11"/>
  <c r="AK21" i="11" s="1"/>
  <c r="AD21" i="11"/>
  <c r="AF21" i="11"/>
  <c r="AC21" i="11"/>
  <c r="M45" i="11"/>
  <c r="M36" i="11"/>
  <c r="P39" i="11"/>
  <c r="T39" i="11"/>
  <c r="Q76" i="4"/>
  <c r="AE76" i="4" s="1"/>
  <c r="P26" i="11"/>
  <c r="R9" i="11"/>
  <c r="L44" i="11"/>
  <c r="AC53" i="11"/>
  <c r="T45" i="11"/>
  <c r="T36" i="11"/>
  <c r="Z42" i="11"/>
  <c r="Y42" i="11"/>
  <c r="AB42" i="11"/>
  <c r="AA42" i="11"/>
  <c r="Y53" i="11"/>
  <c r="C23" i="11"/>
  <c r="C18" i="11"/>
  <c r="E18" i="11"/>
  <c r="E23" i="11"/>
  <c r="D14" i="4"/>
  <c r="D17" i="4" s="1"/>
  <c r="D10" i="11"/>
  <c r="D12" i="11" s="1"/>
  <c r="D17" i="11" s="1"/>
  <c r="F17" i="11"/>
  <c r="F13" i="11"/>
  <c r="Q80" i="4"/>
  <c r="M97" i="4"/>
  <c r="Z97" i="4" s="1"/>
  <c r="Z100" i="4" s="1"/>
  <c r="M80" i="4"/>
  <c r="Q91" i="4"/>
  <c r="AF91" i="4" s="1"/>
  <c r="M61" i="4"/>
  <c r="Q92" i="4"/>
  <c r="AF92" i="4" s="1"/>
  <c r="Q89" i="4"/>
  <c r="AF89" i="4" s="1"/>
  <c r="M89" i="4"/>
  <c r="AB89" i="4" s="1"/>
  <c r="Q93" i="4"/>
  <c r="AF93" i="4" s="1"/>
  <c r="L100" i="4"/>
  <c r="L37" i="11" s="1"/>
  <c r="Q87" i="4"/>
  <c r="AF87" i="4" s="1"/>
  <c r="Q79" i="4"/>
  <c r="AE79" i="4" s="1"/>
  <c r="M92" i="4"/>
  <c r="AB92" i="4" s="1"/>
  <c r="T100" i="4"/>
  <c r="T37" i="11" s="1"/>
  <c r="M77" i="4"/>
  <c r="AB77" i="4" s="1"/>
  <c r="P100" i="4"/>
  <c r="P37" i="11" s="1"/>
  <c r="Q90" i="4"/>
  <c r="AF90" i="4" s="1"/>
  <c r="M93" i="4"/>
  <c r="AB93" i="4" s="1"/>
  <c r="M110" i="4"/>
  <c r="AB110" i="4" s="1"/>
  <c r="Q85" i="4"/>
  <c r="AF85" i="4" s="1"/>
  <c r="Q86" i="4"/>
  <c r="Q77" i="4"/>
  <c r="AF77" i="4" s="1"/>
  <c r="M78" i="4"/>
  <c r="AB78" i="4" s="1"/>
  <c r="Q110" i="4"/>
  <c r="AF110" i="4" s="1"/>
  <c r="M76" i="4"/>
  <c r="Z76" i="4" s="1"/>
  <c r="M85" i="4"/>
  <c r="AB85" i="4" s="1"/>
  <c r="Q78" i="4"/>
  <c r="M90" i="4"/>
  <c r="AB90" i="4" s="1"/>
  <c r="M86" i="4"/>
  <c r="AB86" i="4" s="1"/>
  <c r="J14" i="4"/>
  <c r="J17" i="4" s="1"/>
  <c r="M28" i="6"/>
  <c r="M11" i="4"/>
  <c r="Z11" i="4" s="1"/>
  <c r="M13" i="4"/>
  <c r="AA13" i="4" s="1"/>
  <c r="N30" i="6"/>
  <c r="N25" i="6"/>
  <c r="L28" i="6"/>
  <c r="Q97" i="4"/>
  <c r="L8" i="4"/>
  <c r="AA8" i="4" s="1"/>
  <c r="L25" i="6"/>
  <c r="L30" i="6"/>
  <c r="N28" i="6"/>
  <c r="R14" i="4"/>
  <c r="R17" i="4" s="1"/>
  <c r="AB80" i="4" l="1"/>
  <c r="Z80" i="4"/>
  <c r="AA110" i="4"/>
  <c r="AA113" i="4" s="1"/>
  <c r="AA99" i="4"/>
  <c r="AA90" i="4"/>
  <c r="AB112" i="4"/>
  <c r="Z12" i="4"/>
  <c r="Z9" i="4"/>
  <c r="AA9" i="4"/>
  <c r="Z86" i="4"/>
  <c r="Z91" i="4"/>
  <c r="AA93" i="4"/>
  <c r="AA89" i="4"/>
  <c r="Z90" i="4"/>
  <c r="Z85" i="4"/>
  <c r="AA86" i="4"/>
  <c r="AA85" i="4"/>
  <c r="AA76" i="4"/>
  <c r="Z77" i="4"/>
  <c r="AA97" i="4"/>
  <c r="AA100" i="4" s="1"/>
  <c r="Z13" i="4"/>
  <c r="AA80" i="4"/>
  <c r="AA78" i="4"/>
  <c r="Z92" i="4"/>
  <c r="Z89" i="4"/>
  <c r="Z8" i="4"/>
  <c r="Z110" i="4"/>
  <c r="Z113" i="4" s="1"/>
  <c r="AA10" i="4"/>
  <c r="Z10" i="4"/>
  <c r="AA11" i="4"/>
  <c r="AA14" i="4" s="1"/>
  <c r="AA17" i="4" s="1"/>
  <c r="AA112" i="4"/>
  <c r="AA92" i="4"/>
  <c r="Z93" i="4"/>
  <c r="Y31" i="11"/>
  <c r="Z31" i="11"/>
  <c r="AB31" i="11"/>
  <c r="AB113" i="4"/>
  <c r="AC12" i="4"/>
  <c r="AC87" i="4"/>
  <c r="AI89" i="4"/>
  <c r="AI9" i="11"/>
  <c r="AC112" i="4"/>
  <c r="AC91" i="4"/>
  <c r="AE97" i="4"/>
  <c r="AC97" i="4"/>
  <c r="AF86" i="4"/>
  <c r="AC86" i="4"/>
  <c r="Q45" i="11"/>
  <c r="AE45" i="11" s="1"/>
  <c r="M8" i="11"/>
  <c r="AB8" i="11" s="1"/>
  <c r="AB10" i="4"/>
  <c r="AC8" i="4"/>
  <c r="AC76" i="4"/>
  <c r="AC89" i="4"/>
  <c r="AE9" i="4"/>
  <c r="AC9" i="4"/>
  <c r="AC88" i="4"/>
  <c r="AC92" i="4"/>
  <c r="AF78" i="4"/>
  <c r="AC78" i="4"/>
  <c r="AC13" i="4"/>
  <c r="AC85" i="4"/>
  <c r="M35" i="11"/>
  <c r="Y35" i="11" s="1"/>
  <c r="AB97" i="4"/>
  <c r="AB100" i="4" s="1"/>
  <c r="M10" i="11"/>
  <c r="Z10" i="11" s="1"/>
  <c r="AB12" i="4"/>
  <c r="M7" i="11"/>
  <c r="Z7" i="11" s="1"/>
  <c r="AB9" i="4"/>
  <c r="AG8" i="11"/>
  <c r="AC77" i="4"/>
  <c r="AC110" i="4"/>
  <c r="Q36" i="11"/>
  <c r="AF36" i="11" s="1"/>
  <c r="M11" i="11"/>
  <c r="Z11" i="11" s="1"/>
  <c r="AB13" i="4"/>
  <c r="AF80" i="4"/>
  <c r="AC80" i="4"/>
  <c r="AD11" i="4"/>
  <c r="AC11" i="4"/>
  <c r="AC90" i="4"/>
  <c r="AC99" i="4"/>
  <c r="M26" i="11"/>
  <c r="Y26" i="11" s="1"/>
  <c r="AB76" i="4"/>
  <c r="M9" i="11"/>
  <c r="AB9" i="11" s="1"/>
  <c r="AB11" i="4"/>
  <c r="M6" i="11"/>
  <c r="AB6" i="11" s="1"/>
  <c r="AB8" i="4"/>
  <c r="AC79" i="4"/>
  <c r="AC10" i="4"/>
  <c r="AC93" i="4"/>
  <c r="AF99" i="4"/>
  <c r="AE99" i="4"/>
  <c r="AE77" i="4"/>
  <c r="AD86" i="4"/>
  <c r="AE86" i="4"/>
  <c r="AD88" i="4"/>
  <c r="AE88" i="4"/>
  <c r="AD80" i="4"/>
  <c r="AD97" i="4"/>
  <c r="AD100" i="4" s="1"/>
  <c r="AD89" i="4"/>
  <c r="AE8" i="4"/>
  <c r="AD76" i="4"/>
  <c r="AE91" i="4"/>
  <c r="AE87" i="4"/>
  <c r="AD9" i="4"/>
  <c r="AI90" i="4"/>
  <c r="AD90" i="4"/>
  <c r="AE85" i="4"/>
  <c r="AE112" i="4"/>
  <c r="AE78" i="4"/>
  <c r="AD91" i="4"/>
  <c r="AE110" i="4"/>
  <c r="AE90" i="4"/>
  <c r="AE13" i="4"/>
  <c r="AD87" i="4"/>
  <c r="AE93" i="4"/>
  <c r="AD12" i="4"/>
  <c r="AE92" i="4"/>
  <c r="AF112" i="4"/>
  <c r="AF113" i="4" s="1"/>
  <c r="AD10" i="4"/>
  <c r="AI45" i="11"/>
  <c r="AD92" i="4"/>
  <c r="AE80" i="4"/>
  <c r="AD79" i="4"/>
  <c r="AD8" i="4"/>
  <c r="AE11" i="4"/>
  <c r="AE89" i="4"/>
  <c r="AD85" i="4"/>
  <c r="AD78" i="4"/>
  <c r="AH8" i="11"/>
  <c r="AD77" i="4"/>
  <c r="AD93" i="4"/>
  <c r="AD110" i="4"/>
  <c r="AD113" i="4" s="1"/>
  <c r="AH14" i="4"/>
  <c r="AH17" i="4" s="1"/>
  <c r="AH23" i="4" s="1"/>
  <c r="T12" i="11"/>
  <c r="T17" i="11" s="1"/>
  <c r="T23" i="11" s="1"/>
  <c r="T24" i="11" s="1"/>
  <c r="AH109" i="4"/>
  <c r="AH85" i="4"/>
  <c r="AH43" i="11"/>
  <c r="AG78" i="4"/>
  <c r="AG93" i="4"/>
  <c r="U44" i="11"/>
  <c r="AI44" i="11" s="1"/>
  <c r="AH9" i="11"/>
  <c r="AG90" i="4"/>
  <c r="AG109" i="4"/>
  <c r="S12" i="11"/>
  <c r="W13" i="11" s="1"/>
  <c r="AG86" i="4"/>
  <c r="U30" i="11"/>
  <c r="AI30" i="11" s="1"/>
  <c r="AG79" i="4"/>
  <c r="Q11" i="11"/>
  <c r="AF11" i="11" s="1"/>
  <c r="AF13" i="4"/>
  <c r="AI88" i="4"/>
  <c r="AG88" i="4"/>
  <c r="AG77" i="4"/>
  <c r="AG87" i="4"/>
  <c r="AG14" i="4"/>
  <c r="AG17" i="4" s="1"/>
  <c r="AH87" i="4"/>
  <c r="Q26" i="11"/>
  <c r="AF26" i="11" s="1"/>
  <c r="AF76" i="4"/>
  <c r="Q9" i="11"/>
  <c r="AE9" i="11" s="1"/>
  <c r="AF11" i="4"/>
  <c r="AI97" i="4"/>
  <c r="AH97" i="4"/>
  <c r="AH100" i="4" s="1"/>
  <c r="AI112" i="4"/>
  <c r="AI78" i="4"/>
  <c r="AI91" i="4"/>
  <c r="AG91" i="4"/>
  <c r="AH110" i="4"/>
  <c r="AH7" i="11"/>
  <c r="AG42" i="11"/>
  <c r="AG80" i="4"/>
  <c r="AH80" i="4"/>
  <c r="AH86" i="4"/>
  <c r="Q7" i="11"/>
  <c r="AF7" i="11" s="1"/>
  <c r="AF9" i="4"/>
  <c r="AH10" i="11"/>
  <c r="AH36" i="11"/>
  <c r="AI79" i="4"/>
  <c r="AI42" i="11"/>
  <c r="AI111" i="4"/>
  <c r="AI93" i="4"/>
  <c r="AH92" i="4"/>
  <c r="AG89" i="4"/>
  <c r="AG92" i="4"/>
  <c r="AG112" i="4"/>
  <c r="Q35" i="11"/>
  <c r="AE35" i="11" s="1"/>
  <c r="AF97" i="4"/>
  <c r="Q30" i="11"/>
  <c r="AF30" i="11" s="1"/>
  <c r="AF79" i="4"/>
  <c r="U26" i="11"/>
  <c r="AI26" i="11" s="1"/>
  <c r="AG76" i="4"/>
  <c r="AG110" i="4"/>
  <c r="AH88" i="4"/>
  <c r="AH111" i="4"/>
  <c r="Q8" i="11"/>
  <c r="AC8" i="11" s="1"/>
  <c r="AF10" i="4"/>
  <c r="AG9" i="11"/>
  <c r="Q10" i="11"/>
  <c r="AD10" i="11" s="1"/>
  <c r="AF12" i="4"/>
  <c r="AG85" i="4"/>
  <c r="AH77" i="4"/>
  <c r="AG97" i="4"/>
  <c r="AG100" i="4" s="1"/>
  <c r="M44" i="11"/>
  <c r="AB44" i="11" s="1"/>
  <c r="M113" i="4"/>
  <c r="AI36" i="11"/>
  <c r="U39" i="11"/>
  <c r="AI39" i="11" s="1"/>
  <c r="AG36" i="11"/>
  <c r="AG43" i="11"/>
  <c r="Q44" i="11"/>
  <c r="AF44" i="11" s="1"/>
  <c r="Q113" i="4"/>
  <c r="AI76" i="4"/>
  <c r="U113" i="4"/>
  <c r="AG45" i="11"/>
  <c r="AI109" i="4"/>
  <c r="AI110" i="4"/>
  <c r="AH45" i="11"/>
  <c r="AI43" i="11"/>
  <c r="AB14" i="6"/>
  <c r="AG6" i="11"/>
  <c r="AI10" i="11"/>
  <c r="AH11" i="11"/>
  <c r="AG10" i="11"/>
  <c r="AG7" i="11"/>
  <c r="AH6" i="11"/>
  <c r="AI7" i="11"/>
  <c r="AG11" i="11"/>
  <c r="R12" i="11"/>
  <c r="V13" i="11" s="1"/>
  <c r="U100" i="4"/>
  <c r="U37" i="11" s="1"/>
  <c r="AH37" i="11" s="1"/>
  <c r="U35" i="11"/>
  <c r="U94" i="4"/>
  <c r="AB36" i="11"/>
  <c r="U12" i="11"/>
  <c r="G17" i="11"/>
  <c r="G18" i="11" s="1"/>
  <c r="H13" i="11"/>
  <c r="U14" i="4"/>
  <c r="U17" i="4" s="1"/>
  <c r="M39" i="11"/>
  <c r="AB39" i="11" s="1"/>
  <c r="Q39" i="11"/>
  <c r="AF39" i="11" s="1"/>
  <c r="AF14" i="6"/>
  <c r="G13" i="11"/>
  <c r="Q6" i="11"/>
  <c r="Q14" i="4"/>
  <c r="Q17" i="4" s="1"/>
  <c r="L14" i="4"/>
  <c r="L17" i="4" s="1"/>
  <c r="L6" i="11"/>
  <c r="Z6" i="11" s="1"/>
  <c r="AB35" i="11"/>
  <c r="N13" i="11"/>
  <c r="AA35" i="11"/>
  <c r="AB45" i="11"/>
  <c r="Y36" i="11"/>
  <c r="J23" i="11"/>
  <c r="J18" i="11"/>
  <c r="N23" i="11"/>
  <c r="N18" i="11"/>
  <c r="Y45" i="11"/>
  <c r="AA36" i="11"/>
  <c r="Z45" i="11"/>
  <c r="AA45" i="11"/>
  <c r="Z36" i="11"/>
  <c r="K12" i="11"/>
  <c r="M68" i="4"/>
  <c r="M60" i="11"/>
  <c r="Y60" i="11" s="1"/>
  <c r="O12" i="11"/>
  <c r="AE31" i="11"/>
  <c r="AK31" i="11" s="1"/>
  <c r="AD31" i="11"/>
  <c r="AF31" i="11"/>
  <c r="AC31" i="11"/>
  <c r="P12" i="11"/>
  <c r="E27" i="11"/>
  <c r="E24" i="11"/>
  <c r="D23" i="11"/>
  <c r="D18" i="11"/>
  <c r="F18" i="11"/>
  <c r="F23" i="11"/>
  <c r="C27" i="11"/>
  <c r="C24" i="11"/>
  <c r="P14" i="4"/>
  <c r="P17" i="4" s="1"/>
  <c r="M100" i="4"/>
  <c r="M37" i="11" s="1"/>
  <c r="Q100" i="4"/>
  <c r="Q37" i="11" s="1"/>
  <c r="AE37" i="11" s="1"/>
  <c r="C67" i="4"/>
  <c r="C69" i="11" s="1"/>
  <c r="C70" i="11" s="1"/>
  <c r="C81" i="11" s="1"/>
  <c r="C61" i="4"/>
  <c r="C60" i="11" s="1"/>
  <c r="C40" i="4"/>
  <c r="C48" i="4" s="1"/>
  <c r="D67" i="4"/>
  <c r="D69" i="11" s="1"/>
  <c r="D70" i="11" s="1"/>
  <c r="D81" i="11" s="1"/>
  <c r="D40" i="4"/>
  <c r="E40" i="4"/>
  <c r="E48" i="4" s="1"/>
  <c r="E61" i="4"/>
  <c r="E60" i="11" s="1"/>
  <c r="E67" i="4"/>
  <c r="E69" i="11" s="1"/>
  <c r="E70" i="11" s="1"/>
  <c r="E81" i="11" s="1"/>
  <c r="T67" i="4"/>
  <c r="T69" i="11" s="1"/>
  <c r="T40" i="4"/>
  <c r="T48" i="4" s="1"/>
  <c r="S67" i="4"/>
  <c r="S69" i="11" s="1"/>
  <c r="R67" i="4"/>
  <c r="R69" i="11" s="1"/>
  <c r="P67" i="4"/>
  <c r="P69" i="11" s="1"/>
  <c r="O67" i="4"/>
  <c r="O69" i="11" s="1"/>
  <c r="N67" i="4"/>
  <c r="N69" i="11" s="1"/>
  <c r="L67" i="4"/>
  <c r="L69" i="11" s="1"/>
  <c r="L70" i="11" s="1"/>
  <c r="K67" i="4"/>
  <c r="K69" i="11" s="1"/>
  <c r="K70" i="11" s="1"/>
  <c r="J67" i="4"/>
  <c r="J69" i="11" s="1"/>
  <c r="J70" i="11" s="1"/>
  <c r="G67" i="4"/>
  <c r="G69" i="11" s="1"/>
  <c r="G70" i="11" s="1"/>
  <c r="G81" i="11" s="1"/>
  <c r="F67" i="4"/>
  <c r="F69" i="11" s="1"/>
  <c r="F70" i="11" s="1"/>
  <c r="F81" i="11" s="1"/>
  <c r="S61" i="4"/>
  <c r="S60" i="11" s="1"/>
  <c r="AE60" i="11" s="1"/>
  <c r="R61" i="4"/>
  <c r="R60" i="11" s="1"/>
  <c r="AD60" i="11" s="1"/>
  <c r="P56" i="4"/>
  <c r="P59" i="11" s="1"/>
  <c r="AB59" i="11" s="1"/>
  <c r="O61" i="4"/>
  <c r="O60" i="11" s="1"/>
  <c r="AA60" i="11" s="1"/>
  <c r="N61" i="4"/>
  <c r="N60" i="11" s="1"/>
  <c r="Z60" i="11" s="1"/>
  <c r="L61" i="4"/>
  <c r="L60" i="11" s="1"/>
  <c r="K61" i="4"/>
  <c r="K60" i="11" s="1"/>
  <c r="J61" i="4"/>
  <c r="J60" i="11" s="1"/>
  <c r="G61" i="4"/>
  <c r="G60" i="11" s="1"/>
  <c r="F61" i="4"/>
  <c r="F60" i="11" s="1"/>
  <c r="S40" i="4"/>
  <c r="R40" i="4"/>
  <c r="P40" i="4"/>
  <c r="P48" i="4" s="1"/>
  <c r="O40" i="4"/>
  <c r="O48" i="4" s="1"/>
  <c r="N40" i="4"/>
  <c r="N48" i="4" s="1"/>
  <c r="L40" i="4"/>
  <c r="L48" i="4" s="1"/>
  <c r="K40" i="4"/>
  <c r="J40" i="4"/>
  <c r="G40" i="4"/>
  <c r="G48" i="4" s="1"/>
  <c r="F40" i="4"/>
  <c r="AA23" i="4" l="1"/>
  <c r="AE11" i="11"/>
  <c r="AK11" i="11" s="1"/>
  <c r="Z35" i="11"/>
  <c r="Z14" i="4"/>
  <c r="Z17" i="4" s="1"/>
  <c r="AA9" i="11"/>
  <c r="S17" i="11"/>
  <c r="S18" i="11" s="1"/>
  <c r="AC113" i="4"/>
  <c r="Y7" i="11"/>
  <c r="Y8" i="11"/>
  <c r="AB10" i="11"/>
  <c r="Z44" i="11"/>
  <c r="Z8" i="11"/>
  <c r="Y10" i="11"/>
  <c r="Z26" i="11"/>
  <c r="Y11" i="11"/>
  <c r="AK9" i="11"/>
  <c r="AF100" i="4"/>
  <c r="AD36" i="11"/>
  <c r="AB11" i="11"/>
  <c r="AD30" i="11"/>
  <c r="AA8" i="11"/>
  <c r="AB26" i="11"/>
  <c r="AD45" i="11"/>
  <c r="AF35" i="11"/>
  <c r="AA26" i="11"/>
  <c r="AC14" i="4"/>
  <c r="AC17" i="4" s="1"/>
  <c r="AC23" i="4" s="1"/>
  <c r="T18" i="11"/>
  <c r="AE100" i="4"/>
  <c r="T27" i="11"/>
  <c r="T32" i="11" s="1"/>
  <c r="T14" i="11"/>
  <c r="AD35" i="11"/>
  <c r="AA11" i="11"/>
  <c r="AE36" i="11"/>
  <c r="AK36" i="11" s="1"/>
  <c r="AC35" i="11"/>
  <c r="AC36" i="11"/>
  <c r="Y9" i="11"/>
  <c r="AA7" i="11"/>
  <c r="AF45" i="11"/>
  <c r="Z9" i="11"/>
  <c r="M12" i="11"/>
  <c r="N14" i="11" s="1"/>
  <c r="AA10" i="11"/>
  <c r="AB14" i="4"/>
  <c r="AB17" i="4" s="1"/>
  <c r="AC100" i="4"/>
  <c r="AC45" i="11"/>
  <c r="AC10" i="11"/>
  <c r="AC11" i="11"/>
  <c r="AB7" i="11"/>
  <c r="AE113" i="4"/>
  <c r="AD9" i="11"/>
  <c r="AH39" i="11"/>
  <c r="AF9" i="11"/>
  <c r="AG39" i="11"/>
  <c r="AH30" i="11"/>
  <c r="AE30" i="11"/>
  <c r="AK30" i="11" s="1"/>
  <c r="AG30" i="11"/>
  <c r="AD14" i="4"/>
  <c r="AD17" i="4" s="1"/>
  <c r="Y44" i="11"/>
  <c r="AC30" i="11"/>
  <c r="AH94" i="4"/>
  <c r="AE14" i="4"/>
  <c r="AE17" i="4" s="1"/>
  <c r="AD26" i="11"/>
  <c r="AH113" i="4"/>
  <c r="AC7" i="11"/>
  <c r="AC26" i="11"/>
  <c r="AD8" i="11"/>
  <c r="AH44" i="11"/>
  <c r="AI37" i="11"/>
  <c r="AK37" i="11" s="1"/>
  <c r="AE26" i="11"/>
  <c r="AK26" i="11" s="1"/>
  <c r="AE8" i="11"/>
  <c r="AK8" i="11" s="1"/>
  <c r="AG113" i="4"/>
  <c r="AD7" i="11"/>
  <c r="AG44" i="11"/>
  <c r="AE7" i="11"/>
  <c r="AK7" i="11" s="1"/>
  <c r="AA44" i="11"/>
  <c r="AD11" i="11"/>
  <c r="AG94" i="4"/>
  <c r="AF14" i="4"/>
  <c r="AF17" i="4" s="1"/>
  <c r="AF23" i="4" s="1"/>
  <c r="AG26" i="11"/>
  <c r="AH26" i="11"/>
  <c r="Q12" i="11"/>
  <c r="Q13" i="11" s="1"/>
  <c r="AC44" i="11"/>
  <c r="AD44" i="11"/>
  <c r="AE44" i="11"/>
  <c r="AG37" i="11"/>
  <c r="AH24" i="4"/>
  <c r="AH27" i="4"/>
  <c r="AH30" i="4" s="1"/>
  <c r="AH31" i="4" s="1"/>
  <c r="AF8" i="11"/>
  <c r="AG23" i="4"/>
  <c r="AC9" i="11"/>
  <c r="AI113" i="4"/>
  <c r="AF10" i="11"/>
  <c r="AE10" i="11"/>
  <c r="AK10" i="11" s="1"/>
  <c r="AH35" i="11"/>
  <c r="AG35" i="11"/>
  <c r="AI35" i="11"/>
  <c r="AK35" i="11" s="1"/>
  <c r="AH12" i="11"/>
  <c r="AH17" i="11" s="1"/>
  <c r="AH23" i="11" s="1"/>
  <c r="AG12" i="11"/>
  <c r="AG17" i="11" s="1"/>
  <c r="AI12" i="11"/>
  <c r="AA39" i="11"/>
  <c r="S14" i="11"/>
  <c r="R13" i="11"/>
  <c r="R17" i="11"/>
  <c r="R23" i="11" s="1"/>
  <c r="G23" i="11"/>
  <c r="G27" i="11" s="1"/>
  <c r="U14" i="11"/>
  <c r="U17" i="11"/>
  <c r="U23" i="11" s="1"/>
  <c r="V14" i="11"/>
  <c r="U23" i="4"/>
  <c r="Y39" i="11"/>
  <c r="AE39" i="11"/>
  <c r="AK39" i="11" s="1"/>
  <c r="AD39" i="11"/>
  <c r="AC39" i="11"/>
  <c r="Z39" i="11"/>
  <c r="AC6" i="11"/>
  <c r="AE6" i="11"/>
  <c r="AF6" i="11"/>
  <c r="AD6" i="11"/>
  <c r="O17" i="11"/>
  <c r="O13" i="11"/>
  <c r="O14" i="11"/>
  <c r="S13" i="11"/>
  <c r="AB37" i="11"/>
  <c r="Z37" i="11"/>
  <c r="Y37" i="11"/>
  <c r="AA6" i="11"/>
  <c r="L12" i="11"/>
  <c r="P13" i="11" s="1"/>
  <c r="Y6" i="11"/>
  <c r="AB69" i="11"/>
  <c r="AB70" i="11" s="1"/>
  <c r="AB81" i="11" s="1"/>
  <c r="P70" i="11"/>
  <c r="P81" i="11" s="1"/>
  <c r="T28" i="11"/>
  <c r="N27" i="11"/>
  <c r="N24" i="11"/>
  <c r="AE69" i="11"/>
  <c r="AE70" i="11" s="1"/>
  <c r="AE81" i="11" s="1"/>
  <c r="S70" i="11"/>
  <c r="S81" i="11" s="1"/>
  <c r="AF37" i="11"/>
  <c r="AD37" i="11"/>
  <c r="K17" i="11"/>
  <c r="K14" i="11"/>
  <c r="Z69" i="11"/>
  <c r="Z70" i="11" s="1"/>
  <c r="Z81" i="11" s="1"/>
  <c r="N70" i="11"/>
  <c r="N81" i="11" s="1"/>
  <c r="AA69" i="11"/>
  <c r="AA70" i="11" s="1"/>
  <c r="AA81" i="11" s="1"/>
  <c r="O70" i="11"/>
  <c r="O81" i="11" s="1"/>
  <c r="AD69" i="11"/>
  <c r="AD70" i="11" s="1"/>
  <c r="AD81" i="11" s="1"/>
  <c r="R70" i="11"/>
  <c r="R81" i="11" s="1"/>
  <c r="P17" i="11"/>
  <c r="P14" i="11"/>
  <c r="T13" i="11"/>
  <c r="AF69" i="11"/>
  <c r="AF70" i="11" s="1"/>
  <c r="AF81" i="11" s="1"/>
  <c r="T70" i="11"/>
  <c r="T81" i="11" s="1"/>
  <c r="AC37" i="11"/>
  <c r="J27" i="11"/>
  <c r="J24" i="11"/>
  <c r="AA37" i="11"/>
  <c r="D27" i="11"/>
  <c r="D24" i="11"/>
  <c r="C28" i="11"/>
  <c r="C32" i="11"/>
  <c r="F24" i="11"/>
  <c r="F27" i="11"/>
  <c r="E28" i="11"/>
  <c r="E32" i="11"/>
  <c r="M14" i="4"/>
  <c r="M17" i="4" s="1"/>
  <c r="P61" i="4"/>
  <c r="AI56" i="4"/>
  <c r="AK56" i="4" s="1"/>
  <c r="D23" i="4"/>
  <c r="F48" i="4"/>
  <c r="D48" i="4"/>
  <c r="D61" i="4"/>
  <c r="C23" i="4"/>
  <c r="C24" i="4" s="1"/>
  <c r="C68" i="4"/>
  <c r="R23" i="4"/>
  <c r="R24" i="4" s="1"/>
  <c r="E68" i="4"/>
  <c r="K23" i="4"/>
  <c r="K24" i="4" s="1"/>
  <c r="J23" i="4"/>
  <c r="J24" i="4" s="1"/>
  <c r="T61" i="4"/>
  <c r="N23" i="4"/>
  <c r="Q67" i="4"/>
  <c r="Q69" i="11" s="1"/>
  <c r="Q56" i="4"/>
  <c r="Q59" i="11" s="1"/>
  <c r="AC59" i="11" s="1"/>
  <c r="Q40" i="4"/>
  <c r="Q48" i="4" s="1"/>
  <c r="L68" i="4"/>
  <c r="N68" i="4"/>
  <c r="Z68" i="4" s="1"/>
  <c r="K68" i="4"/>
  <c r="S68" i="4"/>
  <c r="AE68" i="4" s="1"/>
  <c r="J48" i="4"/>
  <c r="J68" i="4"/>
  <c r="R68" i="4"/>
  <c r="AD68" i="4" s="1"/>
  <c r="K48" i="4"/>
  <c r="R48" i="4"/>
  <c r="S48" i="4"/>
  <c r="F68" i="4"/>
  <c r="O68" i="4"/>
  <c r="AA68" i="4" s="1"/>
  <c r="G68" i="4"/>
  <c r="Z23" i="4" l="1"/>
  <c r="S23" i="11"/>
  <c r="S24" i="11" s="1"/>
  <c r="AA24" i="4"/>
  <c r="AA27" i="4"/>
  <c r="AA30" i="4" s="1"/>
  <c r="AA31" i="4" s="1"/>
  <c r="Z12" i="11"/>
  <c r="Z17" i="11" s="1"/>
  <c r="Z18" i="11" s="1"/>
  <c r="AB12" i="11"/>
  <c r="AB17" i="11" s="1"/>
  <c r="AB18" i="11" s="1"/>
  <c r="M17" i="11"/>
  <c r="M23" i="11" s="1"/>
  <c r="Y12" i="11"/>
  <c r="Y17" i="11" s="1"/>
  <c r="AD12" i="11"/>
  <c r="AD17" i="11" s="1"/>
  <c r="AD18" i="11" s="1"/>
  <c r="AA12" i="11"/>
  <c r="AA17" i="11" s="1"/>
  <c r="AA23" i="11" s="1"/>
  <c r="S27" i="11"/>
  <c r="S28" i="11" s="1"/>
  <c r="AB23" i="4"/>
  <c r="AC24" i="4"/>
  <c r="AC27" i="4"/>
  <c r="AC30" i="4" s="1"/>
  <c r="AC31" i="4" s="1"/>
  <c r="AD23" i="4"/>
  <c r="AE23" i="4"/>
  <c r="U13" i="11"/>
  <c r="R14" i="11"/>
  <c r="Q17" i="11"/>
  <c r="Q23" i="11" s="1"/>
  <c r="Q14" i="11"/>
  <c r="AG24" i="4"/>
  <c r="AG27" i="4"/>
  <c r="AG30" i="4" s="1"/>
  <c r="AG31" i="4" s="1"/>
  <c r="AC12" i="11"/>
  <c r="AG13" i="11" s="1"/>
  <c r="AF24" i="4"/>
  <c r="AF27" i="4"/>
  <c r="AF30" i="4" s="1"/>
  <c r="AF31" i="4" s="1"/>
  <c r="AH18" i="11"/>
  <c r="R18" i="11"/>
  <c r="AE12" i="11"/>
  <c r="AE17" i="11" s="1"/>
  <c r="AE23" i="11" s="1"/>
  <c r="AK6" i="11"/>
  <c r="AH27" i="11"/>
  <c r="AH24" i="11"/>
  <c r="AI17" i="11"/>
  <c r="AG23" i="11"/>
  <c r="AG18" i="11"/>
  <c r="U18" i="11"/>
  <c r="G24" i="11"/>
  <c r="U24" i="11"/>
  <c r="U27" i="11"/>
  <c r="U24" i="4"/>
  <c r="U27" i="4"/>
  <c r="U30" i="4" s="1"/>
  <c r="U31" i="4" s="1"/>
  <c r="AF12" i="11"/>
  <c r="AF17" i="11" s="1"/>
  <c r="Z23" i="11"/>
  <c r="Z27" i="11" s="1"/>
  <c r="T68" i="4"/>
  <c r="AF68" i="4" s="1"/>
  <c r="T60" i="11"/>
  <c r="AF60" i="11" s="1"/>
  <c r="J32" i="11"/>
  <c r="J28" i="11"/>
  <c r="R24" i="11"/>
  <c r="R27" i="11"/>
  <c r="O23" i="11"/>
  <c r="O18" i="11"/>
  <c r="P23" i="11"/>
  <c r="P18" i="11"/>
  <c r="K18" i="11"/>
  <c r="K23" i="11"/>
  <c r="N28" i="11"/>
  <c r="N32" i="11"/>
  <c r="Y23" i="11"/>
  <c r="Y18" i="11"/>
  <c r="P68" i="4"/>
  <c r="AB68" i="4" s="1"/>
  <c r="P60" i="11"/>
  <c r="AB60" i="11" s="1"/>
  <c r="M18" i="11"/>
  <c r="L17" i="11"/>
  <c r="L14" i="11"/>
  <c r="AC69" i="11"/>
  <c r="AC70" i="11" s="1"/>
  <c r="AC81" i="11" s="1"/>
  <c r="Q70" i="11"/>
  <c r="Q81" i="11" s="1"/>
  <c r="M14" i="11"/>
  <c r="T40" i="11"/>
  <c r="T33" i="11"/>
  <c r="F32" i="11"/>
  <c r="F28" i="11"/>
  <c r="E33" i="11"/>
  <c r="E40" i="11"/>
  <c r="E46" i="11" s="1"/>
  <c r="E76" i="11"/>
  <c r="E74" i="11"/>
  <c r="E78" i="11"/>
  <c r="E75" i="11"/>
  <c r="E79" i="11" a="1"/>
  <c r="E79" i="11" s="1"/>
  <c r="E80" i="11" a="1"/>
  <c r="E80" i="11" s="1"/>
  <c r="G28" i="11"/>
  <c r="G32" i="11"/>
  <c r="C79" i="11" a="1"/>
  <c r="C79" i="11" s="1"/>
  <c r="C74" i="11"/>
  <c r="C40" i="11"/>
  <c r="C47" i="11" s="1"/>
  <c r="C78" i="11"/>
  <c r="C33" i="11"/>
  <c r="C80" i="11" a="1"/>
  <c r="C80" i="11" s="1"/>
  <c r="C75" i="11"/>
  <c r="C76" i="11"/>
  <c r="D68" i="4"/>
  <c r="D60" i="11"/>
  <c r="D32" i="11"/>
  <c r="D28" i="11"/>
  <c r="D24" i="4"/>
  <c r="N24" i="4"/>
  <c r="M23" i="4"/>
  <c r="K27" i="4"/>
  <c r="K30" i="4" s="1"/>
  <c r="K31" i="4" s="1"/>
  <c r="C27" i="4"/>
  <c r="C30" i="4" s="1"/>
  <c r="J27" i="4"/>
  <c r="J30" i="4" s="1"/>
  <c r="R27" i="4"/>
  <c r="R30" i="4" s="1"/>
  <c r="R31" i="4" s="1"/>
  <c r="L23" i="4"/>
  <c r="L24" i="4" s="1"/>
  <c r="R94" i="4"/>
  <c r="D27" i="4"/>
  <c r="D30" i="4" s="1"/>
  <c r="AI14" i="4"/>
  <c r="AI17" i="4" s="1"/>
  <c r="AI67" i="4"/>
  <c r="N27" i="4"/>
  <c r="AI100" i="4"/>
  <c r="G23" i="4"/>
  <c r="G24" i="4" s="1"/>
  <c r="F23" i="4"/>
  <c r="F24" i="4" s="1"/>
  <c r="E23" i="4"/>
  <c r="E24" i="4" s="1"/>
  <c r="T23" i="4"/>
  <c r="P23" i="4"/>
  <c r="P24" i="4" s="1"/>
  <c r="S23" i="4"/>
  <c r="S24" i="4" s="1"/>
  <c r="O23" i="4"/>
  <c r="O24" i="4" s="1"/>
  <c r="Q23" i="4"/>
  <c r="Q61" i="4"/>
  <c r="AI61" i="4"/>
  <c r="AI40" i="4"/>
  <c r="AD13" i="11" l="1"/>
  <c r="Z24" i="4"/>
  <c r="Z27" i="4"/>
  <c r="Z30" i="4" s="1"/>
  <c r="Z31" i="4" s="1"/>
  <c r="AH13" i="11"/>
  <c r="S32" i="11"/>
  <c r="S33" i="11" s="1"/>
  <c r="AA18" i="11"/>
  <c r="AB23" i="11"/>
  <c r="AB27" i="11" s="1"/>
  <c r="AB28" i="11" s="1"/>
  <c r="AB24" i="4"/>
  <c r="AB27" i="4"/>
  <c r="AB30" i="4" s="1"/>
  <c r="AB31" i="4" s="1"/>
  <c r="AC17" i="11"/>
  <c r="AC18" i="11" s="1"/>
  <c r="Q18" i="11"/>
  <c r="AE24" i="4"/>
  <c r="AE27" i="4"/>
  <c r="AE30" i="4" s="1"/>
  <c r="AE31" i="4" s="1"/>
  <c r="AD24" i="4"/>
  <c r="AD27" i="4"/>
  <c r="AD30" i="4" s="1"/>
  <c r="AD31" i="4" s="1"/>
  <c r="AC13" i="11"/>
  <c r="AK12" i="11"/>
  <c r="AE18" i="11"/>
  <c r="AI13" i="11"/>
  <c r="AE13" i="11"/>
  <c r="AD23" i="11"/>
  <c r="AD27" i="11" s="1"/>
  <c r="AK17" i="11"/>
  <c r="AI18" i="11"/>
  <c r="AI23" i="11"/>
  <c r="AH32" i="11"/>
  <c r="AH28" i="11"/>
  <c r="AG27" i="11"/>
  <c r="AG24" i="11"/>
  <c r="U32" i="11"/>
  <c r="U28" i="11"/>
  <c r="Z24" i="11"/>
  <c r="AF18" i="11"/>
  <c r="AF23" i="11"/>
  <c r="AF24" i="11" s="1"/>
  <c r="AF13" i="11"/>
  <c r="K27" i="11"/>
  <c r="K24" i="11"/>
  <c r="Y24" i="11"/>
  <c r="Y27" i="11"/>
  <c r="M27" i="11"/>
  <c r="M24" i="11"/>
  <c r="N40" i="11"/>
  <c r="N33" i="11"/>
  <c r="Z28" i="11"/>
  <c r="Q24" i="11"/>
  <c r="Q27" i="11"/>
  <c r="R28" i="11"/>
  <c r="R32" i="11"/>
  <c r="Q68" i="4"/>
  <c r="AC68" i="4" s="1"/>
  <c r="Q60" i="11"/>
  <c r="AC60" i="11" s="1"/>
  <c r="P24" i="11"/>
  <c r="P27" i="11"/>
  <c r="AA24" i="11"/>
  <c r="AA27" i="11"/>
  <c r="O24" i="11"/>
  <c r="O27" i="11"/>
  <c r="J33" i="11"/>
  <c r="J40" i="11"/>
  <c r="T46" i="11"/>
  <c r="T47" i="11" s="1"/>
  <c r="L23" i="11"/>
  <c r="L18" i="11"/>
  <c r="AE24" i="11"/>
  <c r="AE27" i="11"/>
  <c r="E47" i="11"/>
  <c r="G80" i="11" a="1"/>
  <c r="G80" i="11" s="1"/>
  <c r="G79" i="11" a="1"/>
  <c r="G79" i="11" s="1"/>
  <c r="G75" i="11"/>
  <c r="G40" i="11"/>
  <c r="G46" i="11" s="1"/>
  <c r="G33" i="11"/>
  <c r="G74" i="11"/>
  <c r="G76" i="11"/>
  <c r="G78" i="11"/>
  <c r="F40" i="11"/>
  <c r="F46" i="11" s="1"/>
  <c r="F74" i="11"/>
  <c r="F80" i="11" a="1"/>
  <c r="F80" i="11" s="1"/>
  <c r="F79" i="11" a="1"/>
  <c r="F79" i="11" s="1"/>
  <c r="F75" i="11"/>
  <c r="F78" i="11"/>
  <c r="F33" i="11"/>
  <c r="F76" i="11"/>
  <c r="D74" i="11"/>
  <c r="D40" i="11"/>
  <c r="D78" i="11"/>
  <c r="D80" i="11" a="1"/>
  <c r="D80" i="11" s="1"/>
  <c r="D33" i="11"/>
  <c r="D79" i="11" a="1"/>
  <c r="D79" i="11" s="1"/>
  <c r="D75" i="11"/>
  <c r="D76" i="11"/>
  <c r="D73" i="4"/>
  <c r="D94" i="4" s="1"/>
  <c r="D31" i="4"/>
  <c r="C73" i="4"/>
  <c r="C94" i="4" s="1"/>
  <c r="C31" i="4"/>
  <c r="J94" i="4"/>
  <c r="J31" i="4"/>
  <c r="T24" i="4"/>
  <c r="M24" i="4"/>
  <c r="Q24" i="4"/>
  <c r="M27" i="4"/>
  <c r="M30" i="4" s="1"/>
  <c r="M31" i="4" s="1"/>
  <c r="P27" i="4"/>
  <c r="P30" i="4" s="1"/>
  <c r="P31" i="4" s="1"/>
  <c r="F27" i="4"/>
  <c r="F30" i="4" s="1"/>
  <c r="G27" i="4"/>
  <c r="G30" i="4" s="1"/>
  <c r="S27" i="4"/>
  <c r="S30" i="4" s="1"/>
  <c r="S31" i="4" s="1"/>
  <c r="E27" i="4"/>
  <c r="E30" i="4" s="1"/>
  <c r="O27" i="4"/>
  <c r="O30" i="4" s="1"/>
  <c r="O31" i="4" s="1"/>
  <c r="L27" i="4"/>
  <c r="L30" i="4" s="1"/>
  <c r="L31" i="4" s="1"/>
  <c r="O94" i="4"/>
  <c r="N30" i="4"/>
  <c r="N31" i="4" s="1"/>
  <c r="S94" i="4"/>
  <c r="T27" i="4"/>
  <c r="T30" i="4" s="1"/>
  <c r="N94" i="4"/>
  <c r="Q27" i="4"/>
  <c r="AI23" i="4"/>
  <c r="AI48" i="4"/>
  <c r="P94" i="4"/>
  <c r="S40" i="11" l="1"/>
  <c r="AB24" i="11"/>
  <c r="AC23" i="11"/>
  <c r="AK18" i="11"/>
  <c r="AK13" i="11"/>
  <c r="AD24" i="11"/>
  <c r="AG32" i="11"/>
  <c r="AG28" i="11"/>
  <c r="AH75" i="11"/>
  <c r="AH78" i="11"/>
  <c r="AH33" i="11"/>
  <c r="AH74" i="11"/>
  <c r="AH40" i="11"/>
  <c r="AH79" i="11" a="1"/>
  <c r="AH79" i="11" s="1"/>
  <c r="AH76" i="11"/>
  <c r="AH80" i="11" a="1"/>
  <c r="AH80" i="11" s="1"/>
  <c r="AK23" i="11"/>
  <c r="AI27" i="11"/>
  <c r="AI24" i="11"/>
  <c r="AK24" i="11" s="1"/>
  <c r="U40" i="11"/>
  <c r="U46" i="11" s="1"/>
  <c r="U33" i="11"/>
  <c r="W76" i="11"/>
  <c r="W75" i="11"/>
  <c r="W80" i="11" a="1"/>
  <c r="W80" i="11" s="1"/>
  <c r="W74" i="11"/>
  <c r="W78" i="11" a="1"/>
  <c r="W78" i="11" s="1"/>
  <c r="W79" i="11" a="1"/>
  <c r="W79" i="11" s="1"/>
  <c r="V74" i="11"/>
  <c r="V78" i="11" a="1"/>
  <c r="V78" i="11" s="1"/>
  <c r="V75" i="11"/>
  <c r="U80" i="11" a="1"/>
  <c r="U80" i="11" s="1"/>
  <c r="U79" i="11" a="1"/>
  <c r="U79" i="11" s="1"/>
  <c r="U75" i="11"/>
  <c r="U74" i="11"/>
  <c r="U78" i="11" a="1"/>
  <c r="U78" i="11" s="1"/>
  <c r="U76" i="11"/>
  <c r="V76" i="11"/>
  <c r="V79" i="11" a="1"/>
  <c r="V79" i="11" s="1"/>
  <c r="V80" i="11" a="1"/>
  <c r="V80" i="11" s="1"/>
  <c r="AF27" i="11"/>
  <c r="AF32" i="11" s="1"/>
  <c r="O28" i="11"/>
  <c r="O32" i="11"/>
  <c r="AA28" i="11"/>
  <c r="R40" i="11"/>
  <c r="R33" i="11"/>
  <c r="Y28" i="11"/>
  <c r="M28" i="11"/>
  <c r="L27" i="11"/>
  <c r="L24" i="11"/>
  <c r="Q28" i="11"/>
  <c r="Q32" i="11"/>
  <c r="S46" i="11"/>
  <c r="S47" i="11" s="1"/>
  <c r="J46" i="11"/>
  <c r="P28" i="11"/>
  <c r="P32" i="11"/>
  <c r="AE32" i="11"/>
  <c r="AE28" i="11"/>
  <c r="AC24" i="11"/>
  <c r="AC27" i="11"/>
  <c r="AD28" i="11"/>
  <c r="AD32" i="11"/>
  <c r="N46" i="11"/>
  <c r="K28" i="11"/>
  <c r="K32" i="11"/>
  <c r="D46" i="11"/>
  <c r="D47" i="11" s="1"/>
  <c r="G47" i="11"/>
  <c r="F47" i="11"/>
  <c r="E73" i="4"/>
  <c r="E94" i="4" s="1"/>
  <c r="E31" i="4"/>
  <c r="G73" i="4"/>
  <c r="Q73" i="4" s="1"/>
  <c r="AC73" i="4" s="1"/>
  <c r="AC94" i="4" s="1"/>
  <c r="G31" i="4"/>
  <c r="F73" i="4"/>
  <c r="M73" i="4" s="1"/>
  <c r="F31" i="4"/>
  <c r="T94" i="4"/>
  <c r="T31" i="4"/>
  <c r="AI27" i="4"/>
  <c r="AI30" i="4" s="1"/>
  <c r="AI24" i="4"/>
  <c r="Q30" i="4"/>
  <c r="Q31" i="4" s="1"/>
  <c r="AI94" i="4"/>
  <c r="AB73" i="4" l="1"/>
  <c r="Z73" i="4"/>
  <c r="AA73" i="4"/>
  <c r="AD73" i="4"/>
  <c r="AD94" i="4" s="1"/>
  <c r="AE73" i="4"/>
  <c r="AE94" i="4" s="1"/>
  <c r="AF73" i="4"/>
  <c r="AF94" i="4" s="1"/>
  <c r="AK27" i="11"/>
  <c r="AI32" i="11"/>
  <c r="AI28" i="11"/>
  <c r="AK28" i="11" s="1"/>
  <c r="AG75" i="11"/>
  <c r="AG74" i="11"/>
  <c r="AG80" i="11" a="1"/>
  <c r="AG80" i="11" s="1"/>
  <c r="AG78" i="11"/>
  <c r="AG33" i="11"/>
  <c r="AG79" i="11" a="1"/>
  <c r="AG79" i="11" s="1"/>
  <c r="AG40" i="11"/>
  <c r="AG76" i="11"/>
  <c r="U47" i="11"/>
  <c r="AI46" i="11"/>
  <c r="AH46" i="11"/>
  <c r="AH47" i="11" s="1"/>
  <c r="AF28" i="11"/>
  <c r="AC28" i="11"/>
  <c r="AC32" i="11"/>
  <c r="N47" i="11"/>
  <c r="T80" i="11" a="1"/>
  <c r="T80" i="11" s="1"/>
  <c r="T76" i="11"/>
  <c r="T75" i="11"/>
  <c r="Q40" i="11"/>
  <c r="T79" i="11" a="1"/>
  <c r="T79" i="11" s="1"/>
  <c r="Q33" i="11"/>
  <c r="T74" i="11"/>
  <c r="T78" i="11" a="1"/>
  <c r="T78" i="11" s="1"/>
  <c r="AE79" i="11" a="1"/>
  <c r="AE79" i="11" s="1"/>
  <c r="AE75" i="11"/>
  <c r="AE74" i="11"/>
  <c r="AE33" i="11"/>
  <c r="AE76" i="11"/>
  <c r="AE40" i="11"/>
  <c r="AE78" i="11"/>
  <c r="AE80" i="11" a="1"/>
  <c r="AE80" i="11" s="1"/>
  <c r="R46" i="11"/>
  <c r="R47" i="11" s="1"/>
  <c r="S78" i="11" a="1"/>
  <c r="S78" i="11" s="1"/>
  <c r="P33" i="11"/>
  <c r="S75" i="11"/>
  <c r="S74" i="11"/>
  <c r="S76" i="11"/>
  <c r="S80" i="11" a="1"/>
  <c r="S80" i="11" s="1"/>
  <c r="P40" i="11"/>
  <c r="S79" i="11" a="1"/>
  <c r="S79" i="11" s="1"/>
  <c r="AF33" i="11"/>
  <c r="AF75" i="11"/>
  <c r="AF78" i="11"/>
  <c r="AF74" i="11"/>
  <c r="AF80" i="11" a="1"/>
  <c r="AF80" i="11" s="1"/>
  <c r="AF76" i="11"/>
  <c r="AF79" i="11" a="1"/>
  <c r="AF79" i="11" s="1"/>
  <c r="AF40" i="11"/>
  <c r="L28" i="11"/>
  <c r="AD33" i="11"/>
  <c r="AD74" i="11"/>
  <c r="AD75" i="11"/>
  <c r="AD76" i="11"/>
  <c r="AD40" i="11"/>
  <c r="AD78" i="11"/>
  <c r="AD79" i="11" a="1"/>
  <c r="AD79" i="11" s="1"/>
  <c r="AD80" i="11" a="1"/>
  <c r="AD80" i="11" s="1"/>
  <c r="R74" i="11"/>
  <c r="R76" i="11"/>
  <c r="R75" i="11"/>
  <c r="R80" i="11" a="1"/>
  <c r="R80" i="11" s="1"/>
  <c r="R78" i="11" a="1"/>
  <c r="R78" i="11" s="1"/>
  <c r="R79" i="11" a="1"/>
  <c r="R79" i="11" s="1"/>
  <c r="O33" i="11"/>
  <c r="O40" i="11"/>
  <c r="Q79" i="11" a="1"/>
  <c r="Q79" i="11" s="1"/>
  <c r="Q78" i="11" a="1"/>
  <c r="Q78" i="11" s="1"/>
  <c r="Q74" i="11"/>
  <c r="Q75" i="11"/>
  <c r="Q80" i="11" a="1"/>
  <c r="Q80" i="11" s="1"/>
  <c r="Q76" i="11"/>
  <c r="K40" i="11"/>
  <c r="K33" i="11"/>
  <c r="J47" i="11"/>
  <c r="Q94" i="4"/>
  <c r="G94" i="4"/>
  <c r="AI31" i="4"/>
  <c r="F94" i="4"/>
  <c r="AG46" i="11" l="1"/>
  <c r="AG47" i="11" s="1"/>
  <c r="AK32" i="11"/>
  <c r="AI75" i="11"/>
  <c r="AI74" i="11"/>
  <c r="AI79" i="11" a="1"/>
  <c r="AI79" i="11" s="1"/>
  <c r="AI80" i="11" a="1"/>
  <c r="AI80" i="11" s="1"/>
  <c r="AI33" i="11"/>
  <c r="AK33" i="11" s="1"/>
  <c r="AI78" i="11"/>
  <c r="AI76" i="11"/>
  <c r="AI40" i="11"/>
  <c r="AK40" i="11" s="1"/>
  <c r="Q46" i="11"/>
  <c r="AF46" i="11" s="1"/>
  <c r="AF47" i="11" s="1"/>
  <c r="P46" i="11"/>
  <c r="P47" i="11" s="1"/>
  <c r="AC74" i="11"/>
  <c r="AC40" i="11"/>
  <c r="AC33" i="11"/>
  <c r="AC79" i="11" a="1"/>
  <c r="AC79" i="11" s="1"/>
  <c r="AC78" i="11"/>
  <c r="AC80" i="11" a="1"/>
  <c r="AC80" i="11" s="1"/>
  <c r="AC76" i="11"/>
  <c r="AC75" i="11"/>
  <c r="O46" i="11"/>
  <c r="K46" i="11"/>
  <c r="K47" i="11" s="1"/>
  <c r="AI47" i="11" l="1"/>
  <c r="AE46" i="11"/>
  <c r="AE47" i="11" s="1"/>
  <c r="AD46" i="11"/>
  <c r="AD47" i="11" s="1"/>
  <c r="AC46" i="11"/>
  <c r="AC47" i="11" s="1"/>
  <c r="O47" i="11"/>
  <c r="Q47" i="11"/>
  <c r="L79" i="4" l="1"/>
  <c r="K94" i="4"/>
  <c r="L30" i="11" l="1"/>
  <c r="Z79" i="4"/>
  <c r="Z94" i="4" s="1"/>
  <c r="L32" i="11"/>
  <c r="L94" i="4"/>
  <c r="M79" i="4"/>
  <c r="AA79" i="4" s="1"/>
  <c r="AA94" i="4" s="1"/>
  <c r="M30" i="11" l="1"/>
  <c r="AB30" i="11" s="1"/>
  <c r="AB79" i="4"/>
  <c r="AB94" i="4" s="1"/>
  <c r="L40" i="11"/>
  <c r="L33" i="11"/>
  <c r="Y30" i="11"/>
  <c r="Y32" i="11" s="1"/>
  <c r="AA30" i="11"/>
  <c r="AA32" i="11" s="1"/>
  <c r="M94" i="4"/>
  <c r="M32" i="11" l="1"/>
  <c r="O76" i="11" s="1"/>
  <c r="Z30" i="11"/>
  <c r="Z32" i="11" s="1"/>
  <c r="M75" i="11"/>
  <c r="N76" i="11"/>
  <c r="O74" i="11"/>
  <c r="M76" i="11"/>
  <c r="O80" i="11" a="1"/>
  <c r="O80" i="11" s="1"/>
  <c r="M80" i="11" a="1"/>
  <c r="M80" i="11" s="1"/>
  <c r="M79" i="11" a="1"/>
  <c r="M79" i="11" s="1"/>
  <c r="O78" i="11" a="1"/>
  <c r="O78" i="11" s="1"/>
  <c r="O75" i="11"/>
  <c r="O79" i="11" a="1"/>
  <c r="O79" i="11" s="1"/>
  <c r="N79" i="11" a="1"/>
  <c r="N79" i="11" s="1"/>
  <c r="N74" i="11"/>
  <c r="N75" i="11"/>
  <c r="N78" i="11" a="1"/>
  <c r="N78" i="11" s="1"/>
  <c r="M78" i="11" a="1"/>
  <c r="M78" i="11" s="1"/>
  <c r="N80" i="11" a="1"/>
  <c r="N80" i="11" s="1"/>
  <c r="M74" i="11"/>
  <c r="Y80" i="11" a="1"/>
  <c r="Y80" i="11" s="1"/>
  <c r="Y74" i="11"/>
  <c r="Y33" i="11"/>
  <c r="Y40" i="11"/>
  <c r="Y79" i="11" a="1"/>
  <c r="Y79" i="11" s="1"/>
  <c r="Y78" i="11"/>
  <c r="Y76" i="11"/>
  <c r="Y75" i="11"/>
  <c r="L46" i="11"/>
  <c r="L47" i="11" s="1"/>
  <c r="Z80" i="11" a="1"/>
  <c r="Z80" i="11" s="1"/>
  <c r="Z40" i="11"/>
  <c r="Z74" i="11"/>
  <c r="Z75" i="11"/>
  <c r="Z76" i="11"/>
  <c r="Z79" i="11" a="1"/>
  <c r="Z79" i="11" s="1"/>
  <c r="Z78" i="11"/>
  <c r="Z33" i="11"/>
  <c r="P80" i="11" a="1"/>
  <c r="P80" i="11" s="1"/>
  <c r="M33" i="11"/>
  <c r="P75" i="11"/>
  <c r="M40" i="11"/>
  <c r="P74" i="11"/>
  <c r="P76" i="11"/>
  <c r="P79" i="11" a="1"/>
  <c r="P79" i="11" s="1"/>
  <c r="P78" i="11" a="1"/>
  <c r="P78" i="11" s="1"/>
  <c r="AA33" i="11"/>
  <c r="AA74" i="11"/>
  <c r="AA76" i="11"/>
  <c r="AA75" i="11"/>
  <c r="AA80" i="11" a="1"/>
  <c r="AA80" i="11" s="1"/>
  <c r="AA79" i="11" a="1"/>
  <c r="AA79" i="11" s="1"/>
  <c r="AA78" i="11"/>
  <c r="AA40" i="11"/>
  <c r="AB32" i="11"/>
  <c r="M46" i="11" l="1"/>
  <c r="AB46" i="11" s="1"/>
  <c r="AB33" i="11"/>
  <c r="AB74" i="11"/>
  <c r="AB79" i="11" a="1"/>
  <c r="AB79" i="11" s="1"/>
  <c r="AB75" i="11"/>
  <c r="AB76" i="11"/>
  <c r="AB40" i="11"/>
  <c r="AB78" i="11"/>
  <c r="AB80" i="11" a="1"/>
  <c r="AB80" i="11" s="1"/>
  <c r="Y46" i="11" l="1"/>
  <c r="Y47" i="11" s="1"/>
  <c r="Z46" i="11"/>
  <c r="Z47" i="11" s="1"/>
  <c r="AA46" i="11"/>
  <c r="AA47" i="11" s="1"/>
  <c r="AB47" i="11"/>
  <c r="M4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<sst xmlns="http://schemas.openxmlformats.org/spreadsheetml/2006/main" count="244" uniqueCount="169">
  <si>
    <t>Cash and cash equivalents</t>
  </si>
  <si>
    <t>FYE</t>
  </si>
  <si>
    <t>Quarterly</t>
  </si>
  <si>
    <t>LTM</t>
  </si>
  <si>
    <t>Net cash used in operating activities</t>
  </si>
  <si>
    <t>Net cash used in investing activities</t>
  </si>
  <si>
    <t>Net cash provided by financing activities</t>
  </si>
  <si>
    <t>X</t>
  </si>
  <si>
    <t xml:space="preserve">Income Statement </t>
  </si>
  <si>
    <t>Gross Profit</t>
  </si>
  <si>
    <t>Profit From Operations</t>
  </si>
  <si>
    <t xml:space="preserve">Balance Sheet Statement </t>
  </si>
  <si>
    <t>Current Liabilities</t>
  </si>
  <si>
    <t>Total Liabilities</t>
  </si>
  <si>
    <t>Total stockholders' equity</t>
  </si>
  <si>
    <t>Total liabilities and stockholders' equity</t>
  </si>
  <si>
    <t>Ratio Analysis</t>
  </si>
  <si>
    <t>Cash-Flows Statement</t>
  </si>
  <si>
    <t>Cash flows from investing activities:</t>
  </si>
  <si>
    <t>Cash flows from financing activities:</t>
  </si>
  <si>
    <t>EBITDA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</si>
  <si>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</si>
  <si>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</si>
  <si>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</si>
  <si>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</si>
  <si>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</si>
  <si>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</si>
  <si>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</si>
  <si>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</si>
  <si>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</si>
  <si>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</si>
  <si>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</si>
  <si>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Income tax expense</t>
  </si>
  <si>
    <t>Goodwill</t>
  </si>
  <si>
    <t>Other intangible assets, net</t>
  </si>
  <si>
    <t>Short-term debt</t>
  </si>
  <si>
    <t>Retained earnings</t>
  </si>
  <si>
    <t>Adjustments to reconcile net income to net cash provided by operating Activities:</t>
  </si>
  <si>
    <t>Capital expenditures</t>
  </si>
  <si>
    <t>Proceeds from long-term debt</t>
  </si>
  <si>
    <t>Net income</t>
  </si>
  <si>
    <t>Net sales</t>
  </si>
  <si>
    <t>Cost of sales</t>
  </si>
  <si>
    <t>Selling, general and administrative expenses</t>
  </si>
  <si>
    <t>Impairment, restructuring and other costs</t>
  </si>
  <si>
    <t>Pre-opening expenses</t>
  </si>
  <si>
    <t>Income before income taxes</t>
  </si>
  <si>
    <t>Cosmetics</t>
  </si>
  <si>
    <t>Haircare products and styling tools</t>
  </si>
  <si>
    <t>Skincare</t>
  </si>
  <si>
    <t>Fragrance and bath</t>
  </si>
  <si>
    <t>Services</t>
  </si>
  <si>
    <t>Revenue Segment as a % of Sales</t>
  </si>
  <si>
    <t>Growth Y/Y, Q/Q by Revenue Segment</t>
  </si>
  <si>
    <t>Accessories and other</t>
  </si>
  <si>
    <t>Receivables, net</t>
  </si>
  <si>
    <t>Merchandise inventories, net</t>
  </si>
  <si>
    <t>Prepaid expenses and other current assets</t>
  </si>
  <si>
    <t>Prepaid income taxes</t>
  </si>
  <si>
    <t>Property and equipment, net</t>
  </si>
  <si>
    <t>Operating lease assets</t>
  </si>
  <si>
    <t>Deferred compensation plan assets</t>
  </si>
  <si>
    <t>Other long-term assets</t>
  </si>
  <si>
    <t>Accounts payable</t>
  </si>
  <si>
    <t>Accrued liabilities</t>
  </si>
  <si>
    <t>Deferred revenue</t>
  </si>
  <si>
    <t>Current operating lease liabilities</t>
  </si>
  <si>
    <t>Accrued income taxes</t>
  </si>
  <si>
    <t> </t>
  </si>
  <si>
    <t>Non-current operating lease liabilities</t>
  </si>
  <si>
    <t>Deferred income taxes</t>
  </si>
  <si>
    <t>Other long-term liabilities</t>
  </si>
  <si>
    <t>Treasury stock-common, at cost</t>
  </si>
  <si>
    <t>Additional paid-in capital</t>
  </si>
  <si>
    <t>Depreciation and amortization</t>
  </si>
  <si>
    <t>Non-cash lease expense</t>
  </si>
  <si>
    <t>Long-lived asset impairment charge</t>
  </si>
  <si>
    <t>Stock-based compensation expense</t>
  </si>
  <si>
    <t>Loss on disposal of property and equipment</t>
  </si>
  <si>
    <t>Change in operating assets and liabilities:</t>
  </si>
  <si>
    <t>Receivables</t>
  </si>
  <si>
    <t>Merchandise inventories</t>
  </si>
  <si>
    <t>Income taxes</t>
  </si>
  <si>
    <t>Operating lease liabilities</t>
  </si>
  <si>
    <t>Other assets and liabilities</t>
  </si>
  <si>
    <t>Other investments</t>
  </si>
  <si>
    <t>Payments on long-term debt</t>
  </si>
  <si>
    <t>Borrowings from credit facility</t>
  </si>
  <si>
    <t>Payments on credit facility</t>
  </si>
  <si>
    <t>Repurchase of common shares</t>
  </si>
  <si>
    <t>Stock options exercised</t>
  </si>
  <si>
    <t>Purchase of treasury shares</t>
  </si>
  <si>
    <t>Debt issuance costs</t>
  </si>
  <si>
    <t>Supplemental information</t>
  </si>
  <si>
    <t>Cash paid for interest</t>
  </si>
  <si>
    <t>Income taxes paid, net of refunds</t>
  </si>
  <si>
    <t>Non-cash capital expenditures</t>
  </si>
  <si>
    <t>Repurchase of common shares in accrued liabilities</t>
  </si>
  <si>
    <t>Segment Analysis</t>
  </si>
  <si>
    <t>Revenue Segment Anaysis</t>
  </si>
  <si>
    <t>Ulta Beauty Inc. (NASDAQ: ULTA)</t>
  </si>
  <si>
    <t>FCF Analysis</t>
  </si>
  <si>
    <t>Interest Income (Expense), net</t>
  </si>
  <si>
    <t>($ In Thousands)</t>
  </si>
  <si>
    <t>3-Statement Model</t>
  </si>
  <si>
    <t>Variance</t>
  </si>
  <si>
    <t>Total Revenue</t>
  </si>
  <si>
    <t>Total Assets</t>
  </si>
  <si>
    <t>Total Current Assets</t>
  </si>
  <si>
    <t>Common stock</t>
  </si>
  <si>
    <t>Total Current Liabilities</t>
  </si>
  <si>
    <t>Cash Flows from Operating Activities:</t>
  </si>
  <si>
    <t>4Q24</t>
  </si>
  <si>
    <t>1Q25</t>
  </si>
  <si>
    <t>2Q25</t>
  </si>
  <si>
    <t>Y/Y Growth (%)</t>
  </si>
  <si>
    <t>Q/Q Growth (%)</t>
  </si>
  <si>
    <t>N/A</t>
  </si>
  <si>
    <t>(-) Cost of Sales</t>
  </si>
  <si>
    <t>Gross Margin (%)</t>
  </si>
  <si>
    <t>Earning before Interest &amp; Taxes (EBIT)</t>
  </si>
  <si>
    <t>Operating Margin (%)</t>
  </si>
  <si>
    <t>(+) Depreciation and Amortization</t>
  </si>
  <si>
    <t>EBITDA Margin (%)</t>
  </si>
  <si>
    <t xml:space="preserve">(+) Share-based Compensation </t>
  </si>
  <si>
    <t>Adj. EBITDA</t>
  </si>
  <si>
    <t>Adj. EBITDA Margin (%)</t>
  </si>
  <si>
    <t>(-) Capital Expenditures</t>
  </si>
  <si>
    <t>(-) Cash Interest</t>
  </si>
  <si>
    <t>(-) Cash Taxes</t>
  </si>
  <si>
    <t>(-) Mandatory Amortization</t>
  </si>
  <si>
    <t>(+/-) Changes in NWC</t>
  </si>
  <si>
    <t>Discretionary Cash-Flows</t>
  </si>
  <si>
    <t>(+/-) Net Equity Issuances / (Share Repurchases)</t>
  </si>
  <si>
    <t>(+/-) Other Adjustments</t>
  </si>
  <si>
    <t>Free-Cash Flows</t>
  </si>
  <si>
    <t>Capitalization</t>
  </si>
  <si>
    <t>Cash &amp; Cash Equivelants</t>
  </si>
  <si>
    <t>Total Liquidity</t>
  </si>
  <si>
    <t>Balance Sheet Metrics:</t>
  </si>
  <si>
    <t>Accounts Receivable</t>
  </si>
  <si>
    <t>Accounts Payable</t>
  </si>
  <si>
    <t>Property Plant, and Equiptment</t>
  </si>
  <si>
    <t>Summary Debt (BS):</t>
  </si>
  <si>
    <t>CPLTD</t>
  </si>
  <si>
    <t>LTD</t>
  </si>
  <si>
    <t>Total Debt</t>
  </si>
  <si>
    <t>Total Shareholder Equity</t>
  </si>
  <si>
    <t>Total Book Capitalization</t>
  </si>
  <si>
    <t>Total Leverage</t>
  </si>
  <si>
    <t>Net Leverage (C&amp;CE)</t>
  </si>
  <si>
    <t>Net Leverage (C&amp;CE + BTC Holdings)</t>
  </si>
  <si>
    <t xml:space="preserve">Interest Coverage </t>
  </si>
  <si>
    <t>Debt Service Coverage</t>
  </si>
  <si>
    <t>Fixed Charge Coverage</t>
  </si>
  <si>
    <t>Debt-to-Book Capitalization</t>
  </si>
  <si>
    <t>(-) Selling, general and administrative expenses</t>
  </si>
  <si>
    <t>(-) Pre-opening expenses</t>
  </si>
  <si>
    <t>(-) Impairment, restructuring and other costs</t>
  </si>
  <si>
    <t>(+) Impairment, restructuring and other costs</t>
  </si>
  <si>
    <t>(+/-) Issuance / (Repayment) from Credit Facility</t>
  </si>
  <si>
    <t>(+/-) Issuance / (Repayment) from Long-term Debt, net</t>
  </si>
  <si>
    <t>(+/-) Changes in Other Investments</t>
  </si>
  <si>
    <t>$800MM Revolving Credit Facility</t>
  </si>
  <si>
    <t>Equity net loss of affiliate</t>
  </si>
  <si>
    <t>Acquisitions, net of cash acquired</t>
  </si>
  <si>
    <t>Borrowings from short-term debt</t>
  </si>
  <si>
    <t>Payments on short-term debt</t>
  </si>
  <si>
    <t>Net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</si>
</sst>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7" formatCode="_(* #,##0_);_(* \(#,##0\);_(* &quot;-&quot;??_);_(@_)"/>
    <numFmt numFmtId="175" formatCode="#,##0.0%;\(#,##0.0%\)"/>
    <numFmt numFmtId="176" formatCode="#,##0.0&quot;bps&quot;_);\(#,##0.0&quot;bps&quot;\)"/>
    <numFmt numFmtId="177" formatCode="_(* #,##0.0&quot;x&quot;_);_(* \(#,##0.0&quot;x&quot;\);_(* &quot;-&quot;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Calibri"/>
      <family val="2"/>
    </font>
    <font>
      <i/>
      <sz val="9"/>
      <color theme="0"/>
      <name val="Calibri"/>
      <family val="2"/>
    </font>
    <font>
      <b/>
      <i/>
      <sz val="9"/>
      <color theme="0"/>
      <name val="Calibri"/>
      <family val="2"/>
    </font>
    <font>
      <i/>
      <sz val="9"/>
      <color theme="1"/>
      <name val="Calibri"/>
      <family val="2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  <font>
      <sz val="9"/>
      <name val="Calibri"/>
      <family val="2"/>
    </font>
    <font>
      <sz val="9"/>
      <color rgb="FF0000FF"/>
      <name val="Calibri"/>
      <family val="2"/>
    </font>
    <font>
      <i/>
      <sz val="9"/>
      <name val="Calibri"/>
      <family val="2"/>
    </font>
    <font>
      <sz val="9"/>
      <color theme="9" tint="-0.249977111117893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</font>
    <font>
      <sz val="9"/>
      <color rgb="FF0000CC"/>
      <name val="Calibri"/>
      <family val="2"/>
    </font>
    <font>
      <sz val="9"/>
      <color rgb="FF0000E1"/>
      <name val="Calibri"/>
      <family val="2"/>
    </font>
    <font>
      <b/>
      <sz val="9"/>
      <color indexed="8"/>
      <name val="Calibri"/>
      <family val="2"/>
    </font>
    <font>
      <b/>
      <sz val="9"/>
      <color rgb="FF0000FF"/>
      <name val="Calibri"/>
      <family val="2"/>
    </font>
    <font>
      <b/>
      <i/>
      <sz val="9"/>
      <name val="Calibri"/>
      <family val="2"/>
    </font>
    <font>
      <i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lightGray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5" fillId="0" borderId="0" xfId="2" applyNumberFormat="1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7" fillId="0" borderId="0" xfId="0" applyFont="1"/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vertical="top" wrapText="1"/>
    </xf>
    <xf numFmtId="37" fontId="9" fillId="0" borderId="0" xfId="0" applyNumberFormat="1" applyFont="1" applyAlignment="1">
      <alignment horizontal="right" vertical="top" wrapText="1"/>
    </xf>
    <xf numFmtId="37" fontId="10" fillId="0" borderId="0" xfId="0" applyNumberFormat="1" applyFont="1" applyAlignment="1">
      <alignment wrapText="1"/>
    </xf>
    <xf numFmtId="37" fontId="7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37" fontId="12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37" fontId="10" fillId="0" borderId="0" xfId="0" applyNumberFormat="1" applyFont="1" applyAlignment="1">
      <alignment horizontal="right" vertical="top" wrapText="1"/>
    </xf>
    <xf numFmtId="37" fontId="9" fillId="0" borderId="0" xfId="0" applyNumberFormat="1" applyFont="1" applyAlignment="1">
      <alignment horizontal="right" vertical="top"/>
    </xf>
    <xf numFmtId="37" fontId="10" fillId="0" borderId="0" xfId="0" applyNumberFormat="1" applyFont="1" applyAlignment="1">
      <alignment horizontal="right" vertical="top"/>
    </xf>
    <xf numFmtId="37" fontId="13" fillId="0" borderId="1" xfId="0" applyNumberFormat="1" applyFont="1" applyBorder="1" applyAlignment="1">
      <alignment horizontal="right" vertical="top" wrapText="1"/>
    </xf>
    <xf numFmtId="164" fontId="14" fillId="0" borderId="0" xfId="0" applyNumberFormat="1" applyFont="1" applyAlignment="1">
      <alignment wrapText="1"/>
    </xf>
    <xf numFmtId="0" fontId="11" fillId="0" borderId="0" xfId="0" applyFont="1" applyAlignment="1">
      <alignment horizontal="right" vertical="center" wrapText="1"/>
    </xf>
    <xf numFmtId="165" fontId="13" fillId="0" borderId="0" xfId="0" applyNumberFormat="1" applyFont="1" applyAlignment="1">
      <alignment horizontal="right" vertical="top" wrapText="1"/>
    </xf>
    <xf numFmtId="9" fontId="9" fillId="0" borderId="0" xfId="2" applyFont="1" applyBorder="1" applyAlignment="1">
      <alignment horizontal="right" vertical="center" wrapText="1"/>
    </xf>
    <xf numFmtId="165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39" fontId="9" fillId="0" borderId="0" xfId="0" applyNumberFormat="1" applyFont="1" applyAlignment="1">
      <alignment horizontal="right" vertical="center" wrapText="1"/>
    </xf>
    <xf numFmtId="9" fontId="9" fillId="0" borderId="0" xfId="2" applyFont="1" applyFill="1" applyBorder="1" applyAlignment="1">
      <alignment horizontal="right" vertical="center" wrapText="1"/>
    </xf>
    <xf numFmtId="37" fontId="7" fillId="0" borderId="0" xfId="0" applyNumberFormat="1" applyFont="1"/>
    <xf numFmtId="37" fontId="14" fillId="0" borderId="1" xfId="0" applyNumberFormat="1" applyFont="1" applyBorder="1"/>
    <xf numFmtId="37" fontId="9" fillId="0" borderId="0" xfId="2" applyNumberFormat="1" applyFont="1" applyBorder="1" applyAlignment="1">
      <alignment horizontal="right" vertical="center" wrapText="1"/>
    </xf>
    <xf numFmtId="0" fontId="14" fillId="0" borderId="1" xfId="0" applyFont="1" applyBorder="1"/>
    <xf numFmtId="0" fontId="14" fillId="0" borderId="0" xfId="0" applyFont="1"/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37" fontId="14" fillId="0" borderId="1" xfId="0" applyNumberFormat="1" applyFont="1" applyBorder="1" applyAlignment="1">
      <alignment wrapText="1"/>
    </xf>
    <xf numFmtId="37" fontId="14" fillId="0" borderId="0" xfId="0" applyNumberFormat="1" applyFont="1" applyAlignment="1">
      <alignment wrapText="1"/>
    </xf>
    <xf numFmtId="37" fontId="13" fillId="0" borderId="0" xfId="0" applyNumberFormat="1" applyFont="1" applyAlignment="1">
      <alignment horizontal="right" vertical="top" wrapText="1"/>
    </xf>
    <xf numFmtId="37" fontId="13" fillId="0" borderId="1" xfId="0" applyNumberFormat="1" applyFont="1" applyBorder="1" applyAlignment="1">
      <alignment wrapText="1"/>
    </xf>
    <xf numFmtId="37" fontId="13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37" fontId="9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7" fillId="0" borderId="0" xfId="0" applyFont="1" applyAlignment="1">
      <alignment wrapText="1"/>
    </xf>
    <xf numFmtId="167" fontId="7" fillId="0" borderId="0" xfId="1" applyNumberFormat="1" applyFont="1" applyBorder="1" applyAlignment="1">
      <alignment wrapText="1"/>
    </xf>
    <xf numFmtId="37" fontId="15" fillId="0" borderId="0" xfId="1" applyNumberFormat="1" applyFont="1" applyBorder="1" applyAlignment="1">
      <alignment wrapText="1"/>
    </xf>
    <xf numFmtId="37" fontId="9" fillId="0" borderId="0" xfId="1" applyNumberFormat="1" applyFont="1" applyBorder="1" applyAlignment="1">
      <alignment wrapText="1"/>
    </xf>
    <xf numFmtId="37" fontId="15" fillId="0" borderId="0" xfId="1" applyNumberFormat="1" applyFont="1" applyFill="1" applyBorder="1" applyAlignment="1">
      <alignment wrapText="1"/>
    </xf>
    <xf numFmtId="0" fontId="7" fillId="0" borderId="0" xfId="0" applyFont="1" applyAlignment="1">
      <alignment horizontal="left" indent="1"/>
    </xf>
    <xf numFmtId="37" fontId="13" fillId="0" borderId="0" xfId="1" applyNumberFormat="1" applyFont="1" applyBorder="1" applyAlignment="1">
      <alignment wrapText="1"/>
    </xf>
    <xf numFmtId="37" fontId="14" fillId="0" borderId="0" xfId="1" applyNumberFormat="1" applyFont="1" applyBorder="1" applyAlignment="1">
      <alignment wrapText="1"/>
    </xf>
    <xf numFmtId="37" fontId="18" fillId="0" borderId="0" xfId="1" applyNumberFormat="1" applyFont="1" applyBorder="1" applyAlignment="1">
      <alignment wrapText="1"/>
    </xf>
    <xf numFmtId="37" fontId="14" fillId="0" borderId="0" xfId="1" applyNumberFormat="1" applyFont="1" applyFill="1" applyBorder="1" applyAlignment="1">
      <alignment wrapText="1"/>
    </xf>
    <xf numFmtId="37" fontId="16" fillId="0" borderId="0" xfId="1" applyNumberFormat="1" applyFont="1" applyFill="1" applyBorder="1" applyAlignment="1">
      <alignment wrapText="1"/>
    </xf>
    <xf numFmtId="37" fontId="10" fillId="0" borderId="0" xfId="1" applyNumberFormat="1" applyFont="1" applyFill="1" applyBorder="1" applyAlignment="1">
      <alignment wrapText="1"/>
    </xf>
    <xf numFmtId="0" fontId="13" fillId="3" borderId="5" xfId="0" applyFont="1" applyFill="1" applyBorder="1" applyAlignment="1">
      <alignment vertical="top" wrapText="1"/>
    </xf>
    <xf numFmtId="5" fontId="13" fillId="3" borderId="1" xfId="0" applyNumberFormat="1" applyFont="1" applyFill="1" applyBorder="1" applyAlignment="1">
      <alignment horizontal="right" vertical="top" wrapText="1"/>
    </xf>
    <xf numFmtId="165" fontId="13" fillId="0" borderId="0" xfId="0" applyNumberFormat="1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37" fontId="14" fillId="0" borderId="0" xfId="0" applyNumberFormat="1" applyFont="1" applyBorder="1"/>
    <xf numFmtId="41" fontId="9" fillId="0" borderId="0" xfId="0" applyNumberFormat="1" applyFont="1" applyAlignment="1">
      <alignment horizontal="right" vertical="top" wrapText="1"/>
    </xf>
    <xf numFmtId="0" fontId="14" fillId="0" borderId="0" xfId="0" applyFont="1" applyBorder="1"/>
    <xf numFmtId="0" fontId="7" fillId="3" borderId="0" xfId="0" applyFont="1" applyFill="1"/>
    <xf numFmtId="41" fontId="7" fillId="0" borderId="0" xfId="0" applyNumberFormat="1" applyFont="1"/>
    <xf numFmtId="175" fontId="11" fillId="3" borderId="0" xfId="2" applyNumberFormat="1" applyFont="1" applyFill="1" applyBorder="1" applyAlignment="1">
      <alignment horizontal="right" vertical="center" wrapText="1"/>
    </xf>
    <xf numFmtId="175" fontId="19" fillId="3" borderId="0" xfId="2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left" vertical="center" wrapText="1" indent="1"/>
    </xf>
    <xf numFmtId="5" fontId="13" fillId="4" borderId="0" xfId="0" applyNumberFormat="1" applyFont="1" applyFill="1" applyAlignment="1">
      <alignment horizontal="right" vertical="top" wrapText="1"/>
    </xf>
    <xf numFmtId="175" fontId="20" fillId="0" borderId="0" xfId="2" applyNumberFormat="1" applyFont="1" applyBorder="1" applyAlignment="1">
      <alignment horizontal="right" vertical="center" wrapText="1"/>
    </xf>
    <xf numFmtId="176" fontId="19" fillId="3" borderId="0" xfId="2" applyNumberFormat="1" applyFont="1" applyFill="1" applyBorder="1" applyAlignment="1">
      <alignment horizontal="right" vertical="center" wrapText="1"/>
    </xf>
    <xf numFmtId="9" fontId="9" fillId="0" borderId="0" xfId="2" applyFont="1" applyAlignment="1">
      <alignment horizontal="left" vertical="top" wrapText="1" indent="1"/>
    </xf>
    <xf numFmtId="9" fontId="15" fillId="0" borderId="0" xfId="2" applyFont="1" applyAlignment="1">
      <alignment horizontal="right" vertical="top" wrapText="1"/>
    </xf>
    <xf numFmtId="9" fontId="7" fillId="0" borderId="0" xfId="2" applyFont="1" applyAlignment="1">
      <alignment wrapText="1"/>
    </xf>
    <xf numFmtId="9" fontId="10" fillId="0" borderId="0" xfId="2" applyFont="1" applyAlignment="1">
      <alignment horizontal="right" vertical="top" wrapText="1"/>
    </xf>
    <xf numFmtId="9" fontId="7" fillId="0" borderId="0" xfId="2" applyFont="1"/>
    <xf numFmtId="0" fontId="9" fillId="0" borderId="0" xfId="0" quotePrefix="1" applyFont="1" applyAlignment="1">
      <alignment vertical="top" wrapText="1"/>
    </xf>
    <xf numFmtId="5" fontId="13" fillId="0" borderId="1" xfId="0" applyNumberFormat="1" applyFont="1" applyBorder="1" applyAlignment="1">
      <alignment horizontal="right" vertical="top" wrapText="1"/>
    </xf>
    <xf numFmtId="9" fontId="21" fillId="0" borderId="0" xfId="2" applyFont="1" applyBorder="1" applyAlignment="1">
      <alignment horizontal="right" vertical="center" wrapText="1"/>
    </xf>
    <xf numFmtId="0" fontId="22" fillId="0" borderId="0" xfId="0" applyFont="1" applyAlignment="1">
      <alignment wrapText="1"/>
    </xf>
    <xf numFmtId="0" fontId="11" fillId="0" borderId="0" xfId="0" applyFont="1" applyAlignment="1">
      <alignment horizontal="left" vertical="center" wrapText="1" indent="1"/>
    </xf>
    <xf numFmtId="0" fontId="7" fillId="0" borderId="0" xfId="0" quotePrefix="1" applyFont="1"/>
    <xf numFmtId="0" fontId="14" fillId="0" borderId="3" xfId="0" applyFont="1" applyBorder="1"/>
    <xf numFmtId="0" fontId="14" fillId="0" borderId="6" xfId="0" applyFont="1" applyBorder="1"/>
    <xf numFmtId="177" fontId="14" fillId="0" borderId="1" xfId="0" applyNumberFormat="1" applyFont="1" applyBorder="1"/>
    <xf numFmtId="0" fontId="14" fillId="4" borderId="1" xfId="0" applyFont="1" applyFill="1" applyBorder="1"/>
    <xf numFmtId="177" fontId="14" fillId="0" borderId="7" xfId="0" applyNumberFormat="1" applyFont="1" applyBorder="1"/>
    <xf numFmtId="0" fontId="14" fillId="0" borderId="8" xfId="0" applyFont="1" applyBorder="1"/>
    <xf numFmtId="177" fontId="14" fillId="0" borderId="0" xfId="0" applyNumberFormat="1" applyFont="1"/>
    <xf numFmtId="0" fontId="14" fillId="4" borderId="0" xfId="0" applyFont="1" applyFill="1"/>
    <xf numFmtId="177" fontId="14" fillId="0" borderId="9" xfId="0" applyNumberFormat="1" applyFont="1" applyBorder="1"/>
    <xf numFmtId="0" fontId="14" fillId="0" borderId="10" xfId="0" applyFont="1" applyBorder="1"/>
    <xf numFmtId="177" fontId="14" fillId="0" borderId="3" xfId="0" applyNumberFormat="1" applyFont="1" applyBorder="1"/>
    <xf numFmtId="0" fontId="14" fillId="4" borderId="3" xfId="0" applyFont="1" applyFill="1" applyBorder="1"/>
    <xf numFmtId="177" fontId="14" fillId="0" borderId="11" xfId="0" applyNumberFormat="1" applyFont="1" applyBorder="1"/>
    <xf numFmtId="177" fontId="7" fillId="0" borderId="0" xfId="0" applyNumberFormat="1" applyFont="1"/>
    <xf numFmtId="0" fontId="7" fillId="4" borderId="0" xfId="0" applyFont="1" applyFill="1"/>
    <xf numFmtId="0" fontId="7" fillId="0" borderId="2" xfId="0" applyFont="1" applyBorder="1"/>
    <xf numFmtId="14" fontId="3" fillId="0" borderId="0" xfId="0" applyNumberFormat="1" applyFont="1" applyAlignment="1">
      <alignment horizontal="center"/>
    </xf>
    <xf numFmtId="9" fontId="7" fillId="0" borderId="0" xfId="2" applyFont="1" applyFill="1" applyBorder="1"/>
    <xf numFmtId="0" fontId="13" fillId="0" borderId="3" xfId="0" applyFont="1" applyBorder="1" applyAlignment="1">
      <alignment vertical="top" wrapText="1"/>
    </xf>
    <xf numFmtId="0" fontId="7" fillId="0" borderId="0" xfId="0" applyFont="1" applyFill="1" applyBorder="1"/>
    <xf numFmtId="10" fontId="7" fillId="0" borderId="0" xfId="0" applyNumberFormat="1" applyFont="1" applyFill="1" applyBorder="1"/>
    <xf numFmtId="0" fontId="9" fillId="0" borderId="0" xfId="0" applyFont="1"/>
    <xf numFmtId="175" fontId="5" fillId="0" borderId="0" xfId="0" applyNumberFormat="1" applyFont="1" applyFill="1" applyBorder="1"/>
    <xf numFmtId="0" fontId="7" fillId="0" borderId="3" xfId="0" applyFont="1" applyFill="1" applyBorder="1"/>
    <xf numFmtId="175" fontId="5" fillId="0" borderId="3" xfId="0" applyNumberFormat="1" applyFont="1" applyFill="1" applyBorder="1"/>
    <xf numFmtId="10" fontId="7" fillId="0" borderId="3" xfId="0" applyNumberFormat="1" applyFont="1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6" fillId="0" borderId="6" xfId="0" applyFont="1" applyFill="1" applyBorder="1"/>
    <xf numFmtId="0" fontId="5" fillId="0" borderId="8" xfId="0" applyFont="1" applyFill="1" applyBorder="1" applyAlignment="1">
      <alignment horizontal="left" indent="1"/>
    </xf>
    <xf numFmtId="0" fontId="7" fillId="0" borderId="8" xfId="0" applyFont="1" applyFill="1" applyBorder="1" applyAlignment="1">
      <alignment horizontal="left" indent="1"/>
    </xf>
    <xf numFmtId="0" fontId="14" fillId="0" borderId="8" xfId="0" applyFont="1" applyFill="1" applyBorder="1"/>
    <xf numFmtId="0" fontId="7" fillId="0" borderId="10" xfId="0" applyFont="1" applyFill="1" applyBorder="1" applyAlignment="1">
      <alignment horizontal="left" indent="1"/>
    </xf>
    <xf numFmtId="0" fontId="7" fillId="0" borderId="7" xfId="0" applyFont="1" applyFill="1" applyBorder="1"/>
    <xf numFmtId="9" fontId="7" fillId="0" borderId="9" xfId="2" applyFont="1" applyFill="1" applyBorder="1"/>
    <xf numFmtId="10" fontId="7" fillId="0" borderId="9" xfId="0" applyNumberFormat="1" applyFont="1" applyFill="1" applyBorder="1"/>
    <xf numFmtId="10" fontId="7" fillId="0" borderId="11" xfId="0" applyNumberFormat="1" applyFont="1" applyFill="1" applyBorder="1"/>
    <xf numFmtId="41" fontId="9" fillId="3" borderId="0" xfId="0" applyNumberFormat="1" applyFont="1" applyFill="1" applyAlignment="1">
      <alignment horizontal="right" vertical="top" wrapText="1"/>
    </xf>
    <xf numFmtId="41" fontId="9" fillId="0" borderId="0" xfId="0" applyNumberFormat="1" applyFont="1" applyFill="1" applyAlignment="1">
      <alignment horizontal="right" vertical="top" wrapText="1"/>
    </xf>
    <xf numFmtId="175" fontId="5" fillId="0" borderId="9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19A9-859E-45EB-AC60-BF3EE31E83E5}">
  <dimension ref="A2:AK120"/>
  <sheetViews>
    <sheetView showGridLines="0" tabSelected="1" zoomScaleNormal="100" workbookViewId="0">
      <selection activeCell="AK113" sqref="AK113"/>
    </sheetView>
  </sheetViews>
  <sheetFormatPr defaultRowHeight="12" outlineLevelCol="1" x14ac:dyDescent="0.2"/>
  <cols>
    <col min="1" max="1" width="2.42578125" style="8" customWidth="1"/>
    <col min="2" max="2" width="60" style="8" customWidth="1"/>
    <col min="3" max="5" width="12" style="8" hidden="1" customWidth="1" outlineLevel="1"/>
    <col min="6" max="6" width="10" style="8" bestFit="1" customWidth="1" collapsed="1"/>
    <col min="7" max="8" width="10" style="8" bestFit="1" customWidth="1"/>
    <col min="9" max="9" width="1.7109375" style="8" customWidth="1"/>
    <col min="10" max="11" width="9.42578125" style="8" hidden="1" customWidth="1" outlineLevel="1"/>
    <col min="12" max="12" width="9.85546875" style="8" hidden="1" customWidth="1" outlineLevel="1"/>
    <col min="13" max="15" width="9.42578125" style="8" hidden="1" customWidth="1" outlineLevel="1"/>
    <col min="16" max="16" width="9.85546875" style="8" hidden="1" customWidth="1" outlineLevel="1"/>
    <col min="17" max="18" width="9.42578125" style="8" hidden="1" customWidth="1" outlineLevel="1"/>
    <col min="19" max="19" width="9.42578125" style="8" bestFit="1" customWidth="1" collapsed="1"/>
    <col min="20" max="23" width="9.42578125" style="8" bestFit="1" customWidth="1"/>
    <col min="24" max="24" width="1.7109375" style="8" customWidth="1"/>
    <col min="25" max="30" width="10.140625" style="8" hidden="1" customWidth="1" outlineLevel="1"/>
    <col min="31" max="31" width="10.140625" style="8" bestFit="1" customWidth="1" collapsed="1"/>
    <col min="32" max="34" width="10.140625" style="8" hidden="1" customWidth="1" outlineLevel="1"/>
    <col min="35" max="35" width="10.140625" style="8" bestFit="1" customWidth="1" collapsed="1"/>
    <col min="36" max="36" width="1.42578125" style="8" customWidth="1"/>
    <col min="37" max="37" width="11.42578125" style="8" bestFit="1" customWidth="1"/>
    <col min="38" max="38" width="1.5703125" style="8" customWidth="1"/>
    <col min="39" max="16384" width="9.140625" style="8"/>
  </cols>
  <sheetData>
    <row r="2" spans="1:37" x14ac:dyDescent="0.2">
      <c r="B2" s="1" t="s">
        <v>100</v>
      </c>
      <c r="C2" s="2" t="s">
        <v>1</v>
      </c>
      <c r="D2" s="2"/>
      <c r="E2" s="2"/>
      <c r="F2" s="2" t="s">
        <v>1</v>
      </c>
      <c r="G2" s="2"/>
      <c r="H2" s="2"/>
      <c r="I2" s="5"/>
      <c r="J2" s="2" t="s">
        <v>2</v>
      </c>
      <c r="K2" s="2"/>
      <c r="L2" s="2"/>
      <c r="M2" s="2"/>
      <c r="N2" s="2"/>
      <c r="O2" s="2"/>
      <c r="P2" s="2"/>
      <c r="Q2" s="2"/>
      <c r="R2" s="2"/>
      <c r="S2" s="2" t="s">
        <v>2</v>
      </c>
      <c r="T2" s="2"/>
      <c r="U2" s="2"/>
      <c r="V2" s="2"/>
      <c r="W2" s="2"/>
      <c r="X2" s="5"/>
      <c r="Y2" s="2" t="s">
        <v>3</v>
      </c>
      <c r="Z2" s="2"/>
      <c r="AA2" s="2"/>
      <c r="AB2" s="2"/>
      <c r="AC2" s="2"/>
      <c r="AD2" s="2"/>
      <c r="AE2" s="2" t="s">
        <v>3</v>
      </c>
      <c r="AF2" s="2"/>
      <c r="AG2" s="2"/>
      <c r="AH2" s="2"/>
      <c r="AI2" s="2"/>
      <c r="AJ2" s="5"/>
      <c r="AK2" s="6" t="s">
        <v>105</v>
      </c>
    </row>
    <row r="3" spans="1:37" x14ac:dyDescent="0.2">
      <c r="B3" s="3" t="s">
        <v>104</v>
      </c>
      <c r="C3" s="4">
        <v>2019</v>
      </c>
      <c r="D3" s="4">
        <v>2020</v>
      </c>
      <c r="E3" s="4">
        <v>2021</v>
      </c>
      <c r="F3" s="4">
        <v>2022</v>
      </c>
      <c r="G3" s="4">
        <v>2023</v>
      </c>
      <c r="H3" s="4">
        <v>2024</v>
      </c>
      <c r="I3" s="5"/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112</v>
      </c>
      <c r="V3" s="4" t="s">
        <v>113</v>
      </c>
      <c r="W3" s="4" t="s">
        <v>114</v>
      </c>
      <c r="X3" s="5"/>
      <c r="Y3" s="4" t="str">
        <f t="shared" ref="Y3:Z4" si="0">M3</f>
        <v>4Q22</v>
      </c>
      <c r="Z3" s="4" t="str">
        <f t="shared" si="0"/>
        <v>1Q23</v>
      </c>
      <c r="AA3" s="4" t="str">
        <f t="shared" ref="AA3:AA4" si="1">O3</f>
        <v>2Q23</v>
      </c>
      <c r="AB3" s="4" t="str">
        <f t="shared" ref="AB3:AB4" si="2">P3</f>
        <v>3Q23</v>
      </c>
      <c r="AC3" s="4" t="str">
        <f t="shared" ref="AC3:AC4" si="3">Q3</f>
        <v>4Q23</v>
      </c>
      <c r="AD3" s="4" t="str">
        <f t="shared" ref="AD3:AD4" si="4">R3</f>
        <v>1Q24</v>
      </c>
      <c r="AE3" s="4" t="str">
        <f t="shared" ref="AE3:AE4" si="5">S3</f>
        <v>2Q24</v>
      </c>
      <c r="AF3" s="4" t="str">
        <f t="shared" ref="AF3:AH4" si="6">T3</f>
        <v>3Q24</v>
      </c>
      <c r="AG3" s="4" t="str">
        <f t="shared" si="6"/>
        <v>4Q24</v>
      </c>
      <c r="AH3" s="4" t="str">
        <f t="shared" si="6"/>
        <v>1Q25</v>
      </c>
      <c r="AI3" s="4" t="str">
        <f>W3</f>
        <v>2Q25</v>
      </c>
      <c r="AJ3" s="5"/>
      <c r="AK3" s="6"/>
    </row>
    <row r="4" spans="1:37" x14ac:dyDescent="0.2">
      <c r="B4" s="3" t="s">
        <v>103</v>
      </c>
      <c r="C4" s="5">
        <v>43497</v>
      </c>
      <c r="D4" s="5">
        <v>43861</v>
      </c>
      <c r="E4" s="5">
        <v>44225</v>
      </c>
      <c r="F4" s="5">
        <v>44954</v>
      </c>
      <c r="G4" s="5">
        <v>45325</v>
      </c>
      <c r="H4" s="5">
        <v>45689</v>
      </c>
      <c r="I4" s="5"/>
      <c r="J4" s="5">
        <v>44681</v>
      </c>
      <c r="K4" s="5">
        <v>44772</v>
      </c>
      <c r="L4" s="5">
        <v>44863</v>
      </c>
      <c r="M4" s="5">
        <v>44954</v>
      </c>
      <c r="N4" s="5">
        <v>45045</v>
      </c>
      <c r="O4" s="5">
        <v>45136</v>
      </c>
      <c r="P4" s="5">
        <v>45227</v>
      </c>
      <c r="Q4" s="5">
        <v>45325</v>
      </c>
      <c r="R4" s="5">
        <v>45416</v>
      </c>
      <c r="S4" s="5">
        <v>45507</v>
      </c>
      <c r="T4" s="5">
        <v>45598</v>
      </c>
      <c r="U4" s="5">
        <f>H4</f>
        <v>45689</v>
      </c>
      <c r="V4" s="5">
        <v>45780</v>
      </c>
      <c r="W4" s="5">
        <v>45871</v>
      </c>
      <c r="X4" s="5"/>
      <c r="Y4" s="5">
        <f t="shared" si="0"/>
        <v>44954</v>
      </c>
      <c r="Z4" s="5">
        <f t="shared" si="0"/>
        <v>45045</v>
      </c>
      <c r="AA4" s="5">
        <f t="shared" si="1"/>
        <v>45136</v>
      </c>
      <c r="AB4" s="5">
        <f t="shared" si="2"/>
        <v>45227</v>
      </c>
      <c r="AC4" s="5">
        <f t="shared" si="3"/>
        <v>45325</v>
      </c>
      <c r="AD4" s="5">
        <f t="shared" si="4"/>
        <v>45416</v>
      </c>
      <c r="AE4" s="5">
        <f t="shared" si="5"/>
        <v>45507</v>
      </c>
      <c r="AF4" s="5">
        <f t="shared" si="6"/>
        <v>45598</v>
      </c>
      <c r="AG4" s="5">
        <f t="shared" si="6"/>
        <v>45689</v>
      </c>
      <c r="AH4" s="5">
        <f t="shared" si="6"/>
        <v>45780</v>
      </c>
      <c r="AI4" s="5">
        <f>W4</f>
        <v>45871</v>
      </c>
      <c r="AJ4" s="5"/>
      <c r="AK4" s="6"/>
    </row>
    <row r="6" spans="1:37" ht="12.75" customHeight="1" x14ac:dyDescent="0.2">
      <c r="A6" s="8" t="s">
        <v>7</v>
      </c>
      <c r="B6" s="9" t="s">
        <v>8</v>
      </c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</row>
    <row r="7" spans="1:37" ht="4.5" customHeight="1" x14ac:dyDescent="0.2">
      <c r="AK7" s="73"/>
    </row>
    <row r="8" spans="1:37" x14ac:dyDescent="0.2">
      <c r="B8" s="13" t="str">
        <f>' Segment Data'!B8</f>
        <v>Cosmetics</v>
      </c>
      <c r="C8" s="69">
        <f>' Segment Data'!C8</f>
        <v>3773014.68</v>
      </c>
      <c r="D8" s="69">
        <f>' Segment Data'!D8</f>
        <v>3075976.5</v>
      </c>
      <c r="E8" s="69">
        <f>' Segment Data'!E8</f>
        <v>3711282.27</v>
      </c>
      <c r="F8" s="69">
        <f>' Segment Data'!F8</f>
        <v>4287603.5999999996</v>
      </c>
      <c r="G8" s="69">
        <f>' Segment Data'!G8</f>
        <v>4594994.2299999995</v>
      </c>
      <c r="H8" s="69">
        <f>' Segment Data'!H8</f>
        <v>4405305.0600000005</v>
      </c>
      <c r="I8" s="69"/>
      <c r="J8" s="69">
        <f>' Segment Data'!J8</f>
        <v>1032196.4400000001</v>
      </c>
      <c r="K8" s="69">
        <f>' Segment Data'!K8</f>
        <v>964787.46</v>
      </c>
      <c r="L8" s="69">
        <f>' Segment Data'!L8</f>
        <v>1029068.92</v>
      </c>
      <c r="M8" s="69">
        <f>' Segment Data'!M8</f>
        <v>1355244.66</v>
      </c>
      <c r="N8" s="69">
        <f>' Segment Data'!N8</f>
        <v>1159075.72</v>
      </c>
      <c r="O8" s="69">
        <f>' Segment Data'!O8</f>
        <v>1011923.6000000001</v>
      </c>
      <c r="P8" s="69">
        <f>' Segment Data'!P8</f>
        <v>1045351.86</v>
      </c>
      <c r="Q8" s="69">
        <f>' Segment Data'!Q8</f>
        <v>1457262.18</v>
      </c>
      <c r="R8" s="69">
        <f>' Segment Data'!R8</f>
        <v>1144856.1599999999</v>
      </c>
      <c r="S8" s="69">
        <f>' Segment Data'!S8</f>
        <v>995313.93</v>
      </c>
      <c r="T8" s="69">
        <f>' Segment Data'!T8</f>
        <v>1037340.9999999999</v>
      </c>
      <c r="U8" s="69">
        <f>' Segment Data'!U8</f>
        <v>1360171.4100000001</v>
      </c>
      <c r="V8" s="69">
        <f>' Segment Data'!V8</f>
        <v>1139346.8</v>
      </c>
      <c r="W8" s="69">
        <f>' Segment Data'!W8</f>
        <v>1059618.22</v>
      </c>
      <c r="X8" s="69"/>
      <c r="Y8" s="72">
        <f>SUM(J8:M8)</f>
        <v>4381297.4799999995</v>
      </c>
      <c r="Z8" s="72">
        <f>SUM(K8:N8)</f>
        <v>4508176.76</v>
      </c>
      <c r="AA8" s="72">
        <f>SUM(L8:O8)</f>
        <v>4555312.9000000004</v>
      </c>
      <c r="AB8" s="72">
        <f>SUM(M8:P8)</f>
        <v>4571595.84</v>
      </c>
      <c r="AC8" s="72">
        <f>SUM(N8:Q8)</f>
        <v>4673613.3600000003</v>
      </c>
      <c r="AD8" s="72">
        <f>SUM(O8:R8)</f>
        <v>4659393.8</v>
      </c>
      <c r="AE8" s="72">
        <f>SUM(P8:S8)</f>
        <v>4642784.13</v>
      </c>
      <c r="AF8" s="72">
        <f>SUM(Q8:T8)</f>
        <v>4634773.2699999996</v>
      </c>
      <c r="AG8" s="72">
        <f>SUM(R8:U8)</f>
        <v>4537682.5</v>
      </c>
      <c r="AH8" s="72">
        <f>SUM(S8:V8)</f>
        <v>4532173.1399999997</v>
      </c>
      <c r="AI8" s="72">
        <f>SUM(T8:W8)</f>
        <v>4596477.43</v>
      </c>
      <c r="AJ8" s="17"/>
      <c r="AK8" s="73">
        <f>SUM(AI8/AE8)-1</f>
        <v>-9.9739076173676056E-3</v>
      </c>
    </row>
    <row r="9" spans="1:37" x14ac:dyDescent="0.2">
      <c r="B9" s="13" t="str">
        <f>' Segment Data'!B9</f>
        <v>Haircare products and styling tools</v>
      </c>
      <c r="C9" s="69">
        <f>' Segment Data'!C9</f>
        <v>1405632.92</v>
      </c>
      <c r="D9" s="69">
        <f>' Segment Data'!D9</f>
        <v>1168871.07</v>
      </c>
      <c r="E9" s="69">
        <f>' Segment Data'!E9</f>
        <v>1726177.8</v>
      </c>
      <c r="F9" s="69">
        <f>' Segment Data'!F9</f>
        <v>2143801.7999999998</v>
      </c>
      <c r="G9" s="69">
        <f>' Segment Data'!G9</f>
        <v>2129387.5699999998</v>
      </c>
      <c r="H9" s="69">
        <f>' Segment Data'!H9</f>
        <v>2598000.42</v>
      </c>
      <c r="I9" s="69"/>
      <c r="J9" s="69">
        <f>' Segment Data'!J9</f>
        <v>469180.2</v>
      </c>
      <c r="K9" s="69">
        <f>' Segment Data'!K9</f>
        <v>505364.86</v>
      </c>
      <c r="L9" s="69">
        <f>' Segment Data'!L9</f>
        <v>491146.52999999997</v>
      </c>
      <c r="M9" s="69">
        <f>' Segment Data'!M9</f>
        <v>677622.33</v>
      </c>
      <c r="N9" s="69">
        <f>' Segment Data'!N9</f>
        <v>474167.33999999997</v>
      </c>
      <c r="O9" s="69">
        <f>' Segment Data'!O9</f>
        <v>531259.89</v>
      </c>
      <c r="P9" s="69">
        <f>' Segment Data'!P9</f>
        <v>472897.27</v>
      </c>
      <c r="Q9" s="69">
        <f>' Segment Data'!Q9</f>
        <v>675316.62</v>
      </c>
      <c r="R9" s="69">
        <f>' Segment Data'!R9</f>
        <v>517911.12</v>
      </c>
      <c r="S9" s="69">
        <f>' Segment Data'!S9</f>
        <v>510417.4</v>
      </c>
      <c r="T9" s="69">
        <f>' Segment Data'!T9</f>
        <v>506020</v>
      </c>
      <c r="U9" s="69">
        <f>' Segment Data'!U9</f>
        <v>802152.37</v>
      </c>
      <c r="V9" s="69">
        <f>' Segment Data'!V9</f>
        <v>712091.75</v>
      </c>
      <c r="W9" s="69">
        <f>' Segment Data'!W9</f>
        <v>697117.25</v>
      </c>
      <c r="X9" s="69"/>
      <c r="Y9" s="72">
        <f>SUM(J9:M9)</f>
        <v>2143313.9199999999</v>
      </c>
      <c r="Z9" s="72">
        <f>SUM(K9:N9)</f>
        <v>2148301.0599999996</v>
      </c>
      <c r="AA9" s="72">
        <f>SUM(L9:O9)</f>
        <v>2174196.09</v>
      </c>
      <c r="AB9" s="72">
        <f>SUM(M9:P9)</f>
        <v>2155946.83</v>
      </c>
      <c r="AC9" s="72">
        <f>SUM(N9:Q9)</f>
        <v>2153641.12</v>
      </c>
      <c r="AD9" s="72">
        <f>SUM(O9:R9)</f>
        <v>2197384.9</v>
      </c>
      <c r="AE9" s="72">
        <f>SUM(P9:S9)</f>
        <v>2176542.41</v>
      </c>
      <c r="AF9" s="72">
        <f>SUM(Q9:T9)</f>
        <v>2209665.14</v>
      </c>
      <c r="AG9" s="72">
        <f>SUM(R9:U9)</f>
        <v>2336500.89</v>
      </c>
      <c r="AH9" s="72">
        <f>SUM(S9:V9)</f>
        <v>2530681.52</v>
      </c>
      <c r="AI9" s="72">
        <f>SUM(T9:W9)</f>
        <v>2717381.37</v>
      </c>
      <c r="AJ9" s="17"/>
      <c r="AK9" s="73">
        <f t="shared" ref="AK9:AK31" si="7">SUM(AI9/AE9)-1</f>
        <v>0.24848537640026969</v>
      </c>
    </row>
    <row r="10" spans="1:37" x14ac:dyDescent="0.2">
      <c r="B10" s="13" t="str">
        <f>' Segment Data'!B10</f>
        <v>Skincare</v>
      </c>
      <c r="C10" s="69">
        <f>' Segment Data'!C10</f>
        <v>854476.85400000005</v>
      </c>
      <c r="D10" s="69">
        <f>' Segment Data'!D10</f>
        <v>710550.57150000008</v>
      </c>
      <c r="E10" s="69">
        <f>' Segment Data'!E10</f>
        <v>1467251.1300000001</v>
      </c>
      <c r="F10" s="69">
        <f>' Segment Data'!F10</f>
        <v>1735458.6</v>
      </c>
      <c r="G10" s="69">
        <f>' Segment Data'!G10</f>
        <v>2129387.5699999998</v>
      </c>
      <c r="H10" s="69">
        <f>' Segment Data'!H10</f>
        <v>2146174.2600000002</v>
      </c>
      <c r="I10" s="69"/>
      <c r="J10" s="69">
        <f>' Segment Data'!J10</f>
        <v>422262.18</v>
      </c>
      <c r="K10" s="69">
        <f>' Segment Data'!K10</f>
        <v>390509.21</v>
      </c>
      <c r="L10" s="69">
        <f>' Segment Data'!L10</f>
        <v>374206.88</v>
      </c>
      <c r="M10" s="69">
        <f>' Segment Data'!M10</f>
        <v>548551.41</v>
      </c>
      <c r="N10" s="69">
        <f>' Segment Data'!N10</f>
        <v>500509.97000000003</v>
      </c>
      <c r="O10" s="69">
        <f>' Segment Data'!O10</f>
        <v>505961.80000000005</v>
      </c>
      <c r="P10" s="69">
        <f>' Segment Data'!P10</f>
        <v>472897.27</v>
      </c>
      <c r="Q10" s="69">
        <f>' Segment Data'!Q10</f>
        <v>675316.62</v>
      </c>
      <c r="R10" s="69">
        <f>' Segment Data'!R10</f>
        <v>626945.04</v>
      </c>
      <c r="S10" s="69">
        <f>' Segment Data'!S10</f>
        <v>612500.88</v>
      </c>
      <c r="T10" s="69">
        <f>' Segment Data'!T10</f>
        <v>581923</v>
      </c>
      <c r="U10" s="69">
        <f>' Segment Data'!U10</f>
        <v>662647.61</v>
      </c>
      <c r="V10" s="69">
        <f>' Segment Data'!V10</f>
        <v>512706.06</v>
      </c>
      <c r="W10" s="69">
        <f>' Segment Data'!W10</f>
        <v>529809.11</v>
      </c>
      <c r="X10" s="69"/>
      <c r="Y10" s="72">
        <f>SUM(J10:M10)</f>
        <v>1735529.6800000002</v>
      </c>
      <c r="Z10" s="72">
        <f>SUM(K10:N10)</f>
        <v>1813777.47</v>
      </c>
      <c r="AA10" s="72">
        <f>SUM(L10:O10)</f>
        <v>1929230.06</v>
      </c>
      <c r="AB10" s="72">
        <f>SUM(M10:P10)</f>
        <v>2027920.4500000002</v>
      </c>
      <c r="AC10" s="72">
        <f>SUM(N10:Q10)</f>
        <v>2154685.66</v>
      </c>
      <c r="AD10" s="72">
        <f>SUM(O10:R10)</f>
        <v>2281120.73</v>
      </c>
      <c r="AE10" s="72">
        <f>SUM(P10:S10)</f>
        <v>2387659.81</v>
      </c>
      <c r="AF10" s="72">
        <f>SUM(Q10:T10)</f>
        <v>2496685.54</v>
      </c>
      <c r="AG10" s="72">
        <f>SUM(R10:U10)</f>
        <v>2484016.5299999998</v>
      </c>
      <c r="AH10" s="72">
        <f>SUM(S10:V10)</f>
        <v>2369777.5499999998</v>
      </c>
      <c r="AI10" s="72">
        <f>SUM(T10:W10)</f>
        <v>2287085.7799999998</v>
      </c>
      <c r="AJ10" s="17"/>
      <c r="AK10" s="73">
        <f t="shared" si="7"/>
        <v>-4.2122428655361976E-2</v>
      </c>
    </row>
    <row r="11" spans="1:37" x14ac:dyDescent="0.2">
      <c r="B11" s="13" t="str">
        <f>' Segment Data'!B11</f>
        <v>Fragrance and bath</v>
      </c>
      <c r="C11" s="69">
        <f>' Segment Data'!C11</f>
        <v>699117.42599999998</v>
      </c>
      <c r="D11" s="69">
        <f>' Segment Data'!D11</f>
        <v>581359.55850000004</v>
      </c>
      <c r="E11" s="69">
        <f>' Segment Data'!E11</f>
        <v>1208324.4600000002</v>
      </c>
      <c r="F11" s="69">
        <f>' Segment Data'!F11</f>
        <v>1429201.2000000002</v>
      </c>
      <c r="G11" s="69">
        <f>' Segment Data'!G11</f>
        <v>1681095.45</v>
      </c>
      <c r="H11" s="69">
        <f>' Segment Data'!H11</f>
        <v>1468435.02</v>
      </c>
      <c r="I11" s="69"/>
      <c r="J11" s="69">
        <f>' Segment Data'!J11</f>
        <v>281508.12</v>
      </c>
      <c r="K11" s="69">
        <f>' Segment Data'!K11</f>
        <v>275653.56</v>
      </c>
      <c r="L11" s="69">
        <f>' Segment Data'!L11</f>
        <v>280655.15999999997</v>
      </c>
      <c r="M11" s="69">
        <f>' Segment Data'!M11</f>
        <v>451748.22000000003</v>
      </c>
      <c r="N11" s="69">
        <f>' Segment Data'!N11</f>
        <v>316111.56</v>
      </c>
      <c r="O11" s="69">
        <f>' Segment Data'!O11</f>
        <v>303577.08</v>
      </c>
      <c r="P11" s="69">
        <f>' Segment Data'!P11</f>
        <v>323561.29000000004</v>
      </c>
      <c r="Q11" s="69">
        <f>' Segment Data'!Q11</f>
        <v>533144.69999999995</v>
      </c>
      <c r="R11" s="69">
        <f>' Segment Data'!R11</f>
        <v>272584.8</v>
      </c>
      <c r="S11" s="69">
        <f>' Segment Data'!S11</f>
        <v>280729.57</v>
      </c>
      <c r="T11" s="69">
        <f>' Segment Data'!T11</f>
        <v>253010</v>
      </c>
      <c r="U11" s="69">
        <f>' Segment Data'!U11</f>
        <v>453390.47000000003</v>
      </c>
      <c r="V11" s="69">
        <f>' Segment Data'!V11</f>
        <v>313320.37</v>
      </c>
      <c r="W11" s="69">
        <f>' Segment Data'!W11</f>
        <v>334616.27999999997</v>
      </c>
      <c r="X11" s="69"/>
      <c r="Y11" s="72">
        <f>SUM(J11:M11)</f>
        <v>1289565.0599999998</v>
      </c>
      <c r="Z11" s="72">
        <f>SUM(K11:N11)</f>
        <v>1324168.5</v>
      </c>
      <c r="AA11" s="72">
        <f>SUM(L11:O11)</f>
        <v>1352092.02</v>
      </c>
      <c r="AB11" s="72">
        <f>SUM(M11:P11)</f>
        <v>1394998.1500000001</v>
      </c>
      <c r="AC11" s="72">
        <f>SUM(N11:Q11)</f>
        <v>1476394.63</v>
      </c>
      <c r="AD11" s="72">
        <f>SUM(O11:R11)</f>
        <v>1432867.87</v>
      </c>
      <c r="AE11" s="72">
        <f>SUM(P11:S11)</f>
        <v>1410020.36</v>
      </c>
      <c r="AF11" s="72">
        <f>SUM(Q11:T11)</f>
        <v>1339469.07</v>
      </c>
      <c r="AG11" s="72">
        <f>SUM(R11:U11)</f>
        <v>1259714.8400000001</v>
      </c>
      <c r="AH11" s="72">
        <f>SUM(S11:V11)</f>
        <v>1300450.4100000001</v>
      </c>
      <c r="AI11" s="72">
        <f>SUM(T11:W11)</f>
        <v>1354337.1199999999</v>
      </c>
      <c r="AJ11" s="17"/>
      <c r="AK11" s="73">
        <f t="shared" si="7"/>
        <v>-3.9491089334341423E-2</v>
      </c>
    </row>
    <row r="12" spans="1:37" x14ac:dyDescent="0.2">
      <c r="B12" s="13" t="str">
        <f>' Segment Data'!B12</f>
        <v>Services</v>
      </c>
      <c r="C12" s="69">
        <f>' Segment Data'!C12</f>
        <v>369903.4</v>
      </c>
      <c r="D12" s="69">
        <f>' Segment Data'!D12</f>
        <v>307597.65000000002</v>
      </c>
      <c r="E12" s="69">
        <f>' Segment Data'!E12</f>
        <v>258926.66999999998</v>
      </c>
      <c r="F12" s="69">
        <f>' Segment Data'!F12</f>
        <v>306257.39999999997</v>
      </c>
      <c r="G12" s="69">
        <f>' Segment Data'!G12</f>
        <v>336219.08999999997</v>
      </c>
      <c r="H12" s="69">
        <f>' Segment Data'!H12</f>
        <v>451826.16000000003</v>
      </c>
      <c r="I12" s="69"/>
      <c r="J12" s="69">
        <f>' Segment Data'!J12</f>
        <v>70377.03</v>
      </c>
      <c r="K12" s="69">
        <f>' Segment Data'!K12</f>
        <v>91884.52</v>
      </c>
      <c r="L12" s="69">
        <f>' Segment Data'!L12</f>
        <v>93551.72</v>
      </c>
      <c r="M12" s="69">
        <f>' Segment Data'!M12</f>
        <v>96803.19</v>
      </c>
      <c r="N12" s="69">
        <f>' Segment Data'!N12</f>
        <v>105370.52</v>
      </c>
      <c r="O12" s="69">
        <f>' Segment Data'!O12</f>
        <v>101192.36</v>
      </c>
      <c r="P12" s="69">
        <f>' Segment Data'!P12</f>
        <v>99557.32</v>
      </c>
      <c r="Q12" s="69">
        <f>' Segment Data'!Q12</f>
        <v>106628.94</v>
      </c>
      <c r="R12" s="69">
        <f>' Segment Data'!R12</f>
        <v>109033.92</v>
      </c>
      <c r="S12" s="69">
        <f>' Segment Data'!S12</f>
        <v>102083.48</v>
      </c>
      <c r="T12" s="69">
        <f>' Segment Data'!T12</f>
        <v>101204</v>
      </c>
      <c r="U12" s="69">
        <f>' Segment Data'!U12</f>
        <v>139504.76</v>
      </c>
      <c r="V12" s="69">
        <f>' Segment Data'!V12</f>
        <v>113934.68000000001</v>
      </c>
      <c r="W12" s="69">
        <f>' Segment Data'!W12</f>
        <v>111538.76000000001</v>
      </c>
      <c r="X12" s="69"/>
      <c r="Y12" s="72">
        <f>SUM(J12:M12)</f>
        <v>352616.45999999996</v>
      </c>
      <c r="Z12" s="72">
        <f>SUM(K12:N12)</f>
        <v>387609.95</v>
      </c>
      <c r="AA12" s="72">
        <f>SUM(L12:O12)</f>
        <v>396917.79</v>
      </c>
      <c r="AB12" s="72">
        <f>SUM(M12:P12)</f>
        <v>402923.39</v>
      </c>
      <c r="AC12" s="72">
        <f>SUM(N12:Q12)</f>
        <v>412749.14</v>
      </c>
      <c r="AD12" s="72">
        <f>SUM(O12:R12)</f>
        <v>416412.54</v>
      </c>
      <c r="AE12" s="72">
        <f>SUM(P12:S12)</f>
        <v>417303.66</v>
      </c>
      <c r="AF12" s="72">
        <f>SUM(Q12:T12)</f>
        <v>418950.33999999997</v>
      </c>
      <c r="AG12" s="72">
        <f>SUM(R12:U12)</f>
        <v>451826.16000000003</v>
      </c>
      <c r="AH12" s="72">
        <f>SUM(S12:V12)</f>
        <v>456726.92</v>
      </c>
      <c r="AI12" s="72">
        <f>SUM(T12:W12)</f>
        <v>466182.2</v>
      </c>
      <c r="AJ12" s="17"/>
      <c r="AK12" s="73">
        <f t="shared" si="7"/>
        <v>0.11712943040087409</v>
      </c>
    </row>
    <row r="13" spans="1:37" x14ac:dyDescent="0.2">
      <c r="B13" s="13" t="str">
        <f>' Segment Data'!B13</f>
        <v>Accessories and other</v>
      </c>
      <c r="C13" s="69">
        <f>' Segment Data'!C13</f>
        <v>295922.72000000003</v>
      </c>
      <c r="D13" s="69">
        <f>' Segment Data'!D13</f>
        <v>246078.12</v>
      </c>
      <c r="E13" s="69">
        <f>' Segment Data'!E13</f>
        <v>258926.66999999998</v>
      </c>
      <c r="F13" s="69">
        <f>' Segment Data'!F13</f>
        <v>306257.39999999997</v>
      </c>
      <c r="G13" s="69">
        <f>' Segment Data'!G13</f>
        <v>336219.08999999997</v>
      </c>
      <c r="H13" s="69">
        <f>' Segment Data'!H13</f>
        <v>225913.08000000002</v>
      </c>
      <c r="I13" s="69"/>
      <c r="J13" s="69">
        <f>' Segment Data'!J13</f>
        <v>70377.03</v>
      </c>
      <c r="K13" s="69">
        <f>' Segment Data'!K13</f>
        <v>68913.39</v>
      </c>
      <c r="L13" s="69">
        <f>' Segment Data'!L13</f>
        <v>70163.789999999994</v>
      </c>
      <c r="M13" s="69">
        <f>' Segment Data'!M13</f>
        <v>96803.19</v>
      </c>
      <c r="N13" s="69">
        <f>' Segment Data'!N13</f>
        <v>79027.89</v>
      </c>
      <c r="O13" s="69">
        <f>' Segment Data'!O13</f>
        <v>75894.27</v>
      </c>
      <c r="P13" s="69">
        <f>' Segment Data'!P13</f>
        <v>74667.989999999991</v>
      </c>
      <c r="Q13" s="69">
        <f>' Segment Data'!Q13</f>
        <v>106628.94</v>
      </c>
      <c r="R13" s="69">
        <f>' Segment Data'!R13</f>
        <v>54516.959999999999</v>
      </c>
      <c r="S13" s="69">
        <f>' Segment Data'!S13</f>
        <v>51041.74</v>
      </c>
      <c r="T13" s="69">
        <f>' Segment Data'!T13</f>
        <v>50602</v>
      </c>
      <c r="U13" s="69">
        <f>' Segment Data'!U13</f>
        <v>69752.38</v>
      </c>
      <c r="V13" s="69">
        <f>' Segment Data'!V13</f>
        <v>56967.340000000004</v>
      </c>
      <c r="W13" s="69">
        <f>' Segment Data'!W13</f>
        <v>55769.380000000005</v>
      </c>
      <c r="X13" s="69"/>
      <c r="Y13" s="72">
        <f>SUM(J13:M13)</f>
        <v>306257.39999999997</v>
      </c>
      <c r="Z13" s="72">
        <f>SUM(K13:N13)</f>
        <v>314908.26</v>
      </c>
      <c r="AA13" s="72">
        <f>SUM(L13:O13)</f>
        <v>321889.14</v>
      </c>
      <c r="AB13" s="72">
        <f>SUM(M13:P13)</f>
        <v>326393.34000000003</v>
      </c>
      <c r="AC13" s="72">
        <f>SUM(N13:Q13)</f>
        <v>336219.08999999997</v>
      </c>
      <c r="AD13" s="72">
        <f>SUM(O13:R13)</f>
        <v>311708.16000000003</v>
      </c>
      <c r="AE13" s="72">
        <f>SUM(P13:S13)</f>
        <v>286855.63</v>
      </c>
      <c r="AF13" s="72">
        <f>SUM(Q13:T13)</f>
        <v>262789.64</v>
      </c>
      <c r="AG13" s="72">
        <f>SUM(R13:U13)</f>
        <v>225913.08000000002</v>
      </c>
      <c r="AH13" s="72">
        <f>SUM(S13:V13)</f>
        <v>228363.46</v>
      </c>
      <c r="AI13" s="72">
        <f>SUM(T13:W13)</f>
        <v>233091.1</v>
      </c>
      <c r="AJ13" s="17"/>
      <c r="AK13" s="73">
        <f t="shared" si="7"/>
        <v>-0.18742713887121543</v>
      </c>
    </row>
    <row r="14" spans="1:37" x14ac:dyDescent="0.2">
      <c r="B14" s="64" t="s">
        <v>106</v>
      </c>
      <c r="C14" s="65">
        <f>SUM(C8:C13)</f>
        <v>7398068</v>
      </c>
      <c r="D14" s="65">
        <f>SUM(D8:D13)</f>
        <v>6090433.4700000007</v>
      </c>
      <c r="E14" s="65">
        <f>SUM(E8:E13)</f>
        <v>8630889</v>
      </c>
      <c r="F14" s="65">
        <f>SUM(F8:F13)</f>
        <v>10208580</v>
      </c>
      <c r="G14" s="65">
        <f>SUM(G8:G13)</f>
        <v>11207302.999999998</v>
      </c>
      <c r="H14" s="65">
        <f>SUM(H8:H13)</f>
        <v>11295654</v>
      </c>
      <c r="I14" s="15"/>
      <c r="J14" s="65">
        <f>SUM(J8:J13)</f>
        <v>2345900.9999999995</v>
      </c>
      <c r="K14" s="65">
        <f>SUM(K8:K13)</f>
        <v>2297113</v>
      </c>
      <c r="L14" s="65">
        <f>SUM(L8:L13)</f>
        <v>2338793.0000000005</v>
      </c>
      <c r="M14" s="65">
        <f>SUM(M8:M13)</f>
        <v>3226773</v>
      </c>
      <c r="N14" s="65">
        <f>SUM(N8:N13)</f>
        <v>2634263.0000000005</v>
      </c>
      <c r="O14" s="65">
        <f>SUM(O8:O13)</f>
        <v>2529809</v>
      </c>
      <c r="P14" s="65">
        <f>SUM(P8:P13)</f>
        <v>2488933</v>
      </c>
      <c r="Q14" s="65">
        <f>SUM(Q8:Q13)</f>
        <v>3554298</v>
      </c>
      <c r="R14" s="65">
        <f>SUM(R8:R13)</f>
        <v>2725847.9999999995</v>
      </c>
      <c r="S14" s="65">
        <f>SUM(S8:S13)</f>
        <v>2552087</v>
      </c>
      <c r="T14" s="65">
        <f>SUM(T8:T13)</f>
        <v>2530100</v>
      </c>
      <c r="U14" s="65">
        <f>SUM(U8:U13)</f>
        <v>3487619</v>
      </c>
      <c r="V14" s="65">
        <f>SUM(V8:V13)</f>
        <v>2848367</v>
      </c>
      <c r="W14" s="65">
        <f>SUM(W8:W13)</f>
        <v>2788469</v>
      </c>
      <c r="X14" s="15"/>
      <c r="Y14" s="65">
        <f t="shared" ref="Y14:Z14" si="8">SUM(Y8:Y13)</f>
        <v>10208580.000000002</v>
      </c>
      <c r="Z14" s="65">
        <f t="shared" si="8"/>
        <v>10496941.999999998</v>
      </c>
      <c r="AA14" s="65">
        <f t="shared" ref="AA14" si="9">SUM(AA8:AA13)</f>
        <v>10729638</v>
      </c>
      <c r="AB14" s="65">
        <f t="shared" ref="AB14" si="10">SUM(AB8:AB13)</f>
        <v>10879778.000000002</v>
      </c>
      <c r="AC14" s="65">
        <f t="shared" ref="AC14" si="11">SUM(AC8:AC13)</f>
        <v>11207303</v>
      </c>
      <c r="AD14" s="65">
        <f t="shared" ref="AD14" si="12">SUM(AD8:AD13)</f>
        <v>11298888</v>
      </c>
      <c r="AE14" s="65">
        <f t="shared" ref="AE14" si="13">SUM(AE8:AE13)</f>
        <v>11321166</v>
      </c>
      <c r="AF14" s="65">
        <f t="shared" ref="AF14:AH14" si="14">SUM(AF8:AF13)</f>
        <v>11362333</v>
      </c>
      <c r="AG14" s="65">
        <f t="shared" si="14"/>
        <v>11295654</v>
      </c>
      <c r="AH14" s="65">
        <f t="shared" si="14"/>
        <v>11418173.000000002</v>
      </c>
      <c r="AI14" s="65">
        <f>SUM(AI8:AI13)</f>
        <v>11654554.999999998</v>
      </c>
      <c r="AJ14" s="17"/>
      <c r="AK14" s="74">
        <f t="shared" si="7"/>
        <v>2.9448291810225014E-2</v>
      </c>
    </row>
    <row r="15" spans="1:37" ht="5.0999999999999996" customHeight="1" x14ac:dyDescent="0.2">
      <c r="B15" s="13"/>
      <c r="C15" s="18"/>
      <c r="D15" s="18"/>
      <c r="E15" s="18"/>
      <c r="F15" s="18"/>
      <c r="G15" s="18"/>
      <c r="H15" s="18"/>
      <c r="I15" s="1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  <c r="AK15" s="73"/>
    </row>
    <row r="16" spans="1:37" x14ac:dyDescent="0.2">
      <c r="B16" s="19" t="s">
        <v>42</v>
      </c>
      <c r="C16" s="69">
        <v>-4717004</v>
      </c>
      <c r="D16" s="69">
        <v>-4202794</v>
      </c>
      <c r="E16" s="69">
        <v>-5262335</v>
      </c>
      <c r="F16" s="69">
        <v>-6164070</v>
      </c>
      <c r="G16" s="69">
        <v>-6826203</v>
      </c>
      <c r="H16" s="69">
        <v>-6908401</v>
      </c>
      <c r="I16" s="69"/>
      <c r="J16" s="69">
        <v>-1404875</v>
      </c>
      <c r="K16" s="69">
        <v>-1368949</v>
      </c>
      <c r="L16" s="69">
        <v>-1375976</v>
      </c>
      <c r="M16" s="69">
        <f>SUM(F16-SUM(J16:L16))</f>
        <v>-2014270</v>
      </c>
      <c r="N16" s="69">
        <v>-1579406</v>
      </c>
      <c r="O16" s="69">
        <v>-1536197</v>
      </c>
      <c r="P16" s="69">
        <v>-1496866</v>
      </c>
      <c r="Q16" s="69">
        <f>SUM(G16-SUM(N16:P16))</f>
        <v>-2213734</v>
      </c>
      <c r="R16" s="69">
        <v>-1656068</v>
      </c>
      <c r="S16" s="69">
        <v>-1573910</v>
      </c>
      <c r="T16" s="69">
        <v>-1524456</v>
      </c>
      <c r="U16" s="69">
        <f>SUM(H16-SUM(R16:T16))</f>
        <v>-2153967</v>
      </c>
      <c r="V16" s="69">
        <v>-1734148</v>
      </c>
      <c r="W16" s="69">
        <v>-1696773</v>
      </c>
      <c r="X16" s="69"/>
      <c r="Y16" s="72">
        <f>SUM(J16:M16)</f>
        <v>-6164070</v>
      </c>
      <c r="Z16" s="72">
        <f>SUM(K16:N16)</f>
        <v>-6338601</v>
      </c>
      <c r="AA16" s="72">
        <f>SUM(L16:O16)</f>
        <v>-6505849</v>
      </c>
      <c r="AB16" s="72">
        <f>SUM(M16:P16)</f>
        <v>-6626739</v>
      </c>
      <c r="AC16" s="72">
        <f>SUM(N16:Q16)</f>
        <v>-6826203</v>
      </c>
      <c r="AD16" s="72">
        <f>SUM(O16:R16)</f>
        <v>-6902865</v>
      </c>
      <c r="AE16" s="72">
        <f>SUM(P16:S16)</f>
        <v>-6940578</v>
      </c>
      <c r="AF16" s="72">
        <f>SUM(Q16:T16)</f>
        <v>-6968168</v>
      </c>
      <c r="AG16" s="72">
        <f>SUM(R16:U16)</f>
        <v>-6908401</v>
      </c>
      <c r="AH16" s="72">
        <f>SUM(S16:V16)</f>
        <v>-6986481</v>
      </c>
      <c r="AI16" s="72">
        <f>SUM(T16:W16)</f>
        <v>-7109344</v>
      </c>
      <c r="AJ16" s="16"/>
      <c r="AK16" s="73">
        <f t="shared" si="7"/>
        <v>2.4315842282876199E-2</v>
      </c>
    </row>
    <row r="17" spans="2:37" x14ac:dyDescent="0.2">
      <c r="B17" s="66" t="s">
        <v>9</v>
      </c>
      <c r="C17" s="23">
        <f>+C14+C16</f>
        <v>2681064</v>
      </c>
      <c r="D17" s="23">
        <f t="shared" ref="D17:H17" si="15">+D14+D16</f>
        <v>1887639.4700000007</v>
      </c>
      <c r="E17" s="23">
        <f t="shared" si="15"/>
        <v>3368554</v>
      </c>
      <c r="F17" s="23">
        <f t="shared" si="15"/>
        <v>4044510</v>
      </c>
      <c r="G17" s="23">
        <f t="shared" si="15"/>
        <v>4381099.9999999981</v>
      </c>
      <c r="H17" s="23">
        <f t="shared" si="15"/>
        <v>4387253</v>
      </c>
      <c r="I17" s="16"/>
      <c r="J17" s="23">
        <f t="shared" ref="J17" si="16">+J14+J16</f>
        <v>941025.99999999953</v>
      </c>
      <c r="K17" s="23">
        <f t="shared" ref="K17" si="17">+K14+K16</f>
        <v>928164</v>
      </c>
      <c r="L17" s="23">
        <f t="shared" ref="L17" si="18">+L14+L16</f>
        <v>962817.00000000047</v>
      </c>
      <c r="M17" s="23">
        <f t="shared" ref="M17" si="19">+M14+M16</f>
        <v>1212503</v>
      </c>
      <c r="N17" s="23">
        <f t="shared" ref="N17" si="20">+N14+N16</f>
        <v>1054857.0000000005</v>
      </c>
      <c r="O17" s="23">
        <f t="shared" ref="O17" si="21">+O14+O16</f>
        <v>993612</v>
      </c>
      <c r="P17" s="23">
        <f t="shared" ref="P17" si="22">+P14+P16</f>
        <v>992067</v>
      </c>
      <c r="Q17" s="23">
        <f t="shared" ref="Q17" si="23">+Q14+Q16</f>
        <v>1340564</v>
      </c>
      <c r="R17" s="23">
        <f t="shared" ref="R17" si="24">+R14+R16</f>
        <v>1069779.9999999995</v>
      </c>
      <c r="S17" s="23">
        <f t="shared" ref="S17" si="25">+S14+S16</f>
        <v>978177</v>
      </c>
      <c r="T17" s="23">
        <f t="shared" ref="T17:W17" si="26">+T14+T16</f>
        <v>1005644</v>
      </c>
      <c r="U17" s="23">
        <f t="shared" si="26"/>
        <v>1333652</v>
      </c>
      <c r="V17" s="23">
        <f t="shared" si="26"/>
        <v>1114219</v>
      </c>
      <c r="W17" s="23">
        <f t="shared" si="26"/>
        <v>1091696</v>
      </c>
      <c r="X17" s="16"/>
      <c r="Y17" s="23">
        <f t="shared" ref="Y17:Z17" si="27">+Y14+Y16</f>
        <v>4044510.0000000019</v>
      </c>
      <c r="Z17" s="23">
        <f t="shared" si="27"/>
        <v>4158340.9999999981</v>
      </c>
      <c r="AA17" s="23">
        <f t="shared" ref="AA17" si="28">+AA14+AA16</f>
        <v>4223789</v>
      </c>
      <c r="AB17" s="23">
        <f t="shared" ref="AB17" si="29">+AB14+AB16</f>
        <v>4253039.0000000019</v>
      </c>
      <c r="AC17" s="23">
        <f t="shared" ref="AC17" si="30">+AC14+AC16</f>
        <v>4381100</v>
      </c>
      <c r="AD17" s="23">
        <f t="shared" ref="AD17" si="31">+AD14+AD16</f>
        <v>4396023</v>
      </c>
      <c r="AE17" s="23">
        <f t="shared" ref="AE17" si="32">+AE14+AE16</f>
        <v>4380588</v>
      </c>
      <c r="AF17" s="23">
        <f t="shared" ref="AF17" si="33">+AF14+AF16</f>
        <v>4394165</v>
      </c>
      <c r="AG17" s="23">
        <f t="shared" ref="AG17" si="34">+AG14+AG16</f>
        <v>4387253</v>
      </c>
      <c r="AH17" s="23">
        <f t="shared" ref="AH17" si="35">+AH14+AH16</f>
        <v>4431692.0000000019</v>
      </c>
      <c r="AI17" s="23">
        <f t="shared" ref="AI17" si="36">+AI14+AI16</f>
        <v>4545210.9999999981</v>
      </c>
      <c r="AJ17" s="24"/>
      <c r="AK17" s="74">
        <f t="shared" si="7"/>
        <v>3.7580114815636279E-2</v>
      </c>
    </row>
    <row r="18" spans="2:37" x14ac:dyDescent="0.2">
      <c r="B18" s="75" t="s">
        <v>119</v>
      </c>
      <c r="C18" s="77">
        <f t="shared" ref="C18:E18" si="37">SUM(C17/C14)</f>
        <v>0.36240056187642505</v>
      </c>
      <c r="D18" s="77">
        <f t="shared" si="37"/>
        <v>0.30993515967263335</v>
      </c>
      <c r="E18" s="77">
        <f t="shared" si="37"/>
        <v>0.3902905019401825</v>
      </c>
      <c r="F18" s="77">
        <f>SUM(F17/F14)</f>
        <v>0.39618732477974411</v>
      </c>
      <c r="G18" s="77">
        <f t="shared" ref="G18:H18" si="38">SUM(G17/G14)</f>
        <v>0.39091474550121458</v>
      </c>
      <c r="H18" s="77">
        <f t="shared" si="38"/>
        <v>0.38840185791809839</v>
      </c>
      <c r="I18" s="77"/>
      <c r="J18" s="77">
        <f t="shared" ref="J18" si="39">SUM(J17/J14)</f>
        <v>0.40113627983448563</v>
      </c>
      <c r="K18" s="77">
        <f t="shared" ref="K18" si="40">SUM(K17/K14)</f>
        <v>0.40405674426987265</v>
      </c>
      <c r="L18" s="77">
        <f t="shared" ref="L18" si="41">SUM(L17/L14)</f>
        <v>0.41167260206439832</v>
      </c>
      <c r="M18" s="77">
        <f t="shared" ref="M18" si="42">SUM(M17/M14)</f>
        <v>0.37576334003042666</v>
      </c>
      <c r="N18" s="77">
        <f t="shared" ref="N18" si="43">SUM(N17/N14)</f>
        <v>0.40043723804343007</v>
      </c>
      <c r="O18" s="77">
        <f t="shared" ref="O18" si="44">SUM(O17/O14)</f>
        <v>0.39276166698750775</v>
      </c>
      <c r="P18" s="77">
        <f t="shared" ref="P18" si="45">SUM(P17/P14)</f>
        <v>0.39859128389554882</v>
      </c>
      <c r="Q18" s="77">
        <f t="shared" ref="Q18" si="46">SUM(Q17/Q14)</f>
        <v>0.37716702426189364</v>
      </c>
      <c r="R18" s="77">
        <f t="shared" ref="R18" si="47">SUM(R17/R14)</f>
        <v>0.3924576865621266</v>
      </c>
      <c r="S18" s="77">
        <f t="shared" ref="S18" si="48">SUM(S17/S14)</f>
        <v>0.38328513095360778</v>
      </c>
      <c r="T18" s="77">
        <f t="shared" ref="T18" si="49">SUM(T17/T14)</f>
        <v>0.39747203667839215</v>
      </c>
      <c r="U18" s="77">
        <f t="shared" ref="U18" si="50">SUM(U17/U14)</f>
        <v>0.38239612755865821</v>
      </c>
      <c r="V18" s="77">
        <f t="shared" ref="V18" si="51">SUM(V17/V14)</f>
        <v>0.39117817331825566</v>
      </c>
      <c r="W18" s="77">
        <f t="shared" ref="W18" si="52">SUM(W17/W14)</f>
        <v>0.39150372480382606</v>
      </c>
      <c r="X18" s="77"/>
      <c r="Y18" s="77">
        <f t="shared" ref="Y18" si="53">SUM(Y17/Y14)</f>
        <v>0.39618732477974422</v>
      </c>
      <c r="Z18" s="77">
        <f t="shared" ref="Z18" si="54">SUM(Z17/Z14)</f>
        <v>0.3961478495356075</v>
      </c>
      <c r="AA18" s="77">
        <f t="shared" ref="AA18" si="55">SUM(AA17/AA14)</f>
        <v>0.3936562445070374</v>
      </c>
      <c r="AB18" s="77">
        <f t="shared" ref="AB18" si="56">SUM(AB17/AB14)</f>
        <v>0.39091229618839657</v>
      </c>
      <c r="AC18" s="77">
        <f t="shared" ref="AC18" si="57">SUM(AC17/AC14)</f>
        <v>0.39091474550121469</v>
      </c>
      <c r="AD18" s="77">
        <f t="shared" ref="AD18" si="58">SUM(AD17/AD14)</f>
        <v>0.38906687100535914</v>
      </c>
      <c r="AE18" s="77">
        <f t="shared" ref="AE18" si="59">SUM(AE17/AE14)</f>
        <v>0.38693788254672706</v>
      </c>
      <c r="AF18" s="77">
        <f t="shared" ref="AF18" si="60">SUM(AF17/AF14)</f>
        <v>0.3867308764846093</v>
      </c>
      <c r="AG18" s="77">
        <f t="shared" ref="AG18" si="61">SUM(AG17/AG14)</f>
        <v>0.38840185791809839</v>
      </c>
      <c r="AH18" s="77">
        <f t="shared" ref="AH18" si="62">SUM(AH17/AH14)</f>
        <v>0.38812619146688365</v>
      </c>
      <c r="AI18" s="77">
        <f t="shared" ref="AI18" si="63">SUM(AI17/AI14)</f>
        <v>0.38999438416996607</v>
      </c>
      <c r="AJ18" s="24"/>
      <c r="AK18" s="78">
        <f>SUM(AI18-AE18)*10000</f>
        <v>30.56501623239005</v>
      </c>
    </row>
    <row r="19" spans="2:37" ht="5.0999999999999996" customHeight="1" x14ac:dyDescent="0.2">
      <c r="B19" s="28"/>
      <c r="C19" s="26"/>
      <c r="D19" s="26"/>
      <c r="E19" s="26"/>
      <c r="F19" s="26"/>
      <c r="G19" s="26"/>
      <c r="H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AK19" s="73"/>
    </row>
    <row r="20" spans="2:37" x14ac:dyDescent="0.2">
      <c r="B20" s="13" t="s">
        <v>43</v>
      </c>
      <c r="C20" s="69">
        <v>-1760716</v>
      </c>
      <c r="D20" s="69">
        <v>-1583017</v>
      </c>
      <c r="E20" s="69">
        <v>-2061545</v>
      </c>
      <c r="F20" s="69">
        <v>-2395299</v>
      </c>
      <c r="G20" s="69">
        <v>-2694561</v>
      </c>
      <c r="H20" s="69">
        <v>-2808592</v>
      </c>
      <c r="I20" s="69"/>
      <c r="J20" s="69">
        <v>-500970</v>
      </c>
      <c r="K20" s="69">
        <v>-534459</v>
      </c>
      <c r="L20" s="69">
        <v>-597164</v>
      </c>
      <c r="M20" s="69">
        <f t="shared" ref="M20:M22" si="64">SUM(E20-SUM(J20:L20))</f>
        <v>-428952</v>
      </c>
      <c r="N20" s="69">
        <v>-612129</v>
      </c>
      <c r="O20" s="69">
        <v>-600692</v>
      </c>
      <c r="P20" s="69">
        <v>-661380</v>
      </c>
      <c r="Q20" s="69">
        <f>SUM(G20-SUM(N20:P20))</f>
        <v>-820360</v>
      </c>
      <c r="R20" s="69">
        <v>-665913</v>
      </c>
      <c r="S20" s="69">
        <v>-644821</v>
      </c>
      <c r="T20" s="69">
        <v>-682259</v>
      </c>
      <c r="U20" s="69">
        <f t="shared" ref="U20:U22" si="65">SUM(H20-SUM(R20:T20))</f>
        <v>-815599</v>
      </c>
      <c r="V20" s="69">
        <v>-710613</v>
      </c>
      <c r="W20" s="69">
        <v>-741737</v>
      </c>
      <c r="X20" s="69"/>
      <c r="Y20" s="72">
        <f>SUM(J20:M20)</f>
        <v>-2061545</v>
      </c>
      <c r="Z20" s="72">
        <f>SUM(K20:N20)</f>
        <v>-2172704</v>
      </c>
      <c r="AA20" s="72">
        <f>SUM(L20:O20)</f>
        <v>-2238937</v>
      </c>
      <c r="AB20" s="72">
        <f>SUM(M20:P20)</f>
        <v>-2303153</v>
      </c>
      <c r="AC20" s="72">
        <f>SUM(N20:Q20)</f>
        <v>-2694561</v>
      </c>
      <c r="AD20" s="72">
        <f>SUM(O20:R20)</f>
        <v>-2748345</v>
      </c>
      <c r="AE20" s="72">
        <f>SUM(P20:S20)</f>
        <v>-2792474</v>
      </c>
      <c r="AF20" s="72">
        <f>SUM(Q20:T20)</f>
        <v>-2813353</v>
      </c>
      <c r="AG20" s="72">
        <f>SUM(R20:U20)</f>
        <v>-2808592</v>
      </c>
      <c r="AH20" s="72">
        <f>SUM(S20:V20)</f>
        <v>-2853292</v>
      </c>
      <c r="AI20" s="72">
        <f>SUM(T20:W20)</f>
        <v>-2950208</v>
      </c>
      <c r="AJ20" s="16"/>
      <c r="AK20" s="73">
        <f t="shared" si="7"/>
        <v>5.6485396103956642E-2</v>
      </c>
    </row>
    <row r="21" spans="2:37" x14ac:dyDescent="0.2">
      <c r="B21" s="13" t="s">
        <v>45</v>
      </c>
      <c r="C21" s="69">
        <v>-19254</v>
      </c>
      <c r="D21" s="69">
        <v>-15000</v>
      </c>
      <c r="E21" s="69">
        <v>-9517</v>
      </c>
      <c r="F21" s="69">
        <v>-10601</v>
      </c>
      <c r="G21" s="69">
        <v>-8510</v>
      </c>
      <c r="H21" s="69">
        <v>-13689</v>
      </c>
      <c r="I21" s="69"/>
      <c r="J21" s="69">
        <v>-2348</v>
      </c>
      <c r="K21" s="69">
        <v>-2277</v>
      </c>
      <c r="L21" s="69">
        <v>-3797</v>
      </c>
      <c r="M21" s="69">
        <f>SUM(E21-SUM(J21:L21))</f>
        <v>-1095</v>
      </c>
      <c r="N21" s="69">
        <v>-658</v>
      </c>
      <c r="O21" s="69">
        <v>-1278</v>
      </c>
      <c r="P21" s="69">
        <v>-3460</v>
      </c>
      <c r="Q21" s="69">
        <f>SUM(G21-SUM(N21:P21))</f>
        <v>-3114</v>
      </c>
      <c r="R21" s="69">
        <v>-2919</v>
      </c>
      <c r="S21" s="69">
        <v>-4155</v>
      </c>
      <c r="T21" s="69">
        <v>-4883</v>
      </c>
      <c r="U21" s="69">
        <f t="shared" si="65"/>
        <v>-1732</v>
      </c>
      <c r="V21" s="69">
        <v>-1829</v>
      </c>
      <c r="W21" s="69">
        <v>-5105</v>
      </c>
      <c r="X21" s="69"/>
      <c r="Y21" s="72">
        <f>SUM(J21:M21)</f>
        <v>-9517</v>
      </c>
      <c r="Z21" s="72">
        <f>SUM(K21:N21)</f>
        <v>-7827</v>
      </c>
      <c r="AA21" s="72">
        <f>SUM(L21:O21)</f>
        <v>-6828</v>
      </c>
      <c r="AB21" s="72">
        <f>SUM(M21:P21)</f>
        <v>-6491</v>
      </c>
      <c r="AC21" s="72">
        <f>SUM(N21:Q21)</f>
        <v>-8510</v>
      </c>
      <c r="AD21" s="72">
        <f>SUM(O21:R21)</f>
        <v>-10771</v>
      </c>
      <c r="AE21" s="72">
        <f>SUM(P21:S21)</f>
        <v>-13648</v>
      </c>
      <c r="AF21" s="72">
        <f>SUM(Q21:T21)</f>
        <v>-15071</v>
      </c>
      <c r="AG21" s="72">
        <f>SUM(R21:U21)</f>
        <v>-13689</v>
      </c>
      <c r="AH21" s="72">
        <f>SUM(S21:V21)</f>
        <v>-12599</v>
      </c>
      <c r="AI21" s="72">
        <f>SUM(T21:W21)</f>
        <v>-13549</v>
      </c>
      <c r="AJ21" s="16"/>
      <c r="AK21" s="73">
        <f t="shared" si="7"/>
        <v>-7.2538100820632723E-3</v>
      </c>
    </row>
    <row r="22" spans="2:37" x14ac:dyDescent="0.2">
      <c r="B22" s="13" t="s">
        <v>44</v>
      </c>
      <c r="C22" s="69">
        <v>0</v>
      </c>
      <c r="D22" s="69">
        <v>-114322</v>
      </c>
      <c r="E22" s="69">
        <v>0</v>
      </c>
      <c r="F22" s="69">
        <v>0</v>
      </c>
      <c r="G22" s="69">
        <v>0</v>
      </c>
      <c r="H22" s="69">
        <v>0</v>
      </c>
      <c r="I22" s="69"/>
      <c r="J22" s="69">
        <v>0</v>
      </c>
      <c r="K22" s="69">
        <v>0</v>
      </c>
      <c r="L22" s="69">
        <v>0</v>
      </c>
      <c r="M22" s="69">
        <f t="shared" si="64"/>
        <v>0</v>
      </c>
      <c r="N22" s="69">
        <v>0</v>
      </c>
      <c r="O22" s="69">
        <v>0</v>
      </c>
      <c r="P22" s="69">
        <v>0</v>
      </c>
      <c r="Q22" s="69">
        <f>SUM(G22-SUM(N22:P22))</f>
        <v>0</v>
      </c>
      <c r="R22" s="69">
        <v>0</v>
      </c>
      <c r="S22" s="69">
        <v>0</v>
      </c>
      <c r="T22" s="69">
        <v>0</v>
      </c>
      <c r="U22" s="69">
        <f t="shared" si="65"/>
        <v>0</v>
      </c>
      <c r="V22" s="69">
        <v>0</v>
      </c>
      <c r="W22" s="69">
        <v>0</v>
      </c>
      <c r="X22" s="69"/>
      <c r="Y22" s="72">
        <f>SUM(J22:M22)</f>
        <v>0</v>
      </c>
      <c r="Z22" s="72">
        <f>SUM(K22:N22)</f>
        <v>0</v>
      </c>
      <c r="AA22" s="72">
        <f>SUM(L22:O22)</f>
        <v>0</v>
      </c>
      <c r="AB22" s="72">
        <f>SUM(M22:P22)</f>
        <v>0</v>
      </c>
      <c r="AC22" s="72">
        <f>SUM(N22:Q22)</f>
        <v>0</v>
      </c>
      <c r="AD22" s="72">
        <f>SUM(O22:R22)</f>
        <v>0</v>
      </c>
      <c r="AE22" s="72">
        <f>SUM(P22:S22)</f>
        <v>0</v>
      </c>
      <c r="AF22" s="72">
        <f>SUM(Q22:T22)</f>
        <v>0</v>
      </c>
      <c r="AG22" s="72">
        <f>SUM(R22:U22)</f>
        <v>0</v>
      </c>
      <c r="AH22" s="72">
        <f>SUM(S22:V22)</f>
        <v>0</v>
      </c>
      <c r="AI22" s="72">
        <f>SUM(T22:W22)</f>
        <v>0</v>
      </c>
      <c r="AJ22" s="16"/>
      <c r="AK22" s="73" t="e">
        <f t="shared" si="7"/>
        <v>#DIV/0!</v>
      </c>
    </row>
    <row r="23" spans="2:37" x14ac:dyDescent="0.2">
      <c r="B23" s="67" t="s">
        <v>10</v>
      </c>
      <c r="C23" s="23">
        <f>SUM(C20:C22)+C17</f>
        <v>901094</v>
      </c>
      <c r="D23" s="23">
        <f>SUM(D20:D22)+D17</f>
        <v>175300.47000000067</v>
      </c>
      <c r="E23" s="23">
        <f>SUM(E20:E22)+E17</f>
        <v>1297492</v>
      </c>
      <c r="F23" s="23">
        <f>SUM(F20:F22)+F17</f>
        <v>1638610</v>
      </c>
      <c r="G23" s="23">
        <f>SUM(G20:G22)+G17</f>
        <v>1678028.9999999981</v>
      </c>
      <c r="H23" s="23">
        <f>SUM(H20:H22)+H17</f>
        <v>1564972</v>
      </c>
      <c r="J23" s="23">
        <f>SUM(J17+SUM(J20:J22))</f>
        <v>437707.99999999953</v>
      </c>
      <c r="K23" s="23">
        <f>SUM(K17+SUM(K20:K22))</f>
        <v>391428</v>
      </c>
      <c r="L23" s="23">
        <f>SUM(L17+SUM(L20:L22))</f>
        <v>361856.00000000047</v>
      </c>
      <c r="M23" s="23">
        <f>SUM(M17+SUM(M20:M22))</f>
        <v>782456</v>
      </c>
      <c r="N23" s="23">
        <f>SUM(N17+SUM(N20:N22))</f>
        <v>442070.00000000047</v>
      </c>
      <c r="O23" s="23">
        <f>SUM(O17+SUM(O20:O22))</f>
        <v>391642</v>
      </c>
      <c r="P23" s="23">
        <f>SUM(P17+SUM(P20:P22))</f>
        <v>327227</v>
      </c>
      <c r="Q23" s="23">
        <f>SUM(Q17+SUM(Q20:Q22))</f>
        <v>517090</v>
      </c>
      <c r="R23" s="23">
        <f>SUM(R17+SUM(R20:R22))</f>
        <v>400947.99999999953</v>
      </c>
      <c r="S23" s="23">
        <f>SUM(S17+SUM(S20:S22))</f>
        <v>329201</v>
      </c>
      <c r="T23" s="23">
        <f>SUM(T17+SUM(T20:T22))</f>
        <v>318502</v>
      </c>
      <c r="U23" s="23">
        <f>SUM(U17+SUM(U20:U22))</f>
        <v>516321</v>
      </c>
      <c r="V23" s="23">
        <f>SUM(V17+SUM(V20:V22))</f>
        <v>401777</v>
      </c>
      <c r="W23" s="23">
        <f>SUM(W17+SUM(W20:W22))</f>
        <v>344854</v>
      </c>
      <c r="Y23" s="23">
        <f t="shared" ref="Y23:Z23" si="66">SUM(Y17+SUM(Y20:Y22))</f>
        <v>1973448.0000000019</v>
      </c>
      <c r="Z23" s="23">
        <f t="shared" si="66"/>
        <v>1977809.9999999981</v>
      </c>
      <c r="AA23" s="23">
        <f t="shared" ref="AA23" si="67">SUM(AA17+SUM(AA20:AA22))</f>
        <v>1978024</v>
      </c>
      <c r="AB23" s="23">
        <f t="shared" ref="AB23" si="68">SUM(AB17+SUM(AB20:AB22))</f>
        <v>1943395.0000000019</v>
      </c>
      <c r="AC23" s="23">
        <f t="shared" ref="AC23" si="69">SUM(AC17+SUM(AC20:AC22))</f>
        <v>1678029</v>
      </c>
      <c r="AD23" s="23">
        <f t="shared" ref="AD23" si="70">SUM(AD17+SUM(AD20:AD22))</f>
        <v>1636907</v>
      </c>
      <c r="AE23" s="23">
        <f t="shared" ref="AE23" si="71">SUM(AE17+SUM(AE20:AE22))</f>
        <v>1574466</v>
      </c>
      <c r="AF23" s="23">
        <f t="shared" ref="AF23:AH23" si="72">SUM(AF17+SUM(AF20:AF22))</f>
        <v>1565741</v>
      </c>
      <c r="AG23" s="23">
        <f t="shared" si="72"/>
        <v>1564972</v>
      </c>
      <c r="AH23" s="23">
        <f t="shared" si="72"/>
        <v>1565801.0000000019</v>
      </c>
      <c r="AI23" s="23">
        <f>SUM(AI17+SUM(AI20:AI22))</f>
        <v>1581453.9999999981</v>
      </c>
      <c r="AJ23" s="24"/>
      <c r="AK23" s="74">
        <f t="shared" si="7"/>
        <v>4.4383302021118176E-3</v>
      </c>
    </row>
    <row r="24" spans="2:37" x14ac:dyDescent="0.2">
      <c r="B24" s="75" t="s">
        <v>121</v>
      </c>
      <c r="C24" s="77">
        <f>C23/C14</f>
        <v>0.12180125946395734</v>
      </c>
      <c r="D24" s="77">
        <f>D23/D14</f>
        <v>2.8782921751544992E-2</v>
      </c>
      <c r="E24" s="77">
        <f>E23/E14</f>
        <v>0.15033121153568305</v>
      </c>
      <c r="F24" s="77">
        <f>F23/F14</f>
        <v>0.16051301944050986</v>
      </c>
      <c r="G24" s="77">
        <f>G23/G14</f>
        <v>0.14972638823095963</v>
      </c>
      <c r="H24" s="77">
        <f>H23/H14</f>
        <v>0.13854638252906826</v>
      </c>
      <c r="I24" s="77"/>
      <c r="J24" s="77">
        <f>J23/J14</f>
        <v>0.18658417384194798</v>
      </c>
      <c r="K24" s="77">
        <f>K23/K14</f>
        <v>0.17039997596983691</v>
      </c>
      <c r="L24" s="77">
        <f>L23/L14</f>
        <v>0.15471912221389425</v>
      </c>
      <c r="M24" s="77">
        <f>M23/M14</f>
        <v>0.24248870310988718</v>
      </c>
      <c r="N24" s="77">
        <f>N23/N14</f>
        <v>0.16781543832183818</v>
      </c>
      <c r="O24" s="77">
        <f>O23/O14</f>
        <v>0.15481089679102256</v>
      </c>
      <c r="P24" s="77">
        <f>P23/P14</f>
        <v>0.1314728038078968</v>
      </c>
      <c r="Q24" s="77">
        <f>Q23/Q14</f>
        <v>0.14548301802493768</v>
      </c>
      <c r="R24" s="77">
        <f>R23/R14</f>
        <v>0.14709110706099518</v>
      </c>
      <c r="S24" s="77">
        <f>S23/S14</f>
        <v>0.12899285956944256</v>
      </c>
      <c r="T24" s="77">
        <f>T23/T14</f>
        <v>0.12588514287972807</v>
      </c>
      <c r="U24" s="77">
        <f>U23/U14</f>
        <v>0.14804398072151803</v>
      </c>
      <c r="V24" s="77">
        <f>V23/V14</f>
        <v>0.14105520812451486</v>
      </c>
      <c r="W24" s="77">
        <f>W23/W14</f>
        <v>0.12367144838260709</v>
      </c>
      <c r="X24" s="77"/>
      <c r="Y24" s="77">
        <f t="shared" ref="Y24:Z24" si="73">Y23/Y14</f>
        <v>0.19331268403636956</v>
      </c>
      <c r="Z24" s="77">
        <f t="shared" si="73"/>
        <v>0.18841773156410682</v>
      </c>
      <c r="AA24" s="77">
        <f t="shared" ref="AA24" si="74">AA23/AA14</f>
        <v>0.18435141987082881</v>
      </c>
      <c r="AB24" s="77">
        <f t="shared" ref="AB24" si="75">AB23/AB14</f>
        <v>0.17862450869861513</v>
      </c>
      <c r="AC24" s="77">
        <f t="shared" ref="AC24" si="76">AC23/AC14</f>
        <v>0.14972638823095977</v>
      </c>
      <c r="AD24" s="77">
        <f t="shared" ref="AD24" si="77">AD23/AD14</f>
        <v>0.14487328310538169</v>
      </c>
      <c r="AE24" s="77">
        <f t="shared" ref="AE24" si="78">AE23/AE14</f>
        <v>0.13907277748599392</v>
      </c>
      <c r="AF24" s="77">
        <f t="shared" ref="AF24:AH24" si="79">AF23/AF14</f>
        <v>0.13780101322501287</v>
      </c>
      <c r="AG24" s="77">
        <f t="shared" si="79"/>
        <v>0.13854638252906826</v>
      </c>
      <c r="AH24" s="77">
        <f t="shared" si="79"/>
        <v>0.13713235909107363</v>
      </c>
      <c r="AI24" s="77">
        <f>AI23/AI14</f>
        <v>0.13569406982934984</v>
      </c>
      <c r="AJ24" s="24"/>
      <c r="AK24" s="78">
        <f>SUM(AI24-AE24)*10000</f>
        <v>-33.78707656644081</v>
      </c>
    </row>
    <row r="25" spans="2:37" ht="5.0999999999999996" customHeight="1" x14ac:dyDescent="0.2">
      <c r="B25" s="28"/>
      <c r="C25" s="26"/>
      <c r="D25" s="26"/>
      <c r="E25" s="26"/>
      <c r="F25" s="26"/>
      <c r="G25" s="26"/>
      <c r="H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K25" s="73"/>
    </row>
    <row r="26" spans="2:37" x14ac:dyDescent="0.2">
      <c r="B26" s="13" t="s">
        <v>102</v>
      </c>
      <c r="C26" s="69">
        <v>5056</v>
      </c>
      <c r="D26" s="69">
        <v>-5735</v>
      </c>
      <c r="E26" s="69">
        <v>1663</v>
      </c>
      <c r="F26" s="69">
        <v>-4934</v>
      </c>
      <c r="G26" s="69">
        <v>-17622</v>
      </c>
      <c r="H26" s="69">
        <v>15094</v>
      </c>
      <c r="I26" s="69"/>
      <c r="J26" s="69">
        <v>-401</v>
      </c>
      <c r="K26" s="69">
        <v>108</v>
      </c>
      <c r="L26" s="69">
        <v>849</v>
      </c>
      <c r="M26" s="69">
        <f t="shared" ref="M26" si="80">SUM(E26-SUM(J26:L26))</f>
        <v>1107</v>
      </c>
      <c r="N26" s="69">
        <v>7348</v>
      </c>
      <c r="O26" s="69">
        <v>4449</v>
      </c>
      <c r="P26" s="69">
        <v>2497</v>
      </c>
      <c r="Q26" s="69">
        <f>SUM(G26-SUM(N26:P26))</f>
        <v>-31916</v>
      </c>
      <c r="R26" s="69">
        <v>6900</v>
      </c>
      <c r="S26" s="69">
        <v>4526</v>
      </c>
      <c r="T26" s="69">
        <v>-1674</v>
      </c>
      <c r="U26" s="69">
        <f>SUM(H26-SUM(R26:T26))</f>
        <v>5342</v>
      </c>
      <c r="V26" s="69">
        <v>3547</v>
      </c>
      <c r="W26" s="69">
        <v>1413</v>
      </c>
      <c r="X26" s="69"/>
      <c r="Y26" s="72">
        <f>SUM(J26:M26)</f>
        <v>1663</v>
      </c>
      <c r="Z26" s="72">
        <f>SUM(K26:N26)</f>
        <v>9412</v>
      </c>
      <c r="AA26" s="72">
        <f>SUM(L26:O26)</f>
        <v>13753</v>
      </c>
      <c r="AB26" s="72">
        <f>SUM(M26:P26)</f>
        <v>15401</v>
      </c>
      <c r="AC26" s="72">
        <f>SUM(N26:Q26)</f>
        <v>-17622</v>
      </c>
      <c r="AD26" s="72">
        <f>SUM(O26:R26)</f>
        <v>-18070</v>
      </c>
      <c r="AE26" s="72">
        <f>SUM(P26:S26)</f>
        <v>-17993</v>
      </c>
      <c r="AF26" s="72">
        <f>SUM(Q26:T26)</f>
        <v>-22164</v>
      </c>
      <c r="AG26" s="72">
        <f>SUM(R26:U26)</f>
        <v>15094</v>
      </c>
      <c r="AH26" s="72">
        <f>SUM(S26:V26)</f>
        <v>11741</v>
      </c>
      <c r="AI26" s="72">
        <f>SUM(T26:W26)</f>
        <v>8628</v>
      </c>
      <c r="AJ26" s="32"/>
      <c r="AK26" s="73">
        <f t="shared" si="7"/>
        <v>-1.4795198132607126</v>
      </c>
    </row>
    <row r="27" spans="2:37" x14ac:dyDescent="0.2">
      <c r="B27" s="67" t="s">
        <v>46</v>
      </c>
      <c r="C27" s="34">
        <f>SUM(C23-C26)</f>
        <v>896038</v>
      </c>
      <c r="D27" s="34">
        <f>SUM(D23-D26)</f>
        <v>181035.47000000067</v>
      </c>
      <c r="E27" s="34">
        <f>SUM(E23-E26)</f>
        <v>1295829</v>
      </c>
      <c r="F27" s="34">
        <f>SUM(F23-F26)</f>
        <v>1643544</v>
      </c>
      <c r="G27" s="34">
        <f>SUM(G23-G26)</f>
        <v>1695650.9999999981</v>
      </c>
      <c r="H27" s="34">
        <f>SUM(H23+H26)</f>
        <v>1580066</v>
      </c>
      <c r="I27" s="35"/>
      <c r="J27" s="34">
        <f>SUM(J26:J26)+J23</f>
        <v>437306.99999999953</v>
      </c>
      <c r="K27" s="34">
        <f>SUM(K26:K26)+K23</f>
        <v>391536</v>
      </c>
      <c r="L27" s="34">
        <f>SUM(L26:L26)+L23</f>
        <v>362705.00000000047</v>
      </c>
      <c r="M27" s="34">
        <f>SUM(M26:M26)+M23</f>
        <v>783563</v>
      </c>
      <c r="N27" s="34">
        <f>SUM(N26:N26)+N23</f>
        <v>449418.00000000047</v>
      </c>
      <c r="O27" s="34">
        <f>SUM(O26:O26)+O23</f>
        <v>396091</v>
      </c>
      <c r="P27" s="34">
        <f>SUM(P26:P26)+P23</f>
        <v>329724</v>
      </c>
      <c r="Q27" s="34">
        <f>SUM(Q26:Q26)+Q23</f>
        <v>485174</v>
      </c>
      <c r="R27" s="34">
        <f>SUM(R26:R26)+R23</f>
        <v>407847.99999999953</v>
      </c>
      <c r="S27" s="34">
        <f>SUM(S26:S26)+S23</f>
        <v>333727</v>
      </c>
      <c r="T27" s="34">
        <f>SUM(T26:T26)+T23</f>
        <v>316828</v>
      </c>
      <c r="U27" s="34">
        <f>SUM(U26:U26)+U23</f>
        <v>521663</v>
      </c>
      <c r="V27" s="34">
        <f>SUM(V26:V26)+V23</f>
        <v>405324</v>
      </c>
      <c r="W27" s="34">
        <f>SUM(W26:W26)+W23</f>
        <v>346267</v>
      </c>
      <c r="X27" s="35"/>
      <c r="Y27" s="34">
        <f t="shared" ref="Y27:Z27" si="81">SUM(Y26:Y26)+Y23</f>
        <v>1975111.0000000019</v>
      </c>
      <c r="Z27" s="34">
        <f t="shared" si="81"/>
        <v>1987221.9999999981</v>
      </c>
      <c r="AA27" s="34">
        <f t="shared" ref="AA27" si="82">SUM(AA26:AA26)+AA23</f>
        <v>1991777</v>
      </c>
      <c r="AB27" s="34">
        <f t="shared" ref="AB27" si="83">SUM(AB26:AB26)+AB23</f>
        <v>1958796.0000000019</v>
      </c>
      <c r="AC27" s="34">
        <f t="shared" ref="AC27" si="84">SUM(AC26:AC26)+AC23</f>
        <v>1660407</v>
      </c>
      <c r="AD27" s="34">
        <f t="shared" ref="AD27" si="85">SUM(AD26:AD26)+AD23</f>
        <v>1618837</v>
      </c>
      <c r="AE27" s="34">
        <f t="shared" ref="AE27" si="86">SUM(AE26:AE26)+AE23</f>
        <v>1556473</v>
      </c>
      <c r="AF27" s="34">
        <f t="shared" ref="AF27:AH27" si="87">SUM(AF26:AF26)+AF23</f>
        <v>1543577</v>
      </c>
      <c r="AG27" s="34">
        <f t="shared" si="87"/>
        <v>1580066</v>
      </c>
      <c r="AH27" s="34">
        <f t="shared" si="87"/>
        <v>1577542.0000000019</v>
      </c>
      <c r="AI27" s="34">
        <f>SUM(AI26:AI26)+AI23</f>
        <v>1590081.9999999981</v>
      </c>
      <c r="AJ27" s="32"/>
      <c r="AK27" s="73">
        <f t="shared" si="7"/>
        <v>2.1593050441606199E-2</v>
      </c>
    </row>
    <row r="28" spans="2:37" ht="5.0999999999999996" customHeight="1" x14ac:dyDescent="0.2">
      <c r="B28" s="67"/>
      <c r="C28" s="68"/>
      <c r="D28" s="68"/>
      <c r="E28" s="68"/>
      <c r="F28" s="68"/>
      <c r="G28" s="68"/>
      <c r="H28" s="68"/>
      <c r="I28" s="35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35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32"/>
      <c r="AK28" s="73"/>
    </row>
    <row r="29" spans="2:37" x14ac:dyDescent="0.2">
      <c r="B29" s="19" t="s">
        <v>32</v>
      </c>
      <c r="C29" s="69">
        <v>-200205</v>
      </c>
      <c r="D29" s="69">
        <v>-55250</v>
      </c>
      <c r="E29" s="69">
        <v>-309992</v>
      </c>
      <c r="F29" s="69">
        <v>-401136</v>
      </c>
      <c r="G29" s="69">
        <v>-404646</v>
      </c>
      <c r="H29" s="69">
        <v>-378948</v>
      </c>
      <c r="I29" s="69"/>
      <c r="J29" s="69">
        <v>-105912</v>
      </c>
      <c r="K29" s="69">
        <v>-95859</v>
      </c>
      <c r="L29" s="69">
        <v>-88120</v>
      </c>
      <c r="M29" s="69">
        <f t="shared" ref="M29" si="88">SUM(E29-SUM(J29:L29))</f>
        <v>-20101</v>
      </c>
      <c r="N29" s="69">
        <v>-102367</v>
      </c>
      <c r="O29" s="69">
        <v>-95989</v>
      </c>
      <c r="P29" s="69">
        <v>-80241</v>
      </c>
      <c r="Q29" s="69">
        <f>SUM(G29-SUM(N29:P29))</f>
        <v>-126049</v>
      </c>
      <c r="R29" s="69">
        <v>-94735</v>
      </c>
      <c r="S29" s="69">
        <v>-81171</v>
      </c>
      <c r="T29" s="69">
        <v>-77997</v>
      </c>
      <c r="U29" s="69">
        <f>SUM(H29-SUM(R29:T29))</f>
        <v>-125045</v>
      </c>
      <c r="V29" s="69">
        <v>-99644</v>
      </c>
      <c r="W29" s="69">
        <v>-84795</v>
      </c>
      <c r="X29" s="69"/>
      <c r="Y29" s="72">
        <f>SUM(J29:M29)</f>
        <v>-309992</v>
      </c>
      <c r="Z29" s="72">
        <f>SUM(K29:N29)</f>
        <v>-306447</v>
      </c>
      <c r="AA29" s="72">
        <f>SUM(L29:O29)</f>
        <v>-306577</v>
      </c>
      <c r="AB29" s="72">
        <f>SUM(M29:P29)</f>
        <v>-298698</v>
      </c>
      <c r="AC29" s="72">
        <f>SUM(N29:Q29)</f>
        <v>-404646</v>
      </c>
      <c r="AD29" s="72">
        <f>SUM(O29:R29)</f>
        <v>-397014</v>
      </c>
      <c r="AE29" s="72">
        <f>SUM(P29:S29)</f>
        <v>-382196</v>
      </c>
      <c r="AF29" s="72">
        <f>SUM(Q29:T29)</f>
        <v>-379952</v>
      </c>
      <c r="AG29" s="72">
        <f>SUM(R29:U29)</f>
        <v>-378948</v>
      </c>
      <c r="AH29" s="72">
        <f>SUM(S29:V29)</f>
        <v>-383857</v>
      </c>
      <c r="AI29" s="72">
        <f>SUM(T29:W29)</f>
        <v>-387481</v>
      </c>
      <c r="AJ29" s="32"/>
      <c r="AK29" s="73">
        <f t="shared" si="7"/>
        <v>1.3827983547708422E-2</v>
      </c>
    </row>
    <row r="30" spans="2:37" x14ac:dyDescent="0.2">
      <c r="B30" s="64" t="s">
        <v>40</v>
      </c>
      <c r="C30" s="65">
        <f>SUM(C27+C29)</f>
        <v>695833</v>
      </c>
      <c r="D30" s="65">
        <f t="shared" ref="D30:G30" si="89">SUM(D27+D29)</f>
        <v>125785.47000000067</v>
      </c>
      <c r="E30" s="65">
        <f t="shared" si="89"/>
        <v>985837</v>
      </c>
      <c r="F30" s="65">
        <f t="shared" si="89"/>
        <v>1242408</v>
      </c>
      <c r="G30" s="65">
        <f t="shared" si="89"/>
        <v>1291004.9999999981</v>
      </c>
      <c r="H30" s="65">
        <f t="shared" ref="H30" si="90">SUM(H27+H29)</f>
        <v>1201118</v>
      </c>
      <c r="I30" s="15"/>
      <c r="J30" s="65">
        <f t="shared" ref="J30:M30" si="91">SUM(J27:J29)</f>
        <v>331394.99999999953</v>
      </c>
      <c r="K30" s="65">
        <f t="shared" si="91"/>
        <v>295677</v>
      </c>
      <c r="L30" s="65">
        <f t="shared" si="91"/>
        <v>274585.00000000047</v>
      </c>
      <c r="M30" s="65">
        <f t="shared" si="91"/>
        <v>763462</v>
      </c>
      <c r="N30" s="65">
        <f t="shared" ref="N30:O30" si="92">SUM(N27:N29)</f>
        <v>347051.00000000047</v>
      </c>
      <c r="O30" s="65">
        <f t="shared" si="92"/>
        <v>300102</v>
      </c>
      <c r="P30" s="65">
        <f>SUM(P27:P29)</f>
        <v>249483</v>
      </c>
      <c r="Q30" s="65">
        <f>SUM(Q27:Q29)</f>
        <v>359125</v>
      </c>
      <c r="R30" s="65">
        <f>SUM(R27:R29)</f>
        <v>313112.99999999953</v>
      </c>
      <c r="S30" s="65">
        <f>SUM(S27:S29)</f>
        <v>252556</v>
      </c>
      <c r="T30" s="65">
        <f>SUM(T27:T29)</f>
        <v>238831</v>
      </c>
      <c r="U30" s="65">
        <f>SUM(U27:U29)</f>
        <v>396618</v>
      </c>
      <c r="V30" s="65">
        <f>SUM(V27:V29)</f>
        <v>305680</v>
      </c>
      <c r="W30" s="65">
        <f>SUM(W27:W29)</f>
        <v>261472</v>
      </c>
      <c r="X30" s="15"/>
      <c r="Y30" s="65">
        <f t="shared" ref="Y30" si="93">SUM(Y27:Y29)</f>
        <v>1665119.0000000019</v>
      </c>
      <c r="Z30" s="65">
        <f t="shared" ref="Z30:AA30" si="94">SUM(Z27:Z29)</f>
        <v>1680774.9999999981</v>
      </c>
      <c r="AA30" s="65">
        <f t="shared" si="94"/>
        <v>1685200</v>
      </c>
      <c r="AB30" s="65">
        <f t="shared" ref="AB30:AC30" si="95">SUM(AB27:AB29)</f>
        <v>1660098.0000000019</v>
      </c>
      <c r="AC30" s="65">
        <f t="shared" si="95"/>
        <v>1255761</v>
      </c>
      <c r="AD30" s="65">
        <f t="shared" ref="AD30:AI30" si="96">SUM(AD27:AD29)</f>
        <v>1221823</v>
      </c>
      <c r="AE30" s="65">
        <f t="shared" si="96"/>
        <v>1174277</v>
      </c>
      <c r="AF30" s="65">
        <f t="shared" ref="AF30:AH30" si="97">SUM(AF27:AF29)</f>
        <v>1163625</v>
      </c>
      <c r="AG30" s="65">
        <f t="shared" si="97"/>
        <v>1201118</v>
      </c>
      <c r="AH30" s="65">
        <f t="shared" si="97"/>
        <v>1193685.0000000019</v>
      </c>
      <c r="AI30" s="65">
        <f t="shared" si="96"/>
        <v>1202600.9999999981</v>
      </c>
      <c r="AJ30" s="70"/>
      <c r="AK30" s="74">
        <f t="shared" si="7"/>
        <v>2.4120373642673831E-2</v>
      </c>
    </row>
    <row r="31" spans="2:37" x14ac:dyDescent="0.2">
      <c r="B31" s="75" t="s">
        <v>168</v>
      </c>
      <c r="C31" s="77">
        <f>C30/C14</f>
        <v>9.4056042739807208E-2</v>
      </c>
      <c r="D31" s="77">
        <f>D30/D14</f>
        <v>2.0652958548778081E-2</v>
      </c>
      <c r="E31" s="77">
        <f>E30/E14</f>
        <v>0.1142219532657644</v>
      </c>
      <c r="F31" s="77">
        <f>F30/F14</f>
        <v>0.12170233274363329</v>
      </c>
      <c r="G31" s="77">
        <f>G30/G14</f>
        <v>0.11519319143954601</v>
      </c>
      <c r="H31" s="77">
        <f>H30/H14</f>
        <v>0.10633452476501139</v>
      </c>
      <c r="I31" s="77"/>
      <c r="J31" s="77">
        <f>J30/J14</f>
        <v>0.14126555212687986</v>
      </c>
      <c r="K31" s="77">
        <f>K30/K14</f>
        <v>0.12871678493831171</v>
      </c>
      <c r="L31" s="77">
        <f>L30/L14</f>
        <v>0.11740457577904517</v>
      </c>
      <c r="M31" s="77">
        <f>M30/M14</f>
        <v>0.2366023268448075</v>
      </c>
      <c r="N31" s="77">
        <f>N30/N14</f>
        <v>0.13174500799654415</v>
      </c>
      <c r="O31" s="77">
        <f>O30/O14</f>
        <v>0.11862634689021978</v>
      </c>
      <c r="P31" s="77">
        <f>P30/P14</f>
        <v>0.10023692883657374</v>
      </c>
      <c r="Q31" s="77">
        <f>Q30/Q14</f>
        <v>0.10103964270863051</v>
      </c>
      <c r="R31" s="77">
        <f>R30/R14</f>
        <v>0.11486810709914845</v>
      </c>
      <c r="S31" s="77">
        <f>S30/S14</f>
        <v>9.8960576187253804E-2</v>
      </c>
      <c r="T31" s="77">
        <f>T30/T14</f>
        <v>9.4395873680882175E-2</v>
      </c>
      <c r="U31" s="77">
        <f>U30/U14</f>
        <v>0.11372171100111567</v>
      </c>
      <c r="V31" s="77">
        <f>V30/V14</f>
        <v>0.10731763147094459</v>
      </c>
      <c r="W31" s="77">
        <f>W30/W14</f>
        <v>9.3769018052558592E-2</v>
      </c>
      <c r="X31" s="77"/>
      <c r="Y31" s="77">
        <f t="shared" ref="Y31:Z31" si="98">Y30/Y14</f>
        <v>0.1631097566948588</v>
      </c>
      <c r="Z31" s="77">
        <f t="shared" si="98"/>
        <v>0.16012044269654899</v>
      </c>
      <c r="AA31" s="77">
        <f t="shared" ref="AA31" si="99">AA30/AA14</f>
        <v>0.15706028479245993</v>
      </c>
      <c r="AB31" s="77">
        <f t="shared" ref="AB31" si="100">AB30/AB14</f>
        <v>0.15258565018514178</v>
      </c>
      <c r="AC31" s="77">
        <f t="shared" ref="AC31" si="101">AC30/AC14</f>
        <v>0.11204845626106477</v>
      </c>
      <c r="AD31" s="77">
        <f t="shared" ref="AD31" si="102">AD30/AD14</f>
        <v>0.10813657060765626</v>
      </c>
      <c r="AE31" s="77">
        <f t="shared" ref="AE31" si="103">AE30/AE14</f>
        <v>0.10372403337253425</v>
      </c>
      <c r="AF31" s="77">
        <f t="shared" ref="AF31:AH31" si="104">AF30/AF14</f>
        <v>0.10241074610293502</v>
      </c>
      <c r="AG31" s="77">
        <f t="shared" si="104"/>
        <v>0.10633452476501139</v>
      </c>
      <c r="AH31" s="77">
        <f t="shared" si="104"/>
        <v>0.10454255685213402</v>
      </c>
      <c r="AI31" s="77">
        <f>AI30/AI14</f>
        <v>0.10318720877802699</v>
      </c>
      <c r="AJ31" s="24"/>
      <c r="AK31" s="78">
        <f>SUM(AI31-AE31)*10000</f>
        <v>-5.3682459450725419</v>
      </c>
    </row>
    <row r="32" spans="2:37" ht="5.0999999999999996" customHeight="1" x14ac:dyDescent="0.2">
      <c r="B32" s="25"/>
      <c r="C32" s="31"/>
      <c r="D32" s="31"/>
      <c r="E32" s="31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32"/>
      <c r="AK32" s="7"/>
    </row>
    <row r="33" spans="1:37" x14ac:dyDescent="0.2">
      <c r="A33" s="8" t="s">
        <v>7</v>
      </c>
      <c r="B33" s="9" t="s">
        <v>11</v>
      </c>
      <c r="C33" s="38"/>
      <c r="D33" s="38"/>
      <c r="E33" s="38"/>
      <c r="F33" s="38"/>
      <c r="G33" s="38"/>
      <c r="H33" s="38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spans="1:37" ht="3.75" customHeight="1" x14ac:dyDescent="0.2">
      <c r="B34" s="40"/>
      <c r="C34" s="41"/>
      <c r="D34" s="41"/>
      <c r="E34" s="41"/>
      <c r="F34" s="41"/>
      <c r="G34" s="41"/>
      <c r="H34" s="41"/>
    </row>
    <row r="35" spans="1:37" x14ac:dyDescent="0.2">
      <c r="B35" s="13" t="s">
        <v>0</v>
      </c>
      <c r="C35" s="69">
        <v>409251</v>
      </c>
      <c r="D35" s="69">
        <v>1046051</v>
      </c>
      <c r="E35" s="69">
        <v>431560</v>
      </c>
      <c r="F35" s="69">
        <v>737877</v>
      </c>
      <c r="G35" s="69">
        <v>766594</v>
      </c>
      <c r="H35" s="69">
        <v>703201</v>
      </c>
      <c r="J35" s="69">
        <v>654486</v>
      </c>
      <c r="K35" s="69">
        <v>434226</v>
      </c>
      <c r="L35" s="69">
        <v>250628</v>
      </c>
      <c r="M35" s="69">
        <f>E35</f>
        <v>431560</v>
      </c>
      <c r="N35" s="69">
        <v>636449</v>
      </c>
      <c r="O35" s="69">
        <v>388627</v>
      </c>
      <c r="P35" s="69">
        <v>121811</v>
      </c>
      <c r="Q35" s="69">
        <f>G35</f>
        <v>766594</v>
      </c>
      <c r="R35" s="69">
        <v>524596</v>
      </c>
      <c r="S35" s="69">
        <v>413962</v>
      </c>
      <c r="T35" s="69">
        <v>177782</v>
      </c>
      <c r="U35" s="69">
        <f>H35</f>
        <v>703201</v>
      </c>
      <c r="V35" s="69">
        <v>454629</v>
      </c>
      <c r="W35" s="69">
        <v>242745</v>
      </c>
      <c r="Y35" s="16">
        <f t="shared" ref="Y35:Z39" si="105">M35</f>
        <v>431560</v>
      </c>
      <c r="Z35" s="16">
        <f t="shared" si="105"/>
        <v>636449</v>
      </c>
      <c r="AA35" s="16">
        <f t="shared" ref="AA35:AA39" si="106">O35</f>
        <v>388627</v>
      </c>
      <c r="AB35" s="16">
        <f t="shared" ref="AB35:AB39" si="107">P35</f>
        <v>121811</v>
      </c>
      <c r="AC35" s="16">
        <f t="shared" ref="AC35:AC39" si="108">Q35</f>
        <v>766594</v>
      </c>
      <c r="AD35" s="16">
        <f t="shared" ref="AD35:AD39" si="109">R35</f>
        <v>524596</v>
      </c>
      <c r="AE35" s="16">
        <f t="shared" ref="AE35:AE39" si="110">S35</f>
        <v>413962</v>
      </c>
      <c r="AF35" s="16">
        <f t="shared" ref="AF35:AH39" si="111">T35</f>
        <v>177782</v>
      </c>
      <c r="AG35" s="16">
        <f t="shared" si="111"/>
        <v>703201</v>
      </c>
      <c r="AH35" s="16">
        <f t="shared" si="111"/>
        <v>454629</v>
      </c>
      <c r="AI35" s="16">
        <f>W35</f>
        <v>242745</v>
      </c>
      <c r="AJ35" s="16"/>
      <c r="AK35" s="73">
        <f t="shared" ref="AK35:AK68" si="112">SUM(AI35/AE35)-1</f>
        <v>-0.41360559664896779</v>
      </c>
    </row>
    <row r="36" spans="1:37" x14ac:dyDescent="0.2">
      <c r="B36" s="13" t="s">
        <v>55</v>
      </c>
      <c r="C36" s="69">
        <v>136168</v>
      </c>
      <c r="D36" s="69">
        <v>193109</v>
      </c>
      <c r="E36" s="69">
        <v>233682</v>
      </c>
      <c r="F36" s="69">
        <v>199422</v>
      </c>
      <c r="G36" s="69">
        <v>207939</v>
      </c>
      <c r="H36" s="69">
        <v>223334</v>
      </c>
      <c r="J36" s="69">
        <v>192754</v>
      </c>
      <c r="K36" s="69">
        <v>180514</v>
      </c>
      <c r="L36" s="69">
        <v>200304</v>
      </c>
      <c r="M36" s="69">
        <f t="shared" ref="M36:M39" si="113">E36</f>
        <v>233682</v>
      </c>
      <c r="N36" s="69">
        <v>190282</v>
      </c>
      <c r="O36" s="69">
        <v>174444</v>
      </c>
      <c r="P36" s="69">
        <v>202868</v>
      </c>
      <c r="Q36" s="69">
        <f>G36</f>
        <v>207939</v>
      </c>
      <c r="R36" s="69">
        <v>203463</v>
      </c>
      <c r="S36" s="69">
        <v>200863</v>
      </c>
      <c r="T36" s="69">
        <v>213621</v>
      </c>
      <c r="U36" s="69">
        <f t="shared" ref="U36:U39" si="114">H36</f>
        <v>223334</v>
      </c>
      <c r="V36" s="69">
        <v>225146</v>
      </c>
      <c r="W36" s="69">
        <v>224412</v>
      </c>
      <c r="Y36" s="16">
        <f t="shared" si="105"/>
        <v>233682</v>
      </c>
      <c r="Z36" s="16">
        <f t="shared" si="105"/>
        <v>190282</v>
      </c>
      <c r="AA36" s="16">
        <f t="shared" si="106"/>
        <v>174444</v>
      </c>
      <c r="AB36" s="16">
        <f t="shared" si="107"/>
        <v>202868</v>
      </c>
      <c r="AC36" s="16">
        <f t="shared" si="108"/>
        <v>207939</v>
      </c>
      <c r="AD36" s="16">
        <f t="shared" si="109"/>
        <v>203463</v>
      </c>
      <c r="AE36" s="16">
        <f t="shared" si="110"/>
        <v>200863</v>
      </c>
      <c r="AF36" s="16">
        <f t="shared" si="111"/>
        <v>213621</v>
      </c>
      <c r="AG36" s="16">
        <f t="shared" si="111"/>
        <v>223334</v>
      </c>
      <c r="AH36" s="16">
        <f t="shared" si="111"/>
        <v>225146</v>
      </c>
      <c r="AI36" s="16">
        <f t="shared" ref="AI36:AI39" si="115">W36</f>
        <v>224412</v>
      </c>
      <c r="AJ36" s="16"/>
      <c r="AK36" s="73">
        <f t="shared" si="112"/>
        <v>0.11723911322642788</v>
      </c>
    </row>
    <row r="37" spans="1:37" x14ac:dyDescent="0.2">
      <c r="B37" s="13" t="s">
        <v>56</v>
      </c>
      <c r="C37" s="69">
        <v>1214329</v>
      </c>
      <c r="D37" s="69">
        <v>1168215</v>
      </c>
      <c r="E37" s="69">
        <v>1499218</v>
      </c>
      <c r="F37" s="69">
        <v>1603451</v>
      </c>
      <c r="G37" s="69">
        <v>1742136</v>
      </c>
      <c r="H37" s="69">
        <v>1968214</v>
      </c>
      <c r="J37" s="69">
        <v>1570552</v>
      </c>
      <c r="K37" s="69">
        <v>1666130</v>
      </c>
      <c r="L37" s="69">
        <v>2114669</v>
      </c>
      <c r="M37" s="69">
        <f t="shared" si="113"/>
        <v>1499218</v>
      </c>
      <c r="N37" s="69">
        <v>1751235</v>
      </c>
      <c r="O37" s="69">
        <v>1815539</v>
      </c>
      <c r="P37" s="69">
        <v>2321306</v>
      </c>
      <c r="Q37" s="69">
        <f>G37</f>
        <v>1742136</v>
      </c>
      <c r="R37" s="69">
        <v>1906040</v>
      </c>
      <c r="S37" s="69">
        <v>1998286</v>
      </c>
      <c r="T37" s="69">
        <v>2365186</v>
      </c>
      <c r="U37" s="69">
        <f t="shared" si="114"/>
        <v>1968214</v>
      </c>
      <c r="V37" s="69">
        <v>2121519</v>
      </c>
      <c r="W37" s="69">
        <v>2407051</v>
      </c>
      <c r="Y37" s="16">
        <f t="shared" si="105"/>
        <v>1499218</v>
      </c>
      <c r="Z37" s="16">
        <f t="shared" si="105"/>
        <v>1751235</v>
      </c>
      <c r="AA37" s="16">
        <f t="shared" si="106"/>
        <v>1815539</v>
      </c>
      <c r="AB37" s="16">
        <f t="shared" si="107"/>
        <v>2321306</v>
      </c>
      <c r="AC37" s="16">
        <f t="shared" si="108"/>
        <v>1742136</v>
      </c>
      <c r="AD37" s="16">
        <f t="shared" si="109"/>
        <v>1906040</v>
      </c>
      <c r="AE37" s="16">
        <f t="shared" si="110"/>
        <v>1998286</v>
      </c>
      <c r="AF37" s="16">
        <f t="shared" si="111"/>
        <v>2365186</v>
      </c>
      <c r="AG37" s="16">
        <f t="shared" si="111"/>
        <v>1968214</v>
      </c>
      <c r="AH37" s="16">
        <f t="shared" si="111"/>
        <v>2121519</v>
      </c>
      <c r="AI37" s="16">
        <f t="shared" si="115"/>
        <v>2407051</v>
      </c>
      <c r="AJ37" s="16"/>
      <c r="AK37" s="73">
        <f t="shared" si="112"/>
        <v>0.20455780603977614</v>
      </c>
    </row>
    <row r="38" spans="1:37" x14ac:dyDescent="0.2">
      <c r="B38" s="13" t="s">
        <v>57</v>
      </c>
      <c r="C38" s="69">
        <v>138116</v>
      </c>
      <c r="D38" s="69">
        <v>107402</v>
      </c>
      <c r="E38" s="69">
        <v>110814</v>
      </c>
      <c r="F38" s="69">
        <v>130246</v>
      </c>
      <c r="G38" s="69">
        <v>115598</v>
      </c>
      <c r="H38" s="69">
        <v>129113</v>
      </c>
      <c r="J38" s="69">
        <v>114075</v>
      </c>
      <c r="K38" s="69">
        <v>123014</v>
      </c>
      <c r="L38" s="69">
        <v>137642</v>
      </c>
      <c r="M38" s="69">
        <f t="shared" si="113"/>
        <v>110814</v>
      </c>
      <c r="N38" s="69">
        <v>108014</v>
      </c>
      <c r="O38" s="69">
        <v>110524</v>
      </c>
      <c r="P38" s="69">
        <v>117282</v>
      </c>
      <c r="Q38" s="69">
        <f>G38</f>
        <v>115598</v>
      </c>
      <c r="R38" s="69">
        <v>126529</v>
      </c>
      <c r="S38" s="69">
        <v>132023</v>
      </c>
      <c r="T38" s="69">
        <v>135514</v>
      </c>
      <c r="U38" s="69">
        <f t="shared" si="114"/>
        <v>129113</v>
      </c>
      <c r="V38" s="69">
        <v>138396</v>
      </c>
      <c r="W38" s="69">
        <v>165963</v>
      </c>
      <c r="Y38" s="16">
        <f t="shared" si="105"/>
        <v>110814</v>
      </c>
      <c r="Z38" s="16">
        <f t="shared" si="105"/>
        <v>108014</v>
      </c>
      <c r="AA38" s="16">
        <f t="shared" si="106"/>
        <v>110524</v>
      </c>
      <c r="AB38" s="16">
        <f t="shared" si="107"/>
        <v>117282</v>
      </c>
      <c r="AC38" s="16">
        <f t="shared" si="108"/>
        <v>115598</v>
      </c>
      <c r="AD38" s="16">
        <f t="shared" si="109"/>
        <v>126529</v>
      </c>
      <c r="AE38" s="16">
        <f t="shared" si="110"/>
        <v>132023</v>
      </c>
      <c r="AF38" s="16">
        <f t="shared" si="111"/>
        <v>135514</v>
      </c>
      <c r="AG38" s="16">
        <f t="shared" si="111"/>
        <v>129113</v>
      </c>
      <c r="AH38" s="16">
        <f t="shared" si="111"/>
        <v>138396</v>
      </c>
      <c r="AI38" s="16">
        <f t="shared" si="115"/>
        <v>165963</v>
      </c>
      <c r="AJ38" s="16"/>
      <c r="AK38" s="73">
        <f t="shared" si="112"/>
        <v>0.25707641850283669</v>
      </c>
    </row>
    <row r="39" spans="1:37" x14ac:dyDescent="0.2">
      <c r="B39" s="13" t="s">
        <v>58</v>
      </c>
      <c r="C39" s="69">
        <v>16997</v>
      </c>
      <c r="D39" s="69"/>
      <c r="E39" s="69">
        <v>5909</v>
      </c>
      <c r="F39" s="69">
        <v>38308</v>
      </c>
      <c r="G39" s="69">
        <v>4251</v>
      </c>
      <c r="H39" s="69">
        <v>4946</v>
      </c>
      <c r="J39" s="69">
        <v>0</v>
      </c>
      <c r="K39" s="69">
        <v>39029</v>
      </c>
      <c r="L39" s="69">
        <v>42572</v>
      </c>
      <c r="M39" s="69">
        <f t="shared" si="113"/>
        <v>5909</v>
      </c>
      <c r="N39" s="69">
        <v>0</v>
      </c>
      <c r="O39" s="69">
        <v>30114</v>
      </c>
      <c r="P39" s="69">
        <v>28773</v>
      </c>
      <c r="Q39" s="69">
        <f>G39</f>
        <v>4251</v>
      </c>
      <c r="R39" s="69">
        <v>0</v>
      </c>
      <c r="S39" s="69">
        <v>53607</v>
      </c>
      <c r="T39" s="69">
        <v>62759</v>
      </c>
      <c r="U39" s="69">
        <f t="shared" si="114"/>
        <v>4946</v>
      </c>
      <c r="V39" s="69">
        <v>0</v>
      </c>
      <c r="W39" s="69">
        <v>28877</v>
      </c>
      <c r="Y39" s="16">
        <f t="shared" si="105"/>
        <v>5909</v>
      </c>
      <c r="Z39" s="16">
        <f t="shared" si="105"/>
        <v>0</v>
      </c>
      <c r="AA39" s="16">
        <f t="shared" si="106"/>
        <v>30114</v>
      </c>
      <c r="AB39" s="16">
        <f t="shared" si="107"/>
        <v>28773</v>
      </c>
      <c r="AC39" s="16">
        <f t="shared" si="108"/>
        <v>4251</v>
      </c>
      <c r="AD39" s="16">
        <f t="shared" si="109"/>
        <v>0</v>
      </c>
      <c r="AE39" s="16">
        <f t="shared" si="110"/>
        <v>53607</v>
      </c>
      <c r="AF39" s="16">
        <f t="shared" si="111"/>
        <v>62759</v>
      </c>
      <c r="AG39" s="16">
        <f t="shared" si="111"/>
        <v>4946</v>
      </c>
      <c r="AH39" s="16">
        <f t="shared" si="111"/>
        <v>0</v>
      </c>
      <c r="AI39" s="16">
        <f t="shared" si="115"/>
        <v>28877</v>
      </c>
      <c r="AJ39" s="16"/>
      <c r="AK39" s="73">
        <f t="shared" si="112"/>
        <v>-0.46132034995429705</v>
      </c>
    </row>
    <row r="40" spans="1:37" x14ac:dyDescent="0.2">
      <c r="B40" s="30" t="s">
        <v>108</v>
      </c>
      <c r="C40" s="42">
        <f>SUM(C35:C39)</f>
        <v>1914861</v>
      </c>
      <c r="D40" s="42">
        <f>SUM(D35:D39)</f>
        <v>2514777</v>
      </c>
      <c r="E40" s="42">
        <f>SUM(E35:E39)</f>
        <v>2281183</v>
      </c>
      <c r="F40" s="42">
        <f>SUM(F35:F39)</f>
        <v>2709304</v>
      </c>
      <c r="G40" s="42">
        <f>SUM(G35:G39)</f>
        <v>2836518</v>
      </c>
      <c r="H40" s="42">
        <f>SUM(H35:H39)</f>
        <v>3028808</v>
      </c>
      <c r="J40" s="42">
        <f t="shared" ref="J40:T40" si="116">SUM(J35:J39)</f>
        <v>2531867</v>
      </c>
      <c r="K40" s="42">
        <f t="shared" si="116"/>
        <v>2442913</v>
      </c>
      <c r="L40" s="42">
        <f t="shared" si="116"/>
        <v>2745815</v>
      </c>
      <c r="M40" s="42">
        <f t="shared" si="116"/>
        <v>2281183</v>
      </c>
      <c r="N40" s="42">
        <f t="shared" si="116"/>
        <v>2685980</v>
      </c>
      <c r="O40" s="42">
        <f t="shared" si="116"/>
        <v>2519248</v>
      </c>
      <c r="P40" s="42">
        <f t="shared" si="116"/>
        <v>2792040</v>
      </c>
      <c r="Q40" s="42">
        <f t="shared" si="116"/>
        <v>2836518</v>
      </c>
      <c r="R40" s="42">
        <f t="shared" si="116"/>
        <v>2760628</v>
      </c>
      <c r="S40" s="42">
        <f t="shared" si="116"/>
        <v>2798741</v>
      </c>
      <c r="T40" s="42">
        <f t="shared" si="116"/>
        <v>2954862</v>
      </c>
      <c r="U40" s="42">
        <f t="shared" ref="U40:V40" si="117">SUM(U35:U39)</f>
        <v>3028808</v>
      </c>
      <c r="V40" s="42">
        <f t="shared" si="117"/>
        <v>2939690</v>
      </c>
      <c r="W40" s="42">
        <f t="shared" ref="W40" si="118">SUM(W35:W39)</f>
        <v>3069048</v>
      </c>
      <c r="Y40" s="42">
        <f t="shared" ref="Y40:Z40" si="119">SUM(Y35:Y39)</f>
        <v>2281183</v>
      </c>
      <c r="Z40" s="42">
        <f t="shared" si="119"/>
        <v>2685980</v>
      </c>
      <c r="AA40" s="42">
        <f t="shared" ref="AA40" si="120">SUM(AA35:AA39)</f>
        <v>2519248</v>
      </c>
      <c r="AB40" s="42">
        <f t="shared" ref="AB40" si="121">SUM(AB35:AB39)</f>
        <v>2792040</v>
      </c>
      <c r="AC40" s="42">
        <f t="shared" ref="AC40" si="122">SUM(AC35:AC39)</f>
        <v>2836518</v>
      </c>
      <c r="AD40" s="42">
        <f t="shared" ref="AD40" si="123">SUM(AD35:AD39)</f>
        <v>2760628</v>
      </c>
      <c r="AE40" s="42">
        <f t="shared" ref="AE40" si="124">SUM(AE35:AE39)</f>
        <v>2798741</v>
      </c>
      <c r="AF40" s="42">
        <f t="shared" ref="AF40:AH40" si="125">SUM(AF35:AF39)</f>
        <v>2954862</v>
      </c>
      <c r="AG40" s="42">
        <f t="shared" si="125"/>
        <v>3028808</v>
      </c>
      <c r="AH40" s="42">
        <f t="shared" si="125"/>
        <v>2939690</v>
      </c>
      <c r="AI40" s="42">
        <f>SUM(AI35:AI39)</f>
        <v>3069048</v>
      </c>
      <c r="AJ40" s="24"/>
      <c r="AK40" s="74">
        <f t="shared" si="112"/>
        <v>9.6581641530959716E-2</v>
      </c>
    </row>
    <row r="41" spans="1:37" x14ac:dyDescent="0.2">
      <c r="B41" s="29"/>
      <c r="C41" s="43"/>
      <c r="D41" s="43"/>
      <c r="E41" s="43"/>
      <c r="F41" s="43"/>
      <c r="G41" s="44"/>
      <c r="H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73"/>
    </row>
    <row r="42" spans="1:37" x14ac:dyDescent="0.2">
      <c r="B42" s="13" t="s">
        <v>59</v>
      </c>
      <c r="C42" s="69">
        <v>1226029</v>
      </c>
      <c r="D42" s="69">
        <v>995795</v>
      </c>
      <c r="E42" s="69">
        <v>914476</v>
      </c>
      <c r="F42" s="69">
        <v>1009273</v>
      </c>
      <c r="G42" s="69">
        <v>1182335</v>
      </c>
      <c r="H42" s="69">
        <v>1239295</v>
      </c>
      <c r="I42" s="69"/>
      <c r="J42" s="69">
        <v>909543</v>
      </c>
      <c r="K42" s="69">
        <v>912017</v>
      </c>
      <c r="L42" s="69">
        <v>967039</v>
      </c>
      <c r="M42" s="69">
        <f>E42</f>
        <v>914476</v>
      </c>
      <c r="N42" s="69">
        <v>1019978</v>
      </c>
      <c r="O42" s="69">
        <v>1073144</v>
      </c>
      <c r="P42" s="69">
        <v>1117874</v>
      </c>
      <c r="Q42" s="69">
        <f t="shared" ref="Q42:Q47" si="126">G42</f>
        <v>1182335</v>
      </c>
      <c r="R42" s="69">
        <v>1195658</v>
      </c>
      <c r="S42" s="69">
        <v>1225850</v>
      </c>
      <c r="T42" s="69">
        <v>1264419</v>
      </c>
      <c r="U42" s="69">
        <f t="shared" ref="U42:U47" si="127">H42</f>
        <v>1239295</v>
      </c>
      <c r="V42" s="69">
        <v>1251287</v>
      </c>
      <c r="W42" s="69">
        <v>1332503</v>
      </c>
      <c r="X42" s="69"/>
      <c r="Y42" s="16">
        <f t="shared" ref="Y42:Z47" si="128">M42</f>
        <v>914476</v>
      </c>
      <c r="Z42" s="16">
        <f t="shared" si="128"/>
        <v>1019978</v>
      </c>
      <c r="AA42" s="16">
        <f t="shared" ref="AA42:AA47" si="129">O42</f>
        <v>1073144</v>
      </c>
      <c r="AB42" s="16">
        <f t="shared" ref="AB42:AB47" si="130">P42</f>
        <v>1117874</v>
      </c>
      <c r="AC42" s="16">
        <f t="shared" ref="AC42:AC47" si="131">Q42</f>
        <v>1182335</v>
      </c>
      <c r="AD42" s="16">
        <f t="shared" ref="AD42:AD47" si="132">R42</f>
        <v>1195658</v>
      </c>
      <c r="AE42" s="16">
        <f t="shared" ref="AE42:AE47" si="133">S42</f>
        <v>1225850</v>
      </c>
      <c r="AF42" s="16">
        <f t="shared" ref="AF42:AF47" si="134">T42</f>
        <v>1264419</v>
      </c>
      <c r="AG42" s="16">
        <f t="shared" ref="AG42:AG47" si="135">U42</f>
        <v>1239295</v>
      </c>
      <c r="AH42" s="16">
        <f t="shared" ref="AH42:AH47" si="136">V42</f>
        <v>1251287</v>
      </c>
      <c r="AI42" s="16">
        <f t="shared" ref="AI42:AI47" si="137">W42</f>
        <v>1332503</v>
      </c>
      <c r="AJ42" s="16"/>
      <c r="AK42" s="73">
        <f t="shared" si="112"/>
        <v>8.7003303829995549E-2</v>
      </c>
    </row>
    <row r="43" spans="1:37" x14ac:dyDescent="0.2">
      <c r="B43" s="13" t="s">
        <v>60</v>
      </c>
      <c r="C43" s="69">
        <v>0</v>
      </c>
      <c r="D43" s="69">
        <v>1504614</v>
      </c>
      <c r="E43" s="69">
        <v>1482256</v>
      </c>
      <c r="F43" s="69">
        <v>1561263</v>
      </c>
      <c r="G43" s="69">
        <v>1574530</v>
      </c>
      <c r="H43" s="69">
        <v>1609870</v>
      </c>
      <c r="I43" s="69"/>
      <c r="J43" s="69">
        <v>1488040</v>
      </c>
      <c r="K43" s="69">
        <v>1509246</v>
      </c>
      <c r="L43" s="69">
        <v>1556940</v>
      </c>
      <c r="M43" s="69">
        <f>E43</f>
        <v>1482256</v>
      </c>
      <c r="N43" s="69">
        <v>1559560</v>
      </c>
      <c r="O43" s="69">
        <v>1549146</v>
      </c>
      <c r="P43" s="69">
        <v>1578316</v>
      </c>
      <c r="Q43" s="69">
        <f t="shared" si="126"/>
        <v>1574530</v>
      </c>
      <c r="R43" s="69">
        <v>1561767</v>
      </c>
      <c r="S43" s="69">
        <v>1599735</v>
      </c>
      <c r="T43" s="69">
        <v>1619055</v>
      </c>
      <c r="U43" s="69">
        <f t="shared" si="127"/>
        <v>1609870</v>
      </c>
      <c r="V43" s="69">
        <v>1658834</v>
      </c>
      <c r="W43" s="69">
        <v>1682151</v>
      </c>
      <c r="X43" s="69"/>
      <c r="Y43" s="16">
        <f t="shared" si="128"/>
        <v>1482256</v>
      </c>
      <c r="Z43" s="16">
        <f t="shared" si="128"/>
        <v>1559560</v>
      </c>
      <c r="AA43" s="16">
        <f t="shared" si="129"/>
        <v>1549146</v>
      </c>
      <c r="AB43" s="16">
        <f t="shared" si="130"/>
        <v>1578316</v>
      </c>
      <c r="AC43" s="16">
        <f t="shared" si="131"/>
        <v>1574530</v>
      </c>
      <c r="AD43" s="16">
        <f t="shared" si="132"/>
        <v>1561767</v>
      </c>
      <c r="AE43" s="16">
        <f t="shared" si="133"/>
        <v>1599735</v>
      </c>
      <c r="AF43" s="16">
        <f t="shared" si="134"/>
        <v>1619055</v>
      </c>
      <c r="AG43" s="16">
        <f t="shared" si="135"/>
        <v>1609870</v>
      </c>
      <c r="AH43" s="16">
        <f t="shared" si="136"/>
        <v>1658834</v>
      </c>
      <c r="AI43" s="16">
        <f t="shared" si="137"/>
        <v>1682151</v>
      </c>
      <c r="AJ43" s="16"/>
      <c r="AK43" s="73">
        <f t="shared" si="112"/>
        <v>5.1518532756987812E-2</v>
      </c>
    </row>
    <row r="44" spans="1:37" x14ac:dyDescent="0.2">
      <c r="B44" s="13" t="s">
        <v>33</v>
      </c>
      <c r="C44" s="69">
        <v>10870</v>
      </c>
      <c r="D44" s="69">
        <v>10870</v>
      </c>
      <c r="E44" s="69">
        <v>10870</v>
      </c>
      <c r="F44" s="69">
        <v>10870</v>
      </c>
      <c r="G44" s="69">
        <v>10870</v>
      </c>
      <c r="H44" s="69">
        <v>10870</v>
      </c>
      <c r="I44" s="69"/>
      <c r="J44" s="69">
        <v>10870</v>
      </c>
      <c r="K44" s="69">
        <v>10870</v>
      </c>
      <c r="L44" s="69">
        <v>10870</v>
      </c>
      <c r="M44" s="69">
        <f t="shared" ref="M44:M47" si="138">E44</f>
        <v>10870</v>
      </c>
      <c r="N44" s="69">
        <v>10870</v>
      </c>
      <c r="O44" s="69">
        <v>10870</v>
      </c>
      <c r="P44" s="69">
        <v>10870</v>
      </c>
      <c r="Q44" s="69">
        <f t="shared" si="126"/>
        <v>10870</v>
      </c>
      <c r="R44" s="69">
        <v>10870</v>
      </c>
      <c r="S44" s="69">
        <v>10870</v>
      </c>
      <c r="T44" s="69">
        <v>10870</v>
      </c>
      <c r="U44" s="69">
        <f t="shared" si="127"/>
        <v>10870</v>
      </c>
      <c r="V44" s="69">
        <v>10870</v>
      </c>
      <c r="W44" s="69">
        <v>392606</v>
      </c>
      <c r="X44" s="69"/>
      <c r="Y44" s="16">
        <f t="shared" si="128"/>
        <v>10870</v>
      </c>
      <c r="Z44" s="16">
        <f t="shared" si="128"/>
        <v>10870</v>
      </c>
      <c r="AA44" s="16">
        <f t="shared" si="129"/>
        <v>10870</v>
      </c>
      <c r="AB44" s="16">
        <f t="shared" si="130"/>
        <v>10870</v>
      </c>
      <c r="AC44" s="16">
        <f t="shared" si="131"/>
        <v>10870</v>
      </c>
      <c r="AD44" s="16">
        <f t="shared" si="132"/>
        <v>10870</v>
      </c>
      <c r="AE44" s="16">
        <f t="shared" si="133"/>
        <v>10870</v>
      </c>
      <c r="AF44" s="16">
        <f t="shared" si="134"/>
        <v>10870</v>
      </c>
      <c r="AG44" s="16">
        <f t="shared" si="135"/>
        <v>10870</v>
      </c>
      <c r="AH44" s="16">
        <f t="shared" si="136"/>
        <v>10870</v>
      </c>
      <c r="AI44" s="16">
        <f t="shared" si="137"/>
        <v>392606</v>
      </c>
      <c r="AJ44" s="16"/>
      <c r="AK44" s="73">
        <f t="shared" si="112"/>
        <v>35.118307267709291</v>
      </c>
    </row>
    <row r="45" spans="1:37" x14ac:dyDescent="0.2">
      <c r="B45" s="13" t="s">
        <v>34</v>
      </c>
      <c r="C45" s="69">
        <v>4317</v>
      </c>
      <c r="D45" s="69">
        <v>2465</v>
      </c>
      <c r="E45" s="69">
        <v>1538</v>
      </c>
      <c r="F45" s="69">
        <v>1312</v>
      </c>
      <c r="G45" s="69">
        <v>510</v>
      </c>
      <c r="H45" s="69">
        <v>204</v>
      </c>
      <c r="I45" s="69"/>
      <c r="J45" s="69">
        <v>1307</v>
      </c>
      <c r="K45" s="69">
        <v>1075</v>
      </c>
      <c r="L45" s="69">
        <v>844</v>
      </c>
      <c r="M45" s="69">
        <f t="shared" si="138"/>
        <v>1538</v>
      </c>
      <c r="N45" s="69">
        <v>1015</v>
      </c>
      <c r="O45" s="69">
        <v>718</v>
      </c>
      <c r="P45" s="69">
        <v>591</v>
      </c>
      <c r="Q45" s="69">
        <f t="shared" si="126"/>
        <v>510</v>
      </c>
      <c r="R45" s="69">
        <v>434</v>
      </c>
      <c r="S45" s="69">
        <v>357</v>
      </c>
      <c r="T45" s="69">
        <v>281</v>
      </c>
      <c r="U45" s="69">
        <f t="shared" si="127"/>
        <v>204</v>
      </c>
      <c r="V45" s="69">
        <v>0</v>
      </c>
      <c r="W45" s="69">
        <v>5466</v>
      </c>
      <c r="X45" s="69"/>
      <c r="Y45" s="16">
        <f t="shared" si="128"/>
        <v>1538</v>
      </c>
      <c r="Z45" s="16">
        <f t="shared" si="128"/>
        <v>1015</v>
      </c>
      <c r="AA45" s="16">
        <f t="shared" si="129"/>
        <v>718</v>
      </c>
      <c r="AB45" s="16">
        <f t="shared" si="130"/>
        <v>591</v>
      </c>
      <c r="AC45" s="16">
        <f t="shared" si="131"/>
        <v>510</v>
      </c>
      <c r="AD45" s="16">
        <f t="shared" si="132"/>
        <v>434</v>
      </c>
      <c r="AE45" s="16">
        <f t="shared" si="133"/>
        <v>357</v>
      </c>
      <c r="AF45" s="16">
        <f t="shared" si="134"/>
        <v>281</v>
      </c>
      <c r="AG45" s="16">
        <f t="shared" si="135"/>
        <v>204</v>
      </c>
      <c r="AH45" s="16">
        <f t="shared" si="136"/>
        <v>0</v>
      </c>
      <c r="AI45" s="16">
        <f t="shared" si="137"/>
        <v>5466</v>
      </c>
      <c r="AJ45" s="16"/>
      <c r="AK45" s="73">
        <f t="shared" si="112"/>
        <v>14.3109243697479</v>
      </c>
    </row>
    <row r="46" spans="1:37" x14ac:dyDescent="0.2">
      <c r="B46" s="13" t="s">
        <v>61</v>
      </c>
      <c r="C46" s="69">
        <v>20511</v>
      </c>
      <c r="D46" s="69">
        <v>33223</v>
      </c>
      <c r="E46" s="69">
        <v>38409</v>
      </c>
      <c r="F46" s="69">
        <v>35382</v>
      </c>
      <c r="G46" s="69">
        <v>43516</v>
      </c>
      <c r="H46" s="69">
        <v>47951</v>
      </c>
      <c r="I46" s="69"/>
      <c r="J46" s="69">
        <v>35978</v>
      </c>
      <c r="K46" s="69">
        <v>33393</v>
      </c>
      <c r="L46" s="69">
        <v>31529</v>
      </c>
      <c r="M46" s="69">
        <f t="shared" si="138"/>
        <v>38409</v>
      </c>
      <c r="N46" s="69">
        <v>37002</v>
      </c>
      <c r="O46" s="69">
        <v>40087</v>
      </c>
      <c r="P46" s="69">
        <v>38371</v>
      </c>
      <c r="Q46" s="69">
        <f t="shared" si="126"/>
        <v>43516</v>
      </c>
      <c r="R46" s="69">
        <v>45718</v>
      </c>
      <c r="S46" s="69">
        <v>46280</v>
      </c>
      <c r="T46" s="69">
        <v>48872</v>
      </c>
      <c r="U46" s="69">
        <f t="shared" si="127"/>
        <v>47951</v>
      </c>
      <c r="V46" s="69">
        <v>47467</v>
      </c>
      <c r="W46" s="69">
        <v>50550</v>
      </c>
      <c r="X46" s="69"/>
      <c r="Y46" s="16">
        <f t="shared" si="128"/>
        <v>38409</v>
      </c>
      <c r="Z46" s="16">
        <f t="shared" si="128"/>
        <v>37002</v>
      </c>
      <c r="AA46" s="16">
        <f t="shared" si="129"/>
        <v>40087</v>
      </c>
      <c r="AB46" s="16">
        <f t="shared" si="130"/>
        <v>38371</v>
      </c>
      <c r="AC46" s="16">
        <f t="shared" si="131"/>
        <v>43516</v>
      </c>
      <c r="AD46" s="16">
        <f t="shared" si="132"/>
        <v>45718</v>
      </c>
      <c r="AE46" s="16">
        <f t="shared" si="133"/>
        <v>46280</v>
      </c>
      <c r="AF46" s="16">
        <f t="shared" si="134"/>
        <v>48872</v>
      </c>
      <c r="AG46" s="16">
        <f t="shared" si="135"/>
        <v>47951</v>
      </c>
      <c r="AH46" s="16">
        <f t="shared" si="136"/>
        <v>47467</v>
      </c>
      <c r="AI46" s="16">
        <f t="shared" si="137"/>
        <v>50550</v>
      </c>
      <c r="AJ46" s="16"/>
      <c r="AK46" s="73">
        <f t="shared" si="112"/>
        <v>9.2264477095937769E-2</v>
      </c>
    </row>
    <row r="47" spans="1:37" x14ac:dyDescent="0.2">
      <c r="B47" s="13" t="s">
        <v>62</v>
      </c>
      <c r="C47" s="69">
        <v>14584</v>
      </c>
      <c r="D47" s="69">
        <v>28225</v>
      </c>
      <c r="E47" s="69">
        <v>35647</v>
      </c>
      <c r="F47" s="69">
        <v>43007</v>
      </c>
      <c r="G47" s="69">
        <v>58732</v>
      </c>
      <c r="H47" s="69">
        <v>64695</v>
      </c>
      <c r="I47" s="69"/>
      <c r="J47" s="69">
        <v>34431</v>
      </c>
      <c r="K47" s="69">
        <v>36480</v>
      </c>
      <c r="L47" s="69">
        <v>18512</v>
      </c>
      <c r="M47" s="69">
        <f t="shared" si="138"/>
        <v>35647</v>
      </c>
      <c r="N47" s="69">
        <v>61314</v>
      </c>
      <c r="O47" s="69">
        <v>55547</v>
      </c>
      <c r="P47" s="69">
        <v>56946</v>
      </c>
      <c r="Q47" s="69">
        <f t="shared" si="126"/>
        <v>58732</v>
      </c>
      <c r="R47" s="69">
        <v>56864</v>
      </c>
      <c r="S47" s="69">
        <v>55575</v>
      </c>
      <c r="T47" s="69">
        <v>60127</v>
      </c>
      <c r="U47" s="69">
        <f t="shared" si="127"/>
        <v>64695</v>
      </c>
      <c r="V47" s="69">
        <v>78541</v>
      </c>
      <c r="W47" s="69">
        <v>98324</v>
      </c>
      <c r="X47" s="69"/>
      <c r="Y47" s="16">
        <f t="shared" si="128"/>
        <v>35647</v>
      </c>
      <c r="Z47" s="16">
        <f t="shared" si="128"/>
        <v>61314</v>
      </c>
      <c r="AA47" s="16">
        <f t="shared" si="129"/>
        <v>55547</v>
      </c>
      <c r="AB47" s="16">
        <f t="shared" si="130"/>
        <v>56946</v>
      </c>
      <c r="AC47" s="16">
        <f t="shared" si="131"/>
        <v>58732</v>
      </c>
      <c r="AD47" s="16">
        <f t="shared" si="132"/>
        <v>56864</v>
      </c>
      <c r="AE47" s="16">
        <f t="shared" si="133"/>
        <v>55575</v>
      </c>
      <c r="AF47" s="16">
        <f t="shared" si="134"/>
        <v>60127</v>
      </c>
      <c r="AG47" s="16">
        <f t="shared" si="135"/>
        <v>64695</v>
      </c>
      <c r="AH47" s="16">
        <f t="shared" si="136"/>
        <v>78541</v>
      </c>
      <c r="AI47" s="16">
        <f t="shared" si="137"/>
        <v>98324</v>
      </c>
      <c r="AJ47" s="16"/>
      <c r="AK47" s="73">
        <f t="shared" si="112"/>
        <v>0.76921277552856493</v>
      </c>
    </row>
    <row r="48" spans="1:37" x14ac:dyDescent="0.2">
      <c r="B48" s="64" t="s">
        <v>107</v>
      </c>
      <c r="C48" s="65">
        <f>SUM(C42:C47)+C40</f>
        <v>3191172</v>
      </c>
      <c r="D48" s="65">
        <f>SUM(D42:D47)+D40</f>
        <v>5089969</v>
      </c>
      <c r="E48" s="65">
        <f>SUM(E42:E47)+E40</f>
        <v>4764379</v>
      </c>
      <c r="F48" s="65">
        <f>SUM(F42:F47)+F40</f>
        <v>5370411</v>
      </c>
      <c r="G48" s="65">
        <f>SUM(G42:G47)+G40</f>
        <v>5707011</v>
      </c>
      <c r="H48" s="65">
        <f>SUM(H42:H47)+H40</f>
        <v>6001693</v>
      </c>
      <c r="I48" s="15"/>
      <c r="J48" s="65">
        <f>SUM(J42:J47)+J40</f>
        <v>5012036</v>
      </c>
      <c r="K48" s="65">
        <f>SUM(K42:K47)+K40</f>
        <v>4945994</v>
      </c>
      <c r="L48" s="65">
        <f>SUM(L42:L47)+L40</f>
        <v>5331549</v>
      </c>
      <c r="M48" s="65">
        <f>SUM(M42:M47)+M40</f>
        <v>4764379</v>
      </c>
      <c r="N48" s="65">
        <f>SUM(N42:N47)+N40</f>
        <v>5375719</v>
      </c>
      <c r="O48" s="65">
        <f>SUM(O42:O47)+O40</f>
        <v>5248760</v>
      </c>
      <c r="P48" s="65">
        <f>SUM(P42:P47)+P40</f>
        <v>5595008</v>
      </c>
      <c r="Q48" s="65">
        <f>SUM(Q42:Q47)+Q40</f>
        <v>5707011</v>
      </c>
      <c r="R48" s="65">
        <f>SUM(R42:R47)+R40</f>
        <v>5631939</v>
      </c>
      <c r="S48" s="65">
        <f>SUM(S42:S47)+S40</f>
        <v>5737408</v>
      </c>
      <c r="T48" s="65">
        <f>SUM(T42:T47)+T40</f>
        <v>5958486</v>
      </c>
      <c r="U48" s="65">
        <f>SUM(U42:U47)+U40</f>
        <v>6001693</v>
      </c>
      <c r="V48" s="65">
        <f>SUM(V42:V47)+V40</f>
        <v>5986689</v>
      </c>
      <c r="W48" s="65">
        <f>SUM(W42:W47)+W40</f>
        <v>6630648</v>
      </c>
      <c r="X48" s="15"/>
      <c r="Y48" s="65">
        <f t="shared" ref="Y48:Z48" si="139">SUM(Y42:Y47)+Y40</f>
        <v>4764379</v>
      </c>
      <c r="Z48" s="65">
        <f t="shared" si="139"/>
        <v>5375719</v>
      </c>
      <c r="AA48" s="65">
        <f t="shared" ref="AA48" si="140">SUM(AA42:AA47)+AA40</f>
        <v>5248760</v>
      </c>
      <c r="AB48" s="65">
        <f t="shared" ref="AB48" si="141">SUM(AB42:AB47)+AB40</f>
        <v>5595008</v>
      </c>
      <c r="AC48" s="65">
        <f t="shared" ref="AC48" si="142">SUM(AC42:AC47)+AC40</f>
        <v>5707011</v>
      </c>
      <c r="AD48" s="65">
        <f t="shared" ref="AD48" si="143">SUM(AD42:AD47)+AD40</f>
        <v>5631939</v>
      </c>
      <c r="AE48" s="65">
        <f t="shared" ref="AE48" si="144">SUM(AE42:AE47)+AE40</f>
        <v>5737408</v>
      </c>
      <c r="AF48" s="65">
        <f t="shared" ref="AF48:AH48" si="145">SUM(AF42:AF47)+AF40</f>
        <v>5958486</v>
      </c>
      <c r="AG48" s="65">
        <f t="shared" si="145"/>
        <v>6001693</v>
      </c>
      <c r="AH48" s="65">
        <f t="shared" si="145"/>
        <v>5986689</v>
      </c>
      <c r="AI48" s="65">
        <f>SUM(AI42:AI47)+AI40</f>
        <v>6630648</v>
      </c>
      <c r="AJ48" s="24"/>
      <c r="AK48" s="74">
        <f t="shared" si="112"/>
        <v>0.15568702800986101</v>
      </c>
    </row>
    <row r="49" spans="2:37" x14ac:dyDescent="0.2">
      <c r="B49" s="29"/>
      <c r="C49" s="46"/>
      <c r="D49" s="46"/>
      <c r="E49" s="46"/>
      <c r="F49" s="46"/>
      <c r="G49" s="44"/>
      <c r="H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74"/>
    </row>
    <row r="50" spans="2:37" x14ac:dyDescent="0.2">
      <c r="B50" s="13" t="s">
        <v>63</v>
      </c>
      <c r="C50" s="69">
        <v>404016</v>
      </c>
      <c r="D50" s="69">
        <v>477052</v>
      </c>
      <c r="E50" s="69">
        <v>552730</v>
      </c>
      <c r="F50" s="69">
        <v>559527</v>
      </c>
      <c r="G50" s="69">
        <v>544001</v>
      </c>
      <c r="H50" s="69">
        <v>563761</v>
      </c>
      <c r="I50" s="69"/>
      <c r="J50" s="69">
        <v>585500</v>
      </c>
      <c r="K50" s="69">
        <v>586851</v>
      </c>
      <c r="L50" s="69">
        <v>647117</v>
      </c>
      <c r="M50" s="69">
        <f>E50</f>
        <v>552730</v>
      </c>
      <c r="N50" s="69">
        <v>621272</v>
      </c>
      <c r="O50" s="69">
        <v>521315</v>
      </c>
      <c r="P50" s="69">
        <v>597373</v>
      </c>
      <c r="Q50" s="69">
        <f t="shared" ref="Q50:Q55" si="146">G50</f>
        <v>544001</v>
      </c>
      <c r="R50" s="69">
        <v>463777</v>
      </c>
      <c r="S50" s="69">
        <v>566904</v>
      </c>
      <c r="T50" s="69">
        <v>593219</v>
      </c>
      <c r="U50" s="69">
        <f t="shared" ref="U50:U55" si="147">H50</f>
        <v>563761</v>
      </c>
      <c r="V50" s="69">
        <v>537518</v>
      </c>
      <c r="W50" s="69">
        <v>708655</v>
      </c>
      <c r="X50" s="69"/>
      <c r="Y50" s="69">
        <f t="shared" ref="Y50:Z55" si="148">M50</f>
        <v>552730</v>
      </c>
      <c r="Z50" s="69">
        <f t="shared" si="148"/>
        <v>621272</v>
      </c>
      <c r="AA50" s="69">
        <f t="shared" ref="AA50:AA55" si="149">O50</f>
        <v>521315</v>
      </c>
      <c r="AB50" s="69">
        <f t="shared" ref="AB50:AB55" si="150">P50</f>
        <v>597373</v>
      </c>
      <c r="AC50" s="69">
        <f t="shared" ref="AC50:AC55" si="151">Q50</f>
        <v>544001</v>
      </c>
      <c r="AD50" s="69">
        <f t="shared" ref="AD50:AD55" si="152">R50</f>
        <v>463777</v>
      </c>
      <c r="AE50" s="69">
        <f t="shared" ref="AE50:AE55" si="153">S50</f>
        <v>566904</v>
      </c>
      <c r="AF50" s="69">
        <f t="shared" ref="AF50:AF55" si="154">T50</f>
        <v>593219</v>
      </c>
      <c r="AG50" s="69">
        <f t="shared" ref="AG50:AG55" si="155">U50</f>
        <v>563761</v>
      </c>
      <c r="AH50" s="69">
        <f t="shared" ref="AH50:AH55" si="156">V50</f>
        <v>537518</v>
      </c>
      <c r="AI50" s="69">
        <f t="shared" ref="AI50:AI55" si="157">W50</f>
        <v>708655</v>
      </c>
      <c r="AJ50" s="16"/>
      <c r="AK50" s="73">
        <f t="shared" si="112"/>
        <v>0.25004409917728565</v>
      </c>
    </row>
    <row r="51" spans="2:37" x14ac:dyDescent="0.2">
      <c r="B51" s="13" t="s">
        <v>64</v>
      </c>
      <c r="C51" s="69">
        <v>220666</v>
      </c>
      <c r="D51" s="69">
        <v>296334</v>
      </c>
      <c r="E51" s="69">
        <v>364797</v>
      </c>
      <c r="F51" s="69">
        <v>444278</v>
      </c>
      <c r="G51" s="69">
        <v>382468</v>
      </c>
      <c r="H51" s="69">
        <v>380241</v>
      </c>
      <c r="I51" s="69"/>
      <c r="J51" s="69">
        <v>305000</v>
      </c>
      <c r="K51" s="69">
        <v>323939</v>
      </c>
      <c r="L51" s="69">
        <v>462773</v>
      </c>
      <c r="M51" s="69">
        <f t="shared" ref="M51:M55" si="158">E51</f>
        <v>364797</v>
      </c>
      <c r="N51" s="69">
        <v>308583</v>
      </c>
      <c r="O51" s="69">
        <v>328247</v>
      </c>
      <c r="P51" s="69">
        <v>405443</v>
      </c>
      <c r="Q51" s="69">
        <f t="shared" si="146"/>
        <v>382468</v>
      </c>
      <c r="R51" s="69">
        <v>332692</v>
      </c>
      <c r="S51" s="69">
        <v>348042</v>
      </c>
      <c r="T51" s="69">
        <v>333463</v>
      </c>
      <c r="U51" s="69">
        <f t="shared" si="147"/>
        <v>380241</v>
      </c>
      <c r="V51" s="69">
        <v>346960</v>
      </c>
      <c r="W51" s="69">
        <v>460232</v>
      </c>
      <c r="X51" s="69"/>
      <c r="Y51" s="69">
        <f t="shared" si="148"/>
        <v>364797</v>
      </c>
      <c r="Z51" s="69">
        <f t="shared" si="148"/>
        <v>308583</v>
      </c>
      <c r="AA51" s="69">
        <f t="shared" si="149"/>
        <v>328247</v>
      </c>
      <c r="AB51" s="69">
        <f t="shared" si="150"/>
        <v>405443</v>
      </c>
      <c r="AC51" s="69">
        <f t="shared" si="151"/>
        <v>382468</v>
      </c>
      <c r="AD51" s="69">
        <f t="shared" si="152"/>
        <v>332692</v>
      </c>
      <c r="AE51" s="69">
        <f t="shared" si="153"/>
        <v>348042</v>
      </c>
      <c r="AF51" s="69">
        <f t="shared" si="154"/>
        <v>333463</v>
      </c>
      <c r="AG51" s="69">
        <f t="shared" si="155"/>
        <v>380241</v>
      </c>
      <c r="AH51" s="69">
        <f t="shared" si="156"/>
        <v>346960</v>
      </c>
      <c r="AI51" s="69">
        <f t="shared" si="157"/>
        <v>460232</v>
      </c>
      <c r="AJ51" s="16"/>
      <c r="AK51" s="73">
        <f t="shared" si="112"/>
        <v>0.3223461536251373</v>
      </c>
    </row>
    <row r="52" spans="2:37" x14ac:dyDescent="0.2">
      <c r="B52" s="13" t="s">
        <v>65</v>
      </c>
      <c r="C52" s="69">
        <v>199054</v>
      </c>
      <c r="D52" s="69">
        <v>274383</v>
      </c>
      <c r="E52" s="69">
        <v>353579</v>
      </c>
      <c r="F52" s="69">
        <v>394677</v>
      </c>
      <c r="G52" s="69">
        <v>436591</v>
      </c>
      <c r="H52" s="69">
        <v>500585</v>
      </c>
      <c r="I52" s="69"/>
      <c r="J52" s="69">
        <v>324694</v>
      </c>
      <c r="K52" s="69">
        <v>316571</v>
      </c>
      <c r="L52" s="69">
        <v>312132</v>
      </c>
      <c r="M52" s="69">
        <f t="shared" si="158"/>
        <v>353579</v>
      </c>
      <c r="N52" s="69">
        <v>357217</v>
      </c>
      <c r="O52" s="69">
        <v>354253</v>
      </c>
      <c r="P52" s="69">
        <v>350937</v>
      </c>
      <c r="Q52" s="69">
        <f t="shared" si="146"/>
        <v>436591</v>
      </c>
      <c r="R52" s="69">
        <v>398729</v>
      </c>
      <c r="S52" s="69">
        <v>394987</v>
      </c>
      <c r="T52" s="69">
        <v>405040</v>
      </c>
      <c r="U52" s="69">
        <f t="shared" si="147"/>
        <v>500585</v>
      </c>
      <c r="V52" s="69">
        <v>462843</v>
      </c>
      <c r="W52" s="69">
        <v>460232</v>
      </c>
      <c r="X52" s="69"/>
      <c r="Y52" s="69">
        <f t="shared" si="148"/>
        <v>353579</v>
      </c>
      <c r="Z52" s="69">
        <f t="shared" si="148"/>
        <v>357217</v>
      </c>
      <c r="AA52" s="69">
        <f t="shared" si="149"/>
        <v>354253</v>
      </c>
      <c r="AB52" s="69">
        <f t="shared" si="150"/>
        <v>350937</v>
      </c>
      <c r="AC52" s="69">
        <f t="shared" si="151"/>
        <v>436591</v>
      </c>
      <c r="AD52" s="69">
        <f t="shared" si="152"/>
        <v>398729</v>
      </c>
      <c r="AE52" s="69">
        <f t="shared" si="153"/>
        <v>394987</v>
      </c>
      <c r="AF52" s="69">
        <f t="shared" si="154"/>
        <v>405040</v>
      </c>
      <c r="AG52" s="69">
        <f t="shared" si="155"/>
        <v>500585</v>
      </c>
      <c r="AH52" s="69">
        <f t="shared" si="156"/>
        <v>462843</v>
      </c>
      <c r="AI52" s="69">
        <f t="shared" si="157"/>
        <v>460232</v>
      </c>
      <c r="AJ52" s="16"/>
      <c r="AK52" s="73">
        <f t="shared" si="112"/>
        <v>0.16518265158093803</v>
      </c>
    </row>
    <row r="53" spans="2:37" x14ac:dyDescent="0.2">
      <c r="B53" s="13" t="s">
        <v>66</v>
      </c>
      <c r="C53" s="69">
        <v>0</v>
      </c>
      <c r="D53" s="69">
        <v>253415</v>
      </c>
      <c r="E53" s="69">
        <v>274118</v>
      </c>
      <c r="F53" s="69">
        <v>283293</v>
      </c>
      <c r="G53" s="69">
        <v>283821</v>
      </c>
      <c r="H53" s="69">
        <v>288114</v>
      </c>
      <c r="I53" s="69"/>
      <c r="J53" s="69">
        <v>276440</v>
      </c>
      <c r="K53" s="69">
        <v>274693</v>
      </c>
      <c r="L53" s="69">
        <v>275749</v>
      </c>
      <c r="M53" s="69">
        <f t="shared" si="158"/>
        <v>274118</v>
      </c>
      <c r="N53" s="69">
        <v>288133</v>
      </c>
      <c r="O53" s="69">
        <v>287359</v>
      </c>
      <c r="P53" s="69">
        <v>287786</v>
      </c>
      <c r="Q53" s="69">
        <f t="shared" si="146"/>
        <v>283821</v>
      </c>
      <c r="R53" s="69">
        <v>284815</v>
      </c>
      <c r="S53" s="69">
        <v>281301</v>
      </c>
      <c r="T53" s="69">
        <v>284985</v>
      </c>
      <c r="U53" s="69">
        <f t="shared" si="147"/>
        <v>288114</v>
      </c>
      <c r="V53" s="69">
        <v>285764</v>
      </c>
      <c r="W53" s="69">
        <v>282593</v>
      </c>
      <c r="X53" s="69"/>
      <c r="Y53" s="69">
        <f t="shared" si="148"/>
        <v>274118</v>
      </c>
      <c r="Z53" s="69">
        <f t="shared" si="148"/>
        <v>288133</v>
      </c>
      <c r="AA53" s="69">
        <f t="shared" si="149"/>
        <v>287359</v>
      </c>
      <c r="AB53" s="69">
        <f t="shared" si="150"/>
        <v>287786</v>
      </c>
      <c r="AC53" s="69">
        <f t="shared" si="151"/>
        <v>283821</v>
      </c>
      <c r="AD53" s="69">
        <f t="shared" si="152"/>
        <v>284815</v>
      </c>
      <c r="AE53" s="69">
        <f t="shared" si="153"/>
        <v>281301</v>
      </c>
      <c r="AF53" s="69">
        <f t="shared" si="154"/>
        <v>284985</v>
      </c>
      <c r="AG53" s="69">
        <f t="shared" si="155"/>
        <v>288114</v>
      </c>
      <c r="AH53" s="69">
        <f t="shared" si="156"/>
        <v>285764</v>
      </c>
      <c r="AI53" s="69">
        <f t="shared" si="157"/>
        <v>282593</v>
      </c>
      <c r="AJ53" s="16"/>
      <c r="AK53" s="73">
        <f t="shared" si="112"/>
        <v>4.5929449237649411E-3</v>
      </c>
    </row>
    <row r="54" spans="2:37" x14ac:dyDescent="0.2">
      <c r="B54" s="13" t="s">
        <v>67</v>
      </c>
      <c r="C54" s="69">
        <v>0</v>
      </c>
      <c r="D54" s="69">
        <v>42529</v>
      </c>
      <c r="E54" s="69">
        <v>12786</v>
      </c>
      <c r="F54" s="69">
        <v>0</v>
      </c>
      <c r="G54" s="69">
        <v>11310</v>
      </c>
      <c r="H54" s="69">
        <v>46777</v>
      </c>
      <c r="I54" s="69"/>
      <c r="J54" s="69">
        <v>108113</v>
      </c>
      <c r="K54" s="69">
        <v>0</v>
      </c>
      <c r="L54" s="69">
        <v>0</v>
      </c>
      <c r="M54" s="69">
        <f t="shared" si="158"/>
        <v>12786</v>
      </c>
      <c r="N54" s="69">
        <v>58695</v>
      </c>
      <c r="O54" s="69">
        <v>0</v>
      </c>
      <c r="P54" s="69">
        <v>0</v>
      </c>
      <c r="Q54" s="69">
        <f t="shared" si="146"/>
        <v>11310</v>
      </c>
      <c r="R54" s="69">
        <v>92711</v>
      </c>
      <c r="S54" s="69">
        <v>0</v>
      </c>
      <c r="T54" s="69">
        <v>0</v>
      </c>
      <c r="U54" s="69">
        <f t="shared" si="147"/>
        <v>46777</v>
      </c>
      <c r="V54" s="69">
        <v>130765</v>
      </c>
      <c r="W54" s="69">
        <v>0</v>
      </c>
      <c r="X54" s="69"/>
      <c r="Y54" s="69">
        <f t="shared" si="148"/>
        <v>12786</v>
      </c>
      <c r="Z54" s="69">
        <f t="shared" si="148"/>
        <v>58695</v>
      </c>
      <c r="AA54" s="69">
        <f t="shared" si="149"/>
        <v>0</v>
      </c>
      <c r="AB54" s="69">
        <f t="shared" si="150"/>
        <v>0</v>
      </c>
      <c r="AC54" s="69">
        <f t="shared" si="151"/>
        <v>11310</v>
      </c>
      <c r="AD54" s="69">
        <f t="shared" si="152"/>
        <v>92711</v>
      </c>
      <c r="AE54" s="69">
        <f t="shared" si="153"/>
        <v>0</v>
      </c>
      <c r="AF54" s="69">
        <f t="shared" si="154"/>
        <v>0</v>
      </c>
      <c r="AG54" s="69">
        <f t="shared" si="155"/>
        <v>46777</v>
      </c>
      <c r="AH54" s="69">
        <f t="shared" si="156"/>
        <v>130765</v>
      </c>
      <c r="AI54" s="69">
        <f t="shared" si="157"/>
        <v>0</v>
      </c>
      <c r="AJ54" s="16"/>
      <c r="AK54" s="73" t="e">
        <f t="shared" si="112"/>
        <v>#DIV/0!</v>
      </c>
    </row>
    <row r="55" spans="2:37" x14ac:dyDescent="0.2">
      <c r="B55" s="13" t="s">
        <v>35</v>
      </c>
      <c r="C55" s="69">
        <v>0</v>
      </c>
      <c r="D55" s="69">
        <v>0</v>
      </c>
      <c r="E55" s="69">
        <v>0</v>
      </c>
      <c r="F55" s="69">
        <v>0</v>
      </c>
      <c r="G55" s="69">
        <v>0</v>
      </c>
      <c r="H55" s="69">
        <v>0</v>
      </c>
      <c r="I55" s="69"/>
      <c r="J55" s="69">
        <v>0</v>
      </c>
      <c r="K55" s="69">
        <v>0</v>
      </c>
      <c r="L55" s="69">
        <v>0</v>
      </c>
      <c r="M55" s="69">
        <f t="shared" si="158"/>
        <v>0</v>
      </c>
      <c r="N55" s="69">
        <v>0</v>
      </c>
      <c r="O55" s="69">
        <v>0</v>
      </c>
      <c r="P55" s="69">
        <v>195400</v>
      </c>
      <c r="Q55" s="69">
        <f t="shared" si="146"/>
        <v>0</v>
      </c>
      <c r="R55" s="69">
        <v>0</v>
      </c>
      <c r="S55" s="69">
        <v>0</v>
      </c>
      <c r="T55" s="69">
        <v>199700</v>
      </c>
      <c r="U55" s="69">
        <f t="shared" si="147"/>
        <v>0</v>
      </c>
      <c r="V55" s="69">
        <v>0</v>
      </c>
      <c r="W55" s="69">
        <v>289101</v>
      </c>
      <c r="X55" s="69"/>
      <c r="Y55" s="69">
        <f t="shared" si="148"/>
        <v>0</v>
      </c>
      <c r="Z55" s="69">
        <f t="shared" si="148"/>
        <v>0</v>
      </c>
      <c r="AA55" s="69">
        <f t="shared" si="149"/>
        <v>0</v>
      </c>
      <c r="AB55" s="69">
        <f t="shared" si="150"/>
        <v>195400</v>
      </c>
      <c r="AC55" s="69">
        <f t="shared" si="151"/>
        <v>0</v>
      </c>
      <c r="AD55" s="69">
        <f t="shared" si="152"/>
        <v>0</v>
      </c>
      <c r="AE55" s="69">
        <f t="shared" si="153"/>
        <v>0</v>
      </c>
      <c r="AF55" s="69">
        <f t="shared" si="154"/>
        <v>199700</v>
      </c>
      <c r="AG55" s="69">
        <f t="shared" si="155"/>
        <v>0</v>
      </c>
      <c r="AH55" s="69">
        <f t="shared" si="156"/>
        <v>0</v>
      </c>
      <c r="AI55" s="69">
        <f t="shared" si="157"/>
        <v>289101</v>
      </c>
      <c r="AJ55" s="16"/>
      <c r="AK55" s="73" t="e">
        <f t="shared" si="112"/>
        <v>#DIV/0!</v>
      </c>
    </row>
    <row r="56" spans="2:37" x14ac:dyDescent="0.2">
      <c r="B56" s="30" t="s">
        <v>110</v>
      </c>
      <c r="C56" s="45">
        <f t="shared" ref="C56" si="159">SUM(C50:C55)</f>
        <v>823736</v>
      </c>
      <c r="D56" s="45">
        <f t="shared" ref="D56" si="160">SUM(D50:D55)</f>
        <v>1343713</v>
      </c>
      <c r="E56" s="45">
        <f t="shared" ref="E56" si="161">SUM(E50:E55)</f>
        <v>1558010</v>
      </c>
      <c r="F56" s="45">
        <f t="shared" ref="F56" si="162">SUM(F50:F55)</f>
        <v>1681775</v>
      </c>
      <c r="G56" s="45">
        <f t="shared" ref="G56:H56" si="163">SUM(G50:G55)</f>
        <v>1658191</v>
      </c>
      <c r="H56" s="45">
        <f t="shared" si="163"/>
        <v>1779478</v>
      </c>
      <c r="J56" s="45">
        <f>SUM(J50:J55)</f>
        <v>1599747</v>
      </c>
      <c r="K56" s="45">
        <f>SUM(K50:K55)</f>
        <v>1502054</v>
      </c>
      <c r="L56" s="45">
        <f>SUM(L50:L55)</f>
        <v>1697771</v>
      </c>
      <c r="M56" s="45">
        <f t="shared" ref="M56:Q56" si="164">SUM(M50:M54)</f>
        <v>1558010</v>
      </c>
      <c r="N56" s="45">
        <f>SUM(N50:N55)</f>
        <v>1633900</v>
      </c>
      <c r="O56" s="45">
        <f>SUM(O50:O55)</f>
        <v>1491174</v>
      </c>
      <c r="P56" s="45">
        <f t="shared" si="164"/>
        <v>1641539</v>
      </c>
      <c r="Q56" s="45">
        <f t="shared" si="164"/>
        <v>1658191</v>
      </c>
      <c r="R56" s="45">
        <f t="shared" ref="R56:S56" si="165">SUM(R50:R55)</f>
        <v>1572724</v>
      </c>
      <c r="S56" s="45">
        <f t="shared" si="165"/>
        <v>1591234</v>
      </c>
      <c r="T56" s="45">
        <f>SUM(T50:T55)</f>
        <v>1816407</v>
      </c>
      <c r="U56" s="45">
        <f>SUM(U50:U55)</f>
        <v>1779478</v>
      </c>
      <c r="V56" s="45">
        <f>SUM(V50:V55)</f>
        <v>1763850</v>
      </c>
      <c r="W56" s="45">
        <f>SUM(W50:W55)</f>
        <v>2200813</v>
      </c>
      <c r="Y56" s="45">
        <f t="shared" ref="Y56" si="166">SUM(Y50:Y55)</f>
        <v>1558010</v>
      </c>
      <c r="Z56" s="45">
        <f t="shared" ref="Z56:AA56" si="167">SUM(Z50:Z55)</f>
        <v>1633900</v>
      </c>
      <c r="AA56" s="45">
        <f t="shared" si="167"/>
        <v>1491174</v>
      </c>
      <c r="AB56" s="45">
        <f t="shared" ref="AB56:AC56" si="168">SUM(AB50:AB55)</f>
        <v>1836939</v>
      </c>
      <c r="AC56" s="45">
        <f t="shared" si="168"/>
        <v>1658191</v>
      </c>
      <c r="AD56" s="45">
        <f t="shared" ref="AD56:AI56" si="169">SUM(AD50:AD55)</f>
        <v>1572724</v>
      </c>
      <c r="AE56" s="45">
        <f t="shared" si="169"/>
        <v>1591234</v>
      </c>
      <c r="AF56" s="45">
        <f t="shared" ref="AF56:AH56" si="170">SUM(AF50:AF55)</f>
        <v>1816407</v>
      </c>
      <c r="AG56" s="45">
        <f t="shared" si="170"/>
        <v>1779478</v>
      </c>
      <c r="AH56" s="45">
        <f t="shared" si="170"/>
        <v>1763850</v>
      </c>
      <c r="AI56" s="45">
        <f t="shared" si="169"/>
        <v>2200813</v>
      </c>
      <c r="AJ56" s="24"/>
      <c r="AK56" s="74">
        <f t="shared" si="112"/>
        <v>0.38308570581071044</v>
      </c>
    </row>
    <row r="57" spans="2:37" x14ac:dyDescent="0.2">
      <c r="B57" s="29"/>
      <c r="C57" s="46"/>
      <c r="D57" s="46"/>
      <c r="E57" s="46"/>
      <c r="F57" s="46"/>
      <c r="G57" s="44"/>
      <c r="H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73"/>
    </row>
    <row r="58" spans="2:37" x14ac:dyDescent="0.2">
      <c r="B58" s="13" t="s">
        <v>69</v>
      </c>
      <c r="C58" s="69">
        <v>0</v>
      </c>
      <c r="D58" s="69">
        <v>1643386</v>
      </c>
      <c r="E58" s="69">
        <v>1572638</v>
      </c>
      <c r="F58" s="69">
        <v>1619883</v>
      </c>
      <c r="G58" s="69">
        <v>1627271</v>
      </c>
      <c r="H58" s="69">
        <v>1635120</v>
      </c>
      <c r="I58" s="69"/>
      <c r="J58" s="69">
        <v>1568356</v>
      </c>
      <c r="K58" s="69">
        <v>1582003</v>
      </c>
      <c r="L58" s="69">
        <v>1621252</v>
      </c>
      <c r="M58" s="69">
        <f t="shared" ref="M58:M60" si="171">E58</f>
        <v>1572638</v>
      </c>
      <c r="N58" s="69">
        <v>1610256</v>
      </c>
      <c r="O58" s="69">
        <v>1593040</v>
      </c>
      <c r="P58" s="69">
        <v>1616747</v>
      </c>
      <c r="Q58" s="69">
        <f>G58</f>
        <v>1627271</v>
      </c>
      <c r="R58" s="69">
        <v>1607953</v>
      </c>
      <c r="S58" s="69">
        <v>1647698</v>
      </c>
      <c r="T58" s="69">
        <v>1656317</v>
      </c>
      <c r="U58" s="69">
        <f t="shared" ref="U58:U60" si="172">H58</f>
        <v>1635120</v>
      </c>
      <c r="V58" s="69">
        <v>1689439</v>
      </c>
      <c r="W58" s="69">
        <v>1716133</v>
      </c>
      <c r="X58" s="69"/>
      <c r="Y58" s="16">
        <f t="shared" ref="Y58:Z60" si="173">M58</f>
        <v>1572638</v>
      </c>
      <c r="Z58" s="16">
        <f t="shared" si="173"/>
        <v>1610256</v>
      </c>
      <c r="AA58" s="16">
        <f t="shared" ref="AA58:AA60" si="174">O58</f>
        <v>1593040</v>
      </c>
      <c r="AB58" s="16">
        <f t="shared" ref="AB58:AB60" si="175">P58</f>
        <v>1616747</v>
      </c>
      <c r="AC58" s="16">
        <f t="shared" ref="AC58:AC60" si="176">Q58</f>
        <v>1627271</v>
      </c>
      <c r="AD58" s="16">
        <f t="shared" ref="AD58:AD60" si="177">R58</f>
        <v>1607953</v>
      </c>
      <c r="AE58" s="16">
        <f t="shared" ref="AE58:AE60" si="178">S58</f>
        <v>1647698</v>
      </c>
      <c r="AF58" s="16">
        <f t="shared" ref="AF58:AF60" si="179">T58</f>
        <v>1656317</v>
      </c>
      <c r="AG58" s="16">
        <f t="shared" ref="AG58:AG60" si="180">U58</f>
        <v>1635120</v>
      </c>
      <c r="AH58" s="16">
        <f t="shared" ref="AH58:AH60" si="181">V58</f>
        <v>1689439</v>
      </c>
      <c r="AI58" s="16">
        <f t="shared" ref="AI58:AI60" si="182">W58</f>
        <v>1716133</v>
      </c>
      <c r="AJ58" s="24"/>
      <c r="AK58" s="73">
        <f t="shared" si="112"/>
        <v>4.1533703384964982E-2</v>
      </c>
    </row>
    <row r="59" spans="2:37" x14ac:dyDescent="0.2">
      <c r="B59" s="13" t="s">
        <v>70</v>
      </c>
      <c r="C59" s="69">
        <v>83864</v>
      </c>
      <c r="D59" s="69">
        <v>65359</v>
      </c>
      <c r="E59" s="69">
        <v>39693</v>
      </c>
      <c r="F59" s="69">
        <v>55346</v>
      </c>
      <c r="G59" s="69">
        <v>85921</v>
      </c>
      <c r="H59" s="69">
        <v>42593</v>
      </c>
      <c r="I59" s="69"/>
      <c r="J59" s="69">
        <v>40702</v>
      </c>
      <c r="K59" s="69">
        <v>40029</v>
      </c>
      <c r="L59" s="69">
        <v>38627</v>
      </c>
      <c r="M59" s="69">
        <f t="shared" si="171"/>
        <v>39693</v>
      </c>
      <c r="N59" s="69">
        <v>57490</v>
      </c>
      <c r="O59" s="69">
        <v>56012</v>
      </c>
      <c r="P59" s="69">
        <v>56874</v>
      </c>
      <c r="Q59" s="69">
        <f>G59</f>
        <v>85921</v>
      </c>
      <c r="R59" s="69">
        <v>89556</v>
      </c>
      <c r="S59" s="69">
        <v>88461</v>
      </c>
      <c r="T59" s="69">
        <v>91729</v>
      </c>
      <c r="U59" s="69">
        <f t="shared" si="172"/>
        <v>42593</v>
      </c>
      <c r="V59" s="69">
        <v>46013</v>
      </c>
      <c r="W59" s="69">
        <v>49158</v>
      </c>
      <c r="X59" s="69"/>
      <c r="Y59" s="16">
        <f t="shared" si="173"/>
        <v>39693</v>
      </c>
      <c r="Z59" s="16">
        <f t="shared" si="173"/>
        <v>57490</v>
      </c>
      <c r="AA59" s="16">
        <f t="shared" si="174"/>
        <v>56012</v>
      </c>
      <c r="AB59" s="16">
        <f t="shared" si="175"/>
        <v>56874</v>
      </c>
      <c r="AC59" s="16">
        <f t="shared" si="176"/>
        <v>85921</v>
      </c>
      <c r="AD59" s="16">
        <f t="shared" si="177"/>
        <v>89556</v>
      </c>
      <c r="AE59" s="16">
        <f t="shared" si="178"/>
        <v>88461</v>
      </c>
      <c r="AF59" s="16">
        <f t="shared" si="179"/>
        <v>91729</v>
      </c>
      <c r="AG59" s="16">
        <f t="shared" si="180"/>
        <v>42593</v>
      </c>
      <c r="AH59" s="16">
        <f t="shared" si="181"/>
        <v>46013</v>
      </c>
      <c r="AI59" s="16">
        <f t="shared" si="182"/>
        <v>49158</v>
      </c>
      <c r="AJ59" s="16"/>
      <c r="AK59" s="73">
        <f t="shared" si="112"/>
        <v>-0.44429748702818195</v>
      </c>
    </row>
    <row r="60" spans="2:37" x14ac:dyDescent="0.2">
      <c r="B60" s="13" t="s">
        <v>71</v>
      </c>
      <c r="C60" s="69">
        <f>28374+2986+423980</f>
        <v>455340</v>
      </c>
      <c r="D60" s="69">
        <f>37962+3561</f>
        <v>41523</v>
      </c>
      <c r="E60" s="69">
        <f>58665+3863</f>
        <v>62528</v>
      </c>
      <c r="F60" s="69">
        <f>53596+5210</f>
        <v>58806</v>
      </c>
      <c r="G60" s="69">
        <f>56300+5018</f>
        <v>61318</v>
      </c>
      <c r="H60" s="69">
        <v>56149</v>
      </c>
      <c r="I60" s="69"/>
      <c r="J60" s="69">
        <v>57611</v>
      </c>
      <c r="K60" s="69">
        <v>52840</v>
      </c>
      <c r="L60" s="69">
        <v>51644</v>
      </c>
      <c r="M60" s="69">
        <f t="shared" si="171"/>
        <v>62528</v>
      </c>
      <c r="N60" s="69">
        <v>56005</v>
      </c>
      <c r="O60" s="69">
        <v>56657</v>
      </c>
      <c r="P60" s="69">
        <v>55906</v>
      </c>
      <c r="Q60" s="69">
        <f>G60</f>
        <v>61318</v>
      </c>
      <c r="R60" s="69">
        <v>60963</v>
      </c>
      <c r="S60" s="69">
        <v>61855</v>
      </c>
      <c r="T60" s="69">
        <v>65024</v>
      </c>
      <c r="U60" s="69">
        <f t="shared" si="172"/>
        <v>56149</v>
      </c>
      <c r="V60" s="69">
        <v>57084</v>
      </c>
      <c r="W60" s="69">
        <v>60729</v>
      </c>
      <c r="X60" s="69"/>
      <c r="Y60" s="16">
        <f t="shared" si="173"/>
        <v>62528</v>
      </c>
      <c r="Z60" s="16">
        <f t="shared" si="173"/>
        <v>56005</v>
      </c>
      <c r="AA60" s="16">
        <f t="shared" si="174"/>
        <v>56657</v>
      </c>
      <c r="AB60" s="16">
        <f t="shared" si="175"/>
        <v>55906</v>
      </c>
      <c r="AC60" s="16">
        <f t="shared" si="176"/>
        <v>61318</v>
      </c>
      <c r="AD60" s="16">
        <f t="shared" si="177"/>
        <v>60963</v>
      </c>
      <c r="AE60" s="16">
        <f t="shared" si="178"/>
        <v>61855</v>
      </c>
      <c r="AF60" s="16">
        <f t="shared" si="179"/>
        <v>65024</v>
      </c>
      <c r="AG60" s="16">
        <f t="shared" si="180"/>
        <v>56149</v>
      </c>
      <c r="AH60" s="16">
        <f t="shared" si="181"/>
        <v>57084</v>
      </c>
      <c r="AI60" s="16">
        <f t="shared" si="182"/>
        <v>60729</v>
      </c>
      <c r="AJ60" s="16"/>
      <c r="AK60" s="73">
        <f t="shared" si="112"/>
        <v>-1.8203863875192017E-2</v>
      </c>
    </row>
    <row r="61" spans="2:37" x14ac:dyDescent="0.2">
      <c r="B61" s="64" t="s">
        <v>13</v>
      </c>
      <c r="C61" s="65">
        <f>SUM(C58:C60)+C56</f>
        <v>1362940</v>
      </c>
      <c r="D61" s="65">
        <f>SUM(D58:D60)+D56</f>
        <v>3093981</v>
      </c>
      <c r="E61" s="65">
        <f>SUM(E58:E60)+E56</f>
        <v>3232869</v>
      </c>
      <c r="F61" s="65">
        <f>SUM(F58:F60)+F56</f>
        <v>3415810</v>
      </c>
      <c r="G61" s="65">
        <f>SUM(G58:G60)+G56</f>
        <v>3432701</v>
      </c>
      <c r="H61" s="65">
        <f>SUM(H58:H60)+H56</f>
        <v>3513340</v>
      </c>
      <c r="I61" s="15"/>
      <c r="J61" s="65">
        <f>SUM(J58:J60)+J56</f>
        <v>3266416</v>
      </c>
      <c r="K61" s="65">
        <f>SUM(K58:K60)+K56</f>
        <v>3176926</v>
      </c>
      <c r="L61" s="65">
        <f>SUM(L58:L60)+L56</f>
        <v>3409294</v>
      </c>
      <c r="M61" s="65">
        <f>SUM(M58:M60)+M56</f>
        <v>3232869</v>
      </c>
      <c r="N61" s="65">
        <f>SUM(N58:N60)+N56</f>
        <v>3357651</v>
      </c>
      <c r="O61" s="65">
        <f>SUM(O58:O60)+O56</f>
        <v>3196883</v>
      </c>
      <c r="P61" s="65">
        <f>SUM(P58:P60)+P56</f>
        <v>3371066</v>
      </c>
      <c r="Q61" s="65">
        <f>SUM(Q58:Q60)+Q56</f>
        <v>3432701</v>
      </c>
      <c r="R61" s="65">
        <f>SUM(R58:R60)+R56</f>
        <v>3331196</v>
      </c>
      <c r="S61" s="65">
        <f>SUM(S58:S60)+S56</f>
        <v>3389248</v>
      </c>
      <c r="T61" s="65">
        <f>SUM(T58:T60)+T56</f>
        <v>3629477</v>
      </c>
      <c r="U61" s="65">
        <f>SUM(U58:U60)+U56</f>
        <v>3513340</v>
      </c>
      <c r="V61" s="65">
        <f>SUM(V58:V60)+V56</f>
        <v>3556386</v>
      </c>
      <c r="W61" s="65">
        <f>SUM(W58:W60)+W56</f>
        <v>4026833</v>
      </c>
      <c r="X61" s="15"/>
      <c r="Y61" s="65">
        <f t="shared" ref="Y61:Z61" si="183">SUM(Y58:Y60)+Y56</f>
        <v>3232869</v>
      </c>
      <c r="Z61" s="65">
        <f t="shared" si="183"/>
        <v>3357651</v>
      </c>
      <c r="AA61" s="65">
        <f t="shared" ref="AA61" si="184">SUM(AA58:AA60)+AA56</f>
        <v>3196883</v>
      </c>
      <c r="AB61" s="65">
        <f t="shared" ref="AB61" si="185">SUM(AB58:AB60)+AB56</f>
        <v>3566466</v>
      </c>
      <c r="AC61" s="65">
        <f t="shared" ref="AC61" si="186">SUM(AC58:AC60)+AC56</f>
        <v>3432701</v>
      </c>
      <c r="AD61" s="65">
        <f t="shared" ref="AD61" si="187">SUM(AD58:AD60)+AD56</f>
        <v>3331196</v>
      </c>
      <c r="AE61" s="65">
        <f t="shared" ref="AE61" si="188">SUM(AE58:AE60)+AE56</f>
        <v>3389248</v>
      </c>
      <c r="AF61" s="65">
        <f t="shared" ref="AF61:AH61" si="189">SUM(AF58:AF60)+AF56</f>
        <v>3629477</v>
      </c>
      <c r="AG61" s="65">
        <f t="shared" si="189"/>
        <v>3513340</v>
      </c>
      <c r="AH61" s="65">
        <f t="shared" si="189"/>
        <v>3556386</v>
      </c>
      <c r="AI61" s="65">
        <f>SUM(AI58:AI60)+AI56</f>
        <v>4026833</v>
      </c>
      <c r="AJ61" s="24"/>
      <c r="AK61" s="74">
        <f t="shared" si="112"/>
        <v>0.18811990152387792</v>
      </c>
    </row>
    <row r="62" spans="2:37" x14ac:dyDescent="0.2">
      <c r="B62" s="29"/>
      <c r="C62" s="43"/>
      <c r="D62" s="43"/>
      <c r="E62" s="43"/>
      <c r="F62" s="43"/>
      <c r="G62" s="44"/>
      <c r="H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73"/>
    </row>
    <row r="63" spans="2:37" x14ac:dyDescent="0.2">
      <c r="B63" s="13" t="s">
        <v>109</v>
      </c>
      <c r="C63" s="69">
        <v>592</v>
      </c>
      <c r="D63" s="69">
        <v>569</v>
      </c>
      <c r="E63" s="69">
        <v>530</v>
      </c>
      <c r="F63" s="69">
        <v>511</v>
      </c>
      <c r="G63" s="69">
        <v>491</v>
      </c>
      <c r="H63" s="69">
        <v>468</v>
      </c>
      <c r="I63" s="69"/>
      <c r="J63" s="69">
        <v>528</v>
      </c>
      <c r="K63" s="69">
        <v>521</v>
      </c>
      <c r="L63" s="69">
        <v>517</v>
      </c>
      <c r="M63" s="69">
        <f t="shared" ref="M63:M66" si="190">E63</f>
        <v>530</v>
      </c>
      <c r="N63" s="69">
        <v>507</v>
      </c>
      <c r="O63" s="69">
        <v>501</v>
      </c>
      <c r="P63" s="69">
        <v>495</v>
      </c>
      <c r="Q63" s="69">
        <f>G63</f>
        <v>491</v>
      </c>
      <c r="R63" s="69">
        <v>487</v>
      </c>
      <c r="S63" s="69">
        <v>481</v>
      </c>
      <c r="T63" s="69">
        <v>474</v>
      </c>
      <c r="U63" s="69">
        <f t="shared" ref="U63:U66" si="191">H63</f>
        <v>468</v>
      </c>
      <c r="V63" s="69">
        <v>459</v>
      </c>
      <c r="W63" s="69">
        <v>458</v>
      </c>
      <c r="X63" s="69"/>
      <c r="Y63" s="16">
        <f t="shared" ref="Y63:Z66" si="192">M63</f>
        <v>530</v>
      </c>
      <c r="Z63" s="16">
        <f t="shared" si="192"/>
        <v>507</v>
      </c>
      <c r="AA63" s="16">
        <f t="shared" ref="AA63:AA66" si="193">O63</f>
        <v>501</v>
      </c>
      <c r="AB63" s="16">
        <f t="shared" ref="AB63:AB66" si="194">P63</f>
        <v>495</v>
      </c>
      <c r="AC63" s="16">
        <f t="shared" ref="AC63:AC66" si="195">Q63</f>
        <v>491</v>
      </c>
      <c r="AD63" s="16">
        <f t="shared" ref="AD63:AD66" si="196">R63</f>
        <v>487</v>
      </c>
      <c r="AE63" s="16">
        <f t="shared" ref="AE63:AE66" si="197">S63</f>
        <v>481</v>
      </c>
      <c r="AF63" s="16">
        <f t="shared" ref="AF63:AF66" si="198">T63</f>
        <v>474</v>
      </c>
      <c r="AG63" s="16">
        <f t="shared" ref="AG63:AG66" si="199">U63</f>
        <v>468</v>
      </c>
      <c r="AH63" s="16">
        <f t="shared" ref="AH63:AH66" si="200">V63</f>
        <v>459</v>
      </c>
      <c r="AI63" s="16">
        <f t="shared" ref="AI63:AI66" si="201">W63</f>
        <v>458</v>
      </c>
      <c r="AJ63" s="16"/>
      <c r="AK63" s="73">
        <f t="shared" si="112"/>
        <v>-4.7817047817047764E-2</v>
      </c>
    </row>
    <row r="64" spans="2:37" x14ac:dyDescent="0.2">
      <c r="B64" s="13" t="s">
        <v>72</v>
      </c>
      <c r="C64" s="69">
        <v>-24908</v>
      </c>
      <c r="D64" s="69">
        <v>-37801</v>
      </c>
      <c r="E64" s="69">
        <v>-53478</v>
      </c>
      <c r="F64" s="69">
        <v>-60470</v>
      </c>
      <c r="G64" s="69">
        <v>-83032</v>
      </c>
      <c r="H64" s="69">
        <v>-106793</v>
      </c>
      <c r="I64" s="69"/>
      <c r="J64" s="69">
        <v>-58650</v>
      </c>
      <c r="K64" s="69">
        <v>-59803</v>
      </c>
      <c r="L64" s="69">
        <v>-60218</v>
      </c>
      <c r="M64" s="69">
        <f t="shared" si="190"/>
        <v>-53478</v>
      </c>
      <c r="N64" s="69">
        <v>-82129</v>
      </c>
      <c r="O64" s="69">
        <v>-82229</v>
      </c>
      <c r="P64" s="69">
        <v>-82798</v>
      </c>
      <c r="Q64" s="69">
        <f>G64</f>
        <v>-83032</v>
      </c>
      <c r="R64" s="69">
        <v>-106315</v>
      </c>
      <c r="S64" s="69">
        <v>-106491</v>
      </c>
      <c r="T64" s="69">
        <v>-106598</v>
      </c>
      <c r="U64" s="69">
        <f t="shared" si="191"/>
        <v>-106793</v>
      </c>
      <c r="V64" s="69">
        <v>-119704</v>
      </c>
      <c r="W64" s="69">
        <v>-120031</v>
      </c>
      <c r="X64" s="69"/>
      <c r="Y64" s="16">
        <f t="shared" si="192"/>
        <v>-53478</v>
      </c>
      <c r="Z64" s="16">
        <f t="shared" si="192"/>
        <v>-82129</v>
      </c>
      <c r="AA64" s="16">
        <f t="shared" si="193"/>
        <v>-82229</v>
      </c>
      <c r="AB64" s="16">
        <f t="shared" si="194"/>
        <v>-82798</v>
      </c>
      <c r="AC64" s="16">
        <f t="shared" si="195"/>
        <v>-83032</v>
      </c>
      <c r="AD64" s="16">
        <f t="shared" si="196"/>
        <v>-106315</v>
      </c>
      <c r="AE64" s="16">
        <f t="shared" si="197"/>
        <v>-106491</v>
      </c>
      <c r="AF64" s="16">
        <f t="shared" si="198"/>
        <v>-106598</v>
      </c>
      <c r="AG64" s="16">
        <f t="shared" si="199"/>
        <v>-106793</v>
      </c>
      <c r="AH64" s="16">
        <f t="shared" si="200"/>
        <v>-119704</v>
      </c>
      <c r="AI64" s="16">
        <f t="shared" si="201"/>
        <v>-120031</v>
      </c>
      <c r="AJ64" s="16"/>
      <c r="AK64" s="73">
        <f t="shared" si="112"/>
        <v>0.12714689504277366</v>
      </c>
    </row>
    <row r="65" spans="1:37" x14ac:dyDescent="0.2">
      <c r="B65" s="13" t="s">
        <v>73</v>
      </c>
      <c r="C65" s="69">
        <v>738671</v>
      </c>
      <c r="D65" s="69">
        <v>847303</v>
      </c>
      <c r="E65" s="69">
        <v>934945</v>
      </c>
      <c r="F65" s="69">
        <v>1023997</v>
      </c>
      <c r="G65" s="69">
        <v>1075104</v>
      </c>
      <c r="H65" s="69">
        <v>1120769</v>
      </c>
      <c r="I65" s="69"/>
      <c r="J65" s="69">
        <v>951802</v>
      </c>
      <c r="K65" s="69">
        <v>982339</v>
      </c>
      <c r="L65" s="69">
        <v>998816</v>
      </c>
      <c r="M65" s="69">
        <f t="shared" si="190"/>
        <v>934945</v>
      </c>
      <c r="N65" s="69">
        <v>1040378</v>
      </c>
      <c r="O65" s="69">
        <v>1049679</v>
      </c>
      <c r="P65" s="69">
        <v>1058969</v>
      </c>
      <c r="Q65" s="69">
        <f>G65</f>
        <v>1075104</v>
      </c>
      <c r="R65" s="69">
        <v>1091822</v>
      </c>
      <c r="S65" s="69">
        <v>1099197</v>
      </c>
      <c r="T65" s="69">
        <v>1104952</v>
      </c>
      <c r="U65" s="69">
        <f t="shared" si="191"/>
        <v>1120769</v>
      </c>
      <c r="V65" s="69">
        <v>1129309</v>
      </c>
      <c r="W65" s="69">
        <v>1151858</v>
      </c>
      <c r="X65" s="69"/>
      <c r="Y65" s="16">
        <f t="shared" si="192"/>
        <v>934945</v>
      </c>
      <c r="Z65" s="16">
        <f t="shared" si="192"/>
        <v>1040378</v>
      </c>
      <c r="AA65" s="16">
        <f t="shared" si="193"/>
        <v>1049679</v>
      </c>
      <c r="AB65" s="16">
        <f t="shared" si="194"/>
        <v>1058969</v>
      </c>
      <c r="AC65" s="16">
        <f t="shared" si="195"/>
        <v>1075104</v>
      </c>
      <c r="AD65" s="16">
        <f t="shared" si="196"/>
        <v>1091822</v>
      </c>
      <c r="AE65" s="16">
        <f t="shared" si="197"/>
        <v>1099197</v>
      </c>
      <c r="AF65" s="16">
        <f t="shared" si="198"/>
        <v>1104952</v>
      </c>
      <c r="AG65" s="16">
        <f t="shared" si="199"/>
        <v>1120769</v>
      </c>
      <c r="AH65" s="16">
        <f t="shared" si="200"/>
        <v>1129309</v>
      </c>
      <c r="AI65" s="16">
        <f t="shared" si="201"/>
        <v>1151858</v>
      </c>
      <c r="AJ65" s="16"/>
      <c r="AK65" s="73">
        <f t="shared" si="112"/>
        <v>4.7908609648679823E-2</v>
      </c>
    </row>
    <row r="66" spans="1:37" x14ac:dyDescent="0.2">
      <c r="B66" s="13" t="s">
        <v>36</v>
      </c>
      <c r="C66" s="69">
        <v>1105863</v>
      </c>
      <c r="D66" s="69">
        <v>1189422</v>
      </c>
      <c r="E66" s="69">
        <v>653376</v>
      </c>
      <c r="F66" s="69">
        <v>995773</v>
      </c>
      <c r="G66" s="69">
        <v>1286765</v>
      </c>
      <c r="H66" s="69">
        <v>1473909</v>
      </c>
      <c r="I66" s="69"/>
      <c r="J66" s="69">
        <v>851940</v>
      </c>
      <c r="K66" s="69">
        <v>846011</v>
      </c>
      <c r="L66" s="69">
        <v>983140</v>
      </c>
      <c r="M66" s="69">
        <f t="shared" si="190"/>
        <v>653376</v>
      </c>
      <c r="N66" s="69">
        <v>1059312</v>
      </c>
      <c r="O66" s="69">
        <v>1083926</v>
      </c>
      <c r="P66" s="69">
        <v>1051876</v>
      </c>
      <c r="Q66" s="69">
        <f>G66</f>
        <v>1286765</v>
      </c>
      <c r="R66" s="69">
        <v>1314749</v>
      </c>
      <c r="S66" s="69">
        <v>1354973</v>
      </c>
      <c r="T66" s="69">
        <v>1330181</v>
      </c>
      <c r="U66" s="69">
        <f t="shared" si="191"/>
        <v>1473909</v>
      </c>
      <c r="V66" s="69">
        <v>1420239</v>
      </c>
      <c r="W66" s="69">
        <v>1571575</v>
      </c>
      <c r="X66" s="69"/>
      <c r="Y66" s="16">
        <f t="shared" si="192"/>
        <v>653376</v>
      </c>
      <c r="Z66" s="16">
        <f t="shared" si="192"/>
        <v>1059312</v>
      </c>
      <c r="AA66" s="16">
        <f t="shared" si="193"/>
        <v>1083926</v>
      </c>
      <c r="AB66" s="16">
        <f t="shared" si="194"/>
        <v>1051876</v>
      </c>
      <c r="AC66" s="16">
        <f t="shared" si="195"/>
        <v>1286765</v>
      </c>
      <c r="AD66" s="16">
        <f t="shared" si="196"/>
        <v>1314749</v>
      </c>
      <c r="AE66" s="16">
        <f t="shared" si="197"/>
        <v>1354973</v>
      </c>
      <c r="AF66" s="16">
        <f t="shared" si="198"/>
        <v>1330181</v>
      </c>
      <c r="AG66" s="16">
        <f t="shared" si="199"/>
        <v>1473909</v>
      </c>
      <c r="AH66" s="16">
        <f t="shared" si="200"/>
        <v>1420239</v>
      </c>
      <c r="AI66" s="16">
        <f t="shared" si="201"/>
        <v>1571575</v>
      </c>
      <c r="AJ66" s="16"/>
      <c r="AK66" s="73">
        <f t="shared" si="112"/>
        <v>0.15985705988237409</v>
      </c>
    </row>
    <row r="67" spans="1:37" x14ac:dyDescent="0.2">
      <c r="B67" s="64" t="s">
        <v>14</v>
      </c>
      <c r="C67" s="65">
        <f>SUM(C63:C66)</f>
        <v>1820218</v>
      </c>
      <c r="D67" s="65">
        <f>SUM(D63:D66)</f>
        <v>1999493</v>
      </c>
      <c r="E67" s="65">
        <f>SUM(E63:E66)</f>
        <v>1535373</v>
      </c>
      <c r="F67" s="65">
        <f>SUM(F63:F66)</f>
        <v>1959811</v>
      </c>
      <c r="G67" s="65">
        <f>SUM(G63:G66)</f>
        <v>2279328</v>
      </c>
      <c r="H67" s="65">
        <f>SUM(H63:H66)</f>
        <v>2488353</v>
      </c>
      <c r="I67" s="15"/>
      <c r="J67" s="65">
        <f t="shared" ref="J67:T67" si="202">SUM(J63:J66)</f>
        <v>1745620</v>
      </c>
      <c r="K67" s="65">
        <f t="shared" si="202"/>
        <v>1769068</v>
      </c>
      <c r="L67" s="65">
        <f t="shared" si="202"/>
        <v>1922255</v>
      </c>
      <c r="M67" s="65">
        <f t="shared" si="202"/>
        <v>1535373</v>
      </c>
      <c r="N67" s="65">
        <f t="shared" si="202"/>
        <v>2018068</v>
      </c>
      <c r="O67" s="65">
        <f t="shared" si="202"/>
        <v>2051877</v>
      </c>
      <c r="P67" s="65">
        <f t="shared" si="202"/>
        <v>2028542</v>
      </c>
      <c r="Q67" s="65">
        <f t="shared" si="202"/>
        <v>2279328</v>
      </c>
      <c r="R67" s="65">
        <f t="shared" si="202"/>
        <v>2300743</v>
      </c>
      <c r="S67" s="65">
        <f t="shared" si="202"/>
        <v>2348160</v>
      </c>
      <c r="T67" s="65">
        <f t="shared" si="202"/>
        <v>2329009</v>
      </c>
      <c r="U67" s="65">
        <f t="shared" ref="U67:V67" si="203">SUM(U63:U66)</f>
        <v>2488353</v>
      </c>
      <c r="V67" s="65">
        <f t="shared" si="203"/>
        <v>2430303</v>
      </c>
      <c r="W67" s="65">
        <f t="shared" ref="W67" si="204">SUM(W63:W66)</f>
        <v>2603860</v>
      </c>
      <c r="X67" s="15"/>
      <c r="Y67" s="65">
        <f t="shared" ref="Y67:Z67" si="205">SUM(Y63:Y66)</f>
        <v>1535373</v>
      </c>
      <c r="Z67" s="65">
        <f t="shared" si="205"/>
        <v>2018068</v>
      </c>
      <c r="AA67" s="65">
        <f t="shared" ref="AA67" si="206">SUM(AA63:AA66)</f>
        <v>2051877</v>
      </c>
      <c r="AB67" s="65">
        <f t="shared" ref="AB67" si="207">SUM(AB63:AB66)</f>
        <v>2028542</v>
      </c>
      <c r="AC67" s="65">
        <f t="shared" ref="AC67" si="208">SUM(AC63:AC66)</f>
        <v>2279328</v>
      </c>
      <c r="AD67" s="65">
        <f t="shared" ref="AD67" si="209">SUM(AD63:AD66)</f>
        <v>2300743</v>
      </c>
      <c r="AE67" s="65">
        <f t="shared" ref="AE67" si="210">SUM(AE63:AE66)</f>
        <v>2348160</v>
      </c>
      <c r="AF67" s="65">
        <f t="shared" ref="AF67:AH67" si="211">SUM(AF63:AF66)</f>
        <v>2329009</v>
      </c>
      <c r="AG67" s="65">
        <f t="shared" si="211"/>
        <v>2488353</v>
      </c>
      <c r="AH67" s="65">
        <f t="shared" si="211"/>
        <v>2430303</v>
      </c>
      <c r="AI67" s="65">
        <f>SUM(AI63:AI66)</f>
        <v>2603860</v>
      </c>
      <c r="AJ67" s="24"/>
      <c r="AK67" s="73">
        <f t="shared" si="112"/>
        <v>0.10889377214499874</v>
      </c>
    </row>
    <row r="68" spans="1:37" x14ac:dyDescent="0.2">
      <c r="B68" s="13" t="s">
        <v>15</v>
      </c>
      <c r="C68" s="50">
        <f>SUM(C67+C61)</f>
        <v>3183158</v>
      </c>
      <c r="D68" s="50">
        <f>SUM(D67+D61)</f>
        <v>5093474</v>
      </c>
      <c r="E68" s="50">
        <f>SUM(E67+E61)</f>
        <v>4768242</v>
      </c>
      <c r="F68" s="50">
        <f>SUM(F67+F61)</f>
        <v>5375621</v>
      </c>
      <c r="G68" s="50">
        <f>SUM(G67+G61)</f>
        <v>5712029</v>
      </c>
      <c r="H68" s="50">
        <f>SUM(H67+H61)</f>
        <v>6001693</v>
      </c>
      <c r="I68" s="48"/>
      <c r="J68" s="50">
        <f>SUM(J67+J61)</f>
        <v>5012036</v>
      </c>
      <c r="K68" s="50">
        <f>SUM(K67+K61)</f>
        <v>4945994</v>
      </c>
      <c r="L68" s="50">
        <f>SUM(L67+L61)</f>
        <v>5331549</v>
      </c>
      <c r="M68" s="50">
        <f>SUM(M67+M61)</f>
        <v>4768242</v>
      </c>
      <c r="N68" s="50">
        <f>SUM(N67+N61)</f>
        <v>5375719</v>
      </c>
      <c r="O68" s="50">
        <f>SUM(O67+O61)</f>
        <v>5248760</v>
      </c>
      <c r="P68" s="50">
        <f>SUM(P67+P61)</f>
        <v>5399608</v>
      </c>
      <c r="Q68" s="50">
        <f>SUM(Q67+Q61)</f>
        <v>5712029</v>
      </c>
      <c r="R68" s="50">
        <f>SUM(R67+R61)</f>
        <v>5631939</v>
      </c>
      <c r="S68" s="50">
        <f>SUM(S67+S61)</f>
        <v>5737408</v>
      </c>
      <c r="T68" s="50">
        <f>SUM(T67+T61)</f>
        <v>5958486</v>
      </c>
      <c r="U68" s="50">
        <f>SUM(U67+U61)</f>
        <v>6001693</v>
      </c>
      <c r="V68" s="50">
        <f>SUM(V67+V61)</f>
        <v>5986689</v>
      </c>
      <c r="W68" s="50">
        <f>SUM(W67+W61)</f>
        <v>6630693</v>
      </c>
      <c r="X68" s="48"/>
      <c r="Y68" s="16">
        <f t="shared" ref="Y68:Z68" si="212">M68</f>
        <v>4768242</v>
      </c>
      <c r="Z68" s="16">
        <f t="shared" si="212"/>
        <v>5375719</v>
      </c>
      <c r="AA68" s="16">
        <f t="shared" ref="AA68" si="213">O68</f>
        <v>5248760</v>
      </c>
      <c r="AB68" s="16">
        <f t="shared" ref="AB68" si="214">P68</f>
        <v>5399608</v>
      </c>
      <c r="AC68" s="16">
        <f t="shared" ref="AC68" si="215">Q68</f>
        <v>5712029</v>
      </c>
      <c r="AD68" s="16">
        <f t="shared" ref="AD68" si="216">R68</f>
        <v>5631939</v>
      </c>
      <c r="AE68" s="16">
        <f t="shared" ref="AE68" si="217">S68</f>
        <v>5737408</v>
      </c>
      <c r="AF68" s="16">
        <f t="shared" ref="AF68" si="218">T68</f>
        <v>5958486</v>
      </c>
      <c r="AG68" s="16">
        <f t="shared" ref="AG68" si="219">U68</f>
        <v>6001693</v>
      </c>
      <c r="AH68" s="16">
        <f t="shared" ref="AH68" si="220">V68</f>
        <v>5986689</v>
      </c>
      <c r="AI68" s="16">
        <f t="shared" ref="AI68" si="221">W68</f>
        <v>6630693</v>
      </c>
      <c r="AJ68" s="16"/>
      <c r="AK68" s="74">
        <f t="shared" si="112"/>
        <v>0.1556948712728814</v>
      </c>
    </row>
    <row r="69" spans="1:37" ht="5.0999999999999996" customHeight="1" x14ac:dyDescent="0.2">
      <c r="B69" s="13"/>
      <c r="C69" s="50"/>
      <c r="D69" s="50"/>
      <c r="E69" s="50"/>
      <c r="F69" s="50"/>
      <c r="G69" s="50"/>
      <c r="H69" s="50"/>
      <c r="I69" s="48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48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16"/>
      <c r="AK69" s="7"/>
    </row>
    <row r="70" spans="1:37" x14ac:dyDescent="0.2">
      <c r="A70" s="8" t="s">
        <v>7</v>
      </c>
      <c r="B70" s="9" t="s">
        <v>17</v>
      </c>
      <c r="C70" s="10"/>
      <c r="D70" s="10"/>
      <c r="E70" s="10"/>
      <c r="F70" s="10"/>
      <c r="G70" s="10"/>
      <c r="H70" s="10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spans="1:37" ht="3" customHeight="1" x14ac:dyDescent="0.2">
      <c r="B71" s="51"/>
      <c r="C71" s="41"/>
      <c r="D71" s="41"/>
      <c r="E71" s="41"/>
      <c r="F71" s="41"/>
      <c r="G71" s="41"/>
      <c r="H71" s="41"/>
    </row>
    <row r="72" spans="1:37" x14ac:dyDescent="0.2">
      <c r="B72" s="52" t="s">
        <v>111</v>
      </c>
      <c r="C72" s="53"/>
      <c r="D72" s="53"/>
      <c r="E72" s="53"/>
      <c r="F72" s="53"/>
      <c r="G72" s="53"/>
      <c r="H72" s="53"/>
    </row>
    <row r="73" spans="1:37" x14ac:dyDescent="0.2">
      <c r="B73" s="13" t="s">
        <v>40</v>
      </c>
      <c r="C73" s="69">
        <f>C30</f>
        <v>695833</v>
      </c>
      <c r="D73" s="69">
        <f>D30</f>
        <v>125785.47000000067</v>
      </c>
      <c r="E73" s="69">
        <f>E30</f>
        <v>985837</v>
      </c>
      <c r="F73" s="69">
        <f>F30</f>
        <v>1242408</v>
      </c>
      <c r="G73" s="69">
        <f>G30</f>
        <v>1291004.9999999981</v>
      </c>
      <c r="H73" s="69">
        <v>1201118</v>
      </c>
      <c r="I73" s="33"/>
      <c r="J73" s="69">
        <v>331395</v>
      </c>
      <c r="K73" s="69">
        <v>627072</v>
      </c>
      <c r="L73" s="69">
        <f>901657-K73-J73</f>
        <v>-56810</v>
      </c>
      <c r="M73" s="69">
        <f>SUM(F73-SUM(J73:L73))</f>
        <v>340751</v>
      </c>
      <c r="N73" s="69">
        <v>347051</v>
      </c>
      <c r="O73" s="69">
        <f>647153-N73</f>
        <v>300102</v>
      </c>
      <c r="P73" s="69">
        <f>896636-O73-N73</f>
        <v>249483</v>
      </c>
      <c r="Q73" s="69">
        <f>SUM(G73-SUM(N73:P73))</f>
        <v>394368.99999999814</v>
      </c>
      <c r="R73" s="69">
        <v>313113</v>
      </c>
      <c r="S73" s="69">
        <f>565669-R73</f>
        <v>252556</v>
      </c>
      <c r="T73" s="69">
        <f>807848-S73-R73</f>
        <v>242179</v>
      </c>
      <c r="U73" s="69">
        <f>SUM(H73-SUM(R73:T73))</f>
        <v>393270</v>
      </c>
      <c r="V73" s="69">
        <v>305052</v>
      </c>
      <c r="W73" s="69">
        <f>565927-V73</f>
        <v>260875</v>
      </c>
      <c r="X73" s="33"/>
      <c r="Y73" s="72">
        <f>SUM(J73:M73)</f>
        <v>1242408</v>
      </c>
      <c r="Z73" s="72">
        <f>SUM(K73:N73)</f>
        <v>1258064</v>
      </c>
      <c r="AA73" s="72">
        <f>SUM(L73:O73)</f>
        <v>931094</v>
      </c>
      <c r="AB73" s="72">
        <f>SUM(M73:P73)</f>
        <v>1237387</v>
      </c>
      <c r="AC73" s="72">
        <f>SUM(N73:Q73)</f>
        <v>1291004.9999999981</v>
      </c>
      <c r="AD73" s="72">
        <f>SUM(O73:R73)</f>
        <v>1257066.9999999981</v>
      </c>
      <c r="AE73" s="72">
        <f>SUM(P73:S73)</f>
        <v>1209520.9999999981</v>
      </c>
      <c r="AF73" s="72">
        <f>SUM(Q73:T73)</f>
        <v>1202216.9999999981</v>
      </c>
      <c r="AG73" s="72">
        <f>SUM(R73:U73)</f>
        <v>1201118</v>
      </c>
      <c r="AH73" s="72">
        <f>SUM(S73:V73)</f>
        <v>1193057</v>
      </c>
      <c r="AI73" s="72">
        <f>SUM(T73:W73)</f>
        <v>1201376</v>
      </c>
      <c r="AJ73" s="16"/>
      <c r="AK73" s="73">
        <f t="shared" ref="AK73:AK113" si="222">SUM(AI73/AE73)-1</f>
        <v>-6.7340707602415728E-3</v>
      </c>
    </row>
    <row r="74" spans="1:37" ht="5.0999999999999996" customHeight="1" x14ac:dyDescent="0.2">
      <c r="C74" s="69"/>
      <c r="D74" s="69"/>
      <c r="E74" s="69"/>
      <c r="F74" s="69"/>
      <c r="G74" s="69"/>
      <c r="H74" s="69"/>
      <c r="I74" s="16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16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16"/>
      <c r="AK74" s="73"/>
    </row>
    <row r="75" spans="1:37" x14ac:dyDescent="0.2">
      <c r="B75" s="37" t="s">
        <v>37</v>
      </c>
      <c r="C75" s="69"/>
      <c r="D75" s="69"/>
      <c r="E75" s="69"/>
      <c r="F75" s="69"/>
      <c r="G75" s="69"/>
      <c r="H75" s="69"/>
      <c r="I75" s="16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16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56"/>
      <c r="AK75" s="73" t="e">
        <f t="shared" si="222"/>
        <v>#DIV/0!</v>
      </c>
    </row>
    <row r="76" spans="1:37" x14ac:dyDescent="0.2">
      <c r="B76" s="13" t="s">
        <v>74</v>
      </c>
      <c r="C76" s="69">
        <v>295599</v>
      </c>
      <c r="D76" s="69">
        <v>297772</v>
      </c>
      <c r="E76" s="69">
        <v>268460</v>
      </c>
      <c r="F76" s="69">
        <v>241372</v>
      </c>
      <c r="G76" s="69">
        <v>243840</v>
      </c>
      <c r="H76" s="69">
        <v>267042</v>
      </c>
      <c r="I76" s="33"/>
      <c r="J76" s="69">
        <v>62839</v>
      </c>
      <c r="K76" s="69">
        <f>123721-J76</f>
        <v>60882</v>
      </c>
      <c r="L76" s="69">
        <f>182182-K76-J76</f>
        <v>58461</v>
      </c>
      <c r="M76" s="69">
        <f t="shared" ref="M76:M81" si="223">SUM(F76-SUM(J76:L76))</f>
        <v>59190</v>
      </c>
      <c r="N76" s="69">
        <v>57949</v>
      </c>
      <c r="O76" s="69">
        <f>119862-N76</f>
        <v>61913</v>
      </c>
      <c r="P76" s="69">
        <f>181273-O76-N76</f>
        <v>61411</v>
      </c>
      <c r="Q76" s="69">
        <f t="shared" ref="Q76:Q81" si="224">SUM(G76-SUM(N76:P76))</f>
        <v>62567</v>
      </c>
      <c r="R76" s="69">
        <v>64739</v>
      </c>
      <c r="S76" s="69">
        <f>130053-R76</f>
        <v>65314</v>
      </c>
      <c r="T76" s="69">
        <f>197075-S76-R76</f>
        <v>67022</v>
      </c>
      <c r="U76" s="69">
        <f t="shared" ref="U76:U80" si="225">SUM(H76-SUM(R76:T76))</f>
        <v>69967</v>
      </c>
      <c r="V76" s="69">
        <v>72033</v>
      </c>
      <c r="W76" s="69">
        <f>143198-V76</f>
        <v>71165</v>
      </c>
      <c r="X76" s="33"/>
      <c r="Y76" s="72">
        <f>SUM(J76:M76)</f>
        <v>241372</v>
      </c>
      <c r="Z76" s="72">
        <f>SUM(K76:N76)</f>
        <v>236482</v>
      </c>
      <c r="AA76" s="72">
        <f>SUM(L76:O76)</f>
        <v>237513</v>
      </c>
      <c r="AB76" s="72">
        <f>SUM(M76:P76)</f>
        <v>240463</v>
      </c>
      <c r="AC76" s="72">
        <f>SUM(N76:Q76)</f>
        <v>243840</v>
      </c>
      <c r="AD76" s="72">
        <f>SUM(O76:R76)</f>
        <v>250630</v>
      </c>
      <c r="AE76" s="72">
        <f>SUM(P76:S76)</f>
        <v>254031</v>
      </c>
      <c r="AF76" s="72">
        <f>SUM(Q76:T76)</f>
        <v>259642</v>
      </c>
      <c r="AG76" s="72">
        <f>SUM(R76:U76)</f>
        <v>267042</v>
      </c>
      <c r="AH76" s="72">
        <f>SUM(S76:V76)</f>
        <v>274336</v>
      </c>
      <c r="AI76" s="72">
        <f>SUM(T76:W76)</f>
        <v>280187</v>
      </c>
      <c r="AJ76" s="16"/>
      <c r="AK76" s="73">
        <f t="shared" si="222"/>
        <v>0.10296381150332046</v>
      </c>
    </row>
    <row r="77" spans="1:37" x14ac:dyDescent="0.2">
      <c r="B77" s="13" t="s">
        <v>75</v>
      </c>
      <c r="C77" s="69">
        <v>278820</v>
      </c>
      <c r="D77" s="69">
        <v>268071</v>
      </c>
      <c r="E77" s="69">
        <v>276229</v>
      </c>
      <c r="F77" s="69">
        <v>301912</v>
      </c>
      <c r="G77" s="69">
        <v>332754</v>
      </c>
      <c r="H77" s="69">
        <v>310636</v>
      </c>
      <c r="I77" s="33"/>
      <c r="J77" s="69">
        <v>72192</v>
      </c>
      <c r="K77" s="69">
        <f>146251-J77</f>
        <v>74059</v>
      </c>
      <c r="L77" s="69">
        <f>222548-K77-J77</f>
        <v>76297</v>
      </c>
      <c r="M77" s="69">
        <f t="shared" si="223"/>
        <v>79364</v>
      </c>
      <c r="N77" s="69">
        <v>75478</v>
      </c>
      <c r="O77" s="69">
        <f>152867-N77</f>
        <v>77389</v>
      </c>
      <c r="P77" s="69">
        <f>232772-O77-N77</f>
        <v>79905</v>
      </c>
      <c r="Q77" s="69">
        <f t="shared" si="224"/>
        <v>99982</v>
      </c>
      <c r="R77" s="69">
        <v>77938</v>
      </c>
      <c r="S77" s="69">
        <f>163481-R77</f>
        <v>85543</v>
      </c>
      <c r="T77" s="69">
        <f>235950-S77-R77</f>
        <v>72469</v>
      </c>
      <c r="U77" s="69">
        <f t="shared" si="225"/>
        <v>74686</v>
      </c>
      <c r="V77" s="69">
        <v>91105</v>
      </c>
      <c r="W77" s="69">
        <f>183528-V77</f>
        <v>92423</v>
      </c>
      <c r="X77" s="33"/>
      <c r="Y77" s="72">
        <f>SUM(J77:M77)</f>
        <v>301912</v>
      </c>
      <c r="Z77" s="72">
        <f>SUM(K77:N77)</f>
        <v>305198</v>
      </c>
      <c r="AA77" s="72">
        <f>SUM(L77:O77)</f>
        <v>308528</v>
      </c>
      <c r="AB77" s="72">
        <f>SUM(M77:P77)</f>
        <v>312136</v>
      </c>
      <c r="AC77" s="72">
        <f>SUM(N77:Q77)</f>
        <v>332754</v>
      </c>
      <c r="AD77" s="72">
        <f>SUM(O77:R77)</f>
        <v>335214</v>
      </c>
      <c r="AE77" s="72">
        <f>SUM(P77:S77)</f>
        <v>343368</v>
      </c>
      <c r="AF77" s="72">
        <f>SUM(Q77:T77)</f>
        <v>335932</v>
      </c>
      <c r="AG77" s="72">
        <f>SUM(R77:U77)</f>
        <v>310636</v>
      </c>
      <c r="AH77" s="72">
        <f>SUM(S77:V77)</f>
        <v>323803</v>
      </c>
      <c r="AI77" s="72">
        <f>SUM(T77:W77)</f>
        <v>330683</v>
      </c>
      <c r="AJ77" s="16"/>
      <c r="AK77" s="73">
        <f t="shared" si="222"/>
        <v>-3.6942871787702947E-2</v>
      </c>
    </row>
    <row r="78" spans="1:37" x14ac:dyDescent="0.2">
      <c r="B78" s="13" t="s">
        <v>70</v>
      </c>
      <c r="C78" s="69">
        <v>5503</v>
      </c>
      <c r="D78" s="69">
        <v>-24008</v>
      </c>
      <c r="E78" s="69">
        <v>-25666</v>
      </c>
      <c r="F78" s="69">
        <v>15653</v>
      </c>
      <c r="G78" s="69">
        <v>30575</v>
      </c>
      <c r="H78" s="69">
        <v>-43328</v>
      </c>
      <c r="I78" s="33"/>
      <c r="J78" s="69">
        <v>1009</v>
      </c>
      <c r="K78" s="69">
        <f>336-J78</f>
        <v>-673</v>
      </c>
      <c r="L78" s="69">
        <f>-1066-K78-J78</f>
        <v>-1402</v>
      </c>
      <c r="M78" s="69">
        <f t="shared" si="223"/>
        <v>16719</v>
      </c>
      <c r="N78" s="69">
        <v>2144</v>
      </c>
      <c r="O78" s="69">
        <f>666-N78</f>
        <v>-1478</v>
      </c>
      <c r="P78" s="69">
        <f>1528-O78-N78</f>
        <v>862</v>
      </c>
      <c r="Q78" s="69">
        <f t="shared" si="224"/>
        <v>29047</v>
      </c>
      <c r="R78" s="69">
        <v>3635</v>
      </c>
      <c r="S78" s="69">
        <f>2540-R78</f>
        <v>-1095</v>
      </c>
      <c r="T78" s="69">
        <f>5808-S78-R78</f>
        <v>3268</v>
      </c>
      <c r="U78" s="69">
        <f t="shared" si="225"/>
        <v>-49136</v>
      </c>
      <c r="V78" s="69">
        <v>3420</v>
      </c>
      <c r="W78" s="69">
        <f>2232-V78</f>
        <v>-1188</v>
      </c>
      <c r="X78" s="33"/>
      <c r="Y78" s="72">
        <f>SUM(J78:M78)</f>
        <v>15653</v>
      </c>
      <c r="Z78" s="72">
        <f>SUM(K78:N78)</f>
        <v>16788</v>
      </c>
      <c r="AA78" s="72">
        <f>SUM(L78:O78)</f>
        <v>15983</v>
      </c>
      <c r="AB78" s="72">
        <f>SUM(M78:P78)</f>
        <v>18247</v>
      </c>
      <c r="AC78" s="72">
        <f>SUM(N78:Q78)</f>
        <v>30575</v>
      </c>
      <c r="AD78" s="72">
        <f>SUM(O78:R78)</f>
        <v>32066</v>
      </c>
      <c r="AE78" s="72">
        <f>SUM(P78:S78)</f>
        <v>32449</v>
      </c>
      <c r="AF78" s="72">
        <f>SUM(Q78:T78)</f>
        <v>34855</v>
      </c>
      <c r="AG78" s="72">
        <f>SUM(R78:U78)</f>
        <v>-43328</v>
      </c>
      <c r="AH78" s="72">
        <f>SUM(S78:V78)</f>
        <v>-43543</v>
      </c>
      <c r="AI78" s="72">
        <f>SUM(T78:W78)</f>
        <v>-43636</v>
      </c>
      <c r="AJ78" s="16"/>
      <c r="AK78" s="73">
        <f t="shared" si="222"/>
        <v>-2.3447563869456687</v>
      </c>
    </row>
    <row r="79" spans="1:37" x14ac:dyDescent="0.2">
      <c r="B79" s="13" t="s">
        <v>77</v>
      </c>
      <c r="C79" s="69">
        <v>25045</v>
      </c>
      <c r="D79" s="69">
        <v>27583</v>
      </c>
      <c r="E79" s="69">
        <v>47259</v>
      </c>
      <c r="F79" s="69">
        <v>43044</v>
      </c>
      <c r="G79" s="69">
        <v>48246</v>
      </c>
      <c r="H79" s="69">
        <v>42787</v>
      </c>
      <c r="I79" s="33"/>
      <c r="J79" s="69">
        <v>10356</v>
      </c>
      <c r="K79" s="69">
        <f>22875-J79</f>
        <v>12519</v>
      </c>
      <c r="L79" s="69">
        <f>32554-K79-J79</f>
        <v>9679</v>
      </c>
      <c r="M79" s="69">
        <f t="shared" si="223"/>
        <v>10490</v>
      </c>
      <c r="N79" s="69">
        <v>9721</v>
      </c>
      <c r="O79" s="69">
        <f>21539-N79</f>
        <v>11818</v>
      </c>
      <c r="P79" s="69">
        <f>33477-O79-N79</f>
        <v>11938</v>
      </c>
      <c r="Q79" s="69">
        <f t="shared" si="224"/>
        <v>14769</v>
      </c>
      <c r="R79" s="69">
        <v>10082</v>
      </c>
      <c r="S79" s="69">
        <f>19272-R79</f>
        <v>9190</v>
      </c>
      <c r="T79" s="69">
        <f>27691-S79-R79</f>
        <v>8419</v>
      </c>
      <c r="U79" s="69">
        <f t="shared" si="225"/>
        <v>15096</v>
      </c>
      <c r="V79" s="69">
        <v>11418</v>
      </c>
      <c r="W79" s="69">
        <f>20338-V79</f>
        <v>8920</v>
      </c>
      <c r="X79" s="33"/>
      <c r="Y79" s="72">
        <f>SUM(J79:M79)</f>
        <v>43044</v>
      </c>
      <c r="Z79" s="72">
        <f>SUM(K79:N79)</f>
        <v>42409</v>
      </c>
      <c r="AA79" s="72">
        <f>SUM(L79:O79)</f>
        <v>41708</v>
      </c>
      <c r="AB79" s="72">
        <f>SUM(M79:P79)</f>
        <v>43967</v>
      </c>
      <c r="AC79" s="72">
        <f>SUM(N79:Q79)</f>
        <v>48246</v>
      </c>
      <c r="AD79" s="72">
        <f>SUM(O79:R79)</f>
        <v>48607</v>
      </c>
      <c r="AE79" s="72">
        <f>SUM(P79:S79)</f>
        <v>45979</v>
      </c>
      <c r="AF79" s="72">
        <f>SUM(Q79:T79)</f>
        <v>42460</v>
      </c>
      <c r="AG79" s="72">
        <f>SUM(R79:U79)</f>
        <v>42787</v>
      </c>
      <c r="AH79" s="72">
        <f>SUM(S79:V79)</f>
        <v>44123</v>
      </c>
      <c r="AI79" s="72">
        <f>SUM(T79:W79)</f>
        <v>43853</v>
      </c>
      <c r="AJ79" s="16"/>
      <c r="AK79" s="73">
        <f t="shared" si="222"/>
        <v>-4.6238500184866971E-2</v>
      </c>
    </row>
    <row r="80" spans="1:37" x14ac:dyDescent="0.2">
      <c r="B80" s="13" t="s">
        <v>78</v>
      </c>
      <c r="C80" s="69">
        <v>5850</v>
      </c>
      <c r="D80" s="69">
        <v>6827</v>
      </c>
      <c r="E80" s="69">
        <v>5358</v>
      </c>
      <c r="F80" s="69">
        <v>6688</v>
      </c>
      <c r="G80" s="69">
        <v>11419</v>
      </c>
      <c r="H80" s="69">
        <v>11566</v>
      </c>
      <c r="I80" s="33"/>
      <c r="J80" s="69">
        <v>1002</v>
      </c>
      <c r="K80" s="69">
        <f>2277-J80</f>
        <v>1275</v>
      </c>
      <c r="L80" s="69">
        <f>3892-K80-J80</f>
        <v>1615</v>
      </c>
      <c r="M80" s="69">
        <f t="shared" si="223"/>
        <v>2796</v>
      </c>
      <c r="N80" s="69">
        <v>1451</v>
      </c>
      <c r="O80" s="69">
        <f>3878-N80</f>
        <v>2427</v>
      </c>
      <c r="P80" s="69">
        <f>6310-O80-N80</f>
        <v>2432</v>
      </c>
      <c r="Q80" s="69">
        <f t="shared" si="224"/>
        <v>5109</v>
      </c>
      <c r="R80" s="69">
        <v>2975</v>
      </c>
      <c r="S80" s="69">
        <f>5204-R80</f>
        <v>2229</v>
      </c>
      <c r="T80" s="69">
        <f>7280-S80-R80</f>
        <v>2076</v>
      </c>
      <c r="U80" s="69">
        <f t="shared" si="225"/>
        <v>4286</v>
      </c>
      <c r="V80" s="69">
        <v>892</v>
      </c>
      <c r="W80" s="69">
        <f>4689-V80</f>
        <v>3797</v>
      </c>
      <c r="X80" s="33"/>
      <c r="Y80" s="72">
        <f>SUM(J80:M80)</f>
        <v>6688</v>
      </c>
      <c r="Z80" s="72">
        <f>SUM(K80:N80)</f>
        <v>7137</v>
      </c>
      <c r="AA80" s="72">
        <f>SUM(L80:O80)</f>
        <v>8289</v>
      </c>
      <c r="AB80" s="72">
        <f>SUM(M80:P80)</f>
        <v>9106</v>
      </c>
      <c r="AC80" s="72">
        <f>SUM(N80:Q80)</f>
        <v>11419</v>
      </c>
      <c r="AD80" s="72">
        <f>SUM(O80:R80)</f>
        <v>12943</v>
      </c>
      <c r="AE80" s="72">
        <f>SUM(P80:S80)</f>
        <v>12745</v>
      </c>
      <c r="AF80" s="72">
        <f>SUM(Q80:T80)</f>
        <v>12389</v>
      </c>
      <c r="AG80" s="72">
        <f>SUM(R80:U80)</f>
        <v>11566</v>
      </c>
      <c r="AH80" s="72">
        <f>SUM(S80:V80)</f>
        <v>9483</v>
      </c>
      <c r="AI80" s="72">
        <f>SUM(T80:W80)</f>
        <v>11051</v>
      </c>
      <c r="AJ80" s="16"/>
      <c r="AK80" s="73">
        <f t="shared" si="222"/>
        <v>-0.13291486857591217</v>
      </c>
    </row>
    <row r="81" spans="2:37" x14ac:dyDescent="0.2">
      <c r="B81" s="13" t="s">
        <v>76</v>
      </c>
      <c r="C81" s="69">
        <v>0</v>
      </c>
      <c r="D81" s="69">
        <v>72533</v>
      </c>
      <c r="E81" s="69">
        <v>0</v>
      </c>
      <c r="F81" s="69">
        <v>0</v>
      </c>
      <c r="G81" s="69">
        <v>0</v>
      </c>
      <c r="H81" s="69">
        <v>0</v>
      </c>
      <c r="I81" s="33"/>
      <c r="J81" s="69">
        <v>0</v>
      </c>
      <c r="K81" s="69">
        <v>0</v>
      </c>
      <c r="L81" s="69">
        <v>0</v>
      </c>
      <c r="M81" s="69">
        <f t="shared" si="223"/>
        <v>0</v>
      </c>
      <c r="N81" s="69">
        <v>0</v>
      </c>
      <c r="O81" s="69">
        <v>0</v>
      </c>
      <c r="P81" s="69">
        <v>0</v>
      </c>
      <c r="Q81" s="69">
        <f t="shared" si="224"/>
        <v>0</v>
      </c>
      <c r="R81" s="69">
        <v>0</v>
      </c>
      <c r="S81" s="69">
        <v>0</v>
      </c>
      <c r="T81" s="69">
        <v>0</v>
      </c>
      <c r="U81" s="69">
        <v>0</v>
      </c>
      <c r="V81" s="69">
        <v>0</v>
      </c>
      <c r="W81" s="69">
        <v>0</v>
      </c>
      <c r="X81" s="33"/>
      <c r="Y81" s="72">
        <f>SUM(J81:M81)</f>
        <v>0</v>
      </c>
      <c r="Z81" s="72">
        <f>SUM(K81:N81)</f>
        <v>0</v>
      </c>
      <c r="AA81" s="72">
        <f>SUM(L81:O81)</f>
        <v>0</v>
      </c>
      <c r="AB81" s="72">
        <f>SUM(M81:P81)</f>
        <v>0</v>
      </c>
      <c r="AC81" s="72">
        <f>SUM(N81:Q81)</f>
        <v>0</v>
      </c>
      <c r="AD81" s="72">
        <f>SUM(O81:R81)</f>
        <v>0</v>
      </c>
      <c r="AE81" s="72">
        <f>SUM(P81:S81)</f>
        <v>0</v>
      </c>
      <c r="AF81" s="72">
        <f>SUM(Q81:T81)</f>
        <v>0</v>
      </c>
      <c r="AG81" s="72">
        <f>SUM(R81:U81)</f>
        <v>0</v>
      </c>
      <c r="AH81" s="72">
        <f>SUM(S81:V81)</f>
        <v>0</v>
      </c>
      <c r="AI81" s="72">
        <f>SUM(T81:W81)</f>
        <v>0</v>
      </c>
      <c r="AJ81" s="16"/>
      <c r="AK81" s="73" t="e">
        <f t="shared" si="222"/>
        <v>#DIV/0!</v>
      </c>
    </row>
    <row r="82" spans="2:37" x14ac:dyDescent="0.2">
      <c r="B82" s="13" t="s">
        <v>164</v>
      </c>
      <c r="C82" s="69">
        <v>0</v>
      </c>
      <c r="D82" s="69">
        <v>0</v>
      </c>
      <c r="E82" s="69">
        <v>0</v>
      </c>
      <c r="F82" s="69">
        <v>0</v>
      </c>
      <c r="G82" s="69">
        <v>0</v>
      </c>
      <c r="H82" s="69">
        <v>0</v>
      </c>
      <c r="I82" s="69"/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69">
        <v>628</v>
      </c>
      <c r="W82" s="69">
        <f>1225-V82</f>
        <v>597</v>
      </c>
      <c r="X82" s="33"/>
      <c r="Y82" s="72">
        <f>SUM(J82:M82)</f>
        <v>0</v>
      </c>
      <c r="Z82" s="72">
        <f>SUM(K82:N82)</f>
        <v>0</v>
      </c>
      <c r="AA82" s="72">
        <f>SUM(L82:O82)</f>
        <v>0</v>
      </c>
      <c r="AB82" s="72">
        <f>SUM(M82:P82)</f>
        <v>0</v>
      </c>
      <c r="AC82" s="72">
        <f>SUM(N82:Q82)</f>
        <v>0</v>
      </c>
      <c r="AD82" s="72">
        <f>SUM(O82:R82)</f>
        <v>0</v>
      </c>
      <c r="AE82" s="72">
        <f>SUM(P82:S82)</f>
        <v>0</v>
      </c>
      <c r="AF82" s="72">
        <f>SUM(Q82:T82)</f>
        <v>0</v>
      </c>
      <c r="AG82" s="72">
        <f>SUM(R82:U82)</f>
        <v>0</v>
      </c>
      <c r="AH82" s="72">
        <f>SUM(S82:V82)</f>
        <v>628</v>
      </c>
      <c r="AI82" s="72">
        <f>SUM(T82:W82)</f>
        <v>1225</v>
      </c>
      <c r="AJ82" s="16"/>
      <c r="AK82" s="73" t="e">
        <f t="shared" si="222"/>
        <v>#DIV/0!</v>
      </c>
    </row>
    <row r="83" spans="2:37" x14ac:dyDescent="0.2">
      <c r="B83" s="11"/>
      <c r="C83" s="69"/>
      <c r="D83" s="69"/>
      <c r="E83" s="69"/>
      <c r="F83" s="69"/>
      <c r="G83" s="69"/>
      <c r="H83" s="69"/>
      <c r="I83" s="16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16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16"/>
      <c r="AK83" s="73"/>
    </row>
    <row r="84" spans="2:37" x14ac:dyDescent="0.2">
      <c r="B84" s="37" t="s">
        <v>79</v>
      </c>
      <c r="C84" s="69"/>
      <c r="D84" s="69"/>
      <c r="E84" s="69" t="s">
        <v>68</v>
      </c>
      <c r="F84" s="69" t="s">
        <v>68</v>
      </c>
      <c r="G84" s="69" t="s">
        <v>68</v>
      </c>
      <c r="H84" s="69"/>
      <c r="I84" s="16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16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56"/>
      <c r="AK84" s="73"/>
    </row>
    <row r="85" spans="2:37" x14ac:dyDescent="0.2">
      <c r="B85" s="13" t="s">
        <v>80</v>
      </c>
      <c r="C85" s="69">
        <v>-20637</v>
      </c>
      <c r="D85" s="69">
        <v>-53772</v>
      </c>
      <c r="E85" s="69">
        <v>-40573</v>
      </c>
      <c r="F85" s="69">
        <v>34260</v>
      </c>
      <c r="G85" s="69">
        <v>-8517</v>
      </c>
      <c r="H85" s="69">
        <v>-15395</v>
      </c>
      <c r="I85" s="33"/>
      <c r="J85" s="69">
        <v>40928</v>
      </c>
      <c r="K85" s="69">
        <f>53168-J85</f>
        <v>12240</v>
      </c>
      <c r="L85" s="69">
        <f>33378-K85-J85</f>
        <v>-19790</v>
      </c>
      <c r="M85" s="69">
        <f t="shared" ref="M85:M93" si="226">SUM(F85-SUM(J85:L85))</f>
        <v>882</v>
      </c>
      <c r="N85" s="69">
        <v>9140</v>
      </c>
      <c r="O85" s="69">
        <f>24978-N85</f>
        <v>15838</v>
      </c>
      <c r="P85" s="69">
        <f>-3446-O85-N85</f>
        <v>-28424</v>
      </c>
      <c r="Q85" s="69">
        <f t="shared" ref="Q85:Q93" si="227">SUM(G85-SUM(N85:P85))</f>
        <v>-5071</v>
      </c>
      <c r="R85" s="69">
        <v>4476</v>
      </c>
      <c r="S85" s="69">
        <f>7076-R85</f>
        <v>2600</v>
      </c>
      <c r="T85" s="69">
        <f>-5682-S85-R85</f>
        <v>-12758</v>
      </c>
      <c r="U85" s="69">
        <f t="shared" ref="U85:U93" si="228">SUM(H85-SUM(R85:T85))</f>
        <v>-9713</v>
      </c>
      <c r="V85" s="69">
        <v>-1812</v>
      </c>
      <c r="W85" s="69">
        <f>-198-V85</f>
        <v>1614</v>
      </c>
      <c r="X85" s="33"/>
      <c r="Y85" s="72">
        <f>SUM(J85:M85)</f>
        <v>34260</v>
      </c>
      <c r="Z85" s="72">
        <f>SUM(K85:N85)</f>
        <v>2472</v>
      </c>
      <c r="AA85" s="72">
        <f>SUM(L85:O85)</f>
        <v>6070</v>
      </c>
      <c r="AB85" s="72">
        <f>SUM(M85:P85)</f>
        <v>-2564</v>
      </c>
      <c r="AC85" s="72">
        <f>SUM(N85:Q85)</f>
        <v>-8517</v>
      </c>
      <c r="AD85" s="72">
        <f>SUM(O85:R85)</f>
        <v>-13181</v>
      </c>
      <c r="AE85" s="72">
        <f>SUM(P85:S85)</f>
        <v>-26419</v>
      </c>
      <c r="AF85" s="72">
        <f>SUM(Q85:T85)</f>
        <v>-10753</v>
      </c>
      <c r="AG85" s="72">
        <f>SUM(R85:U85)</f>
        <v>-15395</v>
      </c>
      <c r="AH85" s="72">
        <f>SUM(S85:V85)</f>
        <v>-21683</v>
      </c>
      <c r="AI85" s="72">
        <f>SUM(T85:W85)</f>
        <v>-22669</v>
      </c>
      <c r="AJ85" s="56"/>
      <c r="AK85" s="73">
        <f t="shared" si="222"/>
        <v>-0.14194329838373898</v>
      </c>
    </row>
    <row r="86" spans="2:37" x14ac:dyDescent="0.2">
      <c r="B86" s="13" t="s">
        <v>81</v>
      </c>
      <c r="C86" s="69">
        <v>-79372</v>
      </c>
      <c r="D86" s="69">
        <v>125486</v>
      </c>
      <c r="E86" s="69">
        <v>-331003</v>
      </c>
      <c r="F86" s="69">
        <v>-104233</v>
      </c>
      <c r="G86" s="69">
        <v>-138685</v>
      </c>
      <c r="H86" s="69">
        <v>-226078</v>
      </c>
      <c r="I86" s="33"/>
      <c r="J86" s="69">
        <v>-71334</v>
      </c>
      <c r="K86" s="69">
        <f>-166912-J86</f>
        <v>-95578</v>
      </c>
      <c r="L86" s="69">
        <f>-615451-K86-J86</f>
        <v>-448539</v>
      </c>
      <c r="M86" s="69">
        <f t="shared" si="226"/>
        <v>511218</v>
      </c>
      <c r="N86" s="69">
        <v>-147784</v>
      </c>
      <c r="O86" s="69">
        <f>-212088-N86</f>
        <v>-64304</v>
      </c>
      <c r="P86" s="69">
        <f>-717855-O86-N86</f>
        <v>-505767</v>
      </c>
      <c r="Q86" s="69">
        <f t="shared" si="227"/>
        <v>579170</v>
      </c>
      <c r="R86" s="69">
        <v>-163904</v>
      </c>
      <c r="S86" s="69">
        <f>-256150-R86</f>
        <v>-92246</v>
      </c>
      <c r="T86" s="69">
        <f>-623050-S86-R86</f>
        <v>-366900</v>
      </c>
      <c r="U86" s="69">
        <f t="shared" si="228"/>
        <v>396972</v>
      </c>
      <c r="V86" s="69">
        <v>-153305</v>
      </c>
      <c r="W86" s="69">
        <f>-366091-V86</f>
        <v>-212786</v>
      </c>
      <c r="X86" s="33"/>
      <c r="Y86" s="72">
        <f>SUM(J86:M86)</f>
        <v>-104233</v>
      </c>
      <c r="Z86" s="72">
        <f>SUM(K86:N86)</f>
        <v>-180683</v>
      </c>
      <c r="AA86" s="72">
        <f>SUM(L86:O86)</f>
        <v>-149409</v>
      </c>
      <c r="AB86" s="72">
        <f>SUM(M86:P86)</f>
        <v>-206637</v>
      </c>
      <c r="AC86" s="72">
        <f>SUM(N86:Q86)</f>
        <v>-138685</v>
      </c>
      <c r="AD86" s="72">
        <f>SUM(O86:R86)</f>
        <v>-154805</v>
      </c>
      <c r="AE86" s="72">
        <f>SUM(P86:S86)</f>
        <v>-182747</v>
      </c>
      <c r="AF86" s="72">
        <f>SUM(Q86:T86)</f>
        <v>-43880</v>
      </c>
      <c r="AG86" s="72">
        <f>SUM(R86:U86)</f>
        <v>-226078</v>
      </c>
      <c r="AH86" s="72">
        <f>SUM(S86:V86)</f>
        <v>-215479</v>
      </c>
      <c r="AI86" s="72">
        <f>SUM(T86:W86)</f>
        <v>-336019</v>
      </c>
      <c r="AJ86" s="56"/>
      <c r="AK86" s="73">
        <f t="shared" si="222"/>
        <v>0.8387114425955009</v>
      </c>
    </row>
    <row r="87" spans="2:37" x14ac:dyDescent="0.2">
      <c r="B87" s="13" t="s">
        <v>57</v>
      </c>
      <c r="C87" s="69">
        <v>9289</v>
      </c>
      <c r="D87" s="69">
        <v>-4363</v>
      </c>
      <c r="E87" s="69">
        <v>-3412</v>
      </c>
      <c r="F87" s="69">
        <v>-19432</v>
      </c>
      <c r="G87" s="69">
        <v>14648</v>
      </c>
      <c r="H87" s="69">
        <v>-13515</v>
      </c>
      <c r="I87" s="33"/>
      <c r="J87" s="69">
        <v>-3261</v>
      </c>
      <c r="K87" s="69">
        <f>-12200-J87</f>
        <v>-8939</v>
      </c>
      <c r="L87" s="69">
        <f>-26828-K87-J87</f>
        <v>-14628</v>
      </c>
      <c r="M87" s="69">
        <f t="shared" si="226"/>
        <v>7396</v>
      </c>
      <c r="N87" s="69">
        <v>22232</v>
      </c>
      <c r="O87" s="69">
        <f>19722-N87</f>
        <v>-2510</v>
      </c>
      <c r="P87" s="69">
        <f>12964-O87-N87</f>
        <v>-6758</v>
      </c>
      <c r="Q87" s="69">
        <f t="shared" si="227"/>
        <v>1684</v>
      </c>
      <c r="R87" s="69">
        <v>-10931</v>
      </c>
      <c r="S87" s="69">
        <f>-16425-R87</f>
        <v>-5494</v>
      </c>
      <c r="T87" s="69">
        <f>-19916-S87-R87</f>
        <v>-3491</v>
      </c>
      <c r="U87" s="69">
        <f t="shared" si="228"/>
        <v>6401</v>
      </c>
      <c r="V87" s="69">
        <v>-9283</v>
      </c>
      <c r="W87" s="69">
        <f>-21657-V87</f>
        <v>-12374</v>
      </c>
      <c r="X87" s="33"/>
      <c r="Y87" s="72">
        <f>SUM(J87:M87)</f>
        <v>-19432</v>
      </c>
      <c r="Z87" s="72">
        <f>SUM(K87:N87)</f>
        <v>6061</v>
      </c>
      <c r="AA87" s="72">
        <f>SUM(L87:O87)</f>
        <v>12490</v>
      </c>
      <c r="AB87" s="72">
        <f>SUM(M87:P87)</f>
        <v>20360</v>
      </c>
      <c r="AC87" s="72">
        <f>SUM(N87:Q87)</f>
        <v>14648</v>
      </c>
      <c r="AD87" s="72">
        <f>SUM(O87:R87)</f>
        <v>-18515</v>
      </c>
      <c r="AE87" s="72">
        <f>SUM(P87:S87)</f>
        <v>-21499</v>
      </c>
      <c r="AF87" s="72">
        <f>SUM(Q87:T87)</f>
        <v>-18232</v>
      </c>
      <c r="AG87" s="72">
        <f>SUM(R87:U87)</f>
        <v>-13515</v>
      </c>
      <c r="AH87" s="72">
        <f>SUM(S87:V87)</f>
        <v>-11867</v>
      </c>
      <c r="AI87" s="72">
        <f>SUM(T87:W87)</f>
        <v>-18747</v>
      </c>
      <c r="AJ87" s="56"/>
      <c r="AK87" s="73">
        <f t="shared" si="222"/>
        <v>-0.12800595376529145</v>
      </c>
    </row>
    <row r="88" spans="2:37" x14ac:dyDescent="0.2">
      <c r="B88" s="13" t="s">
        <v>82</v>
      </c>
      <c r="C88" s="69">
        <v>610</v>
      </c>
      <c r="D88" s="69">
        <v>58916</v>
      </c>
      <c r="E88" s="69">
        <v>-35652</v>
      </c>
      <c r="F88" s="69">
        <v>-45182</v>
      </c>
      <c r="G88" s="69">
        <v>45367</v>
      </c>
      <c r="H88" s="69">
        <v>34772</v>
      </c>
      <c r="I88" s="33"/>
      <c r="J88" s="69">
        <v>101236</v>
      </c>
      <c r="K88" s="69">
        <f>-45906-J88</f>
        <v>-147142</v>
      </c>
      <c r="L88" s="69">
        <f>-49446-K88-J88</f>
        <v>-3540</v>
      </c>
      <c r="M88" s="69">
        <f t="shared" si="226"/>
        <v>4264</v>
      </c>
      <c r="N88" s="69">
        <v>97003</v>
      </c>
      <c r="O88" s="69">
        <f>8194-N88</f>
        <v>-88809</v>
      </c>
      <c r="P88" s="69">
        <f>9535-O88-N88</f>
        <v>1341</v>
      </c>
      <c r="Q88" s="69">
        <f t="shared" si="227"/>
        <v>35832</v>
      </c>
      <c r="R88" s="69">
        <v>85652</v>
      </c>
      <c r="S88" s="69">
        <f>-60666-R88</f>
        <v>-146318</v>
      </c>
      <c r="T88" s="69">
        <f>-69818-S88-R88</f>
        <v>-9152</v>
      </c>
      <c r="U88" s="69">
        <f t="shared" si="228"/>
        <v>104590</v>
      </c>
      <c r="V88" s="69">
        <v>88934</v>
      </c>
      <c r="W88" s="69">
        <f>-70406-V88</f>
        <v>-159340</v>
      </c>
      <c r="X88" s="33"/>
      <c r="Y88" s="72">
        <f>SUM(J88:M88)</f>
        <v>-45182</v>
      </c>
      <c r="Z88" s="72">
        <f>SUM(K88:N88)</f>
        <v>-49415</v>
      </c>
      <c r="AA88" s="72">
        <f>SUM(L88:O88)</f>
        <v>8918</v>
      </c>
      <c r="AB88" s="72">
        <f>SUM(M88:P88)</f>
        <v>13799</v>
      </c>
      <c r="AC88" s="72">
        <f>SUM(N88:Q88)</f>
        <v>45367</v>
      </c>
      <c r="AD88" s="72">
        <f>SUM(O88:R88)</f>
        <v>34016</v>
      </c>
      <c r="AE88" s="72">
        <f>SUM(P88:S88)</f>
        <v>-23493</v>
      </c>
      <c r="AF88" s="72">
        <f>SUM(Q88:T88)</f>
        <v>-33986</v>
      </c>
      <c r="AG88" s="72">
        <f>SUM(R88:U88)</f>
        <v>34772</v>
      </c>
      <c r="AH88" s="72">
        <f>SUM(S88:V88)</f>
        <v>38054</v>
      </c>
      <c r="AI88" s="72">
        <f>SUM(T88:W88)</f>
        <v>25032</v>
      </c>
      <c r="AJ88" s="56"/>
      <c r="AK88" s="73">
        <f t="shared" si="222"/>
        <v>-2.0655088749840376</v>
      </c>
    </row>
    <row r="89" spans="2:37" x14ac:dyDescent="0.2">
      <c r="B89" s="13" t="s">
        <v>63</v>
      </c>
      <c r="C89" s="69">
        <v>9993</v>
      </c>
      <c r="D89" s="69">
        <v>62324</v>
      </c>
      <c r="E89" s="69">
        <v>66156</v>
      </c>
      <c r="F89" s="69">
        <v>8309</v>
      </c>
      <c r="G89" s="69">
        <v>-20873</v>
      </c>
      <c r="H89" s="69">
        <v>30297</v>
      </c>
      <c r="I89" s="33"/>
      <c r="J89" s="69">
        <v>42586</v>
      </c>
      <c r="K89" s="69">
        <f>40051-J89</f>
        <v>-2535</v>
      </c>
      <c r="L89" s="69">
        <f>94214-K89-J89</f>
        <v>54163</v>
      </c>
      <c r="M89" s="69">
        <f t="shared" si="226"/>
        <v>-85905</v>
      </c>
      <c r="N89" s="69">
        <v>62257</v>
      </c>
      <c r="O89" s="69">
        <f>-38752-N89</f>
        <v>-101009</v>
      </c>
      <c r="P89" s="69">
        <f>41817-O89-N89</f>
        <v>80569</v>
      </c>
      <c r="Q89" s="69">
        <f t="shared" si="227"/>
        <v>-62690</v>
      </c>
      <c r="R89" s="69">
        <v>-74069</v>
      </c>
      <c r="S89" s="69">
        <f>29715-R89</f>
        <v>103784</v>
      </c>
      <c r="T89" s="69">
        <f>54210-S89-R89</f>
        <v>24495</v>
      </c>
      <c r="U89" s="69">
        <f t="shared" si="228"/>
        <v>-23913</v>
      </c>
      <c r="V89" s="69">
        <v>-24920</v>
      </c>
      <c r="W89" s="69">
        <f>98115-V89</f>
        <v>123035</v>
      </c>
      <c r="X89" s="33"/>
      <c r="Y89" s="72">
        <f>SUM(J89:M89)</f>
        <v>8309</v>
      </c>
      <c r="Z89" s="72">
        <f>SUM(K89:N89)</f>
        <v>27980</v>
      </c>
      <c r="AA89" s="72">
        <f>SUM(L89:O89)</f>
        <v>-70494</v>
      </c>
      <c r="AB89" s="72">
        <f>SUM(M89:P89)</f>
        <v>-44088</v>
      </c>
      <c r="AC89" s="72">
        <f>SUM(N89:Q89)</f>
        <v>-20873</v>
      </c>
      <c r="AD89" s="72">
        <f>SUM(O89:R89)</f>
        <v>-157199</v>
      </c>
      <c r="AE89" s="72">
        <f>SUM(P89:S89)</f>
        <v>47594</v>
      </c>
      <c r="AF89" s="72">
        <f>SUM(Q89:T89)</f>
        <v>-8480</v>
      </c>
      <c r="AG89" s="72">
        <f>SUM(R89:U89)</f>
        <v>30297</v>
      </c>
      <c r="AH89" s="72">
        <f>SUM(S89:V89)</f>
        <v>79446</v>
      </c>
      <c r="AI89" s="72">
        <f>SUM(T89:W89)</f>
        <v>98697</v>
      </c>
      <c r="AJ89" s="56"/>
      <c r="AK89" s="73">
        <f t="shared" si="222"/>
        <v>1.0737277808127077</v>
      </c>
    </row>
    <row r="90" spans="2:37" x14ac:dyDescent="0.2">
      <c r="B90" s="13" t="s">
        <v>64</v>
      </c>
      <c r="C90" s="69">
        <v>28183</v>
      </c>
      <c r="D90" s="69">
        <v>58599</v>
      </c>
      <c r="E90" s="69">
        <v>58598</v>
      </c>
      <c r="F90" s="69">
        <v>48249</v>
      </c>
      <c r="G90" s="69">
        <v>-62238</v>
      </c>
      <c r="H90" s="69">
        <v>6303</v>
      </c>
      <c r="I90" s="33"/>
      <c r="J90" s="69">
        <v>-57214</v>
      </c>
      <c r="K90" s="69">
        <f>-49364-J90</f>
        <v>7850</v>
      </c>
      <c r="L90" s="69">
        <f>64164-K90-J90</f>
        <v>113528</v>
      </c>
      <c r="M90" s="69">
        <f t="shared" si="226"/>
        <v>-15915</v>
      </c>
      <c r="N90" s="69">
        <v>-98515</v>
      </c>
      <c r="O90" s="69">
        <f>-102763-N90</f>
        <v>-4248</v>
      </c>
      <c r="P90" s="69">
        <f>-34955-O90-N90</f>
        <v>67808</v>
      </c>
      <c r="Q90" s="69">
        <f t="shared" si="227"/>
        <v>-27283</v>
      </c>
      <c r="R90" s="69">
        <v>-43846</v>
      </c>
      <c r="S90" s="69">
        <f>-33634-R90</f>
        <v>10212</v>
      </c>
      <c r="T90" s="69">
        <f>-45777-S90-R90</f>
        <v>-12143</v>
      </c>
      <c r="U90" s="69">
        <f t="shared" si="228"/>
        <v>52080</v>
      </c>
      <c r="V90" s="69">
        <v>-32716</v>
      </c>
      <c r="W90" s="69">
        <f>-3881-V90</f>
        <v>28835</v>
      </c>
      <c r="X90" s="33"/>
      <c r="Y90" s="72">
        <f>SUM(J90:M90)</f>
        <v>48249</v>
      </c>
      <c r="Z90" s="72">
        <f>SUM(K90:N90)</f>
        <v>6948</v>
      </c>
      <c r="AA90" s="72">
        <f>SUM(L90:O90)</f>
        <v>-5150</v>
      </c>
      <c r="AB90" s="72">
        <f>SUM(M90:P90)</f>
        <v>-50870</v>
      </c>
      <c r="AC90" s="72">
        <f>SUM(N90:Q90)</f>
        <v>-62238</v>
      </c>
      <c r="AD90" s="72">
        <f>SUM(O90:R90)</f>
        <v>-7569</v>
      </c>
      <c r="AE90" s="72">
        <f>SUM(P90:S90)</f>
        <v>6891</v>
      </c>
      <c r="AF90" s="72">
        <f>SUM(Q90:T90)</f>
        <v>-73060</v>
      </c>
      <c r="AG90" s="72">
        <f>SUM(R90:U90)</f>
        <v>6303</v>
      </c>
      <c r="AH90" s="72">
        <f>SUM(S90:V90)</f>
        <v>17433</v>
      </c>
      <c r="AI90" s="72">
        <f>SUM(T90:W90)</f>
        <v>36056</v>
      </c>
      <c r="AJ90" s="56"/>
      <c r="AK90" s="73">
        <f t="shared" si="222"/>
        <v>4.232332027281962</v>
      </c>
    </row>
    <row r="91" spans="2:37" x14ac:dyDescent="0.2">
      <c r="B91" s="13" t="s">
        <v>65</v>
      </c>
      <c r="C91" s="69">
        <v>38481</v>
      </c>
      <c r="D91" s="69">
        <v>36848</v>
      </c>
      <c r="E91" s="69">
        <v>79196</v>
      </c>
      <c r="F91" s="69">
        <v>41098</v>
      </c>
      <c r="G91" s="69">
        <v>41914</v>
      </c>
      <c r="H91" s="69">
        <v>63994</v>
      </c>
      <c r="I91" s="33"/>
      <c r="J91" s="69">
        <v>-28885</v>
      </c>
      <c r="K91" s="69">
        <f>-37008-J91</f>
        <v>-8123</v>
      </c>
      <c r="L91" s="69">
        <f>-41447-K91-J91</f>
        <v>-4439</v>
      </c>
      <c r="M91" s="69">
        <f t="shared" si="226"/>
        <v>82545</v>
      </c>
      <c r="N91" s="69">
        <v>-37460</v>
      </c>
      <c r="O91" s="69">
        <f>-40424-N91</f>
        <v>-2964</v>
      </c>
      <c r="P91" s="69">
        <f>-43740-O91-N91</f>
        <v>-3316</v>
      </c>
      <c r="Q91" s="69">
        <f t="shared" si="227"/>
        <v>85654</v>
      </c>
      <c r="R91" s="69">
        <v>-37862</v>
      </c>
      <c r="S91" s="69">
        <f>-41604-R91</f>
        <v>-3742</v>
      </c>
      <c r="T91" s="69">
        <f>-31551-S91-R91</f>
        <v>10053</v>
      </c>
      <c r="U91" s="69">
        <f t="shared" si="228"/>
        <v>95545</v>
      </c>
      <c r="V91" s="69">
        <v>-37742</v>
      </c>
      <c r="W91" s="69">
        <f>-44418-V91</f>
        <v>-6676</v>
      </c>
      <c r="X91" s="33"/>
      <c r="Y91" s="72">
        <f>SUM(J91:M91)</f>
        <v>41098</v>
      </c>
      <c r="Z91" s="72">
        <f>SUM(K91:N91)</f>
        <v>32523</v>
      </c>
      <c r="AA91" s="72">
        <f>SUM(L91:O91)</f>
        <v>37682</v>
      </c>
      <c r="AB91" s="72">
        <f>SUM(M91:P91)</f>
        <v>38805</v>
      </c>
      <c r="AC91" s="72">
        <f>SUM(N91:Q91)</f>
        <v>41914</v>
      </c>
      <c r="AD91" s="72">
        <f>SUM(O91:R91)</f>
        <v>41512</v>
      </c>
      <c r="AE91" s="72">
        <f>SUM(P91:S91)</f>
        <v>40734</v>
      </c>
      <c r="AF91" s="72">
        <f>SUM(Q91:T91)</f>
        <v>54103</v>
      </c>
      <c r="AG91" s="72">
        <f>SUM(R91:U91)</f>
        <v>63994</v>
      </c>
      <c r="AH91" s="72">
        <f>SUM(S91:V91)</f>
        <v>64114</v>
      </c>
      <c r="AI91" s="72">
        <f>SUM(T91:W91)</f>
        <v>61180</v>
      </c>
      <c r="AJ91" s="56"/>
      <c r="AK91" s="73">
        <f t="shared" si="222"/>
        <v>0.50193941179358759</v>
      </c>
    </row>
    <row r="92" spans="2:37" x14ac:dyDescent="0.2">
      <c r="B92" s="13" t="s">
        <v>83</v>
      </c>
      <c r="C92" s="69">
        <v>-256910</v>
      </c>
      <c r="D92" s="69">
        <v>-297513</v>
      </c>
      <c r="E92" s="69">
        <v>-303914</v>
      </c>
      <c r="F92" s="69">
        <v>-324500</v>
      </c>
      <c r="G92" s="69">
        <v>-338105</v>
      </c>
      <c r="H92" s="69">
        <v>-333835</v>
      </c>
      <c r="I92" s="33"/>
      <c r="J92" s="69">
        <v>-79936</v>
      </c>
      <c r="K92" s="69">
        <f>-163302-J92</f>
        <v>-83366</v>
      </c>
      <c r="L92" s="69">
        <f>-246988-K92-J92</f>
        <v>-83686</v>
      </c>
      <c r="M92" s="69">
        <f t="shared" si="226"/>
        <v>-77512</v>
      </c>
      <c r="N92" s="69">
        <v>-78562</v>
      </c>
      <c r="O92" s="69">
        <f>-163527-N92</f>
        <v>-84965</v>
      </c>
      <c r="P92" s="69">
        <f>-248469-O92-N92</f>
        <v>-84942</v>
      </c>
      <c r="Q92" s="69">
        <f t="shared" si="227"/>
        <v>-89636</v>
      </c>
      <c r="R92" s="69">
        <v>-83500</v>
      </c>
      <c r="S92" s="69">
        <f>-170779-R92</f>
        <v>-87279</v>
      </c>
      <c r="T92" s="69">
        <f>-250267-S92-R92</f>
        <v>-79488</v>
      </c>
      <c r="U92" s="69">
        <f t="shared" si="228"/>
        <v>-83568</v>
      </c>
      <c r="V92" s="69">
        <v>-88100</v>
      </c>
      <c r="W92" s="69">
        <f>-180316-V92</f>
        <v>-92216</v>
      </c>
      <c r="X92" s="33"/>
      <c r="Y92" s="72">
        <f>SUM(J92:M92)</f>
        <v>-324500</v>
      </c>
      <c r="Z92" s="72">
        <f>SUM(K92:N92)</f>
        <v>-323126</v>
      </c>
      <c r="AA92" s="72">
        <f>SUM(L92:O92)</f>
        <v>-324725</v>
      </c>
      <c r="AB92" s="72">
        <f>SUM(M92:P92)</f>
        <v>-325981</v>
      </c>
      <c r="AC92" s="72">
        <f>SUM(N92:Q92)</f>
        <v>-338105</v>
      </c>
      <c r="AD92" s="72">
        <f>SUM(O92:R92)</f>
        <v>-343043</v>
      </c>
      <c r="AE92" s="72">
        <f>SUM(P92:S92)</f>
        <v>-345357</v>
      </c>
      <c r="AF92" s="72">
        <f>SUM(Q92:T92)</f>
        <v>-339903</v>
      </c>
      <c r="AG92" s="72">
        <f>SUM(R92:U92)</f>
        <v>-333835</v>
      </c>
      <c r="AH92" s="72">
        <f>SUM(S92:V92)</f>
        <v>-338435</v>
      </c>
      <c r="AI92" s="72">
        <f>SUM(T92:W92)</f>
        <v>-343372</v>
      </c>
      <c r="AJ92" s="56"/>
      <c r="AK92" s="73">
        <f t="shared" si="222"/>
        <v>-5.7476755936610724E-3</v>
      </c>
    </row>
    <row r="93" spans="2:37" x14ac:dyDescent="0.2">
      <c r="B93" s="13" t="s">
        <v>84</v>
      </c>
      <c r="C93" s="69">
        <v>54894</v>
      </c>
      <c r="D93" s="69">
        <v>-783</v>
      </c>
      <c r="E93" s="69">
        <v>12392</v>
      </c>
      <c r="F93" s="69">
        <v>-7731</v>
      </c>
      <c r="G93" s="69">
        <v>-15084</v>
      </c>
      <c r="H93" s="69">
        <v>2241</v>
      </c>
      <c r="I93" s="33"/>
      <c r="J93" s="69">
        <v>3390</v>
      </c>
      <c r="K93" s="69">
        <f>-392-J93</f>
        <v>-3782</v>
      </c>
      <c r="L93" s="69">
        <f>20063-K93-J93</f>
        <v>20455</v>
      </c>
      <c r="M93" s="69">
        <f t="shared" si="226"/>
        <v>-27794</v>
      </c>
      <c r="N93" s="69">
        <v>-17204</v>
      </c>
      <c r="O93" s="69">
        <f>-12497-N93</f>
        <v>4707</v>
      </c>
      <c r="P93" s="69">
        <f>-9836-O93-N93</f>
        <v>2661</v>
      </c>
      <c r="Q93" s="69">
        <f t="shared" si="227"/>
        <v>-5248</v>
      </c>
      <c r="R93" s="69">
        <v>10842</v>
      </c>
      <c r="S93" s="69">
        <f>15127-R93</f>
        <v>4285</v>
      </c>
      <c r="T93" s="69">
        <f>12240-S93-R93</f>
        <v>-2887</v>
      </c>
      <c r="U93" s="69">
        <f t="shared" si="228"/>
        <v>-9999</v>
      </c>
      <c r="V93" s="69">
        <v>-5583</v>
      </c>
      <c r="W93" s="69">
        <f>-15742-V93</f>
        <v>-10159</v>
      </c>
      <c r="X93" s="33"/>
      <c r="Y93" s="72">
        <f>SUM(J93:M93)</f>
        <v>-7731</v>
      </c>
      <c r="Z93" s="72">
        <f>SUM(K93:N93)</f>
        <v>-28325</v>
      </c>
      <c r="AA93" s="72">
        <f>SUM(L93:O93)</f>
        <v>-19836</v>
      </c>
      <c r="AB93" s="72">
        <f>SUM(M93:P93)</f>
        <v>-37630</v>
      </c>
      <c r="AC93" s="72">
        <f>SUM(N93:Q93)</f>
        <v>-15084</v>
      </c>
      <c r="AD93" s="72">
        <f>SUM(O93:R93)</f>
        <v>12962</v>
      </c>
      <c r="AE93" s="72">
        <f>SUM(P93:S93)</f>
        <v>12540</v>
      </c>
      <c r="AF93" s="72">
        <f>SUM(Q93:T93)</f>
        <v>6992</v>
      </c>
      <c r="AG93" s="72">
        <f>SUM(R93:U93)</f>
        <v>2241</v>
      </c>
      <c r="AH93" s="72">
        <f>SUM(S93:V93)</f>
        <v>-14184</v>
      </c>
      <c r="AI93" s="72">
        <f>SUM(T93:W93)</f>
        <v>-28628</v>
      </c>
      <c r="AJ93" s="56"/>
      <c r="AK93" s="73">
        <f t="shared" si="222"/>
        <v>-3.2829346092503986</v>
      </c>
    </row>
    <row r="94" spans="2:37" x14ac:dyDescent="0.2">
      <c r="B94" s="64" t="s">
        <v>4</v>
      </c>
      <c r="C94" s="65">
        <f>SUM(C73:C93)</f>
        <v>1091181</v>
      </c>
      <c r="D94" s="65">
        <f>SUM(D73:D93)</f>
        <v>760305.47000000067</v>
      </c>
      <c r="E94" s="65">
        <f>SUM(E73:E93)</f>
        <v>1059265</v>
      </c>
      <c r="F94" s="65">
        <f>SUM(F73:F93)</f>
        <v>1481915</v>
      </c>
      <c r="G94" s="65">
        <f>SUM(G73:G93)</f>
        <v>1476265.9999999981</v>
      </c>
      <c r="H94" s="65">
        <f>SUM(H73:H93)</f>
        <v>1338605</v>
      </c>
      <c r="I94" s="15"/>
      <c r="J94" s="65">
        <f t="shared" ref="J94:T94" si="229">SUM(J73:J93)</f>
        <v>426303</v>
      </c>
      <c r="K94" s="65">
        <f t="shared" si="229"/>
        <v>445759</v>
      </c>
      <c r="L94" s="65">
        <f t="shared" si="229"/>
        <v>-298636</v>
      </c>
      <c r="M94" s="65">
        <f t="shared" si="229"/>
        <v>908489</v>
      </c>
      <c r="N94" s="65">
        <f t="shared" si="229"/>
        <v>304901</v>
      </c>
      <c r="O94" s="65">
        <f t="shared" si="229"/>
        <v>123907</v>
      </c>
      <c r="P94" s="65">
        <f t="shared" si="229"/>
        <v>-70797</v>
      </c>
      <c r="Q94" s="65">
        <f t="shared" si="229"/>
        <v>1118254.9999999981</v>
      </c>
      <c r="R94" s="65">
        <f t="shared" si="229"/>
        <v>159340</v>
      </c>
      <c r="S94" s="65">
        <f t="shared" si="229"/>
        <v>199539</v>
      </c>
      <c r="T94" s="65">
        <f t="shared" si="229"/>
        <v>-56838</v>
      </c>
      <c r="U94" s="65">
        <f t="shared" ref="U94:V94" si="230">SUM(U73:U93)</f>
        <v>1036564</v>
      </c>
      <c r="V94" s="65">
        <f t="shared" si="230"/>
        <v>220021</v>
      </c>
      <c r="W94" s="65">
        <f t="shared" ref="W94" si="231">SUM(W73:W93)</f>
        <v>96522</v>
      </c>
      <c r="X94" s="15"/>
      <c r="Y94" s="65">
        <f t="shared" ref="Y94:Z94" si="232">SUM(Y73:Y93)</f>
        <v>1481915</v>
      </c>
      <c r="Z94" s="65">
        <f t="shared" si="232"/>
        <v>1360513</v>
      </c>
      <c r="AA94" s="65">
        <f t="shared" ref="AA94" si="233">SUM(AA73:AA93)</f>
        <v>1038661</v>
      </c>
      <c r="AB94" s="65">
        <f t="shared" ref="AB94" si="234">SUM(AB73:AB93)</f>
        <v>1266500</v>
      </c>
      <c r="AC94" s="65">
        <f t="shared" ref="AC94" si="235">SUM(AC73:AC93)</f>
        <v>1476265.9999999981</v>
      </c>
      <c r="AD94" s="65">
        <f t="shared" ref="AD94" si="236">SUM(AD73:AD93)</f>
        <v>1330704.9999999981</v>
      </c>
      <c r="AE94" s="65">
        <f t="shared" ref="AE94" si="237">SUM(AE73:AE93)</f>
        <v>1406336.9999999981</v>
      </c>
      <c r="AF94" s="65">
        <f t="shared" ref="AF94:AH94" si="238">SUM(AF73:AF93)</f>
        <v>1420295.9999999981</v>
      </c>
      <c r="AG94" s="65">
        <f t="shared" si="238"/>
        <v>1338605</v>
      </c>
      <c r="AH94" s="65">
        <f t="shared" si="238"/>
        <v>1399286</v>
      </c>
      <c r="AI94" s="65">
        <f>SUM(AI73:AI93)</f>
        <v>1296269</v>
      </c>
      <c r="AJ94" s="24"/>
      <c r="AK94" s="74">
        <f t="shared" si="222"/>
        <v>-7.8265735737592212E-2</v>
      </c>
    </row>
    <row r="95" spans="2:37" x14ac:dyDescent="0.2">
      <c r="B95" s="47"/>
      <c r="C95" s="58"/>
      <c r="D95" s="58"/>
      <c r="E95" s="58"/>
      <c r="F95" s="58"/>
      <c r="G95" s="58"/>
      <c r="H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73"/>
    </row>
    <row r="96" spans="2:37" x14ac:dyDescent="0.2">
      <c r="B96" s="47" t="s">
        <v>18</v>
      </c>
      <c r="C96" s="54"/>
      <c r="D96" s="54"/>
      <c r="E96" s="54"/>
      <c r="F96" s="54"/>
      <c r="G96" s="54"/>
      <c r="H96" s="54"/>
      <c r="J96" s="54"/>
      <c r="K96" s="54"/>
      <c r="L96" s="55"/>
      <c r="M96" s="54"/>
      <c r="N96" s="54"/>
      <c r="O96" s="54"/>
      <c r="P96" s="55"/>
      <c r="Q96" s="54"/>
      <c r="R96" s="54"/>
      <c r="S96" s="54"/>
      <c r="T96" s="54"/>
      <c r="U96" s="54"/>
      <c r="V96" s="54"/>
      <c r="W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6"/>
      <c r="AK96" s="73"/>
    </row>
    <row r="97" spans="2:37" x14ac:dyDescent="0.2">
      <c r="B97" s="13" t="s">
        <v>38</v>
      </c>
      <c r="C97" s="69">
        <v>-298534</v>
      </c>
      <c r="D97" s="69">
        <v>-151866</v>
      </c>
      <c r="E97" s="69">
        <v>-172187</v>
      </c>
      <c r="F97" s="69">
        <v>-312126</v>
      </c>
      <c r="G97" s="69">
        <v>-435267</v>
      </c>
      <c r="H97" s="69">
        <v>-374458</v>
      </c>
      <c r="I97" s="69"/>
      <c r="J97" s="69">
        <v>-71076</v>
      </c>
      <c r="K97" s="69">
        <f>-120500-J97</f>
        <v>-49424</v>
      </c>
      <c r="L97" s="69">
        <f>-203961-K97-J97</f>
        <v>-83461</v>
      </c>
      <c r="M97" s="69">
        <f t="shared" ref="M97:M99" si="239">SUM(F97-SUM(J97:L97))</f>
        <v>-108165</v>
      </c>
      <c r="N97" s="69">
        <v>-109766</v>
      </c>
      <c r="O97" s="69">
        <f>-204748-N97</f>
        <v>-94982</v>
      </c>
      <c r="P97" s="69">
        <f>-311030-O97-N97</f>
        <v>-106282</v>
      </c>
      <c r="Q97" s="69">
        <f>SUM(G97-SUM(N97:P97))</f>
        <v>-124237</v>
      </c>
      <c r="R97" s="69">
        <v>-91024</v>
      </c>
      <c r="S97" s="69">
        <f>-186301-R97</f>
        <v>-95277</v>
      </c>
      <c r="T97" s="69">
        <f>-300536-S97-R97</f>
        <v>-114235</v>
      </c>
      <c r="U97" s="69">
        <f t="shared" ref="U97:U99" si="240">SUM(H97-SUM(R97:T97))</f>
        <v>-73922</v>
      </c>
      <c r="V97" s="69">
        <v>-79031</v>
      </c>
      <c r="W97" s="69">
        <f>-155988-V97</f>
        <v>-76957</v>
      </c>
      <c r="X97" s="69"/>
      <c r="Y97" s="72">
        <f>SUM(J97:M97)</f>
        <v>-312126</v>
      </c>
      <c r="Z97" s="72">
        <f>SUM(K97:N97)</f>
        <v>-350816</v>
      </c>
      <c r="AA97" s="72">
        <f>SUM(L97:O97)</f>
        <v>-396374</v>
      </c>
      <c r="AB97" s="72">
        <f>SUM(M97:P97)</f>
        <v>-419195</v>
      </c>
      <c r="AC97" s="72">
        <f>SUM(N97:Q97)</f>
        <v>-435267</v>
      </c>
      <c r="AD97" s="72">
        <f>SUM(O97:R97)</f>
        <v>-416525</v>
      </c>
      <c r="AE97" s="72">
        <f>SUM(P97:S97)</f>
        <v>-416820</v>
      </c>
      <c r="AF97" s="72">
        <f>SUM(Q97:T97)</f>
        <v>-424773</v>
      </c>
      <c r="AG97" s="72">
        <f>SUM(R97:U97)</f>
        <v>-374458</v>
      </c>
      <c r="AH97" s="72">
        <f>SUM(S97:V97)</f>
        <v>-362465</v>
      </c>
      <c r="AI97" s="72">
        <f>SUM(T97:W97)</f>
        <v>-344145</v>
      </c>
      <c r="AJ97" s="56"/>
      <c r="AK97" s="73">
        <f t="shared" si="222"/>
        <v>-0.17435583705196489</v>
      </c>
    </row>
    <row r="98" spans="2:37" x14ac:dyDescent="0.2">
      <c r="B98" s="13" t="s">
        <v>165</v>
      </c>
      <c r="C98" s="69">
        <v>0</v>
      </c>
      <c r="D98" s="69">
        <v>0</v>
      </c>
      <c r="E98" s="69">
        <v>0</v>
      </c>
      <c r="F98" s="69">
        <v>0</v>
      </c>
      <c r="G98" s="69">
        <v>0</v>
      </c>
      <c r="H98" s="69">
        <v>0</v>
      </c>
      <c r="I98" s="69"/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69">
        <v>0</v>
      </c>
      <c r="W98" s="69">
        <f>-386793-V98</f>
        <v>-386793</v>
      </c>
      <c r="X98" s="69"/>
      <c r="Y98" s="72">
        <f>SUM(J98:M98)</f>
        <v>0</v>
      </c>
      <c r="Z98" s="72">
        <f>SUM(K98:N98)</f>
        <v>0</v>
      </c>
      <c r="AA98" s="72">
        <f>SUM(L98:O98)</f>
        <v>0</v>
      </c>
      <c r="AB98" s="72">
        <f>SUM(M98:P98)</f>
        <v>0</v>
      </c>
      <c r="AC98" s="72">
        <f>SUM(N98:Q98)</f>
        <v>0</v>
      </c>
      <c r="AD98" s="72">
        <f>SUM(O98:R98)</f>
        <v>0</v>
      </c>
      <c r="AE98" s="72">
        <f>SUM(P98:S98)</f>
        <v>0</v>
      </c>
      <c r="AF98" s="72">
        <f>SUM(Q98:T98)</f>
        <v>0</v>
      </c>
      <c r="AG98" s="72">
        <f>SUM(R98:U98)</f>
        <v>0</v>
      </c>
      <c r="AH98" s="72">
        <f>SUM(S98:V98)</f>
        <v>0</v>
      </c>
      <c r="AI98" s="72">
        <f>SUM(T98:W98)</f>
        <v>-386793</v>
      </c>
      <c r="AJ98" s="56"/>
      <c r="AK98" s="73" t="e">
        <f t="shared" si="222"/>
        <v>#DIV/0!</v>
      </c>
    </row>
    <row r="99" spans="2:37" x14ac:dyDescent="0.2">
      <c r="B99" s="13" t="s">
        <v>85</v>
      </c>
      <c r="C99" s="69">
        <f>-62946-110000</f>
        <v>-172946</v>
      </c>
      <c r="D99" s="69">
        <f>-5665+110000-1220</f>
        <v>103115</v>
      </c>
      <c r="E99" s="69">
        <v>-4297</v>
      </c>
      <c r="F99" s="69">
        <v>-2458</v>
      </c>
      <c r="G99" s="69">
        <v>-6158</v>
      </c>
      <c r="H99" s="69">
        <v>-8631</v>
      </c>
      <c r="I99" s="69"/>
      <c r="J99" s="69">
        <v>-797</v>
      </c>
      <c r="K99" s="69">
        <f>-1249-J99</f>
        <v>-452</v>
      </c>
      <c r="L99" s="69">
        <f>-3068-K99-J99</f>
        <v>-1819</v>
      </c>
      <c r="M99" s="69">
        <f t="shared" si="239"/>
        <v>610</v>
      </c>
      <c r="N99" s="69">
        <v>-314</v>
      </c>
      <c r="O99" s="69">
        <f>-1687-N99</f>
        <v>-1373</v>
      </c>
      <c r="P99" s="69">
        <f>-4870-O99-N99</f>
        <v>-3183</v>
      </c>
      <c r="Q99" s="69">
        <f>SUM(G99-SUM(N99:P99))</f>
        <v>-1288</v>
      </c>
      <c r="R99" s="69">
        <v>-2563</v>
      </c>
      <c r="S99" s="69">
        <f>-5091-R99</f>
        <v>-2528</v>
      </c>
      <c r="T99" s="69">
        <f>-6108-S99-R99</f>
        <v>-1017</v>
      </c>
      <c r="U99" s="69">
        <f t="shared" si="240"/>
        <v>-2523</v>
      </c>
      <c r="V99" s="69">
        <v>-7346</v>
      </c>
      <c r="W99" s="69">
        <f>-17130-V99</f>
        <v>-9784</v>
      </c>
      <c r="X99" s="69"/>
      <c r="Y99" s="72">
        <f>SUM(J99:M99)</f>
        <v>-2458</v>
      </c>
      <c r="Z99" s="72">
        <f>SUM(K99:N99)</f>
        <v>-1975</v>
      </c>
      <c r="AA99" s="72">
        <f>SUM(L99:O99)</f>
        <v>-2896</v>
      </c>
      <c r="AB99" s="72">
        <f>SUM(M99:P99)</f>
        <v>-4260</v>
      </c>
      <c r="AC99" s="72">
        <f>SUM(N99:Q99)</f>
        <v>-6158</v>
      </c>
      <c r="AD99" s="72">
        <f>SUM(O99:R99)</f>
        <v>-8407</v>
      </c>
      <c r="AE99" s="72">
        <f>SUM(P99:S99)</f>
        <v>-9562</v>
      </c>
      <c r="AF99" s="72">
        <f>SUM(Q99:T99)</f>
        <v>-7396</v>
      </c>
      <c r="AG99" s="72">
        <f>SUM(R99:U99)</f>
        <v>-8631</v>
      </c>
      <c r="AH99" s="72">
        <f>SUM(S99:V99)</f>
        <v>-13414</v>
      </c>
      <c r="AI99" s="72">
        <f>SUM(T99:W99)</f>
        <v>-20670</v>
      </c>
      <c r="AJ99" s="56"/>
      <c r="AK99" s="73">
        <f t="shared" si="222"/>
        <v>1.1616816565572057</v>
      </c>
    </row>
    <row r="100" spans="2:37" x14ac:dyDescent="0.2">
      <c r="B100" s="64" t="s">
        <v>5</v>
      </c>
      <c r="C100" s="65">
        <f>SUM(C97:C99)</f>
        <v>-471480</v>
      </c>
      <c r="D100" s="65">
        <f>SUM(D97:D99)</f>
        <v>-48751</v>
      </c>
      <c r="E100" s="65">
        <f>SUM(E97:E99)</f>
        <v>-176484</v>
      </c>
      <c r="F100" s="65">
        <f>SUM(F97:F99)</f>
        <v>-314584</v>
      </c>
      <c r="G100" s="65">
        <f>SUM(G97:G99)</f>
        <v>-441425</v>
      </c>
      <c r="H100" s="65">
        <f>SUM(H97:H99)</f>
        <v>-383089</v>
      </c>
      <c r="I100" s="15"/>
      <c r="J100" s="65">
        <f t="shared" ref="J100:T100" si="241">SUM(J97:J99)</f>
        <v>-71873</v>
      </c>
      <c r="K100" s="65">
        <f t="shared" si="241"/>
        <v>-49876</v>
      </c>
      <c r="L100" s="65">
        <f t="shared" si="241"/>
        <v>-85280</v>
      </c>
      <c r="M100" s="65">
        <f t="shared" si="241"/>
        <v>-107555</v>
      </c>
      <c r="N100" s="65">
        <f t="shared" ref="N100" si="242">SUM(N97:N99)</f>
        <v>-110080</v>
      </c>
      <c r="O100" s="65">
        <f t="shared" si="241"/>
        <v>-96355</v>
      </c>
      <c r="P100" s="65">
        <f t="shared" si="241"/>
        <v>-109465</v>
      </c>
      <c r="Q100" s="65">
        <f t="shared" si="241"/>
        <v>-125525</v>
      </c>
      <c r="R100" s="65">
        <f t="shared" si="241"/>
        <v>-93587</v>
      </c>
      <c r="S100" s="65">
        <f t="shared" si="241"/>
        <v>-97805</v>
      </c>
      <c r="T100" s="65">
        <f t="shared" si="241"/>
        <v>-115252</v>
      </c>
      <c r="U100" s="65">
        <f t="shared" ref="U100:V100" si="243">SUM(U97:U99)</f>
        <v>-76445</v>
      </c>
      <c r="V100" s="65">
        <f t="shared" si="243"/>
        <v>-86377</v>
      </c>
      <c r="W100" s="65">
        <f t="shared" ref="W100" si="244">SUM(W97:W99)</f>
        <v>-473534</v>
      </c>
      <c r="X100" s="15"/>
      <c r="Y100" s="65">
        <f t="shared" ref="Y100:Z100" si="245">SUM(Y97:Y99)</f>
        <v>-314584</v>
      </c>
      <c r="Z100" s="65">
        <f t="shared" si="245"/>
        <v>-352791</v>
      </c>
      <c r="AA100" s="65">
        <f t="shared" ref="AA100" si="246">SUM(AA97:AA99)</f>
        <v>-399270</v>
      </c>
      <c r="AB100" s="65">
        <f t="shared" ref="AB100" si="247">SUM(AB97:AB99)</f>
        <v>-423455</v>
      </c>
      <c r="AC100" s="65">
        <f t="shared" ref="AC100" si="248">SUM(AC97:AC99)</f>
        <v>-441425</v>
      </c>
      <c r="AD100" s="65">
        <f t="shared" ref="AD100" si="249">SUM(AD97:AD99)</f>
        <v>-424932</v>
      </c>
      <c r="AE100" s="65">
        <f t="shared" ref="AE100" si="250">SUM(AE97:AE99)</f>
        <v>-426382</v>
      </c>
      <c r="AF100" s="65">
        <f t="shared" ref="AF100:AH100" si="251">SUM(AF97:AF99)</f>
        <v>-432169</v>
      </c>
      <c r="AG100" s="65">
        <f t="shared" si="251"/>
        <v>-383089</v>
      </c>
      <c r="AH100" s="65">
        <f t="shared" si="251"/>
        <v>-375879</v>
      </c>
      <c r="AI100" s="65">
        <f>SUM(AI97:AI99)</f>
        <v>-751608</v>
      </c>
      <c r="AJ100" s="24"/>
      <c r="AK100" s="74">
        <f t="shared" si="222"/>
        <v>0.76275733966255621</v>
      </c>
    </row>
    <row r="101" spans="2:37" x14ac:dyDescent="0.2">
      <c r="B101" s="49"/>
      <c r="C101" s="58"/>
      <c r="D101" s="58"/>
      <c r="E101" s="58"/>
      <c r="F101" s="58"/>
      <c r="G101" s="58"/>
      <c r="H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73"/>
    </row>
    <row r="102" spans="2:37" x14ac:dyDescent="0.2">
      <c r="B102" s="47" t="s">
        <v>19</v>
      </c>
      <c r="C102" s="59"/>
      <c r="D102" s="59"/>
      <c r="E102" s="59"/>
      <c r="F102" s="59"/>
      <c r="G102" s="59"/>
      <c r="H102" s="59"/>
      <c r="J102" s="59"/>
      <c r="K102" s="59"/>
      <c r="L102" s="59"/>
      <c r="M102" s="59"/>
      <c r="N102" s="59"/>
      <c r="O102" s="59"/>
      <c r="P102" s="59"/>
      <c r="Q102" s="60"/>
      <c r="R102" s="59"/>
      <c r="S102" s="59"/>
      <c r="T102" s="59"/>
      <c r="U102" s="59"/>
      <c r="V102" s="59"/>
      <c r="W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61"/>
      <c r="AK102" s="73"/>
    </row>
    <row r="103" spans="2:37" x14ac:dyDescent="0.2">
      <c r="B103" s="8" t="s">
        <v>166</v>
      </c>
      <c r="C103" s="69">
        <v>0</v>
      </c>
      <c r="D103" s="69">
        <v>0</v>
      </c>
      <c r="E103" s="69">
        <v>0</v>
      </c>
      <c r="F103" s="69">
        <v>0</v>
      </c>
      <c r="G103" s="69">
        <v>0</v>
      </c>
      <c r="H103" s="69">
        <v>0</v>
      </c>
      <c r="I103" s="69"/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69">
        <v>0</v>
      </c>
      <c r="W103" s="69">
        <f>593641-V103</f>
        <v>593641</v>
      </c>
      <c r="Y103" s="72">
        <f>SUM(J103:M103)</f>
        <v>0</v>
      </c>
      <c r="Z103" s="72">
        <f>SUM(K103:N103)</f>
        <v>0</v>
      </c>
      <c r="AA103" s="72">
        <f>SUM(L103:O103)</f>
        <v>0</v>
      </c>
      <c r="AB103" s="72">
        <f>SUM(M103:P103)</f>
        <v>0</v>
      </c>
      <c r="AC103" s="72">
        <f>SUM(N103:Q103)</f>
        <v>0</v>
      </c>
      <c r="AD103" s="72">
        <f>SUM(O103:R103)</f>
        <v>0</v>
      </c>
      <c r="AE103" s="72">
        <f>SUM(P103:S103)</f>
        <v>0</v>
      </c>
      <c r="AF103" s="72">
        <f>SUM(Q103:T103)</f>
        <v>0</v>
      </c>
      <c r="AG103" s="72">
        <f>SUM(R103:U103)</f>
        <v>0</v>
      </c>
      <c r="AH103" s="72">
        <f>SUM(S103:V103)</f>
        <v>0</v>
      </c>
      <c r="AI103" s="72">
        <f>SUM(T103:W103)</f>
        <v>593641</v>
      </c>
      <c r="AJ103" s="16"/>
      <c r="AK103" s="73" t="e">
        <f t="shared" si="222"/>
        <v>#DIV/0!</v>
      </c>
    </row>
    <row r="104" spans="2:37" x14ac:dyDescent="0.2">
      <c r="B104" s="8" t="s">
        <v>167</v>
      </c>
      <c r="C104" s="69">
        <v>0</v>
      </c>
      <c r="D104" s="69">
        <v>0</v>
      </c>
      <c r="E104" s="69">
        <v>0</v>
      </c>
      <c r="F104" s="69">
        <v>0</v>
      </c>
      <c r="G104" s="69">
        <v>0</v>
      </c>
      <c r="H104" s="69">
        <v>0</v>
      </c>
      <c r="I104" s="69"/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69">
        <v>0</v>
      </c>
      <c r="W104" s="69">
        <f>-333100-V104</f>
        <v>-333100</v>
      </c>
      <c r="Y104" s="72">
        <f>SUM(J104:M104)</f>
        <v>0</v>
      </c>
      <c r="Z104" s="72">
        <f>SUM(K104:N104)</f>
        <v>0</v>
      </c>
      <c r="AA104" s="72">
        <f>SUM(L104:O104)</f>
        <v>0</v>
      </c>
      <c r="AB104" s="72">
        <f>SUM(M104:P104)</f>
        <v>0</v>
      </c>
      <c r="AC104" s="72">
        <f>SUM(N104:Q104)</f>
        <v>0</v>
      </c>
      <c r="AD104" s="72">
        <f>SUM(O104:R104)</f>
        <v>0</v>
      </c>
      <c r="AE104" s="72">
        <f>SUM(P104:S104)</f>
        <v>0</v>
      </c>
      <c r="AF104" s="72">
        <f>SUM(Q104:T104)</f>
        <v>0</v>
      </c>
      <c r="AG104" s="72">
        <f>SUM(R104:U104)</f>
        <v>0</v>
      </c>
      <c r="AH104" s="72">
        <f>SUM(S104:V104)</f>
        <v>0</v>
      </c>
      <c r="AI104" s="72">
        <f>SUM(T104:W104)</f>
        <v>-333100</v>
      </c>
      <c r="AJ104" s="16"/>
      <c r="AK104" s="73" t="e">
        <f t="shared" si="222"/>
        <v>#DIV/0!</v>
      </c>
    </row>
    <row r="105" spans="2:37" x14ac:dyDescent="0.2">
      <c r="B105" s="13" t="s">
        <v>87</v>
      </c>
      <c r="C105" s="69">
        <v>0</v>
      </c>
      <c r="D105" s="69">
        <v>0</v>
      </c>
      <c r="E105" s="69">
        <v>0</v>
      </c>
      <c r="F105" s="69">
        <v>0</v>
      </c>
      <c r="G105" s="69">
        <v>195400</v>
      </c>
      <c r="H105" s="69">
        <v>199700</v>
      </c>
      <c r="I105" s="69"/>
      <c r="J105" s="69">
        <v>0</v>
      </c>
      <c r="K105" s="69">
        <v>0</v>
      </c>
      <c r="L105" s="69">
        <v>0</v>
      </c>
      <c r="M105" s="69">
        <f t="shared" ref="M105:M112" si="252">SUM(F105-SUM(J105:L105))</f>
        <v>0</v>
      </c>
      <c r="N105" s="69">
        <v>0</v>
      </c>
      <c r="O105" s="69">
        <v>0</v>
      </c>
      <c r="P105" s="69">
        <f>195400-O105-N105</f>
        <v>195400</v>
      </c>
      <c r="Q105" s="69">
        <v>0</v>
      </c>
      <c r="R105" s="69">
        <v>0</v>
      </c>
      <c r="S105" s="69">
        <v>0</v>
      </c>
      <c r="T105" s="69">
        <f>199700-S105-R105</f>
        <v>199700</v>
      </c>
      <c r="U105" s="69">
        <f t="shared" ref="U105:U112" si="253">SUM(H105-SUM(R105:T105))</f>
        <v>0</v>
      </c>
      <c r="V105" s="69">
        <v>0</v>
      </c>
      <c r="W105" s="69">
        <v>0</v>
      </c>
      <c r="X105" s="69"/>
      <c r="Y105" s="72">
        <f>SUM(J105:M105)</f>
        <v>0</v>
      </c>
      <c r="Z105" s="72">
        <f>SUM(K105:N105)</f>
        <v>0</v>
      </c>
      <c r="AA105" s="72">
        <f>SUM(L105:O105)</f>
        <v>0</v>
      </c>
      <c r="AB105" s="72">
        <f>SUM(M105:P105)</f>
        <v>195400</v>
      </c>
      <c r="AC105" s="72">
        <f>SUM(N105:Q105)</f>
        <v>195400</v>
      </c>
      <c r="AD105" s="72">
        <f>SUM(O105:R105)</f>
        <v>195400</v>
      </c>
      <c r="AE105" s="72">
        <f>SUM(P105:S105)</f>
        <v>195400</v>
      </c>
      <c r="AF105" s="72">
        <f>SUM(Q105:T105)</f>
        <v>199700</v>
      </c>
      <c r="AG105" s="72">
        <f>SUM(R105:U105)</f>
        <v>199700</v>
      </c>
      <c r="AH105" s="72">
        <f>SUM(S105:V105)</f>
        <v>199700</v>
      </c>
      <c r="AI105" s="72">
        <f>SUM(T105:W105)</f>
        <v>199700</v>
      </c>
      <c r="AJ105" s="16"/>
      <c r="AK105" s="73">
        <f t="shared" si="222"/>
        <v>2.2006141248720468E-2</v>
      </c>
    </row>
    <row r="106" spans="2:37" x14ac:dyDescent="0.2">
      <c r="B106" s="13" t="s">
        <v>88</v>
      </c>
      <c r="C106" s="69">
        <v>0</v>
      </c>
      <c r="D106" s="69">
        <v>0</v>
      </c>
      <c r="E106" s="69">
        <v>0</v>
      </c>
      <c r="F106" s="69">
        <v>0</v>
      </c>
      <c r="G106" s="69">
        <v>-195400</v>
      </c>
      <c r="H106" s="69">
        <v>-199700</v>
      </c>
      <c r="I106" s="69"/>
      <c r="J106" s="69">
        <v>0</v>
      </c>
      <c r="K106" s="69">
        <v>0</v>
      </c>
      <c r="L106" s="69">
        <v>0</v>
      </c>
      <c r="M106" s="69">
        <f>SUM(F106-SUM(J106:L106))</f>
        <v>0</v>
      </c>
      <c r="N106" s="69">
        <v>0</v>
      </c>
      <c r="O106" s="69">
        <v>0</v>
      </c>
      <c r="P106" s="69">
        <v>0</v>
      </c>
      <c r="Q106" s="69">
        <f>SUM(G106-SUM(N106:P106))</f>
        <v>-195400</v>
      </c>
      <c r="R106" s="69">
        <v>0</v>
      </c>
      <c r="S106" s="69">
        <v>0</v>
      </c>
      <c r="T106" s="69">
        <v>0</v>
      </c>
      <c r="U106" s="69">
        <f t="shared" si="253"/>
        <v>-199700</v>
      </c>
      <c r="V106" s="69">
        <v>0</v>
      </c>
      <c r="W106" s="69">
        <v>0</v>
      </c>
      <c r="X106" s="69"/>
      <c r="Y106" s="72">
        <f>SUM(J106:M106)</f>
        <v>0</v>
      </c>
      <c r="Z106" s="72">
        <f>SUM(K106:N106)</f>
        <v>0</v>
      </c>
      <c r="AA106" s="72">
        <f>SUM(L106:O106)</f>
        <v>0</v>
      </c>
      <c r="AB106" s="72">
        <f>SUM(M106:P106)</f>
        <v>0</v>
      </c>
      <c r="AC106" s="72">
        <f>SUM(N106:Q106)</f>
        <v>-195400</v>
      </c>
      <c r="AD106" s="72">
        <f>SUM(O106:R106)</f>
        <v>-195400</v>
      </c>
      <c r="AE106" s="72">
        <f>SUM(P106:S106)</f>
        <v>-195400</v>
      </c>
      <c r="AF106" s="72">
        <f>SUM(Q106:T106)</f>
        <v>-195400</v>
      </c>
      <c r="AG106" s="72">
        <f>SUM(R106:U106)</f>
        <v>-199700</v>
      </c>
      <c r="AH106" s="72">
        <f>SUM(S106:V106)</f>
        <v>-199700</v>
      </c>
      <c r="AI106" s="72">
        <f>SUM(T106:W106)</f>
        <v>-199700</v>
      </c>
      <c r="AJ106" s="16"/>
      <c r="AK106" s="73">
        <f t="shared" si="222"/>
        <v>2.2006141248720468E-2</v>
      </c>
    </row>
    <row r="107" spans="2:37" x14ac:dyDescent="0.2">
      <c r="B107" s="13" t="s">
        <v>39</v>
      </c>
      <c r="C107" s="69">
        <v>0</v>
      </c>
      <c r="D107" s="69">
        <v>800000</v>
      </c>
      <c r="E107" s="69">
        <v>0</v>
      </c>
      <c r="F107" s="69">
        <v>0</v>
      </c>
      <c r="G107" s="69">
        <v>0</v>
      </c>
      <c r="H107" s="69"/>
      <c r="I107" s="69"/>
      <c r="J107" s="69">
        <v>0</v>
      </c>
      <c r="K107" s="69">
        <v>0</v>
      </c>
      <c r="L107" s="69">
        <v>0</v>
      </c>
      <c r="M107" s="69">
        <f>SUM(F107-SUM(J107:L107))</f>
        <v>0</v>
      </c>
      <c r="N107" s="69">
        <v>0</v>
      </c>
      <c r="O107" s="69">
        <v>0</v>
      </c>
      <c r="P107" s="69">
        <v>0</v>
      </c>
      <c r="Q107" s="69">
        <f>SUM(G107-SUM(N107:P107))</f>
        <v>0</v>
      </c>
      <c r="R107" s="69">
        <v>0</v>
      </c>
      <c r="S107" s="69">
        <v>0</v>
      </c>
      <c r="T107" s="69">
        <v>0</v>
      </c>
      <c r="U107" s="69">
        <f t="shared" si="253"/>
        <v>0</v>
      </c>
      <c r="V107" s="69">
        <v>0</v>
      </c>
      <c r="W107" s="69">
        <v>0</v>
      </c>
      <c r="X107" s="69"/>
      <c r="Y107" s="72">
        <f>SUM(J107:M107)</f>
        <v>0</v>
      </c>
      <c r="Z107" s="72">
        <f>SUM(K107:N107)</f>
        <v>0</v>
      </c>
      <c r="AA107" s="72">
        <f>SUM(L107:O107)</f>
        <v>0</v>
      </c>
      <c r="AB107" s="72">
        <f>SUM(M107:P107)</f>
        <v>0</v>
      </c>
      <c r="AC107" s="72">
        <f>SUM(N107:Q107)</f>
        <v>0</v>
      </c>
      <c r="AD107" s="72">
        <f>SUM(O107:R107)</f>
        <v>0</v>
      </c>
      <c r="AE107" s="72">
        <f>SUM(P107:S107)</f>
        <v>0</v>
      </c>
      <c r="AF107" s="72">
        <f>SUM(Q107:T107)</f>
        <v>0</v>
      </c>
      <c r="AG107" s="72">
        <f>SUM(R107:U107)</f>
        <v>0</v>
      </c>
      <c r="AH107" s="72">
        <f>SUM(S107:V107)</f>
        <v>0</v>
      </c>
      <c r="AI107" s="72">
        <f>SUM(T107:W107)</f>
        <v>0</v>
      </c>
      <c r="AJ107" s="16"/>
      <c r="AK107" s="73" t="e">
        <f t="shared" si="222"/>
        <v>#DIV/0!</v>
      </c>
    </row>
    <row r="108" spans="2:37" x14ac:dyDescent="0.2">
      <c r="B108" s="13" t="s">
        <v>86</v>
      </c>
      <c r="C108" s="69">
        <v>0</v>
      </c>
      <c r="D108" s="69">
        <v>-800000</v>
      </c>
      <c r="E108" s="69">
        <v>0</v>
      </c>
      <c r="F108" s="69">
        <v>0</v>
      </c>
      <c r="G108" s="69">
        <v>0</v>
      </c>
      <c r="H108" s="69"/>
      <c r="I108" s="69"/>
      <c r="J108" s="69">
        <v>0</v>
      </c>
      <c r="K108" s="69">
        <v>0</v>
      </c>
      <c r="L108" s="69">
        <v>0</v>
      </c>
      <c r="M108" s="69">
        <f t="shared" ref="M108" si="254">SUM(F108-SUM(J108:L108))</f>
        <v>0</v>
      </c>
      <c r="N108" s="69">
        <v>0</v>
      </c>
      <c r="O108" s="69">
        <v>0</v>
      </c>
      <c r="P108" s="69">
        <v>0</v>
      </c>
      <c r="Q108" s="69">
        <f>SUM(G108-SUM(N108:P108))</f>
        <v>0</v>
      </c>
      <c r="R108" s="69">
        <v>0</v>
      </c>
      <c r="S108" s="69">
        <v>0</v>
      </c>
      <c r="T108" s="69">
        <v>0</v>
      </c>
      <c r="U108" s="69">
        <f t="shared" si="253"/>
        <v>0</v>
      </c>
      <c r="V108" s="69">
        <v>0</v>
      </c>
      <c r="W108" s="69">
        <v>0</v>
      </c>
      <c r="X108" s="69"/>
      <c r="Y108" s="72">
        <f>SUM(J108:M108)</f>
        <v>0</v>
      </c>
      <c r="Z108" s="72">
        <f>SUM(K108:N108)</f>
        <v>0</v>
      </c>
      <c r="AA108" s="72">
        <f>SUM(L108:O108)</f>
        <v>0</v>
      </c>
      <c r="AB108" s="72">
        <f>SUM(M108:P108)</f>
        <v>0</v>
      </c>
      <c r="AC108" s="72">
        <f>SUM(N108:Q108)</f>
        <v>0</v>
      </c>
      <c r="AD108" s="72">
        <f>SUM(O108:R108)</f>
        <v>0</v>
      </c>
      <c r="AE108" s="72">
        <f>SUM(P108:S108)</f>
        <v>0</v>
      </c>
      <c r="AF108" s="72">
        <f>SUM(Q108:T108)</f>
        <v>0</v>
      </c>
      <c r="AG108" s="72">
        <f>SUM(R108:U108)</f>
        <v>0</v>
      </c>
      <c r="AH108" s="72">
        <f>SUM(S108:V108)</f>
        <v>0</v>
      </c>
      <c r="AI108" s="72">
        <f>SUM(T108:W108)</f>
        <v>0</v>
      </c>
      <c r="AJ108" s="16"/>
      <c r="AK108" s="73" t="e">
        <f t="shared" si="222"/>
        <v>#DIV/0!</v>
      </c>
    </row>
    <row r="109" spans="2:37" x14ac:dyDescent="0.2">
      <c r="B109" s="13" t="s">
        <v>92</v>
      </c>
      <c r="C109" s="69">
        <v>0</v>
      </c>
      <c r="D109" s="69">
        <v>-1915</v>
      </c>
      <c r="E109" s="69">
        <v>0</v>
      </c>
      <c r="F109" s="69">
        <v>0</v>
      </c>
      <c r="G109" s="69">
        <v>0</v>
      </c>
      <c r="H109" s="69">
        <v>-4159</v>
      </c>
      <c r="I109" s="69"/>
      <c r="J109" s="69">
        <v>0</v>
      </c>
      <c r="K109" s="69">
        <v>0</v>
      </c>
      <c r="L109" s="69">
        <v>0</v>
      </c>
      <c r="M109" s="69">
        <f>SUM(F109-SUM(J109:L109))</f>
        <v>0</v>
      </c>
      <c r="N109" s="69">
        <v>0</v>
      </c>
      <c r="O109" s="69">
        <v>0</v>
      </c>
      <c r="P109" s="69">
        <v>0</v>
      </c>
      <c r="Q109" s="69">
        <f>SUM(G109-SUM(N109:P109))</f>
        <v>0</v>
      </c>
      <c r="R109" s="69">
        <v>-3950</v>
      </c>
      <c r="S109" s="69">
        <f>-4088-R109</f>
        <v>-138</v>
      </c>
      <c r="T109" s="69">
        <f>-4159-S109-R109</f>
        <v>-71</v>
      </c>
      <c r="U109" s="69">
        <f t="shared" si="253"/>
        <v>0</v>
      </c>
      <c r="V109" s="69">
        <v>0</v>
      </c>
      <c r="W109" s="69">
        <v>0</v>
      </c>
      <c r="X109" s="69"/>
      <c r="Y109" s="72">
        <f>SUM(J109:M109)</f>
        <v>0</v>
      </c>
      <c r="Z109" s="72">
        <f>SUM(K109:N109)</f>
        <v>0</v>
      </c>
      <c r="AA109" s="72">
        <f>SUM(L109:O109)</f>
        <v>0</v>
      </c>
      <c r="AB109" s="72">
        <f>SUM(M109:P109)</f>
        <v>0</v>
      </c>
      <c r="AC109" s="72">
        <f>SUM(N109:Q109)</f>
        <v>0</v>
      </c>
      <c r="AD109" s="72">
        <f>SUM(O109:R109)</f>
        <v>-3950</v>
      </c>
      <c r="AE109" s="72">
        <f>SUM(P109:S109)</f>
        <v>-4088</v>
      </c>
      <c r="AF109" s="72">
        <f>SUM(Q109:T109)</f>
        <v>-4159</v>
      </c>
      <c r="AG109" s="72">
        <f>SUM(R109:U109)</f>
        <v>-4159</v>
      </c>
      <c r="AH109" s="72">
        <f>SUM(S109:V109)</f>
        <v>-209</v>
      </c>
      <c r="AI109" s="72">
        <f>SUM(T109:W109)</f>
        <v>-71</v>
      </c>
      <c r="AJ109" s="16"/>
      <c r="AK109" s="73">
        <f t="shared" si="222"/>
        <v>-0.98263209393346385</v>
      </c>
    </row>
    <row r="110" spans="2:37" x14ac:dyDescent="0.2">
      <c r="B110" s="13" t="s">
        <v>89</v>
      </c>
      <c r="C110" s="69">
        <v>-680979</v>
      </c>
      <c r="D110" s="69">
        <v>-114895</v>
      </c>
      <c r="E110" s="69">
        <v>-1521925</v>
      </c>
      <c r="F110" s="69">
        <v>-900033</v>
      </c>
      <c r="G110" s="69">
        <v>-995738</v>
      </c>
      <c r="H110" s="69">
        <v>-1003328</v>
      </c>
      <c r="I110" s="69"/>
      <c r="J110" s="69">
        <v>-132834</v>
      </c>
      <c r="K110" s="69">
        <f>-434448-J110</f>
        <v>-301614</v>
      </c>
      <c r="L110" s="69">
        <f>-571908-K110-J110</f>
        <v>-137460</v>
      </c>
      <c r="M110" s="69">
        <f t="shared" si="252"/>
        <v>-328125</v>
      </c>
      <c r="N110" s="69">
        <v>-283517</v>
      </c>
      <c r="O110" s="69">
        <f>-559011-N110</f>
        <v>-275494</v>
      </c>
      <c r="P110" s="69">
        <f>-840551-O110-N110</f>
        <v>-281540</v>
      </c>
      <c r="Q110" s="69">
        <f t="shared" ref="Q110:Q112" si="255">SUM(G110-SUM(N110:P110))</f>
        <v>-155187</v>
      </c>
      <c r="R110" s="69">
        <v>-289431</v>
      </c>
      <c r="S110" s="69">
        <f>-501768-R110</f>
        <v>-212337</v>
      </c>
      <c r="T110" s="69">
        <f>-765384-S110-R110</f>
        <v>-263616</v>
      </c>
      <c r="U110" s="69">
        <f t="shared" si="253"/>
        <v>-237944</v>
      </c>
      <c r="V110" s="69">
        <v>-369786</v>
      </c>
      <c r="W110" s="69">
        <f>-479242-V110</f>
        <v>-109456</v>
      </c>
      <c r="X110" s="69"/>
      <c r="Y110" s="72">
        <f>SUM(J110:M110)</f>
        <v>-900033</v>
      </c>
      <c r="Z110" s="72">
        <f>SUM(K110:N110)</f>
        <v>-1050716</v>
      </c>
      <c r="AA110" s="72">
        <f>SUM(L110:O110)</f>
        <v>-1024596</v>
      </c>
      <c r="AB110" s="72">
        <f>SUM(M110:P110)</f>
        <v>-1168676</v>
      </c>
      <c r="AC110" s="72">
        <f>SUM(N110:Q110)</f>
        <v>-995738</v>
      </c>
      <c r="AD110" s="72">
        <f>SUM(O110:R110)</f>
        <v>-1001652</v>
      </c>
      <c r="AE110" s="72">
        <f>SUM(P110:S110)</f>
        <v>-938495</v>
      </c>
      <c r="AF110" s="72">
        <f>SUM(Q110:T110)</f>
        <v>-920571</v>
      </c>
      <c r="AG110" s="72">
        <f>SUM(R110:U110)</f>
        <v>-1003328</v>
      </c>
      <c r="AH110" s="72">
        <f>SUM(S110:V110)</f>
        <v>-1083683</v>
      </c>
      <c r="AI110" s="72">
        <f>SUM(T110:W110)</f>
        <v>-980802</v>
      </c>
      <c r="AJ110" s="16"/>
      <c r="AK110" s="73">
        <f t="shared" si="222"/>
        <v>4.5079622161013022E-2</v>
      </c>
    </row>
    <row r="111" spans="2:37" x14ac:dyDescent="0.2">
      <c r="B111" s="13" t="s">
        <v>90</v>
      </c>
      <c r="C111" s="69">
        <v>43780</v>
      </c>
      <c r="D111" s="69">
        <v>12229</v>
      </c>
      <c r="E111" s="69">
        <v>40386</v>
      </c>
      <c r="F111" s="69">
        <v>46011</v>
      </c>
      <c r="G111" s="69">
        <v>12176</v>
      </c>
      <c r="H111" s="69">
        <v>12339</v>
      </c>
      <c r="I111" s="69"/>
      <c r="J111" s="69">
        <v>6502</v>
      </c>
      <c r="K111" s="69">
        <f>24521-J111</f>
        <v>18019</v>
      </c>
      <c r="L111" s="69">
        <f>31319-K111-J111</f>
        <v>6798</v>
      </c>
      <c r="M111" s="69">
        <f t="shared" si="252"/>
        <v>14692</v>
      </c>
      <c r="N111" s="69">
        <v>8927</v>
      </c>
      <c r="O111" s="69">
        <f>9147-N111</f>
        <v>220</v>
      </c>
      <c r="P111" s="69">
        <f>9302-O111-N111</f>
        <v>155</v>
      </c>
      <c r="Q111" s="69">
        <f t="shared" si="255"/>
        <v>2874</v>
      </c>
      <c r="R111" s="69">
        <v>8913</v>
      </c>
      <c r="S111" s="69">
        <f>9196-R111</f>
        <v>283</v>
      </c>
      <c r="T111" s="69">
        <f>9200-S111-R111</f>
        <v>4</v>
      </c>
      <c r="U111" s="69">
        <f t="shared" si="253"/>
        <v>3139</v>
      </c>
      <c r="V111" s="69">
        <v>481</v>
      </c>
      <c r="W111" s="69">
        <f>14851-V111</f>
        <v>14370</v>
      </c>
      <c r="X111" s="69"/>
      <c r="Y111" s="72">
        <f>SUM(J111:M111)</f>
        <v>46011</v>
      </c>
      <c r="Z111" s="72">
        <f>SUM(K111:N111)</f>
        <v>48436</v>
      </c>
      <c r="AA111" s="72">
        <f>SUM(L111:O111)</f>
        <v>30637</v>
      </c>
      <c r="AB111" s="72">
        <f>SUM(M111:P111)</f>
        <v>23994</v>
      </c>
      <c r="AC111" s="72">
        <f>SUM(N111:Q111)</f>
        <v>12176</v>
      </c>
      <c r="AD111" s="72">
        <f>SUM(O111:R111)</f>
        <v>12162</v>
      </c>
      <c r="AE111" s="72">
        <f>SUM(P111:S111)</f>
        <v>12225</v>
      </c>
      <c r="AF111" s="72">
        <f>SUM(Q111:T111)</f>
        <v>12074</v>
      </c>
      <c r="AG111" s="72">
        <f>SUM(R111:U111)</f>
        <v>12339</v>
      </c>
      <c r="AH111" s="72">
        <f>SUM(S111:V111)</f>
        <v>3907</v>
      </c>
      <c r="AI111" s="72">
        <f>SUM(T111:W111)</f>
        <v>17994</v>
      </c>
      <c r="AJ111" s="16"/>
      <c r="AK111" s="73">
        <f t="shared" si="222"/>
        <v>0.47190184049079753</v>
      </c>
    </row>
    <row r="112" spans="2:37" x14ac:dyDescent="0.2">
      <c r="B112" s="13" t="s">
        <v>91</v>
      </c>
      <c r="C112" s="69">
        <v>-9540</v>
      </c>
      <c r="D112" s="69">
        <v>-3353</v>
      </c>
      <c r="E112" s="69">
        <v>-15677</v>
      </c>
      <c r="F112" s="69">
        <v>-6992</v>
      </c>
      <c r="G112" s="69">
        <v>-22562</v>
      </c>
      <c r="H112" s="69">
        <v>-23761</v>
      </c>
      <c r="I112" s="69"/>
      <c r="J112" s="69">
        <v>-5172</v>
      </c>
      <c r="K112" s="69">
        <f>-6325-J112</f>
        <v>-1153</v>
      </c>
      <c r="L112" s="69">
        <f>-6740-K112-J112</f>
        <v>-415</v>
      </c>
      <c r="M112" s="69">
        <f t="shared" si="252"/>
        <v>-252</v>
      </c>
      <c r="N112" s="69">
        <v>-21659</v>
      </c>
      <c r="O112" s="69">
        <f>-21759-N112</f>
        <v>-100</v>
      </c>
      <c r="P112" s="69">
        <f>-22328-O112-N112</f>
        <v>-569</v>
      </c>
      <c r="Q112" s="69">
        <f t="shared" si="255"/>
        <v>-234</v>
      </c>
      <c r="R112" s="69">
        <v>-23283</v>
      </c>
      <c r="S112" s="69">
        <f>-23459-R112</f>
        <v>-176</v>
      </c>
      <c r="T112" s="69">
        <f>-23566-S112-R112</f>
        <v>-107</v>
      </c>
      <c r="U112" s="69">
        <f t="shared" si="253"/>
        <v>-195</v>
      </c>
      <c r="V112" s="69">
        <v>-12911</v>
      </c>
      <c r="W112" s="69">
        <f>-13238-V112</f>
        <v>-327</v>
      </c>
      <c r="X112" s="69"/>
      <c r="Y112" s="72">
        <f>SUM(J112:M112)</f>
        <v>-6992</v>
      </c>
      <c r="Z112" s="72">
        <f>SUM(K112:N112)</f>
        <v>-23479</v>
      </c>
      <c r="AA112" s="72">
        <f>SUM(L112:O112)</f>
        <v>-22426</v>
      </c>
      <c r="AB112" s="72">
        <f>SUM(M112:P112)</f>
        <v>-22580</v>
      </c>
      <c r="AC112" s="72">
        <f>SUM(N112:Q112)</f>
        <v>-22562</v>
      </c>
      <c r="AD112" s="72">
        <f>SUM(O112:R112)</f>
        <v>-24186</v>
      </c>
      <c r="AE112" s="72">
        <f>SUM(P112:S112)</f>
        <v>-24262</v>
      </c>
      <c r="AF112" s="72">
        <f>SUM(Q112:T112)</f>
        <v>-23800</v>
      </c>
      <c r="AG112" s="72">
        <f>SUM(R112:U112)</f>
        <v>-23761</v>
      </c>
      <c r="AH112" s="72">
        <f>SUM(S112:V112)</f>
        <v>-13389</v>
      </c>
      <c r="AI112" s="72">
        <f>SUM(T112:W112)</f>
        <v>-13540</v>
      </c>
      <c r="AJ112" s="16"/>
      <c r="AK112" s="73">
        <f t="shared" si="222"/>
        <v>-0.4419256450416289</v>
      </c>
    </row>
    <row r="113" spans="2:37" x14ac:dyDescent="0.2">
      <c r="B113" s="64" t="s">
        <v>6</v>
      </c>
      <c r="C113" s="65">
        <f t="shared" ref="C113" si="256">SUM(C103:C112)</f>
        <v>-646739</v>
      </c>
      <c r="D113" s="65">
        <f t="shared" ref="D113" si="257">SUM(D103:D112)</f>
        <v>-107934</v>
      </c>
      <c r="E113" s="65">
        <f t="shared" ref="E113" si="258">SUM(E103:E112)</f>
        <v>-1497216</v>
      </c>
      <c r="F113" s="65">
        <f t="shared" ref="F113:H113" si="259">SUM(F103:F112)</f>
        <v>-861014</v>
      </c>
      <c r="G113" s="65">
        <f t="shared" si="259"/>
        <v>-1006124</v>
      </c>
      <c r="H113" s="65">
        <f t="shared" si="259"/>
        <v>-1018909</v>
      </c>
      <c r="I113" s="69"/>
      <c r="J113" s="65">
        <f t="shared" ref="J113" si="260">SUM(J103:J112)</f>
        <v>-131504</v>
      </c>
      <c r="K113" s="65">
        <f t="shared" ref="K113" si="261">SUM(K103:K112)</f>
        <v>-284748</v>
      </c>
      <c r="L113" s="65">
        <f t="shared" ref="L113" si="262">SUM(L103:L112)</f>
        <v>-131077</v>
      </c>
      <c r="M113" s="65">
        <f t="shared" ref="M113" si="263">SUM(M103:M112)</f>
        <v>-313685</v>
      </c>
      <c r="N113" s="65">
        <f t="shared" ref="N113" si="264">SUM(N103:N112)</f>
        <v>-296249</v>
      </c>
      <c r="O113" s="65">
        <f t="shared" ref="O113" si="265">SUM(O103:O112)</f>
        <v>-275374</v>
      </c>
      <c r="P113" s="65">
        <f t="shared" ref="P113" si="266">SUM(P103:P112)</f>
        <v>-86554</v>
      </c>
      <c r="Q113" s="65">
        <f t="shared" ref="Q113" si="267">SUM(Q103:Q112)</f>
        <v>-347947</v>
      </c>
      <c r="R113" s="65">
        <f t="shared" ref="R113" si="268">SUM(R103:R112)</f>
        <v>-307751</v>
      </c>
      <c r="S113" s="65">
        <f t="shared" ref="S113" si="269">SUM(S103:S112)</f>
        <v>-212368</v>
      </c>
      <c r="T113" s="65">
        <f t="shared" ref="T113" si="270">SUM(T103:T112)</f>
        <v>-64090</v>
      </c>
      <c r="U113" s="65">
        <f t="shared" ref="U113" si="271">SUM(U103:U112)</f>
        <v>-434700</v>
      </c>
      <c r="V113" s="65">
        <f t="shared" ref="V113" si="272">SUM(V103:V112)</f>
        <v>-382216</v>
      </c>
      <c r="W113" s="65">
        <f t="shared" ref="W113" si="273">SUM(W103:W112)</f>
        <v>165128</v>
      </c>
      <c r="X113" s="15"/>
      <c r="Y113" s="65">
        <f t="shared" ref="Y113:Z113" si="274">SUM(Y103:Y112)</f>
        <v>-861014</v>
      </c>
      <c r="Z113" s="65">
        <f t="shared" si="274"/>
        <v>-1025759</v>
      </c>
      <c r="AA113" s="65">
        <f t="shared" ref="AA113" si="275">SUM(AA103:AA112)</f>
        <v>-1016385</v>
      </c>
      <c r="AB113" s="65">
        <f t="shared" ref="AB113" si="276">SUM(AB103:AB112)</f>
        <v>-971862</v>
      </c>
      <c r="AC113" s="65">
        <f t="shared" ref="AC113" si="277">SUM(AC103:AC112)</f>
        <v>-1006124</v>
      </c>
      <c r="AD113" s="65">
        <f t="shared" ref="AD113" si="278">SUM(AD103:AD112)</f>
        <v>-1017626</v>
      </c>
      <c r="AE113" s="65">
        <f t="shared" ref="AE113" si="279">SUM(AE103:AE112)</f>
        <v>-954620</v>
      </c>
      <c r="AF113" s="65">
        <f t="shared" ref="AF113" si="280">SUM(AF103:AF112)</f>
        <v>-932156</v>
      </c>
      <c r="AG113" s="65">
        <f t="shared" ref="AG113" si="281">SUM(AG103:AG112)</f>
        <v>-1018909</v>
      </c>
      <c r="AH113" s="65">
        <f t="shared" ref="AH113" si="282">SUM(AH103:AH112)</f>
        <v>-1093374</v>
      </c>
      <c r="AI113" s="65">
        <f t="shared" ref="AI113" si="283">SUM(AI103:AI112)</f>
        <v>-715878</v>
      </c>
      <c r="AJ113" s="24"/>
      <c r="AK113" s="74">
        <f t="shared" si="222"/>
        <v>-0.25009113573987551</v>
      </c>
    </row>
    <row r="114" spans="2:37" ht="5.0999999999999996" customHeight="1" x14ac:dyDescent="0.2">
      <c r="B114" s="47"/>
      <c r="C114" s="58"/>
      <c r="D114" s="58"/>
      <c r="E114" s="58"/>
      <c r="F114" s="58"/>
      <c r="G114" s="58"/>
      <c r="H114" s="58"/>
      <c r="I114" s="69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7"/>
    </row>
    <row r="115" spans="2:37" x14ac:dyDescent="0.2">
      <c r="B115" s="37" t="s">
        <v>93</v>
      </c>
      <c r="C115" s="22"/>
      <c r="D115" s="22"/>
      <c r="E115" s="22" t="s">
        <v>68</v>
      </c>
      <c r="F115" s="22" t="s">
        <v>68</v>
      </c>
      <c r="G115" s="22" t="s">
        <v>68</v>
      </c>
      <c r="H115" s="22"/>
      <c r="I115" s="33"/>
      <c r="J115" s="22"/>
      <c r="K115" s="22"/>
      <c r="L115" s="22"/>
      <c r="M115" s="21"/>
      <c r="N115" s="22"/>
      <c r="O115" s="22"/>
      <c r="P115" s="22"/>
      <c r="Q115" s="21"/>
      <c r="R115" s="22"/>
      <c r="S115" s="22"/>
      <c r="T115" s="22"/>
      <c r="U115" s="22"/>
      <c r="V115" s="22"/>
      <c r="W115" s="22"/>
      <c r="X115" s="33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7"/>
    </row>
    <row r="116" spans="2:37" x14ac:dyDescent="0.2">
      <c r="B116" s="11" t="s">
        <v>94</v>
      </c>
      <c r="C116" s="69"/>
      <c r="D116" s="69">
        <v>6987</v>
      </c>
      <c r="E116" s="69">
        <v>2132</v>
      </c>
      <c r="F116" s="69">
        <v>2138</v>
      </c>
      <c r="G116" s="69">
        <v>3327</v>
      </c>
      <c r="H116" s="69">
        <v>4159</v>
      </c>
      <c r="I116" s="69"/>
      <c r="J116" s="69">
        <v>0</v>
      </c>
      <c r="K116" s="69">
        <v>1057</v>
      </c>
      <c r="L116" s="69">
        <f>1598-K116-J116</f>
        <v>541</v>
      </c>
      <c r="M116" s="69">
        <f t="shared" ref="M116:M119" si="284">SUM(F116-SUM(J116:L116))</f>
        <v>540</v>
      </c>
      <c r="N116" s="128">
        <v>0</v>
      </c>
      <c r="O116" s="128">
        <v>0</v>
      </c>
      <c r="P116" s="128">
        <v>0</v>
      </c>
      <c r="Q116" s="128">
        <f>SUM(G116-SUM(N116:P116))</f>
        <v>3327</v>
      </c>
      <c r="R116" s="128">
        <v>0</v>
      </c>
      <c r="S116" s="128">
        <v>0</v>
      </c>
      <c r="T116" s="128">
        <v>0</v>
      </c>
      <c r="U116" s="128">
        <f t="shared" ref="U116:U119" si="285">SUM(H116-SUM(R116:T116))</f>
        <v>4159</v>
      </c>
      <c r="V116" s="69">
        <v>0</v>
      </c>
      <c r="W116" s="69">
        <v>0</v>
      </c>
      <c r="X116" s="33"/>
      <c r="Y116" s="72">
        <f>SUM(J116:M116)</f>
        <v>2138</v>
      </c>
      <c r="Z116" s="72">
        <f>SUM(K116:N116)</f>
        <v>2138</v>
      </c>
      <c r="AA116" s="72">
        <f>SUM(L116:O116)</f>
        <v>1081</v>
      </c>
      <c r="AB116" s="72">
        <f>SUM(M116:P116)</f>
        <v>540</v>
      </c>
      <c r="AC116" s="72">
        <f>SUM(N116:Q116)</f>
        <v>3327</v>
      </c>
      <c r="AD116" s="72">
        <f>SUM(O116:R116)</f>
        <v>3327</v>
      </c>
      <c r="AE116" s="72">
        <f>SUM(P116:S116)</f>
        <v>3327</v>
      </c>
      <c r="AF116" s="72">
        <f>SUM(Q116:T116)</f>
        <v>3327</v>
      </c>
      <c r="AG116" s="72">
        <f>SUM(R116:U116)</f>
        <v>4159</v>
      </c>
      <c r="AH116" s="72">
        <f>SUM(S116:V116)</f>
        <v>4159</v>
      </c>
      <c r="AI116" s="72">
        <f>SUM(T116:W116)</f>
        <v>4159</v>
      </c>
      <c r="AJ116" s="16"/>
      <c r="AK116" s="7"/>
    </row>
    <row r="117" spans="2:37" x14ac:dyDescent="0.2">
      <c r="B117" s="11" t="s">
        <v>95</v>
      </c>
      <c r="C117" s="69">
        <v>133861</v>
      </c>
      <c r="D117" s="69">
        <v>19454</v>
      </c>
      <c r="E117" s="69">
        <v>370646</v>
      </c>
      <c r="F117" s="69">
        <v>429846</v>
      </c>
      <c r="G117" s="69">
        <v>328215</v>
      </c>
      <c r="H117" s="69">
        <v>386059</v>
      </c>
      <c r="I117" s="69"/>
      <c r="J117" s="69">
        <v>524</v>
      </c>
      <c r="K117" s="69">
        <f>246641-J117</f>
        <v>246117</v>
      </c>
      <c r="L117" s="69">
        <f>339290-K117-J117</f>
        <v>92649</v>
      </c>
      <c r="M117" s="69">
        <f t="shared" si="284"/>
        <v>90556</v>
      </c>
      <c r="N117" s="69">
        <v>2818</v>
      </c>
      <c r="O117" s="69">
        <f>189166-N117</f>
        <v>186348</v>
      </c>
      <c r="P117" s="69">
        <f>266802-O117-N117</f>
        <v>77636</v>
      </c>
      <c r="Q117" s="69">
        <f>SUM(G117-SUM(N117:P117))</f>
        <v>61413</v>
      </c>
      <c r="R117" s="69">
        <v>5057</v>
      </c>
      <c r="S117" s="69">
        <f>233249-R117</f>
        <v>228192</v>
      </c>
      <c r="T117" s="69">
        <f>316790-S117-R117</f>
        <v>83541</v>
      </c>
      <c r="U117" s="69">
        <f t="shared" si="285"/>
        <v>69269</v>
      </c>
      <c r="V117" s="69">
        <v>7016</v>
      </c>
      <c r="W117" s="69">
        <f>252013-V117</f>
        <v>244997</v>
      </c>
      <c r="X117" s="33"/>
      <c r="Y117" s="72">
        <f>SUM(J117:M117)</f>
        <v>429846</v>
      </c>
      <c r="Z117" s="72">
        <f>SUM(K117:N117)</f>
        <v>432140</v>
      </c>
      <c r="AA117" s="72">
        <f>SUM(L117:O117)</f>
        <v>372371</v>
      </c>
      <c r="AB117" s="72">
        <f>SUM(M117:P117)</f>
        <v>357358</v>
      </c>
      <c r="AC117" s="72">
        <f>SUM(N117:Q117)</f>
        <v>328215</v>
      </c>
      <c r="AD117" s="72">
        <f>SUM(O117:R117)</f>
        <v>330454</v>
      </c>
      <c r="AE117" s="72">
        <f>SUM(P117:S117)</f>
        <v>372298</v>
      </c>
      <c r="AF117" s="72">
        <f>SUM(Q117:T117)</f>
        <v>378203</v>
      </c>
      <c r="AG117" s="72">
        <f>SUM(R117:U117)</f>
        <v>386059</v>
      </c>
      <c r="AH117" s="72">
        <f>SUM(S117:V117)</f>
        <v>388018</v>
      </c>
      <c r="AI117" s="72">
        <f>SUM(T117:W117)</f>
        <v>404823</v>
      </c>
      <c r="AJ117" s="16"/>
      <c r="AK117" s="7"/>
    </row>
    <row r="118" spans="2:37" x14ac:dyDescent="0.2">
      <c r="B118" s="11" t="s">
        <v>96</v>
      </c>
      <c r="C118" s="69">
        <v>26901</v>
      </c>
      <c r="D118" s="69">
        <v>20487</v>
      </c>
      <c r="E118" s="69">
        <v>39874</v>
      </c>
      <c r="F118" s="69">
        <v>69591</v>
      </c>
      <c r="G118" s="69">
        <v>61757</v>
      </c>
      <c r="H118" s="69">
        <v>22561</v>
      </c>
      <c r="I118" s="69"/>
      <c r="J118" s="69">
        <v>3357</v>
      </c>
      <c r="K118" s="69">
        <f>42451-J118</f>
        <v>39094</v>
      </c>
      <c r="L118" s="69">
        <f>33982-K118-J118</f>
        <v>-8469</v>
      </c>
      <c r="M118" s="69">
        <f t="shared" si="284"/>
        <v>35609</v>
      </c>
      <c r="N118" s="69">
        <v>29634</v>
      </c>
      <c r="O118" s="69">
        <f>51860-N118</f>
        <v>22226</v>
      </c>
      <c r="P118" s="69">
        <f>53936-O118-N118</f>
        <v>2076</v>
      </c>
      <c r="Q118" s="69">
        <f>SUM(G118-SUM(N118:P118))</f>
        <v>7821</v>
      </c>
      <c r="R118" s="69">
        <v>51695</v>
      </c>
      <c r="S118" s="69">
        <f>54075-R118</f>
        <v>2380</v>
      </c>
      <c r="T118" s="69">
        <f>47431-S118-R118</f>
        <v>-6644</v>
      </c>
      <c r="U118" s="69">
        <f t="shared" si="285"/>
        <v>-24870</v>
      </c>
      <c r="V118" s="69">
        <v>28370</v>
      </c>
      <c r="W118" s="69">
        <f>62621-V118</f>
        <v>34251</v>
      </c>
      <c r="X118" s="33"/>
      <c r="Y118" s="72">
        <f>SUM(J118:M118)</f>
        <v>69591</v>
      </c>
      <c r="Z118" s="72">
        <f>SUM(K118:N118)</f>
        <v>95868</v>
      </c>
      <c r="AA118" s="72">
        <f>SUM(L118:O118)</f>
        <v>79000</v>
      </c>
      <c r="AB118" s="72">
        <f>SUM(M118:P118)</f>
        <v>89545</v>
      </c>
      <c r="AC118" s="72">
        <f>SUM(N118:Q118)</f>
        <v>61757</v>
      </c>
      <c r="AD118" s="72">
        <f>SUM(O118:R118)</f>
        <v>83818</v>
      </c>
      <c r="AE118" s="72">
        <f>SUM(P118:S118)</f>
        <v>63972</v>
      </c>
      <c r="AF118" s="72">
        <f>SUM(Q118:T118)</f>
        <v>55252</v>
      </c>
      <c r="AG118" s="72">
        <f>SUM(R118:U118)</f>
        <v>22561</v>
      </c>
      <c r="AH118" s="72">
        <f>SUM(S118:V118)</f>
        <v>-764</v>
      </c>
      <c r="AI118" s="72">
        <f>SUM(T118:W118)</f>
        <v>31107</v>
      </c>
      <c r="AJ118" s="16"/>
      <c r="AK118" s="7"/>
    </row>
    <row r="119" spans="2:37" x14ac:dyDescent="0.2">
      <c r="B119" s="11" t="s">
        <v>97</v>
      </c>
      <c r="C119" s="69"/>
      <c r="D119" s="69"/>
      <c r="E119" s="69" t="s">
        <v>68</v>
      </c>
      <c r="F119" s="69">
        <v>0</v>
      </c>
      <c r="G119" s="69">
        <v>4297</v>
      </c>
      <c r="H119" s="69">
        <v>14967</v>
      </c>
      <c r="I119" s="69"/>
      <c r="J119" s="69">
        <v>27475</v>
      </c>
      <c r="K119" s="69">
        <v>0</v>
      </c>
      <c r="L119" s="69">
        <v>0</v>
      </c>
      <c r="M119" s="69">
        <f t="shared" si="284"/>
        <v>-27475</v>
      </c>
      <c r="N119" s="69">
        <v>0</v>
      </c>
      <c r="O119" s="69">
        <v>0</v>
      </c>
      <c r="P119" s="69">
        <v>0</v>
      </c>
      <c r="Q119" s="69">
        <f>SUM(G119-SUM(N119:P119))</f>
        <v>4297</v>
      </c>
      <c r="R119" s="69">
        <v>0</v>
      </c>
      <c r="S119" s="69">
        <v>0</v>
      </c>
      <c r="T119" s="69">
        <v>0</v>
      </c>
      <c r="U119" s="69">
        <f t="shared" si="285"/>
        <v>14967</v>
      </c>
      <c r="V119" s="69">
        <v>3913</v>
      </c>
      <c r="W119" s="69">
        <f>3998-V119</f>
        <v>85</v>
      </c>
      <c r="X119" s="33"/>
      <c r="Y119" s="72">
        <f>SUM(J119:M119)</f>
        <v>0</v>
      </c>
      <c r="Z119" s="72">
        <f>SUM(K119:N119)</f>
        <v>-27475</v>
      </c>
      <c r="AA119" s="72">
        <f>SUM(L119:O119)</f>
        <v>-27475</v>
      </c>
      <c r="AB119" s="72">
        <f>SUM(M119:P119)</f>
        <v>-27475</v>
      </c>
      <c r="AC119" s="72">
        <f>SUM(N119:Q119)</f>
        <v>4297</v>
      </c>
      <c r="AD119" s="72">
        <f>SUM(O119:R119)</f>
        <v>4297</v>
      </c>
      <c r="AE119" s="72">
        <f>SUM(P119:S119)</f>
        <v>4297</v>
      </c>
      <c r="AF119" s="72">
        <f>SUM(Q119:T119)</f>
        <v>4297</v>
      </c>
      <c r="AG119" s="72">
        <f>SUM(R119:U119)</f>
        <v>14967</v>
      </c>
      <c r="AH119" s="72">
        <f>SUM(S119:V119)</f>
        <v>18880</v>
      </c>
      <c r="AI119" s="72">
        <f>SUM(T119:W119)</f>
        <v>18965</v>
      </c>
      <c r="AJ119" s="16"/>
      <c r="AK119" s="7"/>
    </row>
    <row r="120" spans="2:37" x14ac:dyDescent="0.2">
      <c r="B120" s="11"/>
      <c r="C120" s="62"/>
      <c r="D120" s="62"/>
      <c r="E120" s="62"/>
      <c r="F120" s="62"/>
      <c r="G120" s="62"/>
      <c r="H120" s="62"/>
      <c r="I120" s="16"/>
      <c r="J120" s="62"/>
      <c r="K120" s="62"/>
      <c r="L120" s="62"/>
      <c r="M120" s="62"/>
      <c r="N120" s="62"/>
      <c r="O120" s="62"/>
      <c r="P120" s="62"/>
      <c r="Q120" s="62"/>
      <c r="R120" s="63"/>
      <c r="S120" s="62"/>
      <c r="T120" s="62"/>
      <c r="U120" s="62"/>
      <c r="V120" s="62"/>
      <c r="W120" s="62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7"/>
    </row>
  </sheetData>
  <mergeCells count="1">
    <mergeCell ref="AK2:AK4"/>
  </mergeCells>
  <pageMargins left="0.7" right="0.7" top="0.75" bottom="0.75" header="0.3" footer="0.3"/>
  <ignoredErrors>
    <ignoredError sqref="C16:G17 C20:G23 AI113" formulaRange="1"/>
    <ignoredError sqref="AK75:AK82 AK97:AK100 AK85:AK94 AK103:AK11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54A0-1678-45DE-9168-D6326645BF0B}">
  <dimension ref="A2:AK82"/>
  <sheetViews>
    <sheetView showGridLines="0" zoomScaleNormal="100" workbookViewId="0">
      <selection activeCell="AK18" sqref="AK18"/>
    </sheetView>
  </sheetViews>
  <sheetFormatPr defaultRowHeight="12" outlineLevelCol="1" x14ac:dyDescent="0.2"/>
  <cols>
    <col min="1" max="1" width="1.7109375" style="11" customWidth="1"/>
    <col min="2" max="2" width="53.140625" style="11" bestFit="1" customWidth="1"/>
    <col min="3" max="5" width="9.5703125" style="11" hidden="1" customWidth="1" outlineLevel="1"/>
    <col min="6" max="6" width="10" style="11" bestFit="1" customWidth="1" collapsed="1"/>
    <col min="7" max="8" width="10" style="11" bestFit="1" customWidth="1"/>
    <col min="9" max="9" width="1.7109375" style="11" customWidth="1"/>
    <col min="10" max="11" width="9.5703125" style="11" hidden="1" customWidth="1" outlineLevel="1"/>
    <col min="12" max="12" width="9.85546875" style="11" hidden="1" customWidth="1" outlineLevel="1"/>
    <col min="13" max="15" width="9.5703125" style="11" hidden="1" customWidth="1" outlineLevel="1"/>
    <col min="16" max="16" width="9.85546875" style="11" hidden="1" customWidth="1" outlineLevel="1"/>
    <col min="17" max="18" width="9.5703125" style="11" hidden="1" customWidth="1" outlineLevel="1"/>
    <col min="19" max="19" width="9.5703125" style="11" bestFit="1" customWidth="1" collapsed="1"/>
    <col min="20" max="23" width="9.5703125" style="11" bestFit="1" customWidth="1"/>
    <col min="24" max="24" width="1.7109375" style="11" customWidth="1"/>
    <col min="25" max="30" width="10" style="11" hidden="1" customWidth="1" outlineLevel="1"/>
    <col min="31" max="31" width="10" style="11" bestFit="1" customWidth="1" collapsed="1"/>
    <col min="32" max="34" width="10" style="11" hidden="1" customWidth="1" outlineLevel="1"/>
    <col min="35" max="35" width="10" style="11" bestFit="1" customWidth="1" collapsed="1"/>
    <col min="36" max="36" width="1.7109375" style="11" customWidth="1"/>
    <col min="37" max="37" width="11.28515625" style="11" bestFit="1" customWidth="1"/>
    <col min="38" max="16384" width="9.140625" style="11"/>
  </cols>
  <sheetData>
    <row r="2" spans="2:37" s="8" customFormat="1" ht="12.75" customHeight="1" x14ac:dyDescent="0.2">
      <c r="B2" s="1" t="s">
        <v>100</v>
      </c>
      <c r="C2" s="2" t="s">
        <v>1</v>
      </c>
      <c r="D2" s="2"/>
      <c r="E2" s="2"/>
      <c r="F2" s="2" t="s">
        <v>1</v>
      </c>
      <c r="G2" s="2"/>
      <c r="H2" s="2"/>
      <c r="I2" s="5"/>
      <c r="J2" s="2" t="s">
        <v>2</v>
      </c>
      <c r="K2" s="2"/>
      <c r="L2" s="2"/>
      <c r="M2" s="2"/>
      <c r="N2" s="2"/>
      <c r="O2" s="2"/>
      <c r="P2" s="2"/>
      <c r="Q2" s="2"/>
      <c r="R2" s="2" t="s">
        <v>2</v>
      </c>
      <c r="S2" s="2" t="s">
        <v>2</v>
      </c>
      <c r="T2" s="2"/>
      <c r="U2" s="2"/>
      <c r="V2" s="2"/>
      <c r="W2" s="2"/>
      <c r="X2" s="5"/>
      <c r="Y2" s="2" t="s">
        <v>3</v>
      </c>
      <c r="Z2" s="2"/>
      <c r="AA2" s="2"/>
      <c r="AB2" s="2"/>
      <c r="AC2" s="2"/>
      <c r="AD2" s="2"/>
      <c r="AE2" s="2" t="s">
        <v>3</v>
      </c>
      <c r="AF2" s="2"/>
      <c r="AG2" s="2"/>
      <c r="AH2" s="2"/>
      <c r="AI2" s="2"/>
      <c r="AJ2" s="5"/>
      <c r="AK2" s="6" t="s">
        <v>105</v>
      </c>
    </row>
    <row r="3" spans="2:37" s="8" customFormat="1" ht="12.75" customHeight="1" x14ac:dyDescent="0.2">
      <c r="B3" s="3" t="s">
        <v>101</v>
      </c>
      <c r="C3" s="4">
        <f>'Base Financials '!C3</f>
        <v>2019</v>
      </c>
      <c r="D3" s="4">
        <f>'Base Financials '!D3</f>
        <v>2020</v>
      </c>
      <c r="E3" s="4">
        <f>'Base Financials '!E3</f>
        <v>2021</v>
      </c>
      <c r="F3" s="4">
        <f>'Base Financials '!F3</f>
        <v>2022</v>
      </c>
      <c r="G3" s="4">
        <f>'Base Financials '!G3</f>
        <v>2023</v>
      </c>
      <c r="H3" s="4">
        <f>'Base Financials '!H3</f>
        <v>2024</v>
      </c>
      <c r="I3" s="5"/>
      <c r="J3" s="38" t="str">
        <f>'Base Financials '!J3</f>
        <v>1Q22</v>
      </c>
      <c r="K3" s="38" t="str">
        <f>'Base Financials '!K3</f>
        <v>2Q22</v>
      </c>
      <c r="L3" s="38" t="str">
        <f>'Base Financials '!L3</f>
        <v>3Q22</v>
      </c>
      <c r="M3" s="38" t="str">
        <f>'Base Financials '!M3</f>
        <v>4Q22</v>
      </c>
      <c r="N3" s="38" t="str">
        <f>'Base Financials '!N3</f>
        <v>1Q23</v>
      </c>
      <c r="O3" s="38" t="str">
        <f>'Base Financials '!O3</f>
        <v>2Q23</v>
      </c>
      <c r="P3" s="38" t="str">
        <f>'Base Financials '!P3</f>
        <v>3Q23</v>
      </c>
      <c r="Q3" s="38" t="str">
        <f>'Base Financials '!Q3</f>
        <v>4Q23</v>
      </c>
      <c r="R3" s="38" t="str">
        <f>'Base Financials '!R3</f>
        <v>1Q24</v>
      </c>
      <c r="S3" s="38" t="str">
        <f>'Base Financials '!S3</f>
        <v>2Q24</v>
      </c>
      <c r="T3" s="38" t="str">
        <f>'Base Financials '!T3</f>
        <v>3Q24</v>
      </c>
      <c r="U3" s="38" t="str">
        <f>'Base Financials '!U3</f>
        <v>4Q24</v>
      </c>
      <c r="V3" s="38" t="str">
        <f>'Base Financials '!V3</f>
        <v>1Q25</v>
      </c>
      <c r="W3" s="38" t="str">
        <f>'Base Financials '!W3</f>
        <v>2Q25</v>
      </c>
      <c r="X3" s="5"/>
      <c r="Y3" s="38" t="str">
        <f t="shared" ref="Y3:AE4" si="0">M3</f>
        <v>4Q22</v>
      </c>
      <c r="Z3" s="38" t="str">
        <f t="shared" si="0"/>
        <v>1Q23</v>
      </c>
      <c r="AA3" s="38" t="str">
        <f t="shared" si="0"/>
        <v>2Q23</v>
      </c>
      <c r="AB3" s="38" t="str">
        <f t="shared" si="0"/>
        <v>3Q23</v>
      </c>
      <c r="AC3" s="38" t="str">
        <f t="shared" si="0"/>
        <v>4Q23</v>
      </c>
      <c r="AD3" s="38" t="str">
        <f t="shared" si="0"/>
        <v>1Q24</v>
      </c>
      <c r="AE3" s="38" t="str">
        <f t="shared" si="0"/>
        <v>2Q24</v>
      </c>
      <c r="AF3" s="38" t="str">
        <f>T3</f>
        <v>3Q24</v>
      </c>
      <c r="AG3" s="38" t="str">
        <f t="shared" ref="AG3:AI4" si="1">U3</f>
        <v>4Q24</v>
      </c>
      <c r="AH3" s="38" t="str">
        <f t="shared" si="1"/>
        <v>1Q25</v>
      </c>
      <c r="AI3" s="38" t="str">
        <f t="shared" si="1"/>
        <v>2Q25</v>
      </c>
      <c r="AJ3" s="5"/>
      <c r="AK3" s="6"/>
    </row>
    <row r="4" spans="2:37" s="8" customFormat="1" ht="12.75" customHeight="1" x14ac:dyDescent="0.2">
      <c r="B4" s="3" t="s">
        <v>103</v>
      </c>
      <c r="C4" s="5">
        <f>'Base Financials '!C4</f>
        <v>43497</v>
      </c>
      <c r="D4" s="5">
        <f>'Base Financials '!D4</f>
        <v>43861</v>
      </c>
      <c r="E4" s="5">
        <f>'Base Financials '!E4</f>
        <v>44225</v>
      </c>
      <c r="F4" s="5">
        <f>'Base Financials '!F4</f>
        <v>44954</v>
      </c>
      <c r="G4" s="5">
        <f>'Base Financials '!G4</f>
        <v>45325</v>
      </c>
      <c r="H4" s="5">
        <f>'Base Financials '!H4</f>
        <v>45689</v>
      </c>
      <c r="I4" s="5"/>
      <c r="J4" s="5">
        <f>'Base Financials '!J4</f>
        <v>44681</v>
      </c>
      <c r="K4" s="5">
        <f>'Base Financials '!K4</f>
        <v>44772</v>
      </c>
      <c r="L4" s="5">
        <f>'Base Financials '!L4</f>
        <v>44863</v>
      </c>
      <c r="M4" s="5">
        <f>'Base Financials '!M4</f>
        <v>44954</v>
      </c>
      <c r="N4" s="5">
        <f>'Base Financials '!N4</f>
        <v>45045</v>
      </c>
      <c r="O4" s="5">
        <f>'Base Financials '!O4</f>
        <v>45136</v>
      </c>
      <c r="P4" s="5">
        <f>'Base Financials '!P4</f>
        <v>45227</v>
      </c>
      <c r="Q4" s="5">
        <f>'Base Financials '!Q4</f>
        <v>45325</v>
      </c>
      <c r="R4" s="5">
        <f>'Base Financials '!R4</f>
        <v>45416</v>
      </c>
      <c r="S4" s="5">
        <f>'Base Financials '!S4</f>
        <v>45507</v>
      </c>
      <c r="T4" s="5">
        <f>'Base Financials '!T4</f>
        <v>45598</v>
      </c>
      <c r="U4" s="5">
        <f>'Base Financials '!U4</f>
        <v>45689</v>
      </c>
      <c r="V4" s="5">
        <f>'Base Financials '!V4</f>
        <v>45780</v>
      </c>
      <c r="W4" s="5">
        <f>'Base Financials '!W4</f>
        <v>45871</v>
      </c>
      <c r="X4" s="5"/>
      <c r="Y4" s="5">
        <f t="shared" si="0"/>
        <v>44954</v>
      </c>
      <c r="Z4" s="5">
        <f t="shared" si="0"/>
        <v>45045</v>
      </c>
      <c r="AA4" s="5">
        <f t="shared" si="0"/>
        <v>45136</v>
      </c>
      <c r="AB4" s="5">
        <f t="shared" si="0"/>
        <v>45227</v>
      </c>
      <c r="AC4" s="5">
        <f t="shared" si="0"/>
        <v>45325</v>
      </c>
      <c r="AD4" s="5">
        <f t="shared" si="0"/>
        <v>45416</v>
      </c>
      <c r="AE4" s="5">
        <f t="shared" si="0"/>
        <v>45507</v>
      </c>
      <c r="AF4" s="5">
        <f>T4</f>
        <v>45598</v>
      </c>
      <c r="AG4" s="5">
        <f t="shared" si="1"/>
        <v>45689</v>
      </c>
      <c r="AH4" s="5">
        <f t="shared" si="1"/>
        <v>45780</v>
      </c>
      <c r="AI4" s="5">
        <f t="shared" si="1"/>
        <v>45871</v>
      </c>
      <c r="AJ4" s="5"/>
      <c r="AK4" s="6"/>
    </row>
    <row r="5" spans="2:37" ht="5.0999999999999996" customHeight="1" x14ac:dyDescent="0.2">
      <c r="AK5" s="71"/>
    </row>
    <row r="6" spans="2:37" ht="12.75" customHeight="1" x14ac:dyDescent="0.2">
      <c r="B6" s="13" t="s">
        <v>47</v>
      </c>
      <c r="C6" s="72">
        <f>'Base Financials '!C8</f>
        <v>3773014.68</v>
      </c>
      <c r="D6" s="72">
        <f>'Base Financials '!D8</f>
        <v>3075976.5</v>
      </c>
      <c r="E6" s="72">
        <f>'Base Financials '!E8</f>
        <v>3711282.27</v>
      </c>
      <c r="F6" s="72">
        <f>'Base Financials '!F8</f>
        <v>4287603.5999999996</v>
      </c>
      <c r="G6" s="72">
        <f>'Base Financials '!G8</f>
        <v>4594994.2299999995</v>
      </c>
      <c r="H6" s="72">
        <f>'Base Financials '!H8</f>
        <v>4405305.0600000005</v>
      </c>
      <c r="I6" s="72"/>
      <c r="J6" s="72">
        <f>'Base Financials '!J8</f>
        <v>1032196.4400000001</v>
      </c>
      <c r="K6" s="72">
        <f>'Base Financials '!K8</f>
        <v>964787.46</v>
      </c>
      <c r="L6" s="72">
        <f>'Base Financials '!L8</f>
        <v>1029068.92</v>
      </c>
      <c r="M6" s="72">
        <f>'Base Financials '!M8</f>
        <v>1355244.66</v>
      </c>
      <c r="N6" s="72">
        <f>'Base Financials '!N8</f>
        <v>1159075.72</v>
      </c>
      <c r="O6" s="72">
        <f>'Base Financials '!O8</f>
        <v>1011923.6000000001</v>
      </c>
      <c r="P6" s="72">
        <f>'Base Financials '!P8</f>
        <v>1045351.86</v>
      </c>
      <c r="Q6" s="72">
        <f>'Base Financials '!Q8</f>
        <v>1457262.18</v>
      </c>
      <c r="R6" s="72">
        <f>'Base Financials '!R8</f>
        <v>1144856.1599999999</v>
      </c>
      <c r="S6" s="72">
        <f>'Base Financials '!S8</f>
        <v>995313.93</v>
      </c>
      <c r="T6" s="72">
        <f>'Base Financials '!T8</f>
        <v>1037340.9999999999</v>
      </c>
      <c r="U6" s="72">
        <f>'Base Financials '!U8</f>
        <v>1360171.4100000001</v>
      </c>
      <c r="V6" s="72">
        <f>'Base Financials '!V8</f>
        <v>1139346.8</v>
      </c>
      <c r="W6" s="72">
        <f>'Base Financials '!W8</f>
        <v>1059618.22</v>
      </c>
      <c r="X6" s="8"/>
      <c r="Y6" s="72">
        <f>SUM(J6:M6)</f>
        <v>4381297.4799999995</v>
      </c>
      <c r="Z6" s="72">
        <f>SUM(K6:N6)</f>
        <v>4508176.76</v>
      </c>
      <c r="AA6" s="72">
        <f>SUM(L6:O6)</f>
        <v>4555312.9000000004</v>
      </c>
      <c r="AB6" s="72">
        <f>SUM(M6:P6)</f>
        <v>4571595.84</v>
      </c>
      <c r="AC6" s="72">
        <f>SUM(N6:Q6)</f>
        <v>4673613.3600000003</v>
      </c>
      <c r="AD6" s="72">
        <f>SUM(O6:R6)</f>
        <v>4659393.8</v>
      </c>
      <c r="AE6" s="72">
        <f>SUM(P6:S6)</f>
        <v>4642784.13</v>
      </c>
      <c r="AF6" s="72">
        <f>SUM(Q6:T6)</f>
        <v>4634773.2699999996</v>
      </c>
      <c r="AG6" s="72">
        <f t="shared" ref="AG6:AI11" si="2">SUM(R6:U6)</f>
        <v>4537682.5</v>
      </c>
      <c r="AH6" s="72">
        <f t="shared" si="2"/>
        <v>4532173.1399999997</v>
      </c>
      <c r="AI6" s="72">
        <f t="shared" si="2"/>
        <v>4596477.43</v>
      </c>
      <c r="AK6" s="73">
        <f>SUM(AI6/AE6)-1</f>
        <v>-9.9739076173676056E-3</v>
      </c>
    </row>
    <row r="7" spans="2:37" ht="12.75" customHeight="1" x14ac:dyDescent="0.2">
      <c r="B7" s="13" t="s">
        <v>48</v>
      </c>
      <c r="C7" s="72">
        <f>'Base Financials '!C9</f>
        <v>1405632.92</v>
      </c>
      <c r="D7" s="72">
        <f>'Base Financials '!D9</f>
        <v>1168871.07</v>
      </c>
      <c r="E7" s="72">
        <f>'Base Financials '!E9</f>
        <v>1726177.8</v>
      </c>
      <c r="F7" s="72">
        <f>'Base Financials '!F9</f>
        <v>2143801.7999999998</v>
      </c>
      <c r="G7" s="72">
        <f>'Base Financials '!G9</f>
        <v>2129387.5699999998</v>
      </c>
      <c r="H7" s="72">
        <f>'Base Financials '!H9</f>
        <v>2598000.42</v>
      </c>
      <c r="I7" s="72"/>
      <c r="J7" s="72">
        <f>'Base Financials '!J9</f>
        <v>469180.2</v>
      </c>
      <c r="K7" s="72">
        <f>'Base Financials '!K9</f>
        <v>505364.86</v>
      </c>
      <c r="L7" s="72">
        <f>'Base Financials '!L9</f>
        <v>491146.52999999997</v>
      </c>
      <c r="M7" s="72">
        <f>'Base Financials '!M9</f>
        <v>677622.33</v>
      </c>
      <c r="N7" s="72">
        <f>'Base Financials '!N9</f>
        <v>474167.33999999997</v>
      </c>
      <c r="O7" s="72">
        <f>'Base Financials '!O9</f>
        <v>531259.89</v>
      </c>
      <c r="P7" s="72">
        <f>'Base Financials '!P9</f>
        <v>472897.27</v>
      </c>
      <c r="Q7" s="72">
        <f>'Base Financials '!Q9</f>
        <v>675316.62</v>
      </c>
      <c r="R7" s="72">
        <f>'Base Financials '!R9</f>
        <v>517911.12</v>
      </c>
      <c r="S7" s="72">
        <f>'Base Financials '!S9</f>
        <v>510417.4</v>
      </c>
      <c r="T7" s="72">
        <f>'Base Financials '!T9</f>
        <v>506020</v>
      </c>
      <c r="U7" s="72">
        <f>'Base Financials '!U9</f>
        <v>802152.37</v>
      </c>
      <c r="V7" s="72">
        <f>'Base Financials '!V9</f>
        <v>712091.75</v>
      </c>
      <c r="W7" s="72">
        <f>'Base Financials '!W9</f>
        <v>697117.25</v>
      </c>
      <c r="X7" s="8"/>
      <c r="Y7" s="72">
        <f>SUM(J7:M7)</f>
        <v>2143313.9199999999</v>
      </c>
      <c r="Z7" s="72">
        <f>SUM(K7:N7)</f>
        <v>2148301.0599999996</v>
      </c>
      <c r="AA7" s="72">
        <f>SUM(L7:O7)</f>
        <v>2174196.09</v>
      </c>
      <c r="AB7" s="72">
        <f>SUM(M7:P7)</f>
        <v>2155946.83</v>
      </c>
      <c r="AC7" s="72">
        <f>SUM(N7:Q7)</f>
        <v>2153641.12</v>
      </c>
      <c r="AD7" s="72">
        <f>SUM(O7:R7)</f>
        <v>2197384.9</v>
      </c>
      <c r="AE7" s="72">
        <f>SUM(P7:S7)</f>
        <v>2176542.41</v>
      </c>
      <c r="AF7" s="72">
        <f>SUM(Q7:T7)</f>
        <v>2209665.14</v>
      </c>
      <c r="AG7" s="72">
        <f t="shared" si="2"/>
        <v>2336500.89</v>
      </c>
      <c r="AH7" s="72">
        <f t="shared" si="2"/>
        <v>2530681.52</v>
      </c>
      <c r="AI7" s="72">
        <f t="shared" si="2"/>
        <v>2717381.37</v>
      </c>
      <c r="AK7" s="73">
        <f t="shared" ref="AK7:AK12" si="3">SUM(AI7/AE7)-1</f>
        <v>0.24848537640026969</v>
      </c>
    </row>
    <row r="8" spans="2:37" ht="12.75" customHeight="1" x14ac:dyDescent="0.2">
      <c r="B8" s="13" t="s">
        <v>49</v>
      </c>
      <c r="C8" s="72">
        <f>'Base Financials '!C10</f>
        <v>854476.85400000005</v>
      </c>
      <c r="D8" s="72">
        <f>'Base Financials '!D10</f>
        <v>710550.57150000008</v>
      </c>
      <c r="E8" s="72">
        <f>'Base Financials '!E10</f>
        <v>1467251.1300000001</v>
      </c>
      <c r="F8" s="72">
        <f>'Base Financials '!F10</f>
        <v>1735458.6</v>
      </c>
      <c r="G8" s="72">
        <f>'Base Financials '!G10</f>
        <v>2129387.5699999998</v>
      </c>
      <c r="H8" s="72">
        <f>'Base Financials '!H10</f>
        <v>2146174.2600000002</v>
      </c>
      <c r="I8" s="72"/>
      <c r="J8" s="72">
        <f>'Base Financials '!J10</f>
        <v>422262.18</v>
      </c>
      <c r="K8" s="72">
        <f>'Base Financials '!K10</f>
        <v>390509.21</v>
      </c>
      <c r="L8" s="72">
        <f>'Base Financials '!L10</f>
        <v>374206.88</v>
      </c>
      <c r="M8" s="72">
        <f>'Base Financials '!M10</f>
        <v>548551.41</v>
      </c>
      <c r="N8" s="72">
        <f>'Base Financials '!N10</f>
        <v>500509.97000000003</v>
      </c>
      <c r="O8" s="72">
        <f>'Base Financials '!O10</f>
        <v>505961.80000000005</v>
      </c>
      <c r="P8" s="72">
        <f>'Base Financials '!P10</f>
        <v>472897.27</v>
      </c>
      <c r="Q8" s="72">
        <f>'Base Financials '!Q10</f>
        <v>675316.62</v>
      </c>
      <c r="R8" s="72">
        <f>'Base Financials '!R10</f>
        <v>626945.04</v>
      </c>
      <c r="S8" s="72">
        <f>'Base Financials '!S10</f>
        <v>612500.88</v>
      </c>
      <c r="T8" s="72">
        <f>'Base Financials '!T10</f>
        <v>581923</v>
      </c>
      <c r="U8" s="72">
        <f>'Base Financials '!U10</f>
        <v>662647.61</v>
      </c>
      <c r="V8" s="72">
        <f>'Base Financials '!V10</f>
        <v>512706.06</v>
      </c>
      <c r="W8" s="72">
        <f>'Base Financials '!W10</f>
        <v>529809.11</v>
      </c>
      <c r="X8" s="8"/>
      <c r="Y8" s="72">
        <f>SUM(J8:M8)</f>
        <v>1735529.6800000002</v>
      </c>
      <c r="Z8" s="72">
        <f>SUM(K8:N8)</f>
        <v>1813777.47</v>
      </c>
      <c r="AA8" s="72">
        <f>SUM(L8:O8)</f>
        <v>1929230.06</v>
      </c>
      <c r="AB8" s="72">
        <f>SUM(M8:P8)</f>
        <v>2027920.4500000002</v>
      </c>
      <c r="AC8" s="72">
        <f>SUM(N8:Q8)</f>
        <v>2154685.66</v>
      </c>
      <c r="AD8" s="72">
        <f>SUM(O8:R8)</f>
        <v>2281120.73</v>
      </c>
      <c r="AE8" s="72">
        <f>SUM(P8:S8)</f>
        <v>2387659.81</v>
      </c>
      <c r="AF8" s="72">
        <f>SUM(Q8:T8)</f>
        <v>2496685.54</v>
      </c>
      <c r="AG8" s="72">
        <f t="shared" si="2"/>
        <v>2484016.5299999998</v>
      </c>
      <c r="AH8" s="72">
        <f t="shared" si="2"/>
        <v>2369777.5499999998</v>
      </c>
      <c r="AI8" s="72">
        <f t="shared" si="2"/>
        <v>2287085.7799999998</v>
      </c>
      <c r="AK8" s="73">
        <f t="shared" si="3"/>
        <v>-4.2122428655361976E-2</v>
      </c>
    </row>
    <row r="9" spans="2:37" ht="12.75" customHeight="1" x14ac:dyDescent="0.2">
      <c r="B9" s="13" t="s">
        <v>50</v>
      </c>
      <c r="C9" s="72">
        <f>'Base Financials '!C11</f>
        <v>699117.42599999998</v>
      </c>
      <c r="D9" s="72">
        <f>'Base Financials '!D11</f>
        <v>581359.55850000004</v>
      </c>
      <c r="E9" s="72">
        <f>'Base Financials '!E11</f>
        <v>1208324.4600000002</v>
      </c>
      <c r="F9" s="72">
        <f>'Base Financials '!F11</f>
        <v>1429201.2000000002</v>
      </c>
      <c r="G9" s="72">
        <f>'Base Financials '!G11</f>
        <v>1681095.45</v>
      </c>
      <c r="H9" s="72">
        <f>'Base Financials '!H11</f>
        <v>1468435.02</v>
      </c>
      <c r="I9" s="72"/>
      <c r="J9" s="72">
        <f>'Base Financials '!J11</f>
        <v>281508.12</v>
      </c>
      <c r="K9" s="72">
        <f>'Base Financials '!K11</f>
        <v>275653.56</v>
      </c>
      <c r="L9" s="72">
        <f>'Base Financials '!L11</f>
        <v>280655.15999999997</v>
      </c>
      <c r="M9" s="72">
        <f>'Base Financials '!M11</f>
        <v>451748.22000000003</v>
      </c>
      <c r="N9" s="72">
        <f>'Base Financials '!N11</f>
        <v>316111.56</v>
      </c>
      <c r="O9" s="72">
        <f>'Base Financials '!O11</f>
        <v>303577.08</v>
      </c>
      <c r="P9" s="72">
        <f>'Base Financials '!P11</f>
        <v>323561.29000000004</v>
      </c>
      <c r="Q9" s="72">
        <f>'Base Financials '!Q11</f>
        <v>533144.69999999995</v>
      </c>
      <c r="R9" s="72">
        <f>'Base Financials '!R11</f>
        <v>272584.8</v>
      </c>
      <c r="S9" s="72">
        <f>'Base Financials '!S11</f>
        <v>280729.57</v>
      </c>
      <c r="T9" s="72">
        <f>'Base Financials '!T11</f>
        <v>253010</v>
      </c>
      <c r="U9" s="72">
        <f>'Base Financials '!U11</f>
        <v>453390.47000000003</v>
      </c>
      <c r="V9" s="72">
        <f>'Base Financials '!V11</f>
        <v>313320.37</v>
      </c>
      <c r="W9" s="72">
        <f>'Base Financials '!W11</f>
        <v>334616.27999999997</v>
      </c>
      <c r="X9" s="8"/>
      <c r="Y9" s="72">
        <f>SUM(J9:M9)</f>
        <v>1289565.0599999998</v>
      </c>
      <c r="Z9" s="72">
        <f>SUM(K9:N9)</f>
        <v>1324168.5</v>
      </c>
      <c r="AA9" s="72">
        <f>SUM(L9:O9)</f>
        <v>1352092.02</v>
      </c>
      <c r="AB9" s="72">
        <f>SUM(M9:P9)</f>
        <v>1394998.1500000001</v>
      </c>
      <c r="AC9" s="72">
        <f>SUM(N9:Q9)</f>
        <v>1476394.63</v>
      </c>
      <c r="AD9" s="72">
        <f>SUM(O9:R9)</f>
        <v>1432867.87</v>
      </c>
      <c r="AE9" s="72">
        <f>SUM(P9:S9)</f>
        <v>1410020.36</v>
      </c>
      <c r="AF9" s="72">
        <f>SUM(Q9:T9)</f>
        <v>1339469.07</v>
      </c>
      <c r="AG9" s="72">
        <f t="shared" si="2"/>
        <v>1259714.8400000001</v>
      </c>
      <c r="AH9" s="72">
        <f t="shared" si="2"/>
        <v>1300450.4100000001</v>
      </c>
      <c r="AI9" s="72">
        <f t="shared" si="2"/>
        <v>1354337.1199999999</v>
      </c>
      <c r="AK9" s="73">
        <f t="shared" si="3"/>
        <v>-3.9491089334341423E-2</v>
      </c>
    </row>
    <row r="10" spans="2:37" ht="12.75" customHeight="1" x14ac:dyDescent="0.2">
      <c r="B10" s="13" t="s">
        <v>51</v>
      </c>
      <c r="C10" s="72">
        <f>'Base Financials '!C12</f>
        <v>369903.4</v>
      </c>
      <c r="D10" s="72">
        <f>'Base Financials '!D12</f>
        <v>307597.65000000002</v>
      </c>
      <c r="E10" s="72">
        <f>'Base Financials '!E12</f>
        <v>258926.66999999998</v>
      </c>
      <c r="F10" s="72">
        <f>'Base Financials '!F12</f>
        <v>306257.39999999997</v>
      </c>
      <c r="G10" s="72">
        <f>'Base Financials '!G12</f>
        <v>336219.08999999997</v>
      </c>
      <c r="H10" s="72">
        <f>'Base Financials '!H12</f>
        <v>451826.16000000003</v>
      </c>
      <c r="I10" s="72"/>
      <c r="J10" s="72">
        <f>'Base Financials '!J12</f>
        <v>70377.03</v>
      </c>
      <c r="K10" s="72">
        <f>'Base Financials '!K12</f>
        <v>91884.52</v>
      </c>
      <c r="L10" s="72">
        <f>'Base Financials '!L12</f>
        <v>93551.72</v>
      </c>
      <c r="M10" s="72">
        <f>'Base Financials '!M12</f>
        <v>96803.19</v>
      </c>
      <c r="N10" s="72">
        <f>'Base Financials '!N12</f>
        <v>105370.52</v>
      </c>
      <c r="O10" s="72">
        <f>'Base Financials '!O12</f>
        <v>101192.36</v>
      </c>
      <c r="P10" s="72">
        <f>'Base Financials '!P12</f>
        <v>99557.32</v>
      </c>
      <c r="Q10" s="72">
        <f>'Base Financials '!Q12</f>
        <v>106628.94</v>
      </c>
      <c r="R10" s="72">
        <f>'Base Financials '!R12</f>
        <v>109033.92</v>
      </c>
      <c r="S10" s="72">
        <f>'Base Financials '!S12</f>
        <v>102083.48</v>
      </c>
      <c r="T10" s="72">
        <f>'Base Financials '!T12</f>
        <v>101204</v>
      </c>
      <c r="U10" s="72">
        <f>'Base Financials '!U12</f>
        <v>139504.76</v>
      </c>
      <c r="V10" s="72">
        <f>'Base Financials '!V12</f>
        <v>113934.68000000001</v>
      </c>
      <c r="W10" s="72">
        <f>'Base Financials '!W12</f>
        <v>111538.76000000001</v>
      </c>
      <c r="X10" s="8"/>
      <c r="Y10" s="72">
        <f>SUM(J10:M10)</f>
        <v>352616.45999999996</v>
      </c>
      <c r="Z10" s="72">
        <f>SUM(K10:N10)</f>
        <v>387609.95</v>
      </c>
      <c r="AA10" s="72">
        <f>SUM(L10:O10)</f>
        <v>396917.79</v>
      </c>
      <c r="AB10" s="72">
        <f>SUM(M10:P10)</f>
        <v>402923.39</v>
      </c>
      <c r="AC10" s="72">
        <f>SUM(N10:Q10)</f>
        <v>412749.14</v>
      </c>
      <c r="AD10" s="72">
        <f>SUM(O10:R10)</f>
        <v>416412.54</v>
      </c>
      <c r="AE10" s="72">
        <f>SUM(P10:S10)</f>
        <v>417303.66</v>
      </c>
      <c r="AF10" s="72">
        <f>SUM(Q10:T10)</f>
        <v>418950.33999999997</v>
      </c>
      <c r="AG10" s="72">
        <f t="shared" si="2"/>
        <v>451826.16000000003</v>
      </c>
      <c r="AH10" s="72">
        <f t="shared" si="2"/>
        <v>456726.92</v>
      </c>
      <c r="AI10" s="72">
        <f t="shared" si="2"/>
        <v>466182.2</v>
      </c>
      <c r="AK10" s="73">
        <f t="shared" si="3"/>
        <v>0.11712943040087409</v>
      </c>
    </row>
    <row r="11" spans="2:37" ht="12.75" customHeight="1" x14ac:dyDescent="0.2">
      <c r="B11" s="13" t="s">
        <v>54</v>
      </c>
      <c r="C11" s="72">
        <f>'Base Financials '!C13</f>
        <v>295922.72000000003</v>
      </c>
      <c r="D11" s="72">
        <f>'Base Financials '!D13</f>
        <v>246078.12</v>
      </c>
      <c r="E11" s="72">
        <f>'Base Financials '!E13</f>
        <v>258926.66999999998</v>
      </c>
      <c r="F11" s="72">
        <f>'Base Financials '!F13</f>
        <v>306257.39999999997</v>
      </c>
      <c r="G11" s="72">
        <f>'Base Financials '!G13</f>
        <v>336219.08999999997</v>
      </c>
      <c r="H11" s="72">
        <f>'Base Financials '!H13</f>
        <v>225913.08000000002</v>
      </c>
      <c r="I11" s="72"/>
      <c r="J11" s="72">
        <f>'Base Financials '!J13</f>
        <v>70377.03</v>
      </c>
      <c r="K11" s="72">
        <f>'Base Financials '!K13</f>
        <v>68913.39</v>
      </c>
      <c r="L11" s="72">
        <f>'Base Financials '!L13</f>
        <v>70163.789999999994</v>
      </c>
      <c r="M11" s="72">
        <f>'Base Financials '!M13</f>
        <v>96803.19</v>
      </c>
      <c r="N11" s="72">
        <f>'Base Financials '!N13</f>
        <v>79027.89</v>
      </c>
      <c r="O11" s="72">
        <f>'Base Financials '!O13</f>
        <v>75894.27</v>
      </c>
      <c r="P11" s="72">
        <f>'Base Financials '!P13</f>
        <v>74667.989999999991</v>
      </c>
      <c r="Q11" s="72">
        <f>'Base Financials '!Q13</f>
        <v>106628.94</v>
      </c>
      <c r="R11" s="72">
        <f>'Base Financials '!R13</f>
        <v>54516.959999999999</v>
      </c>
      <c r="S11" s="72">
        <f>'Base Financials '!S13</f>
        <v>51041.74</v>
      </c>
      <c r="T11" s="72">
        <f>'Base Financials '!T13</f>
        <v>50602</v>
      </c>
      <c r="U11" s="72">
        <f>'Base Financials '!U13</f>
        <v>69752.38</v>
      </c>
      <c r="V11" s="72">
        <f>'Base Financials '!V13</f>
        <v>56967.340000000004</v>
      </c>
      <c r="W11" s="72">
        <f>'Base Financials '!W13</f>
        <v>55769.380000000005</v>
      </c>
      <c r="X11" s="8"/>
      <c r="Y11" s="72">
        <f>SUM(J11:M11)</f>
        <v>306257.39999999997</v>
      </c>
      <c r="Z11" s="72">
        <f>SUM(K11:N11)</f>
        <v>314908.26</v>
      </c>
      <c r="AA11" s="72">
        <f>SUM(L11:O11)</f>
        <v>321889.14</v>
      </c>
      <c r="AB11" s="72">
        <f>SUM(M11:P11)</f>
        <v>326393.34000000003</v>
      </c>
      <c r="AC11" s="72">
        <f>SUM(N11:Q11)</f>
        <v>336219.08999999997</v>
      </c>
      <c r="AD11" s="72">
        <f>SUM(O11:R11)</f>
        <v>311708.16000000003</v>
      </c>
      <c r="AE11" s="72">
        <f>SUM(P11:S11)</f>
        <v>286855.63</v>
      </c>
      <c r="AF11" s="72">
        <f>SUM(Q11:T11)</f>
        <v>262789.64</v>
      </c>
      <c r="AG11" s="72">
        <f t="shared" si="2"/>
        <v>225913.08000000002</v>
      </c>
      <c r="AH11" s="72">
        <f t="shared" si="2"/>
        <v>228363.46</v>
      </c>
      <c r="AI11" s="72">
        <f t="shared" si="2"/>
        <v>233091.1</v>
      </c>
      <c r="AK11" s="73">
        <f t="shared" si="3"/>
        <v>-0.18742713887121543</v>
      </c>
    </row>
    <row r="12" spans="2:37" ht="12.75" customHeight="1" x14ac:dyDescent="0.2">
      <c r="B12" s="64" t="s">
        <v>106</v>
      </c>
      <c r="C12" s="65">
        <f t="shared" ref="C12:D12" si="4">SUM(C6:C11)</f>
        <v>7398068</v>
      </c>
      <c r="D12" s="65">
        <f t="shared" si="4"/>
        <v>6090433.4700000007</v>
      </c>
      <c r="E12" s="65">
        <f>SUM(E6:E11)</f>
        <v>8630889</v>
      </c>
      <c r="F12" s="65">
        <f t="shared" ref="F12:S12" si="5">SUM(F6:F11)</f>
        <v>10208580</v>
      </c>
      <c r="G12" s="65">
        <f t="shared" si="5"/>
        <v>11207302.999999998</v>
      </c>
      <c r="H12" s="65">
        <f t="shared" ref="H12" si="6">SUM(H6:H11)</f>
        <v>11295654</v>
      </c>
      <c r="I12" s="16"/>
      <c r="J12" s="65">
        <f t="shared" si="5"/>
        <v>2345900.9999999995</v>
      </c>
      <c r="K12" s="65">
        <f t="shared" si="5"/>
        <v>2297113</v>
      </c>
      <c r="L12" s="65">
        <f t="shared" si="5"/>
        <v>2338793.0000000005</v>
      </c>
      <c r="M12" s="65">
        <f t="shared" si="5"/>
        <v>3226773</v>
      </c>
      <c r="N12" s="65">
        <f t="shared" si="5"/>
        <v>2634263.0000000005</v>
      </c>
      <c r="O12" s="65">
        <f t="shared" si="5"/>
        <v>2529809</v>
      </c>
      <c r="P12" s="65">
        <f t="shared" si="5"/>
        <v>2488933</v>
      </c>
      <c r="Q12" s="65">
        <f t="shared" si="5"/>
        <v>3554298</v>
      </c>
      <c r="R12" s="65">
        <f t="shared" si="5"/>
        <v>2725847.9999999995</v>
      </c>
      <c r="S12" s="65">
        <f t="shared" si="5"/>
        <v>2552087</v>
      </c>
      <c r="T12" s="65">
        <f>SUM(T6:T11)</f>
        <v>2530100</v>
      </c>
      <c r="U12" s="65">
        <f>SUM(U6:U11)</f>
        <v>3487619</v>
      </c>
      <c r="V12" s="65">
        <f t="shared" ref="V12:W12" si="7">SUM(V6:V11)</f>
        <v>2848367</v>
      </c>
      <c r="W12" s="65">
        <f t="shared" si="7"/>
        <v>2788469</v>
      </c>
      <c r="X12" s="8"/>
      <c r="Y12" s="65">
        <f t="shared" ref="Y12:AE12" si="8">SUM(Y6:Y11)</f>
        <v>10208580.000000002</v>
      </c>
      <c r="Z12" s="65">
        <f t="shared" si="8"/>
        <v>10496941.999999998</v>
      </c>
      <c r="AA12" s="65">
        <f t="shared" si="8"/>
        <v>10729638</v>
      </c>
      <c r="AB12" s="65">
        <f t="shared" si="8"/>
        <v>10879778.000000002</v>
      </c>
      <c r="AC12" s="65">
        <f t="shared" si="8"/>
        <v>11207303</v>
      </c>
      <c r="AD12" s="65">
        <f t="shared" si="8"/>
        <v>11298888</v>
      </c>
      <c r="AE12" s="65">
        <f t="shared" si="8"/>
        <v>11321166</v>
      </c>
      <c r="AF12" s="65">
        <f t="shared" ref="AF12:AI12" si="9">SUM(AF6:AF11)</f>
        <v>11362333</v>
      </c>
      <c r="AG12" s="65">
        <f t="shared" si="9"/>
        <v>11295654</v>
      </c>
      <c r="AH12" s="65">
        <f t="shared" si="9"/>
        <v>11418173.000000002</v>
      </c>
      <c r="AI12" s="65">
        <f t="shared" si="9"/>
        <v>11654554.999999998</v>
      </c>
      <c r="AK12" s="74">
        <f t="shared" si="3"/>
        <v>2.9448291810225014E-2</v>
      </c>
    </row>
    <row r="13" spans="2:37" ht="12.75" customHeight="1" x14ac:dyDescent="0.2">
      <c r="B13" s="75" t="s">
        <v>115</v>
      </c>
      <c r="C13" s="76"/>
      <c r="D13" s="76"/>
      <c r="E13" s="76"/>
      <c r="F13" s="77">
        <f>SUM(F12/E12)-1</f>
        <v>0.18279588580040818</v>
      </c>
      <c r="G13" s="77">
        <f t="shared" ref="G13:H13" si="10">SUM(G12/F12)-1</f>
        <v>9.7831725861970753E-2</v>
      </c>
      <c r="H13" s="77">
        <f t="shared" si="10"/>
        <v>7.8833417816936979E-3</v>
      </c>
      <c r="I13" s="16"/>
      <c r="J13" s="76"/>
      <c r="K13" s="76"/>
      <c r="L13" s="76"/>
      <c r="M13" s="76"/>
      <c r="N13" s="77">
        <f>SUM(N12/J12)-1</f>
        <v>0.12292164076830225</v>
      </c>
      <c r="O13" s="77">
        <f t="shared" ref="O13:U13" si="11">SUM(O12/K12)-1</f>
        <v>0.10129932658950613</v>
      </c>
      <c r="P13" s="77">
        <f t="shared" si="11"/>
        <v>6.4195505972524991E-2</v>
      </c>
      <c r="Q13" s="77">
        <f t="shared" si="11"/>
        <v>0.10150233685480825</v>
      </c>
      <c r="R13" s="77">
        <f t="shared" si="11"/>
        <v>3.4766839909302627E-2</v>
      </c>
      <c r="S13" s="77">
        <f t="shared" si="11"/>
        <v>8.8061984126073245E-3</v>
      </c>
      <c r="T13" s="77">
        <f t="shared" si="11"/>
        <v>1.6540019357692559E-2</v>
      </c>
      <c r="U13" s="77">
        <f t="shared" si="11"/>
        <v>-1.8760103964270858E-2</v>
      </c>
      <c r="V13" s="77">
        <f t="shared" ref="V13" si="12">SUM(V12/R12)-1</f>
        <v>4.4947113705533281E-2</v>
      </c>
      <c r="W13" s="77">
        <f t="shared" ref="W13" si="13">SUM(W12/S12)-1</f>
        <v>9.2623017945704822E-2</v>
      </c>
      <c r="X13" s="8"/>
      <c r="Y13" s="76"/>
      <c r="Z13" s="76"/>
      <c r="AA13" s="76"/>
      <c r="AB13" s="76"/>
      <c r="AC13" s="77">
        <f t="shared" ref="AC13" si="14">SUM(AC12/Y12)-1</f>
        <v>9.7831725861970753E-2</v>
      </c>
      <c r="AD13" s="77">
        <f t="shared" ref="AD13" si="15">SUM(AD12/Z12)-1</f>
        <v>7.6398059549152686E-2</v>
      </c>
      <c r="AE13" s="77">
        <f t="shared" ref="AE13" si="16">SUM(AE12/AA12)-1</f>
        <v>5.5130284917347616E-2</v>
      </c>
      <c r="AF13" s="77">
        <f t="shared" ref="AF13" si="17">SUM(AF12/AB12)-1</f>
        <v>4.4353386622410618E-2</v>
      </c>
      <c r="AG13" s="77">
        <f t="shared" ref="AG13" si="18">SUM(AG12/AC12)-1</f>
        <v>7.8833417816936979E-3</v>
      </c>
      <c r="AH13" s="77">
        <f t="shared" ref="AH13" si="19">SUM(AH12/AD12)-1</f>
        <v>1.0557233596792948E-2</v>
      </c>
      <c r="AI13" s="77">
        <f t="shared" ref="AI13" si="20">SUM(AI12/AE12)-1</f>
        <v>2.9448291810225014E-2</v>
      </c>
      <c r="AK13" s="78">
        <f>SUM(AI13-AE13)*10000</f>
        <v>-256.81993107122605</v>
      </c>
    </row>
    <row r="14" spans="2:37" ht="12.75" customHeight="1" x14ac:dyDescent="0.2">
      <c r="B14" s="75" t="s">
        <v>116</v>
      </c>
      <c r="C14" s="77" t="s">
        <v>117</v>
      </c>
      <c r="D14" s="77" t="s">
        <v>117</v>
      </c>
      <c r="E14" s="77" t="s">
        <v>117</v>
      </c>
      <c r="F14" s="77" t="s">
        <v>117</v>
      </c>
      <c r="G14" s="77" t="s">
        <v>117</v>
      </c>
      <c r="H14" s="77" t="s">
        <v>117</v>
      </c>
      <c r="I14" s="16"/>
      <c r="J14" s="76"/>
      <c r="K14" s="77">
        <f>SUM(K12/J12)-1</f>
        <v>-2.0797126562459134E-2</v>
      </c>
      <c r="L14" s="77">
        <f t="shared" ref="L14:U14" si="21">SUM(L12/K12)-1</f>
        <v>1.8144514440517456E-2</v>
      </c>
      <c r="M14" s="77">
        <f t="shared" si="21"/>
        <v>0.37967447311497837</v>
      </c>
      <c r="N14" s="77">
        <f t="shared" si="21"/>
        <v>-0.18362308101623492</v>
      </c>
      <c r="O14" s="77">
        <f t="shared" si="21"/>
        <v>-3.9652077260319274E-2</v>
      </c>
      <c r="P14" s="77">
        <f t="shared" si="21"/>
        <v>-1.6157741552820792E-2</v>
      </c>
      <c r="Q14" s="77">
        <f t="shared" si="21"/>
        <v>0.42804085124027047</v>
      </c>
      <c r="R14" s="77">
        <f t="shared" si="21"/>
        <v>-0.23308400139774454</v>
      </c>
      <c r="S14" s="77">
        <f t="shared" si="21"/>
        <v>-6.3745667403317996E-2</v>
      </c>
      <c r="T14" s="77">
        <f t="shared" si="21"/>
        <v>-8.6153019078111237E-3</v>
      </c>
      <c r="U14" s="77">
        <f t="shared" si="21"/>
        <v>0.37845104936563767</v>
      </c>
      <c r="V14" s="77">
        <f t="shared" ref="V14" si="22">SUM(V12/U12)-1</f>
        <v>-0.18329181025794383</v>
      </c>
      <c r="W14" s="77">
        <f t="shared" ref="W14" si="23">SUM(W12/V12)-1</f>
        <v>-2.1028891291045015E-2</v>
      </c>
      <c r="X14" s="8"/>
      <c r="Y14" s="77" t="s">
        <v>117</v>
      </c>
      <c r="Z14" s="77" t="s">
        <v>117</v>
      </c>
      <c r="AA14" s="77" t="s">
        <v>117</v>
      </c>
      <c r="AB14" s="77" t="s">
        <v>117</v>
      </c>
      <c r="AC14" s="77" t="s">
        <v>117</v>
      </c>
      <c r="AD14" s="77" t="s">
        <v>117</v>
      </c>
      <c r="AE14" s="77" t="s">
        <v>117</v>
      </c>
      <c r="AF14" s="77" t="s">
        <v>117</v>
      </c>
      <c r="AG14" s="77" t="s">
        <v>117</v>
      </c>
      <c r="AH14" s="77" t="s">
        <v>117</v>
      </c>
      <c r="AI14" s="77" t="s">
        <v>117</v>
      </c>
      <c r="AK14" s="71"/>
    </row>
    <row r="15" spans="2:37" ht="5.0999999999999996" customHeight="1" x14ac:dyDescent="0.2">
      <c r="B15" s="79"/>
      <c r="C15" s="80"/>
      <c r="D15" s="80"/>
      <c r="E15" s="80"/>
      <c r="F15" s="80"/>
      <c r="G15" s="80"/>
      <c r="H15" s="80"/>
      <c r="I15" s="81"/>
      <c r="J15" s="82"/>
      <c r="K15" s="82"/>
      <c r="L15" s="82"/>
      <c r="M15" s="83"/>
      <c r="N15" s="82"/>
      <c r="O15" s="82"/>
      <c r="P15" s="82"/>
      <c r="Q15" s="83"/>
      <c r="R15" s="82"/>
      <c r="S15" s="82"/>
      <c r="T15" s="82"/>
      <c r="U15" s="82"/>
      <c r="V15" s="82"/>
      <c r="W15" s="82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K15" s="71"/>
    </row>
    <row r="16" spans="2:37" ht="12.75" customHeight="1" x14ac:dyDescent="0.2">
      <c r="B16" s="84" t="s">
        <v>118</v>
      </c>
      <c r="C16" s="72">
        <f>'Base Financials '!C16</f>
        <v>-4717004</v>
      </c>
      <c r="D16" s="72">
        <f>'Base Financials '!D16</f>
        <v>-4202794</v>
      </c>
      <c r="E16" s="72">
        <f>'Base Financials '!E16</f>
        <v>-5262335</v>
      </c>
      <c r="F16" s="72">
        <f>'Base Financials '!F16</f>
        <v>-6164070</v>
      </c>
      <c r="G16" s="72">
        <f>'Base Financials '!G16</f>
        <v>-6826203</v>
      </c>
      <c r="H16" s="72">
        <f>'Base Financials '!H16</f>
        <v>-6908401</v>
      </c>
      <c r="I16" s="72"/>
      <c r="J16" s="72">
        <f>'Base Financials '!J16</f>
        <v>-1404875</v>
      </c>
      <c r="K16" s="72">
        <f>'Base Financials '!K16</f>
        <v>-1368949</v>
      </c>
      <c r="L16" s="72">
        <f>'Base Financials '!L16</f>
        <v>-1375976</v>
      </c>
      <c r="M16" s="72">
        <f>'Base Financials '!M16</f>
        <v>-2014270</v>
      </c>
      <c r="N16" s="72">
        <f>'Base Financials '!N16</f>
        <v>-1579406</v>
      </c>
      <c r="O16" s="72">
        <f>'Base Financials '!O16</f>
        <v>-1536197</v>
      </c>
      <c r="P16" s="72">
        <f>'Base Financials '!P16</f>
        <v>-1496866</v>
      </c>
      <c r="Q16" s="72">
        <f>'Base Financials '!Q16</f>
        <v>-2213734</v>
      </c>
      <c r="R16" s="72">
        <f>'Base Financials '!R16</f>
        <v>-1656068</v>
      </c>
      <c r="S16" s="72">
        <f>'Base Financials '!S16</f>
        <v>-1573910</v>
      </c>
      <c r="T16" s="72">
        <f>'Base Financials '!T16</f>
        <v>-1524456</v>
      </c>
      <c r="U16" s="72">
        <f>'Base Financials '!U16</f>
        <v>-2153967</v>
      </c>
      <c r="V16" s="72">
        <f>'Base Financials '!V16</f>
        <v>-1734148</v>
      </c>
      <c r="W16" s="72">
        <f>'Base Financials '!W16</f>
        <v>-1696773</v>
      </c>
      <c r="X16" s="8"/>
      <c r="Y16" s="72">
        <f>SUM(J16:M16)</f>
        <v>-6164070</v>
      </c>
      <c r="Z16" s="72">
        <f>SUM(K16:N16)</f>
        <v>-6338601</v>
      </c>
      <c r="AA16" s="72">
        <f>SUM(L16:O16)</f>
        <v>-6505849</v>
      </c>
      <c r="AB16" s="72">
        <f>SUM(M16:P16)</f>
        <v>-6626739</v>
      </c>
      <c r="AC16" s="72">
        <f>SUM(N16:Q16)</f>
        <v>-6826203</v>
      </c>
      <c r="AD16" s="72">
        <f>SUM(O16:R16)</f>
        <v>-6902865</v>
      </c>
      <c r="AE16" s="72">
        <f>SUM(P16:S16)</f>
        <v>-6940578</v>
      </c>
      <c r="AF16" s="72">
        <f>SUM(Q16:T16)</f>
        <v>-6968168</v>
      </c>
      <c r="AG16" s="72">
        <f t="shared" ref="AG16:AI16" si="24">SUM(R16:U16)</f>
        <v>-6908401</v>
      </c>
      <c r="AH16" s="72">
        <f t="shared" si="24"/>
        <v>-6986481</v>
      </c>
      <c r="AI16" s="72">
        <f t="shared" si="24"/>
        <v>-7109344</v>
      </c>
      <c r="AK16" s="73">
        <f t="shared" ref="AK16:AK17" si="25">SUM(AI16/AE16)-1</f>
        <v>2.4315842282876199E-2</v>
      </c>
    </row>
    <row r="17" spans="2:37" ht="12.75" customHeight="1" x14ac:dyDescent="0.2">
      <c r="B17" s="29" t="s">
        <v>9</v>
      </c>
      <c r="C17" s="85">
        <f t="shared" ref="C17:D17" si="26">+C12+C16</f>
        <v>2681064</v>
      </c>
      <c r="D17" s="85">
        <f t="shared" si="26"/>
        <v>1887639.4700000007</v>
      </c>
      <c r="E17" s="85">
        <f>+E12+E16</f>
        <v>3368554</v>
      </c>
      <c r="F17" s="85">
        <f>+F12+F16</f>
        <v>4044510</v>
      </c>
      <c r="G17" s="85">
        <f>+G12+G16</f>
        <v>4381099.9999999981</v>
      </c>
      <c r="H17" s="85">
        <f>+H12+H16</f>
        <v>4387253</v>
      </c>
      <c r="I17" s="8"/>
      <c r="J17" s="85">
        <f>+J12+J16</f>
        <v>941025.99999999953</v>
      </c>
      <c r="K17" s="85">
        <f>+K12+K16</f>
        <v>928164</v>
      </c>
      <c r="L17" s="85">
        <f>+L12+L16</f>
        <v>962817.00000000047</v>
      </c>
      <c r="M17" s="85">
        <f>+M12+M16</f>
        <v>1212503</v>
      </c>
      <c r="N17" s="85">
        <f>+N12+N16</f>
        <v>1054857.0000000005</v>
      </c>
      <c r="O17" s="85">
        <f>+O12+O16</f>
        <v>993612</v>
      </c>
      <c r="P17" s="85">
        <f>+P12+P16</f>
        <v>992067</v>
      </c>
      <c r="Q17" s="85">
        <f>+Q12+Q16</f>
        <v>1340564</v>
      </c>
      <c r="R17" s="85">
        <f>+R12+R16</f>
        <v>1069779.9999999995</v>
      </c>
      <c r="S17" s="85">
        <f>+S12+S16</f>
        <v>978177</v>
      </c>
      <c r="T17" s="85">
        <f>+T12+T16</f>
        <v>1005644</v>
      </c>
      <c r="U17" s="85">
        <f>+U12+U16</f>
        <v>1333652</v>
      </c>
      <c r="V17" s="85">
        <f t="shared" ref="V17:W17" si="27">+V12+V16</f>
        <v>1114219</v>
      </c>
      <c r="W17" s="85">
        <f t="shared" si="27"/>
        <v>1091696</v>
      </c>
      <c r="X17" s="8"/>
      <c r="Y17" s="85">
        <f t="shared" ref="Y17:AE17" si="28">+Y12+Y16</f>
        <v>4044510.0000000019</v>
      </c>
      <c r="Z17" s="85">
        <f t="shared" si="28"/>
        <v>4158340.9999999981</v>
      </c>
      <c r="AA17" s="85">
        <f t="shared" si="28"/>
        <v>4223789</v>
      </c>
      <c r="AB17" s="85">
        <f t="shared" si="28"/>
        <v>4253039.0000000019</v>
      </c>
      <c r="AC17" s="85">
        <f t="shared" si="28"/>
        <v>4381100</v>
      </c>
      <c r="AD17" s="85">
        <f t="shared" si="28"/>
        <v>4396023</v>
      </c>
      <c r="AE17" s="85">
        <f t="shared" si="28"/>
        <v>4380588</v>
      </c>
      <c r="AF17" s="85">
        <f>+AF12+AF16</f>
        <v>4394165</v>
      </c>
      <c r="AG17" s="85">
        <f t="shared" ref="AG17:AI17" si="29">+AG12+AG16</f>
        <v>4387253</v>
      </c>
      <c r="AH17" s="85">
        <f t="shared" si="29"/>
        <v>4431692.0000000019</v>
      </c>
      <c r="AI17" s="85">
        <f t="shared" si="29"/>
        <v>4545210.9999999981</v>
      </c>
      <c r="AK17" s="74">
        <f t="shared" si="25"/>
        <v>3.7580114815636279E-2</v>
      </c>
    </row>
    <row r="18" spans="2:37" ht="12.75" customHeight="1" x14ac:dyDescent="0.2">
      <c r="B18" s="75" t="s">
        <v>119</v>
      </c>
      <c r="C18" s="77">
        <f t="shared" ref="C18:D18" si="30">C17/C12</f>
        <v>0.36240056187642505</v>
      </c>
      <c r="D18" s="77">
        <f t="shared" si="30"/>
        <v>0.30993515967263335</v>
      </c>
      <c r="E18" s="77">
        <f>E17/E12</f>
        <v>0.3902905019401825</v>
      </c>
      <c r="F18" s="77">
        <f>F17/F12</f>
        <v>0.39618732477974411</v>
      </c>
      <c r="G18" s="77">
        <f>G17/G12</f>
        <v>0.39091474550121458</v>
      </c>
      <c r="H18" s="77">
        <f>H17/H12</f>
        <v>0.38840185791809839</v>
      </c>
      <c r="I18" s="86"/>
      <c r="J18" s="77">
        <f>J17/J12</f>
        <v>0.40113627983448563</v>
      </c>
      <c r="K18" s="77">
        <f>K17/K12</f>
        <v>0.40405674426987265</v>
      </c>
      <c r="L18" s="77">
        <f>L17/L12</f>
        <v>0.41167260206439832</v>
      </c>
      <c r="M18" s="77">
        <f>M17/M12</f>
        <v>0.37576334003042666</v>
      </c>
      <c r="N18" s="77">
        <f>N17/N12</f>
        <v>0.40043723804343007</v>
      </c>
      <c r="O18" s="77">
        <f>O17/O12</f>
        <v>0.39276166698750775</v>
      </c>
      <c r="P18" s="77">
        <f>P17/P12</f>
        <v>0.39859128389554882</v>
      </c>
      <c r="Q18" s="77">
        <f>Q17/Q12</f>
        <v>0.37716702426189364</v>
      </c>
      <c r="R18" s="77">
        <f>R17/R12</f>
        <v>0.3924576865621266</v>
      </c>
      <c r="S18" s="77">
        <f>S17/S12</f>
        <v>0.38328513095360778</v>
      </c>
      <c r="T18" s="77">
        <f>T17/T12</f>
        <v>0.39747203667839215</v>
      </c>
      <c r="U18" s="77">
        <f>U17/U12</f>
        <v>0.38239612755865821</v>
      </c>
      <c r="V18" s="77">
        <f t="shared" ref="V18:W18" si="31">V17/V12</f>
        <v>0.39117817331825566</v>
      </c>
      <c r="W18" s="77">
        <f t="shared" si="31"/>
        <v>0.39150372480382606</v>
      </c>
      <c r="X18" s="87"/>
      <c r="Y18" s="77">
        <f t="shared" ref="Y18:AE18" si="32">Y17/Y12</f>
        <v>0.39618732477974422</v>
      </c>
      <c r="Z18" s="77">
        <f t="shared" si="32"/>
        <v>0.3961478495356075</v>
      </c>
      <c r="AA18" s="77">
        <f t="shared" si="32"/>
        <v>0.3936562445070374</v>
      </c>
      <c r="AB18" s="77">
        <f t="shared" si="32"/>
        <v>0.39091229618839657</v>
      </c>
      <c r="AC18" s="77">
        <f t="shared" si="32"/>
        <v>0.39091474550121469</v>
      </c>
      <c r="AD18" s="77">
        <f t="shared" si="32"/>
        <v>0.38906687100535914</v>
      </c>
      <c r="AE18" s="77">
        <f t="shared" si="32"/>
        <v>0.38693788254672706</v>
      </c>
      <c r="AF18" s="77">
        <f>AF17/AF12</f>
        <v>0.3867308764846093</v>
      </c>
      <c r="AG18" s="77">
        <f t="shared" ref="AG18:AI18" si="33">AG17/AG12</f>
        <v>0.38840185791809839</v>
      </c>
      <c r="AH18" s="77">
        <f t="shared" si="33"/>
        <v>0.38812619146688365</v>
      </c>
      <c r="AI18" s="77">
        <f t="shared" si="33"/>
        <v>0.38999438416996607</v>
      </c>
      <c r="AK18" s="78">
        <f>SUM(AI18-AE18)*10000</f>
        <v>30.56501623239005</v>
      </c>
    </row>
    <row r="19" spans="2:37" ht="5.0999999999999996" customHeight="1" x14ac:dyDescent="0.2">
      <c r="B19" s="88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8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K19" s="71"/>
    </row>
    <row r="20" spans="2:37" ht="12.75" customHeight="1" x14ac:dyDescent="0.2">
      <c r="B20" s="84" t="s">
        <v>156</v>
      </c>
      <c r="C20" s="72">
        <f>'Base Financials '!C20</f>
        <v>-1760716</v>
      </c>
      <c r="D20" s="72">
        <f>'Base Financials '!D20</f>
        <v>-1583017</v>
      </c>
      <c r="E20" s="72">
        <f>'Base Financials '!E20</f>
        <v>-2061545</v>
      </c>
      <c r="F20" s="72">
        <f>'Base Financials '!F20</f>
        <v>-2395299</v>
      </c>
      <c r="G20" s="72">
        <f>'Base Financials '!G20</f>
        <v>-2694561</v>
      </c>
      <c r="H20" s="72">
        <f>'Base Financials '!H20</f>
        <v>-2808592</v>
      </c>
      <c r="I20" s="72"/>
      <c r="J20" s="72">
        <f>'Base Financials '!J20</f>
        <v>-500970</v>
      </c>
      <c r="K20" s="72">
        <f>'Base Financials '!K20</f>
        <v>-534459</v>
      </c>
      <c r="L20" s="72">
        <f>'Base Financials '!L20</f>
        <v>-597164</v>
      </c>
      <c r="M20" s="72">
        <f>'Base Financials '!M20</f>
        <v>-428952</v>
      </c>
      <c r="N20" s="72">
        <f>'Base Financials '!N20</f>
        <v>-612129</v>
      </c>
      <c r="O20" s="72">
        <f>'Base Financials '!O20</f>
        <v>-600692</v>
      </c>
      <c r="P20" s="72">
        <f>'Base Financials '!P20</f>
        <v>-661380</v>
      </c>
      <c r="Q20" s="72">
        <f>'Base Financials '!Q20</f>
        <v>-820360</v>
      </c>
      <c r="R20" s="72">
        <f>'Base Financials '!R20</f>
        <v>-665913</v>
      </c>
      <c r="S20" s="72">
        <f>'Base Financials '!S20</f>
        <v>-644821</v>
      </c>
      <c r="T20" s="72">
        <f>'Base Financials '!T20</f>
        <v>-682259</v>
      </c>
      <c r="U20" s="72">
        <f>'Base Financials '!U20</f>
        <v>-815599</v>
      </c>
      <c r="V20" s="72">
        <f>'Base Financials '!V20</f>
        <v>-710613</v>
      </c>
      <c r="W20" s="72">
        <f>'Base Financials '!W20</f>
        <v>-741737</v>
      </c>
      <c r="X20" s="8"/>
      <c r="Y20" s="72">
        <f>SUM(J20:M20)</f>
        <v>-2061545</v>
      </c>
      <c r="Z20" s="72">
        <f>SUM(K20:N20)</f>
        <v>-2172704</v>
      </c>
      <c r="AA20" s="72">
        <f>SUM(L20:O20)</f>
        <v>-2238937</v>
      </c>
      <c r="AB20" s="72">
        <f>SUM(M20:P20)</f>
        <v>-2303153</v>
      </c>
      <c r="AC20" s="72">
        <f>SUM(N20:Q20)</f>
        <v>-2694561</v>
      </c>
      <c r="AD20" s="72">
        <f>SUM(O20:R20)</f>
        <v>-2748345</v>
      </c>
      <c r="AE20" s="72">
        <f>SUM(P20:S20)</f>
        <v>-2792474</v>
      </c>
      <c r="AF20" s="72">
        <f>SUM(Q20:T20)</f>
        <v>-2813353</v>
      </c>
      <c r="AG20" s="72">
        <f t="shared" ref="AG20:AI22" si="34">SUM(R20:U20)</f>
        <v>-2808592</v>
      </c>
      <c r="AH20" s="72">
        <f t="shared" si="34"/>
        <v>-2853292</v>
      </c>
      <c r="AI20" s="72">
        <f t="shared" si="34"/>
        <v>-2950208</v>
      </c>
      <c r="AK20" s="73">
        <f t="shared" ref="AK20:AK27" si="35">SUM(AI20/AE20)-1</f>
        <v>5.6485396103956642E-2</v>
      </c>
    </row>
    <row r="21" spans="2:37" ht="12.75" customHeight="1" x14ac:dyDescent="0.2">
      <c r="B21" s="84" t="s">
        <v>157</v>
      </c>
      <c r="C21" s="72">
        <f>'Base Financials '!C21</f>
        <v>-19254</v>
      </c>
      <c r="D21" s="72">
        <f>'Base Financials '!D21</f>
        <v>-15000</v>
      </c>
      <c r="E21" s="72">
        <f>'Base Financials '!E21</f>
        <v>-9517</v>
      </c>
      <c r="F21" s="72">
        <f>'Base Financials '!F21</f>
        <v>-10601</v>
      </c>
      <c r="G21" s="72">
        <f>'Base Financials '!G21</f>
        <v>-8510</v>
      </c>
      <c r="H21" s="72">
        <f>'Base Financials '!H21</f>
        <v>-13689</v>
      </c>
      <c r="I21" s="72"/>
      <c r="J21" s="72">
        <f>'Base Financials '!J21</f>
        <v>-2348</v>
      </c>
      <c r="K21" s="72">
        <f>'Base Financials '!K21</f>
        <v>-2277</v>
      </c>
      <c r="L21" s="72">
        <f>'Base Financials '!L21</f>
        <v>-3797</v>
      </c>
      <c r="M21" s="72">
        <f>'Base Financials '!M21</f>
        <v>-1095</v>
      </c>
      <c r="N21" s="72">
        <f>'Base Financials '!N21</f>
        <v>-658</v>
      </c>
      <c r="O21" s="72">
        <f>'Base Financials '!O21</f>
        <v>-1278</v>
      </c>
      <c r="P21" s="72">
        <f>'Base Financials '!P21</f>
        <v>-3460</v>
      </c>
      <c r="Q21" s="72">
        <f>'Base Financials '!Q21</f>
        <v>-3114</v>
      </c>
      <c r="R21" s="72">
        <f>'Base Financials '!R21</f>
        <v>-2919</v>
      </c>
      <c r="S21" s="72">
        <f>'Base Financials '!S21</f>
        <v>-4155</v>
      </c>
      <c r="T21" s="72">
        <f>'Base Financials '!T21</f>
        <v>-4883</v>
      </c>
      <c r="U21" s="72">
        <f>'Base Financials '!U21</f>
        <v>-1732</v>
      </c>
      <c r="V21" s="72">
        <f>'Base Financials '!V21</f>
        <v>-1829</v>
      </c>
      <c r="W21" s="72">
        <f>'Base Financials '!W21</f>
        <v>-5105</v>
      </c>
      <c r="X21" s="8"/>
      <c r="Y21" s="72">
        <f>SUM(J21:M21)</f>
        <v>-9517</v>
      </c>
      <c r="Z21" s="72">
        <f>SUM(K21:N21)</f>
        <v>-7827</v>
      </c>
      <c r="AA21" s="72">
        <f>SUM(L21:O21)</f>
        <v>-6828</v>
      </c>
      <c r="AB21" s="72">
        <f>SUM(M21:P21)</f>
        <v>-6491</v>
      </c>
      <c r="AC21" s="72">
        <f>SUM(N21:Q21)</f>
        <v>-8510</v>
      </c>
      <c r="AD21" s="72">
        <f>SUM(O21:R21)</f>
        <v>-10771</v>
      </c>
      <c r="AE21" s="72">
        <f>SUM(P21:S21)</f>
        <v>-13648</v>
      </c>
      <c r="AF21" s="72">
        <f>SUM(Q21:T21)</f>
        <v>-15071</v>
      </c>
      <c r="AG21" s="72">
        <f t="shared" si="34"/>
        <v>-13689</v>
      </c>
      <c r="AH21" s="72">
        <f t="shared" si="34"/>
        <v>-12599</v>
      </c>
      <c r="AI21" s="72">
        <f t="shared" si="34"/>
        <v>-13549</v>
      </c>
      <c r="AK21" s="73">
        <f t="shared" si="35"/>
        <v>-7.2538100820632723E-3</v>
      </c>
    </row>
    <row r="22" spans="2:37" ht="12.75" customHeight="1" x14ac:dyDescent="0.2">
      <c r="B22" s="84" t="s">
        <v>158</v>
      </c>
      <c r="C22" s="72">
        <f>'Base Financials '!C22</f>
        <v>0</v>
      </c>
      <c r="D22" s="72">
        <f>'Base Financials '!D22</f>
        <v>-114322</v>
      </c>
      <c r="E22" s="72">
        <f>'Base Financials '!E22</f>
        <v>0</v>
      </c>
      <c r="F22" s="72">
        <f>'Base Financials '!F22</f>
        <v>0</v>
      </c>
      <c r="G22" s="72">
        <f>'Base Financials '!G22</f>
        <v>0</v>
      </c>
      <c r="H22" s="72">
        <f>'Base Financials '!H22</f>
        <v>0</v>
      </c>
      <c r="I22" s="72"/>
      <c r="J22" s="72">
        <f>'Base Financials '!J22</f>
        <v>0</v>
      </c>
      <c r="K22" s="72">
        <f>'Base Financials '!K22</f>
        <v>0</v>
      </c>
      <c r="L22" s="72">
        <f>'Base Financials '!L22</f>
        <v>0</v>
      </c>
      <c r="M22" s="72">
        <f>'Base Financials '!M22</f>
        <v>0</v>
      </c>
      <c r="N22" s="72">
        <f>'Base Financials '!N22</f>
        <v>0</v>
      </c>
      <c r="O22" s="72">
        <f>'Base Financials '!O22</f>
        <v>0</v>
      </c>
      <c r="P22" s="72">
        <f>'Base Financials '!P22</f>
        <v>0</v>
      </c>
      <c r="Q22" s="72">
        <f>'Base Financials '!Q22</f>
        <v>0</v>
      </c>
      <c r="R22" s="72">
        <f>'Base Financials '!R22</f>
        <v>0</v>
      </c>
      <c r="S22" s="72">
        <f>'Base Financials '!S22</f>
        <v>0</v>
      </c>
      <c r="T22" s="72">
        <f>'Base Financials '!T22</f>
        <v>0</v>
      </c>
      <c r="U22" s="72">
        <f>'Base Financials '!U22</f>
        <v>0</v>
      </c>
      <c r="V22" s="72">
        <f>'Base Financials '!V22</f>
        <v>0</v>
      </c>
      <c r="W22" s="72">
        <f>'Base Financials '!W22</f>
        <v>0</v>
      </c>
      <c r="X22" s="8"/>
      <c r="Y22" s="72">
        <f>SUM(J22:M22)</f>
        <v>0</v>
      </c>
      <c r="Z22" s="72">
        <f>SUM(K22:N22)</f>
        <v>0</v>
      </c>
      <c r="AA22" s="72">
        <f>SUM(L22:O22)</f>
        <v>0</v>
      </c>
      <c r="AB22" s="72">
        <f>SUM(M22:P22)</f>
        <v>0</v>
      </c>
      <c r="AC22" s="72">
        <f>SUM(N22:Q22)</f>
        <v>0</v>
      </c>
      <c r="AD22" s="72">
        <f>SUM(O22:R22)</f>
        <v>0</v>
      </c>
      <c r="AE22" s="72">
        <f>SUM(P22:S22)</f>
        <v>0</v>
      </c>
      <c r="AF22" s="72">
        <f>SUM(Q22:T22)</f>
        <v>0</v>
      </c>
      <c r="AG22" s="72">
        <f t="shared" si="34"/>
        <v>0</v>
      </c>
      <c r="AH22" s="72">
        <f t="shared" si="34"/>
        <v>0</v>
      </c>
      <c r="AI22" s="72">
        <f t="shared" si="34"/>
        <v>0</v>
      </c>
      <c r="AK22" s="73" t="e">
        <f t="shared" si="35"/>
        <v>#DIV/0!</v>
      </c>
    </row>
    <row r="23" spans="2:37" ht="12.75" customHeight="1" x14ac:dyDescent="0.2">
      <c r="B23" s="64" t="s">
        <v>120</v>
      </c>
      <c r="C23" s="65">
        <f t="shared" ref="C23:D23" si="36">SUM(C17+SUM(C20:C22))</f>
        <v>901094</v>
      </c>
      <c r="D23" s="65">
        <f t="shared" si="36"/>
        <v>175300.47000000067</v>
      </c>
      <c r="E23" s="65">
        <f>SUM(E17+SUM(E20:E22))</f>
        <v>1297492</v>
      </c>
      <c r="F23" s="65">
        <f>SUM(F17+SUM(F20:F22))</f>
        <v>1638610</v>
      </c>
      <c r="G23" s="65">
        <f>SUM(G17+SUM(G20:G22))</f>
        <v>1678028.9999999981</v>
      </c>
      <c r="H23" s="65">
        <f>SUM(H17+SUM(H20:H22))</f>
        <v>1564972</v>
      </c>
      <c r="I23" s="16"/>
      <c r="J23" s="65">
        <f>SUM(J17+SUM(J20:J22))</f>
        <v>437707.99999999953</v>
      </c>
      <c r="K23" s="65">
        <f>SUM(K17+SUM(K20:K22))</f>
        <v>391428</v>
      </c>
      <c r="L23" s="65">
        <f>SUM(L17+SUM(L20:L22))</f>
        <v>361856.00000000047</v>
      </c>
      <c r="M23" s="65">
        <f>SUM(M17+SUM(M20:M22))</f>
        <v>782456</v>
      </c>
      <c r="N23" s="65">
        <f>SUM(N17+SUM(N20:N22))</f>
        <v>442070.00000000047</v>
      </c>
      <c r="O23" s="65">
        <f>SUM(O17+SUM(O20:O22))</f>
        <v>391642</v>
      </c>
      <c r="P23" s="65">
        <f>SUM(P17+SUM(P20:P22))</f>
        <v>327227</v>
      </c>
      <c r="Q23" s="65">
        <f>SUM(Q17+SUM(Q20:Q22))</f>
        <v>517090</v>
      </c>
      <c r="R23" s="65">
        <f>SUM(R17+SUM(R20:R22))</f>
        <v>400947.99999999953</v>
      </c>
      <c r="S23" s="65">
        <f>SUM(S17+SUM(S20:S22))</f>
        <v>329201</v>
      </c>
      <c r="T23" s="65">
        <f>SUM(T17+SUM(T20:T22))</f>
        <v>318502</v>
      </c>
      <c r="U23" s="65">
        <f>SUM(U17+SUM(U20:U22))</f>
        <v>516321</v>
      </c>
      <c r="V23" s="65">
        <f t="shared" ref="V23:W23" si="37">SUM(V17+SUM(V20:V22))</f>
        <v>401777</v>
      </c>
      <c r="W23" s="65">
        <f t="shared" si="37"/>
        <v>344854</v>
      </c>
      <c r="X23" s="8"/>
      <c r="Y23" s="65">
        <f t="shared" ref="Y23:AE23" si="38">SUM(Y17+SUM(Y20:Y22))</f>
        <v>1973448.0000000019</v>
      </c>
      <c r="Z23" s="65">
        <f t="shared" si="38"/>
        <v>1977809.9999999981</v>
      </c>
      <c r="AA23" s="65">
        <f t="shared" si="38"/>
        <v>1978024</v>
      </c>
      <c r="AB23" s="65">
        <f t="shared" si="38"/>
        <v>1943395.0000000019</v>
      </c>
      <c r="AC23" s="65">
        <f t="shared" si="38"/>
        <v>1678029</v>
      </c>
      <c r="AD23" s="65">
        <f t="shared" si="38"/>
        <v>1636907</v>
      </c>
      <c r="AE23" s="65">
        <f t="shared" si="38"/>
        <v>1574466</v>
      </c>
      <c r="AF23" s="65">
        <f>SUM(AF17+SUM(AF20:AF22))</f>
        <v>1565741</v>
      </c>
      <c r="AG23" s="65">
        <f t="shared" ref="AG23:AI23" si="39">SUM(AG17+SUM(AG20:AG22))</f>
        <v>1564972</v>
      </c>
      <c r="AH23" s="65">
        <f t="shared" si="39"/>
        <v>1565801.0000000019</v>
      </c>
      <c r="AI23" s="65">
        <f t="shared" si="39"/>
        <v>1581453.9999999981</v>
      </c>
      <c r="AK23" s="74">
        <f t="shared" si="35"/>
        <v>4.4383302021118176E-3</v>
      </c>
    </row>
    <row r="24" spans="2:37" ht="12.75" customHeight="1" x14ac:dyDescent="0.2">
      <c r="B24" s="75" t="s">
        <v>121</v>
      </c>
      <c r="C24" s="77">
        <f t="shared" ref="C24:D24" si="40">C23/C12</f>
        <v>0.12180125946395734</v>
      </c>
      <c r="D24" s="77">
        <f t="shared" si="40"/>
        <v>2.8782921751544992E-2</v>
      </c>
      <c r="E24" s="77">
        <f>E23/E12</f>
        <v>0.15033121153568305</v>
      </c>
      <c r="F24" s="77">
        <f>F23/F12</f>
        <v>0.16051301944050986</v>
      </c>
      <c r="G24" s="77">
        <f>G23/G12</f>
        <v>0.14972638823095963</v>
      </c>
      <c r="H24" s="77">
        <f>H23/H12</f>
        <v>0.13854638252906826</v>
      </c>
      <c r="I24" s="86"/>
      <c r="J24" s="77">
        <f>J23/J12</f>
        <v>0.18658417384194798</v>
      </c>
      <c r="K24" s="77">
        <f>K23/K12</f>
        <v>0.17039997596983691</v>
      </c>
      <c r="L24" s="77">
        <f>L23/L12</f>
        <v>0.15471912221389425</v>
      </c>
      <c r="M24" s="77">
        <f>M23/M12</f>
        <v>0.24248870310988718</v>
      </c>
      <c r="N24" s="77">
        <f>N23/N12</f>
        <v>0.16781543832183818</v>
      </c>
      <c r="O24" s="77">
        <f>O23/O12</f>
        <v>0.15481089679102256</v>
      </c>
      <c r="P24" s="77">
        <f>P23/P12</f>
        <v>0.1314728038078968</v>
      </c>
      <c r="Q24" s="77">
        <f>Q23/Q12</f>
        <v>0.14548301802493768</v>
      </c>
      <c r="R24" s="77">
        <f>R23/R12</f>
        <v>0.14709110706099518</v>
      </c>
      <c r="S24" s="77">
        <f>S23/S12</f>
        <v>0.12899285956944256</v>
      </c>
      <c r="T24" s="77">
        <f>T23/T12</f>
        <v>0.12588514287972807</v>
      </c>
      <c r="U24" s="77">
        <f>U23/U12</f>
        <v>0.14804398072151803</v>
      </c>
      <c r="V24" s="77">
        <f t="shared" ref="V24:W24" si="41">V23/V12</f>
        <v>0.14105520812451486</v>
      </c>
      <c r="W24" s="77">
        <f t="shared" si="41"/>
        <v>0.12367144838260709</v>
      </c>
      <c r="X24" s="87"/>
      <c r="Y24" s="77">
        <f t="shared" ref="Y24:AE24" si="42">Y23/Y12</f>
        <v>0.19331268403636956</v>
      </c>
      <c r="Z24" s="77">
        <f t="shared" si="42"/>
        <v>0.18841773156410682</v>
      </c>
      <c r="AA24" s="77">
        <f t="shared" si="42"/>
        <v>0.18435141987082881</v>
      </c>
      <c r="AB24" s="77">
        <f t="shared" si="42"/>
        <v>0.17862450869861513</v>
      </c>
      <c r="AC24" s="77">
        <f t="shared" si="42"/>
        <v>0.14972638823095977</v>
      </c>
      <c r="AD24" s="77">
        <f t="shared" si="42"/>
        <v>0.14487328310538169</v>
      </c>
      <c r="AE24" s="77">
        <f t="shared" si="42"/>
        <v>0.13907277748599392</v>
      </c>
      <c r="AF24" s="77">
        <f>AF23/AF12</f>
        <v>0.13780101322501287</v>
      </c>
      <c r="AG24" s="77">
        <f t="shared" ref="AG24:AI24" si="43">AG23/AG12</f>
        <v>0.13854638252906826</v>
      </c>
      <c r="AH24" s="77">
        <f t="shared" si="43"/>
        <v>0.13713235909107363</v>
      </c>
      <c r="AI24" s="77">
        <f t="shared" si="43"/>
        <v>0.13569406982934984</v>
      </c>
      <c r="AK24" s="78">
        <f>SUM(AI24-AE24)*10000</f>
        <v>-33.78707656644081</v>
      </c>
    </row>
    <row r="25" spans="2:37" ht="5.0999999999999996" customHeight="1" x14ac:dyDescent="0.2">
      <c r="AK25" s="71"/>
    </row>
    <row r="26" spans="2:37" ht="12.75" customHeight="1" x14ac:dyDescent="0.2">
      <c r="B26" s="89" t="s">
        <v>122</v>
      </c>
      <c r="C26" s="72">
        <f>'Base Financials '!C76</f>
        <v>295599</v>
      </c>
      <c r="D26" s="72">
        <f>'Base Financials '!D76</f>
        <v>297772</v>
      </c>
      <c r="E26" s="72">
        <f>'Base Financials '!E76</f>
        <v>268460</v>
      </c>
      <c r="F26" s="72">
        <f>'Base Financials '!F76</f>
        <v>241372</v>
      </c>
      <c r="G26" s="72">
        <f>'Base Financials '!G76</f>
        <v>243840</v>
      </c>
      <c r="H26" s="72">
        <f>'Base Financials '!H76</f>
        <v>267042</v>
      </c>
      <c r="J26" s="72">
        <f>'Base Financials '!J76</f>
        <v>62839</v>
      </c>
      <c r="K26" s="72">
        <f>'Base Financials '!K76</f>
        <v>60882</v>
      </c>
      <c r="L26" s="72">
        <f>'Base Financials '!L76</f>
        <v>58461</v>
      </c>
      <c r="M26" s="72">
        <f>'Base Financials '!M76</f>
        <v>59190</v>
      </c>
      <c r="N26" s="72">
        <f>'Base Financials '!N76</f>
        <v>57949</v>
      </c>
      <c r="O26" s="72">
        <f>'Base Financials '!O76</f>
        <v>61913</v>
      </c>
      <c r="P26" s="72">
        <f>'Base Financials '!P76</f>
        <v>61411</v>
      </c>
      <c r="Q26" s="72">
        <f>'Base Financials '!Q76</f>
        <v>62567</v>
      </c>
      <c r="R26" s="72">
        <f>'Base Financials '!R76</f>
        <v>64739</v>
      </c>
      <c r="S26" s="72">
        <f>'Base Financials '!S76</f>
        <v>65314</v>
      </c>
      <c r="T26" s="72">
        <f>'Base Financials '!T76</f>
        <v>67022</v>
      </c>
      <c r="U26" s="72">
        <f>'Base Financials '!U76</f>
        <v>69967</v>
      </c>
      <c r="V26" s="72">
        <f>'Base Financials '!V76</f>
        <v>72033</v>
      </c>
      <c r="W26" s="72">
        <f>'Base Financials '!W76</f>
        <v>71165</v>
      </c>
      <c r="Y26" s="72">
        <f>SUM(J26:M26)</f>
        <v>241372</v>
      </c>
      <c r="Z26" s="72">
        <f>SUM(K26:N26)</f>
        <v>236482</v>
      </c>
      <c r="AA26" s="72">
        <f>SUM(L26:O26)</f>
        <v>237513</v>
      </c>
      <c r="AB26" s="72">
        <f>SUM(M26:P26)</f>
        <v>240463</v>
      </c>
      <c r="AC26" s="72">
        <f>SUM(N26:Q26)</f>
        <v>243840</v>
      </c>
      <c r="AD26" s="72">
        <f>SUM(O26:R26)</f>
        <v>250630</v>
      </c>
      <c r="AE26" s="72">
        <f>SUM(P26:S26)</f>
        <v>254031</v>
      </c>
      <c r="AF26" s="72">
        <f>SUM(Q26:T26)</f>
        <v>259642</v>
      </c>
      <c r="AG26" s="72">
        <f t="shared" ref="AG26:AI26" si="44">SUM(R26:U26)</f>
        <v>267042</v>
      </c>
      <c r="AH26" s="72">
        <f t="shared" si="44"/>
        <v>274336</v>
      </c>
      <c r="AI26" s="72">
        <f t="shared" si="44"/>
        <v>280187</v>
      </c>
      <c r="AK26" s="73">
        <f t="shared" si="35"/>
        <v>0.10296381150332046</v>
      </c>
    </row>
    <row r="27" spans="2:37" ht="12.75" customHeight="1" x14ac:dyDescent="0.2">
      <c r="B27" s="29" t="s">
        <v>20</v>
      </c>
      <c r="C27" s="85">
        <f t="shared" ref="C27:D27" si="45">SUM(C23+C26)</f>
        <v>1196693</v>
      </c>
      <c r="D27" s="85">
        <f t="shared" si="45"/>
        <v>473072.47000000067</v>
      </c>
      <c r="E27" s="85">
        <f t="shared" ref="E27:F27" si="46">SUM(E23+E26)</f>
        <v>1565952</v>
      </c>
      <c r="F27" s="85">
        <f t="shared" si="46"/>
        <v>1879982</v>
      </c>
      <c r="G27" s="85">
        <f>SUM(G23+G26)</f>
        <v>1921868.9999999981</v>
      </c>
      <c r="H27" s="85">
        <f>SUM(H23+H26)</f>
        <v>1832014</v>
      </c>
      <c r="J27" s="85">
        <f t="shared" ref="J27:AF27" si="47">SUM(J23+J26)</f>
        <v>500546.99999999953</v>
      </c>
      <c r="K27" s="85">
        <f t="shared" si="47"/>
        <v>452310</v>
      </c>
      <c r="L27" s="85">
        <f t="shared" si="47"/>
        <v>420317.00000000047</v>
      </c>
      <c r="M27" s="85">
        <f t="shared" si="47"/>
        <v>841646</v>
      </c>
      <c r="N27" s="85">
        <f t="shared" si="47"/>
        <v>500019.00000000047</v>
      </c>
      <c r="O27" s="85">
        <f t="shared" si="47"/>
        <v>453555</v>
      </c>
      <c r="P27" s="85">
        <f t="shared" si="47"/>
        <v>388638</v>
      </c>
      <c r="Q27" s="85">
        <f t="shared" si="47"/>
        <v>579657</v>
      </c>
      <c r="R27" s="85">
        <f t="shared" si="47"/>
        <v>465686.99999999953</v>
      </c>
      <c r="S27" s="85">
        <f t="shared" si="47"/>
        <v>394515</v>
      </c>
      <c r="T27" s="85">
        <f>SUM(T23+T26)</f>
        <v>385524</v>
      </c>
      <c r="U27" s="85">
        <f>SUM(U23+U26)</f>
        <v>586288</v>
      </c>
      <c r="V27" s="85">
        <f t="shared" ref="V27:W27" si="48">SUM(V23+V26)</f>
        <v>473810</v>
      </c>
      <c r="W27" s="85">
        <f t="shared" si="48"/>
        <v>416019</v>
      </c>
      <c r="Y27" s="85">
        <f t="shared" ref="Y27:AE27" si="49">SUM(Y23+Y26)</f>
        <v>2214820.0000000019</v>
      </c>
      <c r="Z27" s="85">
        <f t="shared" si="49"/>
        <v>2214291.9999999981</v>
      </c>
      <c r="AA27" s="85">
        <f t="shared" si="49"/>
        <v>2215537</v>
      </c>
      <c r="AB27" s="85">
        <f t="shared" si="49"/>
        <v>2183858.0000000019</v>
      </c>
      <c r="AC27" s="85">
        <f t="shared" si="49"/>
        <v>1921869</v>
      </c>
      <c r="AD27" s="85">
        <f t="shared" si="49"/>
        <v>1887537</v>
      </c>
      <c r="AE27" s="85">
        <f t="shared" si="49"/>
        <v>1828497</v>
      </c>
      <c r="AF27" s="85">
        <f t="shared" si="47"/>
        <v>1825383</v>
      </c>
      <c r="AG27" s="85">
        <f t="shared" ref="AG27:AI27" si="50">SUM(AG23+AG26)</f>
        <v>1832014</v>
      </c>
      <c r="AH27" s="85">
        <f t="shared" si="50"/>
        <v>1840137.0000000019</v>
      </c>
      <c r="AI27" s="85">
        <f t="shared" si="50"/>
        <v>1861640.9999999981</v>
      </c>
      <c r="AK27" s="74">
        <f t="shared" si="35"/>
        <v>1.8126362799609774E-2</v>
      </c>
    </row>
    <row r="28" spans="2:37" ht="12.75" customHeight="1" x14ac:dyDescent="0.2">
      <c r="B28" s="75" t="s">
        <v>123</v>
      </c>
      <c r="C28" s="77">
        <f t="shared" ref="C28:D28" si="51">C27/C12</f>
        <v>0.16175750209378989</v>
      </c>
      <c r="D28" s="77">
        <f t="shared" si="51"/>
        <v>7.7674679861497717E-2</v>
      </c>
      <c r="E28" s="77">
        <f>E27/E12</f>
        <v>0.18143577098488928</v>
      </c>
      <c r="F28" s="77">
        <f>F27/F12</f>
        <v>0.18415705220510589</v>
      </c>
      <c r="G28" s="77">
        <f>G27/G12</f>
        <v>0.17148362991524352</v>
      </c>
      <c r="H28" s="77">
        <f>H27/H12</f>
        <v>0.16218751034689979</v>
      </c>
      <c r="J28" s="77">
        <f>J27/J12</f>
        <v>0.21337089672582074</v>
      </c>
      <c r="K28" s="77">
        <f>K27/K12</f>
        <v>0.19690367866099753</v>
      </c>
      <c r="L28" s="77">
        <f>L27/L12</f>
        <v>0.17971534890005245</v>
      </c>
      <c r="M28" s="77">
        <f>M27/M12</f>
        <v>0.26083210687581682</v>
      </c>
      <c r="N28" s="77">
        <f>N27/N12</f>
        <v>0.18981362149489264</v>
      </c>
      <c r="O28" s="77">
        <f>O27/O12</f>
        <v>0.1792842858887766</v>
      </c>
      <c r="P28" s="77">
        <f>P27/P12</f>
        <v>0.15614642901195011</v>
      </c>
      <c r="Q28" s="77">
        <f>Q27/Q12</f>
        <v>0.16308621280489144</v>
      </c>
      <c r="R28" s="77">
        <f>R27/R12</f>
        <v>0.17084114741540968</v>
      </c>
      <c r="S28" s="77">
        <f>S27/S12</f>
        <v>0.15458524728976716</v>
      </c>
      <c r="T28" s="77">
        <f>T27/T12</f>
        <v>0.15237500494051617</v>
      </c>
      <c r="U28" s="77">
        <f>U27/U12</f>
        <v>0.16810551840668375</v>
      </c>
      <c r="V28" s="77">
        <f t="shared" ref="V28:W28" si="52">V27/V12</f>
        <v>0.16634443525009243</v>
      </c>
      <c r="W28" s="77">
        <f t="shared" si="52"/>
        <v>0.14919262147077841</v>
      </c>
      <c r="Y28" s="77">
        <f t="shared" ref="Y28:AE28" si="53">Y27/Y12</f>
        <v>0.21695671680096559</v>
      </c>
      <c r="Z28" s="77">
        <f t="shared" si="53"/>
        <v>0.21094638800519222</v>
      </c>
      <c r="AA28" s="77">
        <f t="shared" si="53"/>
        <v>0.20648758140768589</v>
      </c>
      <c r="AB28" s="77">
        <f t="shared" si="53"/>
        <v>0.20072633834991868</v>
      </c>
      <c r="AC28" s="77">
        <f t="shared" si="53"/>
        <v>0.17148362991524366</v>
      </c>
      <c r="AD28" s="77">
        <f t="shared" si="53"/>
        <v>0.16705511197208078</v>
      </c>
      <c r="AE28" s="77">
        <f t="shared" si="53"/>
        <v>0.16151136729202628</v>
      </c>
      <c r="AF28" s="77">
        <f>AF27/AF12</f>
        <v>0.16065213015672045</v>
      </c>
      <c r="AG28" s="77">
        <f t="shared" ref="AG28:AI28" si="54">AG27/AG12</f>
        <v>0.16218751034689979</v>
      </c>
      <c r="AH28" s="77">
        <f t="shared" si="54"/>
        <v>0.16115861968460291</v>
      </c>
      <c r="AI28" s="77">
        <f t="shared" si="54"/>
        <v>0.15973505637924387</v>
      </c>
      <c r="AK28" s="78">
        <f>SUM(AI28-AE28)*10000</f>
        <v>-17.763109127824084</v>
      </c>
    </row>
    <row r="29" spans="2:37" ht="5.0999999999999996" customHeight="1" x14ac:dyDescent="0.2">
      <c r="AK29" s="71"/>
    </row>
    <row r="30" spans="2:37" ht="12.75" customHeight="1" x14ac:dyDescent="0.2">
      <c r="B30" s="89" t="s">
        <v>124</v>
      </c>
      <c r="C30" s="72">
        <f>'Base Financials '!C79</f>
        <v>25045</v>
      </c>
      <c r="D30" s="72">
        <f>'Base Financials '!D79</f>
        <v>27583</v>
      </c>
      <c r="E30" s="72">
        <f>'Base Financials '!E79</f>
        <v>47259</v>
      </c>
      <c r="F30" s="72">
        <f>'Base Financials '!F79</f>
        <v>43044</v>
      </c>
      <c r="G30" s="72">
        <f>'Base Financials '!G79</f>
        <v>48246</v>
      </c>
      <c r="H30" s="72">
        <f>'Base Financials '!H79</f>
        <v>42787</v>
      </c>
      <c r="J30" s="72">
        <f>'Base Financials '!J79</f>
        <v>10356</v>
      </c>
      <c r="K30" s="72">
        <f>'Base Financials '!K79</f>
        <v>12519</v>
      </c>
      <c r="L30" s="72">
        <f>'Base Financials '!L79</f>
        <v>9679</v>
      </c>
      <c r="M30" s="72">
        <f>'Base Financials '!M79</f>
        <v>10490</v>
      </c>
      <c r="N30" s="72">
        <f>'Base Financials '!N79</f>
        <v>9721</v>
      </c>
      <c r="O30" s="72">
        <f>'Base Financials '!O79</f>
        <v>11818</v>
      </c>
      <c r="P30" s="72">
        <f>'Base Financials '!P79</f>
        <v>11938</v>
      </c>
      <c r="Q30" s="72">
        <f>'Base Financials '!Q79</f>
        <v>14769</v>
      </c>
      <c r="R30" s="72">
        <f>'Base Financials '!R79</f>
        <v>10082</v>
      </c>
      <c r="S30" s="72">
        <f>'Base Financials '!S79</f>
        <v>9190</v>
      </c>
      <c r="T30" s="72">
        <f>'Base Financials '!T79</f>
        <v>8419</v>
      </c>
      <c r="U30" s="72">
        <f>'Base Financials '!U79</f>
        <v>15096</v>
      </c>
      <c r="V30" s="72">
        <f>'Base Financials '!V79</f>
        <v>11418</v>
      </c>
      <c r="W30" s="72">
        <f>'Base Financials '!W79</f>
        <v>8920</v>
      </c>
      <c r="Y30" s="72">
        <f>SUM(J30:M30)</f>
        <v>43044</v>
      </c>
      <c r="Z30" s="72">
        <f>SUM(K30:N30)</f>
        <v>42409</v>
      </c>
      <c r="AA30" s="72">
        <f>SUM(L30:O30)</f>
        <v>41708</v>
      </c>
      <c r="AB30" s="72">
        <f>SUM(M30:P30)</f>
        <v>43967</v>
      </c>
      <c r="AC30" s="72">
        <f>SUM(N30:Q30)</f>
        <v>48246</v>
      </c>
      <c r="AD30" s="72">
        <f>SUM(O30:R30)</f>
        <v>48607</v>
      </c>
      <c r="AE30" s="72">
        <f>SUM(P30:S30)</f>
        <v>45979</v>
      </c>
      <c r="AF30" s="72">
        <f>SUM(Q30:T30)</f>
        <v>42460</v>
      </c>
      <c r="AG30" s="72">
        <f t="shared" ref="AG30:AI31" si="55">SUM(R30:U30)</f>
        <v>42787</v>
      </c>
      <c r="AH30" s="72">
        <f t="shared" si="55"/>
        <v>44123</v>
      </c>
      <c r="AI30" s="72">
        <f t="shared" si="55"/>
        <v>43853</v>
      </c>
      <c r="AK30" s="73">
        <f t="shared" ref="AK30:AK40" si="56">SUM(AI30/AE30)-1</f>
        <v>-4.6238500184866971E-2</v>
      </c>
    </row>
    <row r="31" spans="2:37" ht="12.75" customHeight="1" x14ac:dyDescent="0.2">
      <c r="B31" s="84" t="s">
        <v>159</v>
      </c>
      <c r="C31" s="72">
        <f t="shared" ref="C31:D31" si="57">-C22</f>
        <v>0</v>
      </c>
      <c r="D31" s="72">
        <f t="shared" si="57"/>
        <v>114322</v>
      </c>
      <c r="E31" s="72">
        <f>-E22</f>
        <v>0</v>
      </c>
      <c r="F31" s="72">
        <f t="shared" ref="F31:G31" si="58">-F22</f>
        <v>0</v>
      </c>
      <c r="G31" s="72">
        <f t="shared" si="58"/>
        <v>0</v>
      </c>
      <c r="H31" s="72">
        <f t="shared" ref="H31" si="59">-H22</f>
        <v>0</v>
      </c>
      <c r="J31" s="72">
        <f t="shared" ref="J31:T31" si="60">-J22</f>
        <v>0</v>
      </c>
      <c r="K31" s="72">
        <f t="shared" si="60"/>
        <v>0</v>
      </c>
      <c r="L31" s="72">
        <f t="shared" si="60"/>
        <v>0</v>
      </c>
      <c r="M31" s="72">
        <f t="shared" si="60"/>
        <v>0</v>
      </c>
      <c r="N31" s="72">
        <f t="shared" si="60"/>
        <v>0</v>
      </c>
      <c r="O31" s="72">
        <f t="shared" si="60"/>
        <v>0</v>
      </c>
      <c r="P31" s="72">
        <f t="shared" si="60"/>
        <v>0</v>
      </c>
      <c r="Q31" s="72">
        <f t="shared" si="60"/>
        <v>0</v>
      </c>
      <c r="R31" s="72">
        <f t="shared" si="60"/>
        <v>0</v>
      </c>
      <c r="S31" s="72">
        <f t="shared" si="60"/>
        <v>0</v>
      </c>
      <c r="T31" s="72">
        <f t="shared" si="60"/>
        <v>0</v>
      </c>
      <c r="U31" s="72">
        <f t="shared" ref="U31:W31" si="61">-U22</f>
        <v>0</v>
      </c>
      <c r="V31" s="72">
        <f t="shared" ref="V31:W31" si="62">-V22</f>
        <v>0</v>
      </c>
      <c r="W31" s="72">
        <f t="shared" si="62"/>
        <v>0</v>
      </c>
      <c r="Y31" s="72">
        <f>SUM(J31:M31)</f>
        <v>0</v>
      </c>
      <c r="Z31" s="72">
        <f>SUM(K31:N31)</f>
        <v>0</v>
      </c>
      <c r="AA31" s="72">
        <f>SUM(L31:O31)</f>
        <v>0</v>
      </c>
      <c r="AB31" s="72">
        <f>SUM(M31:P31)</f>
        <v>0</v>
      </c>
      <c r="AC31" s="72">
        <f>SUM(N31:Q31)</f>
        <v>0</v>
      </c>
      <c r="AD31" s="72">
        <f>SUM(O31:R31)</f>
        <v>0</v>
      </c>
      <c r="AE31" s="72">
        <f>SUM(P31:S31)</f>
        <v>0</v>
      </c>
      <c r="AF31" s="72">
        <f>SUM(Q31:T31)</f>
        <v>0</v>
      </c>
      <c r="AG31" s="72">
        <f t="shared" si="55"/>
        <v>0</v>
      </c>
      <c r="AH31" s="72">
        <f t="shared" si="55"/>
        <v>0</v>
      </c>
      <c r="AI31" s="72">
        <f t="shared" si="55"/>
        <v>0</v>
      </c>
      <c r="AK31" s="73" t="e">
        <f t="shared" si="56"/>
        <v>#DIV/0!</v>
      </c>
    </row>
    <row r="32" spans="2:37" ht="12.75" customHeight="1" x14ac:dyDescent="0.2">
      <c r="B32" s="64" t="s">
        <v>125</v>
      </c>
      <c r="C32" s="65">
        <f t="shared" ref="C32:D32" si="63">+SUM(C27+SUM(C30:C31))</f>
        <v>1221738</v>
      </c>
      <c r="D32" s="65">
        <f t="shared" si="63"/>
        <v>614977.47000000067</v>
      </c>
      <c r="E32" s="65">
        <f>+SUM(E27+SUM(E30:E31))</f>
        <v>1613211</v>
      </c>
      <c r="F32" s="65">
        <f>+SUM(F27+SUM(F30:F31))</f>
        <v>1923026</v>
      </c>
      <c r="G32" s="65">
        <f>+SUM(G27+SUM(G30:G31))</f>
        <v>1970114.9999999981</v>
      </c>
      <c r="H32" s="65">
        <f>+SUM(H27+SUM(H30:H31))</f>
        <v>1874801</v>
      </c>
      <c r="I32" s="16"/>
      <c r="J32" s="65">
        <f>+SUM(J27+SUM(J30:J31))</f>
        <v>510902.99999999953</v>
      </c>
      <c r="K32" s="65">
        <f>+SUM(K27+SUM(K30:K31))</f>
        <v>464829</v>
      </c>
      <c r="L32" s="65">
        <f>+SUM(L27+SUM(L30:L31))</f>
        <v>429996.00000000047</v>
      </c>
      <c r="M32" s="65">
        <f>+SUM(M27+SUM(M30:M31))</f>
        <v>852136</v>
      </c>
      <c r="N32" s="65">
        <f>+SUM(N27+SUM(N30:N31))</f>
        <v>509740.00000000047</v>
      </c>
      <c r="O32" s="65">
        <f>+SUM(O27+SUM(O30:O31))</f>
        <v>465373</v>
      </c>
      <c r="P32" s="65">
        <f>+SUM(P27+SUM(P30:P31))</f>
        <v>400576</v>
      </c>
      <c r="Q32" s="65">
        <f>+SUM(Q27+SUM(Q30:Q31))</f>
        <v>594426</v>
      </c>
      <c r="R32" s="65">
        <f>+SUM(R27+SUM(R30:R31))</f>
        <v>475768.99999999953</v>
      </c>
      <c r="S32" s="65">
        <f>+SUM(S27+SUM(S30:S31))</f>
        <v>403705</v>
      </c>
      <c r="T32" s="65">
        <f>+SUM(T27+SUM(T30:T31))</f>
        <v>393943</v>
      </c>
      <c r="U32" s="65">
        <f>+SUM(U27+SUM(U30:U31))</f>
        <v>601384</v>
      </c>
      <c r="V32" s="65">
        <f t="shared" ref="V32:W32" si="64">+SUM(V27+SUM(V30:V31))</f>
        <v>485228</v>
      </c>
      <c r="W32" s="65">
        <f t="shared" si="64"/>
        <v>424939</v>
      </c>
      <c r="X32" s="8"/>
      <c r="Y32" s="65">
        <f t="shared" ref="Y32:AE32" si="65">+SUM(Y27+SUM(Y30:Y31))</f>
        <v>2257864.0000000019</v>
      </c>
      <c r="Z32" s="65">
        <f t="shared" si="65"/>
        <v>2256700.9999999981</v>
      </c>
      <c r="AA32" s="65">
        <f t="shared" si="65"/>
        <v>2257245</v>
      </c>
      <c r="AB32" s="65">
        <f t="shared" si="65"/>
        <v>2227825.0000000019</v>
      </c>
      <c r="AC32" s="65">
        <f t="shared" si="65"/>
        <v>1970115</v>
      </c>
      <c r="AD32" s="65">
        <f t="shared" si="65"/>
        <v>1936144</v>
      </c>
      <c r="AE32" s="65">
        <f t="shared" si="65"/>
        <v>1874476</v>
      </c>
      <c r="AF32" s="65">
        <f>+SUM(AF27+SUM(AF30:AF31))</f>
        <v>1867843</v>
      </c>
      <c r="AG32" s="65">
        <f t="shared" ref="AG32:AI32" si="66">+SUM(AG27+SUM(AG30:AG31))</f>
        <v>1874801</v>
      </c>
      <c r="AH32" s="65">
        <f t="shared" si="66"/>
        <v>1884260.0000000019</v>
      </c>
      <c r="AI32" s="65">
        <f t="shared" si="66"/>
        <v>1905493.9999999981</v>
      </c>
      <c r="AK32" s="74">
        <f t="shared" si="56"/>
        <v>1.6547557824158954E-2</v>
      </c>
    </row>
    <row r="33" spans="2:37" ht="12.75" customHeight="1" x14ac:dyDescent="0.2">
      <c r="B33" s="75" t="s">
        <v>126</v>
      </c>
      <c r="C33" s="77">
        <f t="shared" ref="C33:D33" si="67">C32/C12</f>
        <v>0.16514284540234017</v>
      </c>
      <c r="D33" s="77">
        <f t="shared" si="67"/>
        <v>0.10097433508291827</v>
      </c>
      <c r="E33" s="77">
        <f>E32/E12</f>
        <v>0.18691133671166435</v>
      </c>
      <c r="F33" s="77">
        <f>F32/F12</f>
        <v>0.18837350542386894</v>
      </c>
      <c r="G33" s="77">
        <f>G32/G12</f>
        <v>0.17578850147979388</v>
      </c>
      <c r="H33" s="77">
        <f>H32/H12</f>
        <v>0.16597542736347978</v>
      </c>
      <c r="J33" s="77">
        <f>J32/J12</f>
        <v>0.21778540526646251</v>
      </c>
      <c r="K33" s="77">
        <f>K32/K12</f>
        <v>0.20235356292877191</v>
      </c>
      <c r="L33" s="77">
        <f>L32/L12</f>
        <v>0.18385380835328324</v>
      </c>
      <c r="M33" s="77">
        <f>M32/M12</f>
        <v>0.26408303280088186</v>
      </c>
      <c r="N33" s="77">
        <f>N32/N12</f>
        <v>0.19350383769578069</v>
      </c>
      <c r="O33" s="77">
        <f>O32/O12</f>
        <v>0.18395578480430735</v>
      </c>
      <c r="P33" s="77">
        <f>P32/P12</f>
        <v>0.16094286186088577</v>
      </c>
      <c r="Q33" s="77">
        <f>Q32/Q12</f>
        <v>0.16724146371519777</v>
      </c>
      <c r="R33" s="77">
        <f>R32/R12</f>
        <v>0.17453981293160867</v>
      </c>
      <c r="S33" s="77">
        <f>S32/S12</f>
        <v>0.15818622170795901</v>
      </c>
      <c r="T33" s="77">
        <f>T32/T12</f>
        <v>0.15570254140152562</v>
      </c>
      <c r="U33" s="77">
        <f>U32/U12</f>
        <v>0.17243397286228801</v>
      </c>
      <c r="V33" s="77">
        <f t="shared" ref="V33:W33" si="68">V32/V12</f>
        <v>0.17035304790429043</v>
      </c>
      <c r="W33" s="77">
        <f t="shared" si="68"/>
        <v>0.15239150946271951</v>
      </c>
      <c r="Y33" s="77">
        <f t="shared" ref="Y33:AE33" si="69">Y32/Y12</f>
        <v>0.22117317001972864</v>
      </c>
      <c r="Z33" s="77">
        <f t="shared" si="69"/>
        <v>0.21498651702562505</v>
      </c>
      <c r="AA33" s="77">
        <f t="shared" si="69"/>
        <v>0.21037475821644683</v>
      </c>
      <c r="AB33" s="77">
        <f t="shared" si="69"/>
        <v>0.20476750536637803</v>
      </c>
      <c r="AC33" s="77">
        <f t="shared" si="69"/>
        <v>0.17578850147979402</v>
      </c>
      <c r="AD33" s="77">
        <f t="shared" si="69"/>
        <v>0.17135703973700775</v>
      </c>
      <c r="AE33" s="77">
        <f t="shared" si="69"/>
        <v>0.1655726980772122</v>
      </c>
      <c r="AF33" s="77">
        <f>AF32/AF12</f>
        <v>0.1643890387651902</v>
      </c>
      <c r="AG33" s="77">
        <f t="shared" ref="AG33:AI33" si="70">AG32/AG12</f>
        <v>0.16597542736347978</v>
      </c>
      <c r="AH33" s="77">
        <f t="shared" si="70"/>
        <v>0.1650228981466651</v>
      </c>
      <c r="AI33" s="77">
        <f t="shared" si="70"/>
        <v>0.16349779120695715</v>
      </c>
      <c r="AK33" s="78">
        <f>SUM(AI33-AE33)*10000</f>
        <v>-20.749068702550499</v>
      </c>
    </row>
    <row r="34" spans="2:37" ht="5.0999999999999996" customHeight="1" x14ac:dyDescent="0.2">
      <c r="AK34" s="71"/>
    </row>
    <row r="35" spans="2:37" ht="12.75" customHeight="1" x14ac:dyDescent="0.2">
      <c r="B35" s="84" t="s">
        <v>127</v>
      </c>
      <c r="C35" s="69">
        <f>'Base Financials '!C97</f>
        <v>-298534</v>
      </c>
      <c r="D35" s="69">
        <f>'Base Financials '!D97</f>
        <v>-151866</v>
      </c>
      <c r="E35" s="69">
        <f>'Base Financials '!E97</f>
        <v>-172187</v>
      </c>
      <c r="F35" s="69">
        <f>'Base Financials '!F97</f>
        <v>-312126</v>
      </c>
      <c r="G35" s="69">
        <f>'Base Financials '!G97</f>
        <v>-435267</v>
      </c>
      <c r="H35" s="69">
        <f>'Base Financials '!H97</f>
        <v>-374458</v>
      </c>
      <c r="J35" s="69">
        <f>'Base Financials '!J97</f>
        <v>-71076</v>
      </c>
      <c r="K35" s="69">
        <f>'Base Financials '!K97</f>
        <v>-49424</v>
      </c>
      <c r="L35" s="69">
        <f>'Base Financials '!L97</f>
        <v>-83461</v>
      </c>
      <c r="M35" s="69">
        <f>'Base Financials '!M97</f>
        <v>-108165</v>
      </c>
      <c r="N35" s="69">
        <f>'Base Financials '!N97</f>
        <v>-109766</v>
      </c>
      <c r="O35" s="69">
        <f>'Base Financials '!O97</f>
        <v>-94982</v>
      </c>
      <c r="P35" s="69">
        <f>'Base Financials '!P97</f>
        <v>-106282</v>
      </c>
      <c r="Q35" s="69">
        <f>'Base Financials '!Q97</f>
        <v>-124237</v>
      </c>
      <c r="R35" s="69">
        <f>'Base Financials '!R97</f>
        <v>-91024</v>
      </c>
      <c r="S35" s="69">
        <f>'Base Financials '!S97</f>
        <v>-95277</v>
      </c>
      <c r="T35" s="69">
        <f>'Base Financials '!T97</f>
        <v>-114235</v>
      </c>
      <c r="U35" s="69">
        <f>'Base Financials '!U97</f>
        <v>-73922</v>
      </c>
      <c r="V35" s="69">
        <f>'Base Financials '!V97</f>
        <v>-79031</v>
      </c>
      <c r="W35" s="69">
        <f>'Base Financials '!W97</f>
        <v>-76957</v>
      </c>
      <c r="Y35" s="72">
        <f>SUM(J35:M35)</f>
        <v>-312126</v>
      </c>
      <c r="Z35" s="72">
        <f>SUM(K35:N35)</f>
        <v>-350816</v>
      </c>
      <c r="AA35" s="72">
        <f>SUM(L35:O35)</f>
        <v>-396374</v>
      </c>
      <c r="AB35" s="72">
        <f>SUM(M35:P35)</f>
        <v>-419195</v>
      </c>
      <c r="AC35" s="72">
        <f>SUM(N35:Q35)</f>
        <v>-435267</v>
      </c>
      <c r="AD35" s="72">
        <f>SUM(O35:R35)</f>
        <v>-416525</v>
      </c>
      <c r="AE35" s="72">
        <f>SUM(P35:S35)</f>
        <v>-416820</v>
      </c>
      <c r="AF35" s="72">
        <f>SUM(Q35:T35)</f>
        <v>-424773</v>
      </c>
      <c r="AG35" s="72">
        <f t="shared" ref="AG35:AI39" si="71">SUM(R35:U35)</f>
        <v>-374458</v>
      </c>
      <c r="AH35" s="72">
        <f t="shared" si="71"/>
        <v>-362465</v>
      </c>
      <c r="AI35" s="72">
        <f t="shared" si="71"/>
        <v>-344145</v>
      </c>
      <c r="AK35" s="73">
        <f t="shared" si="56"/>
        <v>-0.17435583705196489</v>
      </c>
    </row>
    <row r="36" spans="2:37" ht="12.75" customHeight="1" x14ac:dyDescent="0.2">
      <c r="B36" s="84" t="s">
        <v>128</v>
      </c>
      <c r="C36" s="69">
        <f>-'Base Financials '!C116</f>
        <v>0</v>
      </c>
      <c r="D36" s="69">
        <f>-'Base Financials '!D116</f>
        <v>-6987</v>
      </c>
      <c r="E36" s="69">
        <f>-'Base Financials '!E116</f>
        <v>-2132</v>
      </c>
      <c r="F36" s="69">
        <f>-'Base Financials '!F116</f>
        <v>-2138</v>
      </c>
      <c r="G36" s="69">
        <f>-'Base Financials '!G116</f>
        <v>-3327</v>
      </c>
      <c r="H36" s="69">
        <f>-'Base Financials '!H116</f>
        <v>-4159</v>
      </c>
      <c r="J36" s="69">
        <f>'Base Financials '!J99</f>
        <v>-797</v>
      </c>
      <c r="K36" s="69">
        <f>'Base Financials '!K99</f>
        <v>-452</v>
      </c>
      <c r="L36" s="69">
        <f>'Base Financials '!L99</f>
        <v>-1819</v>
      </c>
      <c r="M36" s="69">
        <f>'Base Financials '!M99</f>
        <v>610</v>
      </c>
      <c r="N36" s="69">
        <f>'Base Financials '!N99</f>
        <v>-314</v>
      </c>
      <c r="O36" s="69">
        <f>'Base Financials '!O99</f>
        <v>-1373</v>
      </c>
      <c r="P36" s="69">
        <f>'Base Financials '!P99</f>
        <v>-3183</v>
      </c>
      <c r="Q36" s="69">
        <f>'Base Financials '!Q99</f>
        <v>-1288</v>
      </c>
      <c r="R36" s="69">
        <f>'Base Financials '!R99</f>
        <v>-2563</v>
      </c>
      <c r="S36" s="69">
        <f>'Base Financials '!S99</f>
        <v>-2528</v>
      </c>
      <c r="T36" s="69">
        <f>'Base Financials '!T99</f>
        <v>-1017</v>
      </c>
      <c r="U36" s="69">
        <f>'Base Financials '!U99</f>
        <v>-2523</v>
      </c>
      <c r="V36" s="69">
        <f>'Base Financials '!V99</f>
        <v>-7346</v>
      </c>
      <c r="W36" s="69">
        <f>'Base Financials '!W99</f>
        <v>-9784</v>
      </c>
      <c r="Y36" s="72">
        <f>SUM(J36:M36)</f>
        <v>-2458</v>
      </c>
      <c r="Z36" s="72">
        <f>SUM(K36:N36)</f>
        <v>-1975</v>
      </c>
      <c r="AA36" s="72">
        <f>SUM(L36:O36)</f>
        <v>-2896</v>
      </c>
      <c r="AB36" s="72">
        <f>SUM(M36:P36)</f>
        <v>-4260</v>
      </c>
      <c r="AC36" s="72">
        <f>SUM(N36:Q36)</f>
        <v>-6158</v>
      </c>
      <c r="AD36" s="72">
        <f>SUM(O36:R36)</f>
        <v>-8407</v>
      </c>
      <c r="AE36" s="72">
        <f>SUM(P36:S36)</f>
        <v>-9562</v>
      </c>
      <c r="AF36" s="72">
        <f>SUM(Q36:T36)</f>
        <v>-7396</v>
      </c>
      <c r="AG36" s="72">
        <f t="shared" si="71"/>
        <v>-8631</v>
      </c>
      <c r="AH36" s="72">
        <f t="shared" si="71"/>
        <v>-13414</v>
      </c>
      <c r="AI36" s="72">
        <f t="shared" si="71"/>
        <v>-20670</v>
      </c>
      <c r="AK36" s="73">
        <f t="shared" si="56"/>
        <v>1.1616816565572057</v>
      </c>
    </row>
    <row r="37" spans="2:37" ht="12.75" customHeight="1" x14ac:dyDescent="0.2">
      <c r="B37" s="84" t="s">
        <v>129</v>
      </c>
      <c r="C37" s="69">
        <f>-'Base Financials '!C117</f>
        <v>-133861</v>
      </c>
      <c r="D37" s="69">
        <f>-'Base Financials '!D117</f>
        <v>-19454</v>
      </c>
      <c r="E37" s="69">
        <f>-'Base Financials '!E117</f>
        <v>-370646</v>
      </c>
      <c r="F37" s="69">
        <f>-'Base Financials '!F117</f>
        <v>-429846</v>
      </c>
      <c r="G37" s="69">
        <f>-'Base Financials '!G117</f>
        <v>-328215</v>
      </c>
      <c r="H37" s="69">
        <f>-'Base Financials '!H117</f>
        <v>-386059</v>
      </c>
      <c r="J37" s="69">
        <f>'Base Financials '!J100</f>
        <v>-71873</v>
      </c>
      <c r="K37" s="69">
        <f>'Base Financials '!K100</f>
        <v>-49876</v>
      </c>
      <c r="L37" s="69">
        <f>'Base Financials '!L100</f>
        <v>-85280</v>
      </c>
      <c r="M37" s="69">
        <f>'Base Financials '!M100</f>
        <v>-107555</v>
      </c>
      <c r="N37" s="69">
        <f>'Base Financials '!N100</f>
        <v>-110080</v>
      </c>
      <c r="O37" s="69">
        <f>'Base Financials '!O100</f>
        <v>-96355</v>
      </c>
      <c r="P37" s="69">
        <f>'Base Financials '!P100</f>
        <v>-109465</v>
      </c>
      <c r="Q37" s="69">
        <f>'Base Financials '!Q100</f>
        <v>-125525</v>
      </c>
      <c r="R37" s="69">
        <f>'Base Financials '!R100</f>
        <v>-93587</v>
      </c>
      <c r="S37" s="69">
        <f>'Base Financials '!S100</f>
        <v>-97805</v>
      </c>
      <c r="T37" s="69">
        <f>'Base Financials '!T100</f>
        <v>-115252</v>
      </c>
      <c r="U37" s="69">
        <f>'Base Financials '!U100</f>
        <v>-76445</v>
      </c>
      <c r="V37" s="69">
        <f>'Base Financials '!V100</f>
        <v>-86377</v>
      </c>
      <c r="W37" s="69">
        <f>'Base Financials '!W100</f>
        <v>-473534</v>
      </c>
      <c r="Y37" s="72">
        <f>SUM(J37:M37)</f>
        <v>-314584</v>
      </c>
      <c r="Z37" s="72">
        <f>SUM(K37:N37)</f>
        <v>-352791</v>
      </c>
      <c r="AA37" s="72">
        <f>SUM(L37:O37)</f>
        <v>-399270</v>
      </c>
      <c r="AB37" s="72">
        <f>SUM(M37:P37)</f>
        <v>-423455</v>
      </c>
      <c r="AC37" s="72">
        <f>SUM(N37:Q37)</f>
        <v>-441425</v>
      </c>
      <c r="AD37" s="72">
        <f>SUM(O37:R37)</f>
        <v>-424932</v>
      </c>
      <c r="AE37" s="72">
        <f>SUM(P37:S37)</f>
        <v>-426382</v>
      </c>
      <c r="AF37" s="72">
        <f>SUM(Q37:T37)</f>
        <v>-432169</v>
      </c>
      <c r="AG37" s="72">
        <f t="shared" si="71"/>
        <v>-383089</v>
      </c>
      <c r="AH37" s="72">
        <f t="shared" si="71"/>
        <v>-375879</v>
      </c>
      <c r="AI37" s="72">
        <f t="shared" si="71"/>
        <v>-751608</v>
      </c>
      <c r="AK37" s="73">
        <f t="shared" si="56"/>
        <v>0.76275733966255621</v>
      </c>
    </row>
    <row r="38" spans="2:37" ht="12.75" customHeight="1" x14ac:dyDescent="0.2">
      <c r="B38" s="84" t="s">
        <v>130</v>
      </c>
      <c r="C38" s="69">
        <v>0</v>
      </c>
      <c r="D38" s="69">
        <v>0</v>
      </c>
      <c r="E38" s="69">
        <v>0</v>
      </c>
      <c r="F38" s="69">
        <v>0</v>
      </c>
      <c r="G38" s="69">
        <v>0</v>
      </c>
      <c r="H38" s="69">
        <v>0</v>
      </c>
      <c r="J38" s="69">
        <f>'Base Financials '!J101</f>
        <v>0</v>
      </c>
      <c r="K38" s="69">
        <f>'Base Financials '!K101</f>
        <v>0</v>
      </c>
      <c r="L38" s="69">
        <f>'Base Financials '!L101</f>
        <v>0</v>
      </c>
      <c r="M38" s="69">
        <f>'Base Financials '!M101</f>
        <v>0</v>
      </c>
      <c r="N38" s="69">
        <f>'Base Financials '!N101</f>
        <v>0</v>
      </c>
      <c r="O38" s="69">
        <f>'Base Financials '!O101</f>
        <v>0</v>
      </c>
      <c r="P38" s="69">
        <f>'Base Financials '!P101</f>
        <v>0</v>
      </c>
      <c r="Q38" s="69">
        <f>'Base Financials '!Q101</f>
        <v>0</v>
      </c>
      <c r="R38" s="69">
        <f>'Base Financials '!R101</f>
        <v>0</v>
      </c>
      <c r="S38" s="69">
        <f>'Base Financials '!S101</f>
        <v>0</v>
      </c>
      <c r="T38" s="69">
        <f>'Base Financials '!T101</f>
        <v>0</v>
      </c>
      <c r="U38" s="69">
        <f>'Base Financials '!U101</f>
        <v>0</v>
      </c>
      <c r="V38" s="69">
        <f>'Base Financials '!V101</f>
        <v>0</v>
      </c>
      <c r="W38" s="69">
        <f>'Base Financials '!W101</f>
        <v>0</v>
      </c>
      <c r="Y38" s="72">
        <f>SUM(J38:M38)</f>
        <v>0</v>
      </c>
      <c r="Z38" s="72">
        <f>SUM(K38:N38)</f>
        <v>0</v>
      </c>
      <c r="AA38" s="72">
        <f>SUM(L38:O38)</f>
        <v>0</v>
      </c>
      <c r="AB38" s="72">
        <f>SUM(M38:P38)</f>
        <v>0</v>
      </c>
      <c r="AC38" s="72">
        <f>SUM(N38:Q38)</f>
        <v>0</v>
      </c>
      <c r="AD38" s="72">
        <f>SUM(O38:R38)</f>
        <v>0</v>
      </c>
      <c r="AE38" s="72">
        <f>SUM(P38:S38)</f>
        <v>0</v>
      </c>
      <c r="AF38" s="72">
        <f>SUM(Q38:T38)</f>
        <v>0</v>
      </c>
      <c r="AG38" s="72">
        <f t="shared" si="71"/>
        <v>0</v>
      </c>
      <c r="AH38" s="72">
        <f t="shared" si="71"/>
        <v>0</v>
      </c>
      <c r="AI38" s="72">
        <f t="shared" si="71"/>
        <v>0</v>
      </c>
      <c r="AK38" s="73" t="e">
        <f t="shared" si="56"/>
        <v>#DIV/0!</v>
      </c>
    </row>
    <row r="39" spans="2:37" ht="12.75" customHeight="1" x14ac:dyDescent="0.2">
      <c r="B39" s="84" t="s">
        <v>131</v>
      </c>
      <c r="C39" s="69">
        <f>SUM('Base Financials '!C85:C93)</f>
        <v>-215469</v>
      </c>
      <c r="D39" s="69">
        <f>SUM('Base Financials '!D85:D93)</f>
        <v>-14258</v>
      </c>
      <c r="E39" s="69">
        <f>SUM('Base Financials '!E85:E93)</f>
        <v>-498212</v>
      </c>
      <c r="F39" s="69">
        <f>SUM('Base Financials '!F85:F93)</f>
        <v>-369162</v>
      </c>
      <c r="G39" s="69">
        <f>SUM('Base Financials '!G85:G93)</f>
        <v>-481573</v>
      </c>
      <c r="H39" s="69">
        <f>SUM('Base Financials '!H85:H93)</f>
        <v>-451216</v>
      </c>
      <c r="J39" s="69">
        <f>SUM('Base Financials '!J85:J93)</f>
        <v>-52490</v>
      </c>
      <c r="K39" s="69">
        <f>SUM('Base Financials '!K85:K93)</f>
        <v>-329375</v>
      </c>
      <c r="L39" s="69">
        <f>SUM('Base Financials '!L85:L93)</f>
        <v>-386476</v>
      </c>
      <c r="M39" s="69">
        <f>SUM('Base Financials '!M85:M93)</f>
        <v>399179</v>
      </c>
      <c r="N39" s="69">
        <f>SUM('Base Financials '!N85:N93)</f>
        <v>-188893</v>
      </c>
      <c r="O39" s="69">
        <f>SUM('Base Financials '!O85:O93)</f>
        <v>-328264</v>
      </c>
      <c r="P39" s="69">
        <f>SUM('Base Financials '!P85:P93)</f>
        <v>-476828</v>
      </c>
      <c r="Q39" s="69">
        <f>SUM('Base Financials '!Q85:Q93)</f>
        <v>512412</v>
      </c>
      <c r="R39" s="69">
        <f>SUM('Base Financials '!R85:R93)</f>
        <v>-313142</v>
      </c>
      <c r="S39" s="69">
        <f>SUM('Base Financials '!S85:S93)</f>
        <v>-214198</v>
      </c>
      <c r="T39" s="69">
        <f>SUM('Base Financials '!T85:T93)</f>
        <v>-452271</v>
      </c>
      <c r="U39" s="69">
        <f>SUM('Base Financials '!U85:U93)</f>
        <v>528395</v>
      </c>
      <c r="V39" s="69">
        <f>SUM('Base Financials '!V85:V93)</f>
        <v>-264527</v>
      </c>
      <c r="W39" s="69">
        <f>SUM('Base Financials '!W85:W93)</f>
        <v>-340067</v>
      </c>
      <c r="Y39" s="72">
        <f>SUM(J39:M39)</f>
        <v>-369162</v>
      </c>
      <c r="Z39" s="72">
        <f>SUM(K39:N39)</f>
        <v>-505565</v>
      </c>
      <c r="AA39" s="72">
        <f>SUM(L39:O39)</f>
        <v>-504454</v>
      </c>
      <c r="AB39" s="72">
        <f>SUM(M39:P39)</f>
        <v>-594806</v>
      </c>
      <c r="AC39" s="72">
        <f>SUM(N39:Q39)</f>
        <v>-481573</v>
      </c>
      <c r="AD39" s="72">
        <f>SUM(O39:R39)</f>
        <v>-605822</v>
      </c>
      <c r="AE39" s="72">
        <f>SUM(P39:S39)</f>
        <v>-491756</v>
      </c>
      <c r="AF39" s="72">
        <f>SUM(Q39:T39)</f>
        <v>-467199</v>
      </c>
      <c r="AG39" s="72">
        <f t="shared" si="71"/>
        <v>-451216</v>
      </c>
      <c r="AH39" s="72">
        <f t="shared" si="71"/>
        <v>-402601</v>
      </c>
      <c r="AI39" s="72">
        <f t="shared" si="71"/>
        <v>-528470</v>
      </c>
      <c r="AK39" s="73">
        <f t="shared" si="56"/>
        <v>7.465897721634307E-2</v>
      </c>
    </row>
    <row r="40" spans="2:37" ht="12.75" customHeight="1" x14ac:dyDescent="0.2">
      <c r="B40" s="64" t="s">
        <v>132</v>
      </c>
      <c r="C40" s="65">
        <f t="shared" ref="C40:D40" si="72">SUM(C32+SUM(C35:C39))</f>
        <v>573874</v>
      </c>
      <c r="D40" s="65">
        <f t="shared" si="72"/>
        <v>422412.47000000067</v>
      </c>
      <c r="E40" s="65">
        <f>SUM(E32+SUM(E35:E39))</f>
        <v>570034</v>
      </c>
      <c r="F40" s="65">
        <f t="shared" ref="F40:G40" si="73">SUM(F32+SUM(F35:F39))</f>
        <v>809754</v>
      </c>
      <c r="G40" s="65">
        <f t="shared" si="73"/>
        <v>721732.99999999814</v>
      </c>
      <c r="H40" s="65">
        <f t="shared" ref="H40" si="74">SUM(H32+SUM(H35:H39))</f>
        <v>658909</v>
      </c>
      <c r="J40" s="65">
        <f t="shared" ref="J40:S40" si="75">SUM(J32+SUM(J35:J39))</f>
        <v>314666.99999999953</v>
      </c>
      <c r="K40" s="65">
        <f t="shared" si="75"/>
        <v>35702</v>
      </c>
      <c r="L40" s="65">
        <f t="shared" si="75"/>
        <v>-127039.99999999953</v>
      </c>
      <c r="M40" s="65">
        <f t="shared" si="75"/>
        <v>1036205</v>
      </c>
      <c r="N40" s="65">
        <f t="shared" si="75"/>
        <v>100687.00000000047</v>
      </c>
      <c r="O40" s="65">
        <f t="shared" si="75"/>
        <v>-55601</v>
      </c>
      <c r="P40" s="65">
        <f t="shared" si="75"/>
        <v>-295182</v>
      </c>
      <c r="Q40" s="65">
        <f t="shared" si="75"/>
        <v>855788</v>
      </c>
      <c r="R40" s="65">
        <f t="shared" si="75"/>
        <v>-24547.000000000466</v>
      </c>
      <c r="S40" s="65">
        <f t="shared" si="75"/>
        <v>-6103</v>
      </c>
      <c r="T40" s="65">
        <f>SUM(T32+SUM(T35:T39))</f>
        <v>-288832</v>
      </c>
      <c r="U40" s="65">
        <f>SUM(U32+SUM(U35:U39))</f>
        <v>976889</v>
      </c>
      <c r="V40" s="65">
        <f t="shared" ref="V40:W40" si="76">SUM(V32+SUM(V35:V39))</f>
        <v>47947</v>
      </c>
      <c r="W40" s="65">
        <f t="shared" si="76"/>
        <v>-475403</v>
      </c>
      <c r="Y40" s="65">
        <f t="shared" ref="Y40:AE40" si="77">SUM(Y32+SUM(Y35:Y39))</f>
        <v>1259534.0000000019</v>
      </c>
      <c r="Z40" s="65">
        <f t="shared" si="77"/>
        <v>1045553.9999999981</v>
      </c>
      <c r="AA40" s="65">
        <f t="shared" si="77"/>
        <v>954251</v>
      </c>
      <c r="AB40" s="65">
        <f t="shared" si="77"/>
        <v>786109.00000000186</v>
      </c>
      <c r="AC40" s="65">
        <f t="shared" si="77"/>
        <v>605692</v>
      </c>
      <c r="AD40" s="65">
        <f t="shared" si="77"/>
        <v>480458</v>
      </c>
      <c r="AE40" s="65">
        <f t="shared" si="77"/>
        <v>529956</v>
      </c>
      <c r="AF40" s="65">
        <f t="shared" ref="AF40:AI40" si="78">SUM(AF32+SUM(AF35:AF39))</f>
        <v>536306</v>
      </c>
      <c r="AG40" s="65">
        <f t="shared" si="78"/>
        <v>657407</v>
      </c>
      <c r="AH40" s="65">
        <f t="shared" si="78"/>
        <v>729901.00000000186</v>
      </c>
      <c r="AI40" s="65">
        <f t="shared" si="78"/>
        <v>260600.99999999814</v>
      </c>
      <c r="AK40" s="74">
        <f t="shared" si="56"/>
        <v>-0.50825917623350214</v>
      </c>
    </row>
    <row r="41" spans="2:37" ht="5.0999999999999996" customHeight="1" x14ac:dyDescent="0.2"/>
    <row r="42" spans="2:37" ht="12.75" customHeight="1" x14ac:dyDescent="0.2">
      <c r="B42" s="89" t="s">
        <v>160</v>
      </c>
      <c r="C42" s="69">
        <f>SUM('Base Financials '!C105:C106)</f>
        <v>0</v>
      </c>
      <c r="D42" s="69">
        <f>SUM('Base Financials '!D105:D106)</f>
        <v>0</v>
      </c>
      <c r="E42" s="69">
        <f>SUM('Base Financials '!E105:E106)</f>
        <v>0</v>
      </c>
      <c r="F42" s="69">
        <f>SUM('Base Financials '!F105:F106)</f>
        <v>0</v>
      </c>
      <c r="G42" s="69">
        <f>SUM('Base Financials '!G105:G106)</f>
        <v>0</v>
      </c>
      <c r="H42" s="69">
        <f>SUM('Base Financials '!H105:H106)</f>
        <v>0</v>
      </c>
      <c r="I42" s="69"/>
      <c r="J42" s="69">
        <f>SUM('Base Financials '!J105:J106)</f>
        <v>0</v>
      </c>
      <c r="K42" s="69">
        <f>SUM('Base Financials '!K105:K106)</f>
        <v>0</v>
      </c>
      <c r="L42" s="69">
        <f>SUM('Base Financials '!L105:L106)</f>
        <v>0</v>
      </c>
      <c r="M42" s="69">
        <f>SUM('Base Financials '!M105:M106)</f>
        <v>0</v>
      </c>
      <c r="N42" s="69">
        <f>SUM('Base Financials '!N105:N106)</f>
        <v>0</v>
      </c>
      <c r="O42" s="69">
        <f>SUM('Base Financials '!O105:O106)</f>
        <v>0</v>
      </c>
      <c r="P42" s="69">
        <f>SUM('Base Financials '!P105:P106)</f>
        <v>195400</v>
      </c>
      <c r="Q42" s="69">
        <f>SUM('Base Financials '!Q105:Q106)</f>
        <v>-195400</v>
      </c>
      <c r="R42" s="69">
        <f>SUM('Base Financials '!R105:R106)</f>
        <v>0</v>
      </c>
      <c r="S42" s="69">
        <f>SUM('Base Financials '!S105:S106)</f>
        <v>0</v>
      </c>
      <c r="T42" s="69">
        <f>SUM('Base Financials '!T105:T106)</f>
        <v>199700</v>
      </c>
      <c r="U42" s="69">
        <f>SUM('Base Financials '!U105:U106)</f>
        <v>-199700</v>
      </c>
      <c r="V42" s="69">
        <f>SUM('Base Financials '!V105:V106)</f>
        <v>0</v>
      </c>
      <c r="W42" s="69">
        <f>SUM('Base Financials '!W105:W106)</f>
        <v>0</v>
      </c>
      <c r="Y42" s="72">
        <f>SUM(J42:M42)</f>
        <v>0</v>
      </c>
      <c r="Z42" s="72">
        <f>SUM(K42:N42)</f>
        <v>0</v>
      </c>
      <c r="AA42" s="72">
        <f>SUM(L42:O42)</f>
        <v>0</v>
      </c>
      <c r="AB42" s="72">
        <f>SUM(M42:P42)</f>
        <v>195400</v>
      </c>
      <c r="AC42" s="72">
        <f>SUM(N42:Q42)</f>
        <v>0</v>
      </c>
      <c r="AD42" s="72">
        <f>SUM(O42:R42)</f>
        <v>0</v>
      </c>
      <c r="AE42" s="72">
        <f>SUM(P42:S42)</f>
        <v>0</v>
      </c>
      <c r="AF42" s="72">
        <f>SUM(Q42:T42)</f>
        <v>4300</v>
      </c>
      <c r="AG42" s="72">
        <f t="shared" ref="AG42:AI46" si="79">SUM(R42:U42)</f>
        <v>0</v>
      </c>
      <c r="AH42" s="72">
        <f t="shared" si="79"/>
        <v>0</v>
      </c>
      <c r="AI42" s="72">
        <f t="shared" si="79"/>
        <v>0</v>
      </c>
    </row>
    <row r="43" spans="2:37" ht="12.75" customHeight="1" x14ac:dyDescent="0.2">
      <c r="B43" s="89" t="s">
        <v>161</v>
      </c>
      <c r="C43" s="69">
        <f>SUM('Base Financials '!C107:C109)</f>
        <v>0</v>
      </c>
      <c r="D43" s="69">
        <f>SUM('Base Financials '!D107:D109)</f>
        <v>-1915</v>
      </c>
      <c r="E43" s="69">
        <f>SUM('Base Financials '!E107:E109)</f>
        <v>0</v>
      </c>
      <c r="F43" s="69">
        <f>SUM('Base Financials '!F107:F109)</f>
        <v>0</v>
      </c>
      <c r="G43" s="69">
        <f>SUM('Base Financials '!G107:G109)</f>
        <v>0</v>
      </c>
      <c r="H43" s="69">
        <f>SUM('Base Financials '!H107:H109)</f>
        <v>-4159</v>
      </c>
      <c r="I43" s="69"/>
      <c r="J43" s="69">
        <f>SUM('Base Financials '!J107:J109)</f>
        <v>0</v>
      </c>
      <c r="K43" s="69">
        <f>SUM('Base Financials '!K107:K109)</f>
        <v>0</v>
      </c>
      <c r="L43" s="69">
        <f>SUM('Base Financials '!L107:L109)</f>
        <v>0</v>
      </c>
      <c r="M43" s="69">
        <f>SUM('Base Financials '!M107:M109)</f>
        <v>0</v>
      </c>
      <c r="N43" s="69">
        <f>SUM('Base Financials '!N107:N109)</f>
        <v>0</v>
      </c>
      <c r="O43" s="69">
        <f>SUM('Base Financials '!O107:O109)</f>
        <v>0</v>
      </c>
      <c r="P43" s="69">
        <f>SUM('Base Financials '!P107:P109)</f>
        <v>0</v>
      </c>
      <c r="Q43" s="69">
        <f>SUM('Base Financials '!Q107:Q109)</f>
        <v>0</v>
      </c>
      <c r="R43" s="69">
        <f>SUM('Base Financials '!R107:R109)</f>
        <v>-3950</v>
      </c>
      <c r="S43" s="69">
        <f>SUM('Base Financials '!S107:S109)</f>
        <v>-138</v>
      </c>
      <c r="T43" s="69">
        <f>SUM('Base Financials '!T107:T109)</f>
        <v>-71</v>
      </c>
      <c r="U43" s="69">
        <f>SUM('Base Financials '!U107:U109)</f>
        <v>0</v>
      </c>
      <c r="V43" s="69">
        <f>SUM('Base Financials '!V107:V109)</f>
        <v>0</v>
      </c>
      <c r="W43" s="69">
        <f>SUM('Base Financials '!W107:W109)</f>
        <v>0</v>
      </c>
      <c r="Y43" s="72">
        <f>SUM(J43:M43)</f>
        <v>0</v>
      </c>
      <c r="Z43" s="72">
        <f>SUM(K43:N43)</f>
        <v>0</v>
      </c>
      <c r="AA43" s="72">
        <f>SUM(L43:O43)</f>
        <v>0</v>
      </c>
      <c r="AB43" s="72">
        <f>SUM(M43:P43)</f>
        <v>0</v>
      </c>
      <c r="AC43" s="72">
        <f>SUM(N43:Q43)</f>
        <v>0</v>
      </c>
      <c r="AD43" s="72">
        <f>SUM(O43:R43)</f>
        <v>-3950</v>
      </c>
      <c r="AE43" s="72">
        <f>SUM(P43:S43)</f>
        <v>-4088</v>
      </c>
      <c r="AF43" s="72">
        <f>SUM(Q43:T43)</f>
        <v>-4159</v>
      </c>
      <c r="AG43" s="72">
        <f t="shared" si="79"/>
        <v>-4159</v>
      </c>
      <c r="AH43" s="72">
        <f t="shared" si="79"/>
        <v>-209</v>
      </c>
      <c r="AI43" s="72">
        <f t="shared" si="79"/>
        <v>-71</v>
      </c>
    </row>
    <row r="44" spans="2:37" ht="12.75" customHeight="1" x14ac:dyDescent="0.2">
      <c r="B44" s="89" t="s">
        <v>133</v>
      </c>
      <c r="C44" s="69">
        <f>SUM('Base Financials '!C110:C112)</f>
        <v>-646739</v>
      </c>
      <c r="D44" s="69">
        <f>SUM('Base Financials '!D110:D112)</f>
        <v>-106019</v>
      </c>
      <c r="E44" s="69">
        <f>SUM('Base Financials '!E110:E112)</f>
        <v>-1497216</v>
      </c>
      <c r="F44" s="69">
        <f>SUM('Base Financials '!F110:F112)</f>
        <v>-861014</v>
      </c>
      <c r="G44" s="69">
        <f>SUM('Base Financials '!G110:G112)</f>
        <v>-1006124</v>
      </c>
      <c r="H44" s="69">
        <f>SUM('Base Financials '!H110:H112)</f>
        <v>-1014750</v>
      </c>
      <c r="I44" s="69"/>
      <c r="J44" s="69">
        <f>SUM('Base Financials '!J110:J112)</f>
        <v>-131504</v>
      </c>
      <c r="K44" s="69">
        <f>SUM('Base Financials '!K110:K112)</f>
        <v>-284748</v>
      </c>
      <c r="L44" s="69">
        <f>SUM('Base Financials '!L110:L112)</f>
        <v>-131077</v>
      </c>
      <c r="M44" s="69">
        <f>SUM('Base Financials '!M110:M112)</f>
        <v>-313685</v>
      </c>
      <c r="N44" s="69">
        <f>SUM('Base Financials '!N110:N112)</f>
        <v>-296249</v>
      </c>
      <c r="O44" s="69">
        <f>SUM('Base Financials '!O110:O112)</f>
        <v>-275374</v>
      </c>
      <c r="P44" s="69">
        <f>SUM('Base Financials '!P110:P112)</f>
        <v>-281954</v>
      </c>
      <c r="Q44" s="69">
        <f>SUM('Base Financials '!Q110:Q112)</f>
        <v>-152547</v>
      </c>
      <c r="R44" s="69">
        <f>SUM('Base Financials '!R110:R112)</f>
        <v>-303801</v>
      </c>
      <c r="S44" s="69">
        <f>SUM('Base Financials '!S110:S112)</f>
        <v>-212230</v>
      </c>
      <c r="T44" s="69">
        <f>SUM('Base Financials '!T110:T112)</f>
        <v>-263719</v>
      </c>
      <c r="U44" s="69">
        <f>SUM('Base Financials '!U110:U112)</f>
        <v>-235000</v>
      </c>
      <c r="V44" s="69">
        <f>SUM('Base Financials '!V110:V112)</f>
        <v>-382216</v>
      </c>
      <c r="W44" s="69">
        <f>SUM('Base Financials '!W110:W112)</f>
        <v>-95413</v>
      </c>
      <c r="Y44" s="72">
        <f>SUM(J44:M44)</f>
        <v>-861014</v>
      </c>
      <c r="Z44" s="72">
        <f>SUM(K44:N44)</f>
        <v>-1025759</v>
      </c>
      <c r="AA44" s="72">
        <f>SUM(L44:O44)</f>
        <v>-1016385</v>
      </c>
      <c r="AB44" s="72">
        <f>SUM(M44:P44)</f>
        <v>-1167262</v>
      </c>
      <c r="AC44" s="72">
        <f>SUM(N44:Q44)</f>
        <v>-1006124</v>
      </c>
      <c r="AD44" s="72">
        <f>SUM(O44:R44)</f>
        <v>-1013676</v>
      </c>
      <c r="AE44" s="72">
        <f>SUM(P44:S44)</f>
        <v>-950532</v>
      </c>
      <c r="AF44" s="72">
        <f>SUM(Q44:T44)</f>
        <v>-932297</v>
      </c>
      <c r="AG44" s="72">
        <f t="shared" si="79"/>
        <v>-1014750</v>
      </c>
      <c r="AH44" s="72">
        <f t="shared" si="79"/>
        <v>-1093165</v>
      </c>
      <c r="AI44" s="72">
        <f t="shared" si="79"/>
        <v>-976348</v>
      </c>
    </row>
    <row r="45" spans="2:37" ht="12.75" customHeight="1" x14ac:dyDescent="0.2">
      <c r="B45" s="89" t="s">
        <v>162</v>
      </c>
      <c r="C45" s="69">
        <f>'Base Financials '!C99</f>
        <v>-172946</v>
      </c>
      <c r="D45" s="69">
        <f>'Base Financials '!D99</f>
        <v>103115</v>
      </c>
      <c r="E45" s="69">
        <f>'Base Financials '!E99</f>
        <v>-4297</v>
      </c>
      <c r="F45" s="69">
        <f>'Base Financials '!F99</f>
        <v>-2458</v>
      </c>
      <c r="G45" s="69">
        <f>'Base Financials '!G99</f>
        <v>-6158</v>
      </c>
      <c r="H45" s="69">
        <f>'Base Financials '!H99</f>
        <v>-8631</v>
      </c>
      <c r="I45" s="69"/>
      <c r="J45" s="69">
        <f>'Base Financials '!J99</f>
        <v>-797</v>
      </c>
      <c r="K45" s="69">
        <f>'Base Financials '!K99</f>
        <v>-452</v>
      </c>
      <c r="L45" s="69">
        <f>'Base Financials '!L99</f>
        <v>-1819</v>
      </c>
      <c r="M45" s="69">
        <f>'Base Financials '!M99</f>
        <v>610</v>
      </c>
      <c r="N45" s="69">
        <f>'Base Financials '!N99</f>
        <v>-314</v>
      </c>
      <c r="O45" s="69">
        <f>'Base Financials '!O99</f>
        <v>-1373</v>
      </c>
      <c r="P45" s="69">
        <f>'Base Financials '!P99</f>
        <v>-3183</v>
      </c>
      <c r="Q45" s="69">
        <f>'Base Financials '!Q99</f>
        <v>-1288</v>
      </c>
      <c r="R45" s="69">
        <f>'Base Financials '!R99</f>
        <v>-2563</v>
      </c>
      <c r="S45" s="69">
        <f>'Base Financials '!S99</f>
        <v>-2528</v>
      </c>
      <c r="T45" s="69">
        <f>'Base Financials '!T99</f>
        <v>-1017</v>
      </c>
      <c r="U45" s="69">
        <f>'Base Financials '!U99</f>
        <v>-2523</v>
      </c>
      <c r="V45" s="69">
        <f>'Base Financials '!V99</f>
        <v>-7346</v>
      </c>
      <c r="W45" s="69">
        <f>'Base Financials '!W99</f>
        <v>-9784</v>
      </c>
      <c r="Y45" s="72">
        <f>SUM(J45:M45)</f>
        <v>-2458</v>
      </c>
      <c r="Z45" s="72">
        <f>SUM(K45:N45)</f>
        <v>-1975</v>
      </c>
      <c r="AA45" s="72">
        <f>SUM(L45:O45)</f>
        <v>-2896</v>
      </c>
      <c r="AB45" s="72">
        <f>SUM(M45:P45)</f>
        <v>-4260</v>
      </c>
      <c r="AC45" s="72">
        <f>SUM(N45:Q45)</f>
        <v>-6158</v>
      </c>
      <c r="AD45" s="72">
        <f>SUM(O45:R45)</f>
        <v>-8407</v>
      </c>
      <c r="AE45" s="72">
        <f>SUM(P45:S45)</f>
        <v>-9562</v>
      </c>
      <c r="AF45" s="72">
        <f>SUM(Q45:T45)</f>
        <v>-7396</v>
      </c>
      <c r="AG45" s="72">
        <f t="shared" si="79"/>
        <v>-8631</v>
      </c>
      <c r="AH45" s="72">
        <f t="shared" si="79"/>
        <v>-13414</v>
      </c>
      <c r="AI45" s="72">
        <f t="shared" si="79"/>
        <v>-20670</v>
      </c>
    </row>
    <row r="46" spans="2:37" ht="12.75" customHeight="1" x14ac:dyDescent="0.2">
      <c r="B46" s="89" t="s">
        <v>134</v>
      </c>
      <c r="C46" s="69"/>
      <c r="D46" s="69">
        <f>SUM(D51-C51)-SUM(D40:D45)</f>
        <v>219206.52999999933</v>
      </c>
      <c r="E46" s="69">
        <f t="shared" ref="E46:H46" si="80">SUM(E51-D51)-SUM(E40:E45)</f>
        <v>316988</v>
      </c>
      <c r="F46" s="69">
        <f t="shared" si="80"/>
        <v>360035</v>
      </c>
      <c r="G46" s="69">
        <f t="shared" si="80"/>
        <v>319266.00000000186</v>
      </c>
      <c r="H46" s="69">
        <f t="shared" si="80"/>
        <v>305238</v>
      </c>
      <c r="I46" s="69"/>
      <c r="J46" s="69">
        <f>SUM(J51-E51)-SUM(J40:J45)</f>
        <v>40560.000000000466</v>
      </c>
      <c r="K46" s="69">
        <f t="shared" ref="K46" si="81">SUM(K51-J51)-SUM(K40:K45)</f>
        <v>29238</v>
      </c>
      <c r="L46" s="69">
        <f t="shared" ref="L46" si="82">SUM(L51-K51)-SUM(L40:L45)</f>
        <v>76337.999999999534</v>
      </c>
      <c r="M46" s="69">
        <f t="shared" ref="M46" si="83">SUM(M51-L51)-SUM(M40:M45)</f>
        <v>-542198</v>
      </c>
      <c r="N46" s="69">
        <f t="shared" ref="N46" si="84">SUM(N51-M51)-SUM(N40:N45)</f>
        <v>400764.99999999953</v>
      </c>
      <c r="O46" s="69">
        <f t="shared" ref="O46" si="85">SUM(O51-N51)-SUM(O40:O45)</f>
        <v>84526</v>
      </c>
      <c r="P46" s="69">
        <f t="shared" ref="P46" si="86">SUM(P51-O51)-SUM(P40:P45)</f>
        <v>118103</v>
      </c>
      <c r="Q46" s="69">
        <f t="shared" ref="Q46" si="87">SUM(Q51-P51)-SUM(Q40:Q45)</f>
        <v>138230</v>
      </c>
      <c r="R46" s="69">
        <f t="shared" ref="R46" si="88">SUM(R51-Q51)-SUM(R40:R45)</f>
        <v>92863.000000000466</v>
      </c>
      <c r="S46" s="69">
        <f t="shared" ref="S46" si="89">SUM(S51-R51)-SUM(S40:S45)</f>
        <v>110365</v>
      </c>
      <c r="T46" s="69">
        <f t="shared" ref="T46:U46" si="90">SUM(T51-S51)-SUM(T40:T45)</f>
        <v>117759</v>
      </c>
      <c r="U46" s="69">
        <f t="shared" si="90"/>
        <v>-14247</v>
      </c>
      <c r="V46" s="69">
        <f t="shared" ref="V46" si="91">SUM(V51-U51)-SUM(V40:V45)</f>
        <v>93043</v>
      </c>
      <c r="W46" s="69">
        <f t="shared" ref="W46" si="92">SUM(W51-V51)-SUM(W40:W45)</f>
        <v>368716</v>
      </c>
      <c r="Y46" s="72">
        <f>SUM(J46:M46)</f>
        <v>-396062</v>
      </c>
      <c r="Z46" s="72">
        <f>SUM(K46:N46)</f>
        <v>-35857.000000000931</v>
      </c>
      <c r="AA46" s="72">
        <f>SUM(L46:O46)</f>
        <v>19430.999999999069</v>
      </c>
      <c r="AB46" s="72">
        <f>SUM(M46:P46)</f>
        <v>61195.999999999534</v>
      </c>
      <c r="AC46" s="72">
        <f>SUM(N46:Q46)</f>
        <v>741623.99999999953</v>
      </c>
      <c r="AD46" s="72">
        <f>SUM(O46:R46)</f>
        <v>433722.00000000047</v>
      </c>
      <c r="AE46" s="72">
        <f>SUM(P46:S46)</f>
        <v>459561.00000000047</v>
      </c>
      <c r="AF46" s="72">
        <f>SUM(Q46:T46)</f>
        <v>459217.00000000047</v>
      </c>
      <c r="AG46" s="72">
        <f t="shared" si="79"/>
        <v>306740.00000000047</v>
      </c>
      <c r="AH46" s="72">
        <f t="shared" si="79"/>
        <v>306920</v>
      </c>
      <c r="AI46" s="72">
        <f t="shared" si="79"/>
        <v>565271</v>
      </c>
    </row>
    <row r="47" spans="2:37" ht="12.75" customHeight="1" x14ac:dyDescent="0.2">
      <c r="B47" s="64" t="s">
        <v>135</v>
      </c>
      <c r="C47" s="65">
        <f>SUM(C40+SUM(C42:C46))</f>
        <v>-245811</v>
      </c>
      <c r="D47" s="65">
        <f>SUM(D40+SUM(D42:D46))</f>
        <v>636800</v>
      </c>
      <c r="E47" s="65">
        <f>SUM(E40+SUM(E42:E46))</f>
        <v>-614491</v>
      </c>
      <c r="F47" s="65">
        <f>SUM(F40+SUM(F42:F46))</f>
        <v>306317</v>
      </c>
      <c r="G47" s="65">
        <f>SUM(G40+SUM(G42:G46))</f>
        <v>28717</v>
      </c>
      <c r="H47" s="65">
        <f>SUM(H40+SUM(H42:H46))</f>
        <v>-63393</v>
      </c>
      <c r="J47" s="65">
        <f>SUM(J40+SUM(J42:J46))</f>
        <v>222926</v>
      </c>
      <c r="K47" s="65">
        <f>SUM(K40+SUM(K42:K46))</f>
        <v>-220260</v>
      </c>
      <c r="L47" s="65">
        <f>SUM(L40+SUM(L42:L46))</f>
        <v>-183598</v>
      </c>
      <c r="M47" s="65">
        <f>SUM(M40+SUM(M42:M46))</f>
        <v>180932</v>
      </c>
      <c r="N47" s="65">
        <f>SUM(N40+SUM(N42:N46))</f>
        <v>204889</v>
      </c>
      <c r="O47" s="65">
        <f>SUM(O40+SUM(O42:O46))</f>
        <v>-247822</v>
      </c>
      <c r="P47" s="65">
        <f>SUM(P40+SUM(P42:P46))</f>
        <v>-266816</v>
      </c>
      <c r="Q47" s="65">
        <f>SUM(Q40+SUM(Q42:Q46))</f>
        <v>644783</v>
      </c>
      <c r="R47" s="65">
        <f>SUM(R40+SUM(R42:R46))</f>
        <v>-241998</v>
      </c>
      <c r="S47" s="65">
        <f>SUM(S40+SUM(S42:S46))</f>
        <v>-110634</v>
      </c>
      <c r="T47" s="65">
        <f>SUM(T40+SUM(T42:T46))</f>
        <v>-236180</v>
      </c>
      <c r="U47" s="65">
        <f>SUM(U40+SUM(U42:U46))</f>
        <v>525419</v>
      </c>
      <c r="V47" s="65">
        <f t="shared" ref="V47:W47" si="93">SUM(V40+SUM(V42:V46))</f>
        <v>-248572</v>
      </c>
      <c r="W47" s="65">
        <f t="shared" si="93"/>
        <v>-211884</v>
      </c>
      <c r="Y47" s="65">
        <f t="shared" ref="Y47:AE47" si="94">SUM(Y40+SUM(Y42:Y46))</f>
        <v>1.862645149230957E-9</v>
      </c>
      <c r="Z47" s="65">
        <f t="shared" si="94"/>
        <v>-18037.000000002794</v>
      </c>
      <c r="AA47" s="65">
        <f t="shared" si="94"/>
        <v>-45599.000000000931</v>
      </c>
      <c r="AB47" s="65">
        <f t="shared" si="94"/>
        <v>-128816.9999999986</v>
      </c>
      <c r="AC47" s="65">
        <f t="shared" si="94"/>
        <v>335033.99999999953</v>
      </c>
      <c r="AD47" s="65">
        <f t="shared" si="94"/>
        <v>-111852.99999999953</v>
      </c>
      <c r="AE47" s="65">
        <f t="shared" si="94"/>
        <v>25335.000000000466</v>
      </c>
      <c r="AF47" s="65">
        <f>SUM(AF40+SUM(AF42:AF46))</f>
        <v>55971.000000000466</v>
      </c>
      <c r="AG47" s="65">
        <f t="shared" ref="AG47:AI47" si="95">SUM(AG40+SUM(AG42:AG46))</f>
        <v>-63392.999999999534</v>
      </c>
      <c r="AH47" s="65">
        <f t="shared" si="95"/>
        <v>-69966.999999998137</v>
      </c>
      <c r="AI47" s="65">
        <f t="shared" si="95"/>
        <v>-171217.00000000186</v>
      </c>
    </row>
    <row r="48" spans="2:37" ht="5.0999999999999996" customHeight="1" x14ac:dyDescent="0.2"/>
    <row r="49" spans="1:35" ht="12.75" customHeight="1" x14ac:dyDescent="0.2">
      <c r="A49" s="8"/>
      <c r="B49" s="9" t="s">
        <v>136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5.0999999999999996" customHeight="1" x14ac:dyDescent="0.2"/>
    <row r="51" spans="1:35" ht="12.75" customHeight="1" x14ac:dyDescent="0.2">
      <c r="B51" s="11" t="s">
        <v>137</v>
      </c>
      <c r="C51" s="69">
        <f>'Base Financials '!C35</f>
        <v>409251</v>
      </c>
      <c r="D51" s="69">
        <f>'Base Financials '!D35</f>
        <v>1046051</v>
      </c>
      <c r="E51" s="69">
        <f>'Base Financials '!E35</f>
        <v>431560</v>
      </c>
      <c r="F51" s="69">
        <f>'Base Financials '!F35</f>
        <v>737877</v>
      </c>
      <c r="G51" s="69">
        <f>'Base Financials '!G35</f>
        <v>766594</v>
      </c>
      <c r="H51" s="69">
        <f>'Base Financials '!H35</f>
        <v>703201</v>
      </c>
      <c r="I51" s="69"/>
      <c r="J51" s="69">
        <f>'Base Financials '!J35</f>
        <v>654486</v>
      </c>
      <c r="K51" s="69">
        <f>'Base Financials '!K35</f>
        <v>434226</v>
      </c>
      <c r="L51" s="69">
        <f>'Base Financials '!L35</f>
        <v>250628</v>
      </c>
      <c r="M51" s="69">
        <f>'Base Financials '!M35</f>
        <v>431560</v>
      </c>
      <c r="N51" s="69">
        <f>'Base Financials '!N35</f>
        <v>636449</v>
      </c>
      <c r="O51" s="69">
        <f>'Base Financials '!O35</f>
        <v>388627</v>
      </c>
      <c r="P51" s="69">
        <f>'Base Financials '!P35</f>
        <v>121811</v>
      </c>
      <c r="Q51" s="69">
        <f>'Base Financials '!Q35</f>
        <v>766594</v>
      </c>
      <c r="R51" s="69">
        <f>'Base Financials '!R35</f>
        <v>524596</v>
      </c>
      <c r="S51" s="69">
        <f>'Base Financials '!S35</f>
        <v>413962</v>
      </c>
      <c r="T51" s="69">
        <f>'Base Financials '!T35</f>
        <v>177782</v>
      </c>
      <c r="U51" s="69">
        <f>'Base Financials '!U35</f>
        <v>703201</v>
      </c>
      <c r="V51" s="69">
        <f>'Base Financials '!V35</f>
        <v>454629</v>
      </c>
      <c r="W51" s="69">
        <f>'Base Financials '!W35</f>
        <v>242745</v>
      </c>
      <c r="Y51" s="72">
        <f t="shared" ref="Y51:AE52" si="96">M51</f>
        <v>431560</v>
      </c>
      <c r="Z51" s="72">
        <f t="shared" si="96"/>
        <v>636449</v>
      </c>
      <c r="AA51" s="72">
        <f t="shared" si="96"/>
        <v>388627</v>
      </c>
      <c r="AB51" s="72">
        <f t="shared" si="96"/>
        <v>121811</v>
      </c>
      <c r="AC51" s="72">
        <f t="shared" si="96"/>
        <v>766594</v>
      </c>
      <c r="AD51" s="72">
        <f t="shared" si="96"/>
        <v>524596</v>
      </c>
      <c r="AE51" s="72">
        <f t="shared" si="96"/>
        <v>413962</v>
      </c>
      <c r="AF51" s="72">
        <f t="shared" ref="AF51:AF52" si="97">T51</f>
        <v>177782</v>
      </c>
      <c r="AG51" s="72">
        <f t="shared" ref="AG51:AG52" si="98">U51</f>
        <v>703201</v>
      </c>
      <c r="AH51" s="72">
        <f t="shared" ref="AH51:AH52" si="99">V51</f>
        <v>454629</v>
      </c>
      <c r="AI51" s="72">
        <f t="shared" ref="AI51:AI52" si="100">W51</f>
        <v>242745</v>
      </c>
    </row>
    <row r="52" spans="1:35" ht="12.75" customHeight="1" x14ac:dyDescent="0.2">
      <c r="B52" s="11" t="s">
        <v>163</v>
      </c>
      <c r="C52" s="127"/>
      <c r="D52" s="127"/>
      <c r="E52" s="127"/>
      <c r="F52" s="69">
        <v>800000</v>
      </c>
      <c r="G52" s="69">
        <v>800000</v>
      </c>
      <c r="H52" s="69">
        <v>800000</v>
      </c>
      <c r="I52" s="69"/>
      <c r="J52" s="69">
        <v>1000000</v>
      </c>
      <c r="K52" s="69">
        <v>1000000</v>
      </c>
      <c r="L52" s="69">
        <v>1000000</v>
      </c>
      <c r="M52" s="69">
        <f>F52</f>
        <v>800000</v>
      </c>
      <c r="N52" s="69">
        <v>800000</v>
      </c>
      <c r="O52" s="69">
        <v>800000</v>
      </c>
      <c r="P52" s="69">
        <f>800000-P66</f>
        <v>604600</v>
      </c>
      <c r="Q52" s="69">
        <v>800000</v>
      </c>
      <c r="R52" s="69">
        <v>800000</v>
      </c>
      <c r="S52" s="69">
        <v>800000</v>
      </c>
      <c r="T52" s="69">
        <f>800000-T66</f>
        <v>800000</v>
      </c>
      <c r="U52" s="69">
        <f>H52</f>
        <v>800000</v>
      </c>
      <c r="V52" s="69"/>
      <c r="W52" s="69"/>
      <c r="Y52" s="72">
        <f t="shared" si="96"/>
        <v>800000</v>
      </c>
      <c r="Z52" s="72">
        <f t="shared" si="96"/>
        <v>800000</v>
      </c>
      <c r="AA52" s="72">
        <f t="shared" si="96"/>
        <v>800000</v>
      </c>
      <c r="AB52" s="72">
        <f t="shared" si="96"/>
        <v>604600</v>
      </c>
      <c r="AC52" s="72">
        <f t="shared" si="96"/>
        <v>800000</v>
      </c>
      <c r="AD52" s="72">
        <f t="shared" si="96"/>
        <v>800000</v>
      </c>
      <c r="AE52" s="72">
        <f t="shared" si="96"/>
        <v>800000</v>
      </c>
      <c r="AF52" s="72">
        <f t="shared" si="97"/>
        <v>800000</v>
      </c>
      <c r="AG52" s="72">
        <f t="shared" si="98"/>
        <v>800000</v>
      </c>
      <c r="AH52" s="72">
        <f t="shared" si="99"/>
        <v>0</v>
      </c>
      <c r="AI52" s="72">
        <f t="shared" si="100"/>
        <v>0</v>
      </c>
    </row>
    <row r="53" spans="1:35" ht="12.75" customHeight="1" x14ac:dyDescent="0.2">
      <c r="B53" s="64" t="s">
        <v>138</v>
      </c>
      <c r="C53" s="65">
        <f t="shared" ref="C53:D53" si="101">SUM(C51:C52)</f>
        <v>409251</v>
      </c>
      <c r="D53" s="65">
        <f t="shared" si="101"/>
        <v>1046051</v>
      </c>
      <c r="E53" s="65">
        <f>SUM(E51:E52)</f>
        <v>431560</v>
      </c>
      <c r="F53" s="65">
        <f>SUM(F51:F52)</f>
        <v>1537877</v>
      </c>
      <c r="G53" s="65">
        <f>SUM(G51:G52)</f>
        <v>1566594</v>
      </c>
      <c r="H53" s="65">
        <f>SUM(H51:H52)</f>
        <v>1503201</v>
      </c>
      <c r="J53" s="65">
        <f t="shared" ref="J53:U53" si="102">SUM(J51:J52)</f>
        <v>1654486</v>
      </c>
      <c r="K53" s="65">
        <f t="shared" si="102"/>
        <v>1434226</v>
      </c>
      <c r="L53" s="65">
        <f t="shared" si="102"/>
        <v>1250628</v>
      </c>
      <c r="M53" s="65">
        <f t="shared" si="102"/>
        <v>1231560</v>
      </c>
      <c r="N53" s="65">
        <f t="shared" si="102"/>
        <v>1436449</v>
      </c>
      <c r="O53" s="65">
        <f t="shared" si="102"/>
        <v>1188627</v>
      </c>
      <c r="P53" s="65">
        <f t="shared" si="102"/>
        <v>726411</v>
      </c>
      <c r="Q53" s="65">
        <f t="shared" si="102"/>
        <v>1566594</v>
      </c>
      <c r="R53" s="65">
        <f t="shared" si="102"/>
        <v>1324596</v>
      </c>
      <c r="S53" s="65">
        <f t="shared" si="102"/>
        <v>1213962</v>
      </c>
      <c r="T53" s="65">
        <f t="shared" si="102"/>
        <v>977782</v>
      </c>
      <c r="U53" s="65">
        <f t="shared" si="102"/>
        <v>1503201</v>
      </c>
      <c r="V53" s="65">
        <f t="shared" ref="V53" si="103">SUM(V51:V52)</f>
        <v>454629</v>
      </c>
      <c r="W53" s="65">
        <f t="shared" ref="W53" si="104">SUM(W51:W52)</f>
        <v>242745</v>
      </c>
      <c r="Y53" s="65">
        <f t="shared" ref="Y53:AE53" si="105">SUM(Y51:Y52)</f>
        <v>1231560</v>
      </c>
      <c r="Z53" s="65">
        <f t="shared" si="105"/>
        <v>1436449</v>
      </c>
      <c r="AA53" s="65">
        <f t="shared" si="105"/>
        <v>1188627</v>
      </c>
      <c r="AB53" s="65">
        <f t="shared" si="105"/>
        <v>726411</v>
      </c>
      <c r="AC53" s="65">
        <f t="shared" si="105"/>
        <v>1566594</v>
      </c>
      <c r="AD53" s="65">
        <f t="shared" si="105"/>
        <v>1324596</v>
      </c>
      <c r="AE53" s="65">
        <f t="shared" si="105"/>
        <v>1213962</v>
      </c>
      <c r="AF53" s="65">
        <f t="shared" ref="AF53:AI53" si="106">SUM(AF51:AF52)</f>
        <v>977782</v>
      </c>
      <c r="AG53" s="65">
        <f t="shared" si="106"/>
        <v>1503201</v>
      </c>
      <c r="AH53" s="65">
        <f t="shared" si="106"/>
        <v>454629</v>
      </c>
      <c r="AI53" s="65">
        <f t="shared" si="106"/>
        <v>242745</v>
      </c>
    </row>
    <row r="54" spans="1:35" ht="5.0999999999999996" customHeight="1" x14ac:dyDescent="0.2"/>
    <row r="55" spans="1:35" ht="12.75" customHeight="1" x14ac:dyDescent="0.2">
      <c r="B55" s="90" t="s">
        <v>139</v>
      </c>
    </row>
    <row r="56" spans="1:35" ht="12.75" customHeight="1" x14ac:dyDescent="0.2">
      <c r="B56" s="11" t="s">
        <v>140</v>
      </c>
      <c r="C56" s="72">
        <f>'Base Financials '!C36</f>
        <v>136168</v>
      </c>
      <c r="D56" s="72">
        <f>'Base Financials '!D36</f>
        <v>193109</v>
      </c>
      <c r="E56" s="72">
        <f>'Base Financials '!E36</f>
        <v>233682</v>
      </c>
      <c r="F56" s="72">
        <f>'Base Financials '!F36</f>
        <v>199422</v>
      </c>
      <c r="G56" s="72">
        <f>'Base Financials '!G36</f>
        <v>207939</v>
      </c>
      <c r="H56" s="72">
        <f>'Base Financials '!H36</f>
        <v>223334</v>
      </c>
      <c r="J56" s="72">
        <f>'Base Financials '!J36</f>
        <v>192754</v>
      </c>
      <c r="K56" s="72">
        <f>'Base Financials '!K36</f>
        <v>180514</v>
      </c>
      <c r="L56" s="72">
        <f>'Base Financials '!L36</f>
        <v>200304</v>
      </c>
      <c r="M56" s="72">
        <f>'Base Financials '!M36</f>
        <v>233682</v>
      </c>
      <c r="N56" s="72">
        <f>'Base Financials '!N36</f>
        <v>190282</v>
      </c>
      <c r="O56" s="72">
        <f>'Base Financials '!O36</f>
        <v>174444</v>
      </c>
      <c r="P56" s="72">
        <f>'Base Financials '!P36</f>
        <v>202868</v>
      </c>
      <c r="Q56" s="72">
        <f>'Base Financials '!Q36</f>
        <v>207939</v>
      </c>
      <c r="R56" s="72">
        <f>'Base Financials '!R36</f>
        <v>203463</v>
      </c>
      <c r="S56" s="72">
        <f>'Base Financials '!S36</f>
        <v>200863</v>
      </c>
      <c r="T56" s="72">
        <f>'Base Financials '!T36</f>
        <v>213621</v>
      </c>
      <c r="U56" s="72">
        <f>'Base Financials '!U36</f>
        <v>223334</v>
      </c>
      <c r="V56" s="72">
        <f>'Base Financials '!V36</f>
        <v>225146</v>
      </c>
      <c r="W56" s="72">
        <f>'Base Financials '!W36</f>
        <v>224412</v>
      </c>
      <c r="X56" s="72"/>
      <c r="Y56" s="72">
        <f t="shared" ref="Y56:Y60" si="107">M56</f>
        <v>233682</v>
      </c>
      <c r="Z56" s="72">
        <f t="shared" ref="Z56:Z60" si="108">N56</f>
        <v>190282</v>
      </c>
      <c r="AA56" s="72">
        <f t="shared" ref="AA56:AA60" si="109">O56</f>
        <v>174444</v>
      </c>
      <c r="AB56" s="72">
        <f t="shared" ref="AB56:AB60" si="110">P56</f>
        <v>202868</v>
      </c>
      <c r="AC56" s="72">
        <f t="shared" ref="AC56:AC60" si="111">Q56</f>
        <v>207939</v>
      </c>
      <c r="AD56" s="72">
        <f t="shared" ref="AD56:AD60" si="112">R56</f>
        <v>203463</v>
      </c>
      <c r="AE56" s="72">
        <f t="shared" ref="AE56:AE60" si="113">S56</f>
        <v>200863</v>
      </c>
      <c r="AF56" s="72">
        <f t="shared" ref="AF56:AF60" si="114">T56</f>
        <v>213621</v>
      </c>
      <c r="AG56" s="72">
        <f t="shared" ref="AG56:AG60" si="115">U56</f>
        <v>223334</v>
      </c>
      <c r="AH56" s="72">
        <f t="shared" ref="AH56:AH60" si="116">V56</f>
        <v>225146</v>
      </c>
      <c r="AI56" s="72">
        <f t="shared" ref="AI56:AI60" si="117">W56</f>
        <v>224412</v>
      </c>
    </row>
    <row r="57" spans="1:35" ht="12.75" customHeight="1" x14ac:dyDescent="0.2">
      <c r="B57" s="11" t="s">
        <v>141</v>
      </c>
      <c r="C57" s="72">
        <f>'Base Financials '!C50</f>
        <v>404016</v>
      </c>
      <c r="D57" s="72">
        <f>'Base Financials '!D50</f>
        <v>477052</v>
      </c>
      <c r="E57" s="72">
        <f>'Base Financials '!E50</f>
        <v>552730</v>
      </c>
      <c r="F57" s="72">
        <f>'Base Financials '!F50</f>
        <v>559527</v>
      </c>
      <c r="G57" s="72">
        <f>'Base Financials '!G50</f>
        <v>544001</v>
      </c>
      <c r="H57" s="72">
        <f>'Base Financials '!H50</f>
        <v>563761</v>
      </c>
      <c r="J57" s="72">
        <f>'Base Financials '!J50</f>
        <v>585500</v>
      </c>
      <c r="K57" s="72">
        <f>'Base Financials '!K50</f>
        <v>586851</v>
      </c>
      <c r="L57" s="72">
        <f>'Base Financials '!L50</f>
        <v>647117</v>
      </c>
      <c r="M57" s="72">
        <f>'Base Financials '!M50</f>
        <v>552730</v>
      </c>
      <c r="N57" s="72">
        <f>'Base Financials '!N50</f>
        <v>621272</v>
      </c>
      <c r="O57" s="72">
        <f>'Base Financials '!O50</f>
        <v>521315</v>
      </c>
      <c r="P57" s="72">
        <f>'Base Financials '!P50</f>
        <v>597373</v>
      </c>
      <c r="Q57" s="72">
        <f>'Base Financials '!Q50</f>
        <v>544001</v>
      </c>
      <c r="R57" s="72">
        <f>'Base Financials '!R50</f>
        <v>463777</v>
      </c>
      <c r="S57" s="72">
        <f>'Base Financials '!S50</f>
        <v>566904</v>
      </c>
      <c r="T57" s="72">
        <f>'Base Financials '!T50</f>
        <v>593219</v>
      </c>
      <c r="U57" s="72">
        <f>'Base Financials '!U50</f>
        <v>563761</v>
      </c>
      <c r="V57" s="72">
        <f>'Base Financials '!V50</f>
        <v>537518</v>
      </c>
      <c r="W57" s="72">
        <f>'Base Financials '!W50</f>
        <v>708655</v>
      </c>
      <c r="Y57" s="72">
        <f t="shared" si="107"/>
        <v>552730</v>
      </c>
      <c r="Z57" s="72">
        <f t="shared" si="108"/>
        <v>621272</v>
      </c>
      <c r="AA57" s="72">
        <f t="shared" si="109"/>
        <v>521315</v>
      </c>
      <c r="AB57" s="72">
        <f t="shared" si="110"/>
        <v>597373</v>
      </c>
      <c r="AC57" s="72">
        <f t="shared" si="111"/>
        <v>544001</v>
      </c>
      <c r="AD57" s="72">
        <f t="shared" si="112"/>
        <v>463777</v>
      </c>
      <c r="AE57" s="72">
        <f t="shared" si="113"/>
        <v>566904</v>
      </c>
      <c r="AF57" s="72">
        <f t="shared" si="114"/>
        <v>593219</v>
      </c>
      <c r="AG57" s="72">
        <f t="shared" si="115"/>
        <v>563761</v>
      </c>
      <c r="AH57" s="72">
        <f t="shared" si="116"/>
        <v>537518</v>
      </c>
      <c r="AI57" s="72">
        <f t="shared" si="117"/>
        <v>708655</v>
      </c>
    </row>
    <row r="58" spans="1:35" ht="12.75" customHeight="1" x14ac:dyDescent="0.2">
      <c r="B58" s="11" t="s">
        <v>142</v>
      </c>
      <c r="C58" s="72">
        <f>'Base Financials '!C42</f>
        <v>1226029</v>
      </c>
      <c r="D58" s="72">
        <f>'Base Financials '!D42</f>
        <v>995795</v>
      </c>
      <c r="E58" s="72">
        <f>'Base Financials '!E42</f>
        <v>914476</v>
      </c>
      <c r="F58" s="72">
        <f>'Base Financials '!F42</f>
        <v>1009273</v>
      </c>
      <c r="G58" s="72">
        <f>'Base Financials '!G42</f>
        <v>1182335</v>
      </c>
      <c r="H58" s="72">
        <f>'Base Financials '!H42</f>
        <v>1239295</v>
      </c>
      <c r="J58" s="72">
        <f>'Base Financials '!J42</f>
        <v>909543</v>
      </c>
      <c r="K58" s="72">
        <f>'Base Financials '!K42</f>
        <v>912017</v>
      </c>
      <c r="L58" s="72">
        <f>'Base Financials '!L42</f>
        <v>967039</v>
      </c>
      <c r="M58" s="72">
        <f>'Base Financials '!M42</f>
        <v>914476</v>
      </c>
      <c r="N58" s="72">
        <f>'Base Financials '!N42</f>
        <v>1019978</v>
      </c>
      <c r="O58" s="72">
        <f>'Base Financials '!O42</f>
        <v>1073144</v>
      </c>
      <c r="P58" s="72">
        <f>'Base Financials '!P42</f>
        <v>1117874</v>
      </c>
      <c r="Q58" s="72">
        <f>'Base Financials '!Q42</f>
        <v>1182335</v>
      </c>
      <c r="R58" s="72">
        <f>'Base Financials '!R42</f>
        <v>1195658</v>
      </c>
      <c r="S58" s="72">
        <f>'Base Financials '!S42</f>
        <v>1225850</v>
      </c>
      <c r="T58" s="72">
        <f>'Base Financials '!T42</f>
        <v>1264419</v>
      </c>
      <c r="U58" s="72">
        <f>'Base Financials '!U42</f>
        <v>1239295</v>
      </c>
      <c r="V58" s="72">
        <f>'Base Financials '!V42</f>
        <v>1251287</v>
      </c>
      <c r="W58" s="72">
        <f>'Base Financials '!W42</f>
        <v>1332503</v>
      </c>
      <c r="Y58" s="72">
        <f t="shared" si="107"/>
        <v>914476</v>
      </c>
      <c r="Z58" s="72">
        <f t="shared" si="108"/>
        <v>1019978</v>
      </c>
      <c r="AA58" s="72">
        <f t="shared" si="109"/>
        <v>1073144</v>
      </c>
      <c r="AB58" s="72">
        <f t="shared" si="110"/>
        <v>1117874</v>
      </c>
      <c r="AC58" s="72">
        <f t="shared" si="111"/>
        <v>1182335</v>
      </c>
      <c r="AD58" s="72">
        <f t="shared" si="112"/>
        <v>1195658</v>
      </c>
      <c r="AE58" s="72">
        <f t="shared" si="113"/>
        <v>1225850</v>
      </c>
      <c r="AF58" s="72">
        <f t="shared" si="114"/>
        <v>1264419</v>
      </c>
      <c r="AG58" s="72">
        <f t="shared" si="115"/>
        <v>1239295</v>
      </c>
      <c r="AH58" s="72">
        <f t="shared" si="116"/>
        <v>1251287</v>
      </c>
      <c r="AI58" s="72">
        <f t="shared" si="117"/>
        <v>1332503</v>
      </c>
    </row>
    <row r="59" spans="1:35" ht="12.75" customHeight="1" x14ac:dyDescent="0.2">
      <c r="B59" s="11" t="s">
        <v>12</v>
      </c>
      <c r="C59" s="72">
        <f>'Base Financials '!C56</f>
        <v>823736</v>
      </c>
      <c r="D59" s="72">
        <f>'Base Financials '!D56</f>
        <v>1343713</v>
      </c>
      <c r="E59" s="72">
        <f>'Base Financials '!E56</f>
        <v>1558010</v>
      </c>
      <c r="F59" s="72">
        <f>'Base Financials '!F56</f>
        <v>1681775</v>
      </c>
      <c r="G59" s="72">
        <f>'Base Financials '!G56</f>
        <v>1658191</v>
      </c>
      <c r="H59" s="72">
        <f>'Base Financials '!H56</f>
        <v>1779478</v>
      </c>
      <c r="J59" s="72">
        <f>'Base Financials '!J56</f>
        <v>1599747</v>
      </c>
      <c r="K59" s="72">
        <f>'Base Financials '!K56</f>
        <v>1502054</v>
      </c>
      <c r="L59" s="72">
        <f>'Base Financials '!L56</f>
        <v>1697771</v>
      </c>
      <c r="M59" s="72">
        <f>'Base Financials '!M56</f>
        <v>1558010</v>
      </c>
      <c r="N59" s="72">
        <f>'Base Financials '!N56</f>
        <v>1633900</v>
      </c>
      <c r="O59" s="72">
        <f>'Base Financials '!O56</f>
        <v>1491174</v>
      </c>
      <c r="P59" s="72">
        <f>'Base Financials '!P56</f>
        <v>1641539</v>
      </c>
      <c r="Q59" s="72">
        <f>'Base Financials '!Q56</f>
        <v>1658191</v>
      </c>
      <c r="R59" s="72">
        <f>'Base Financials '!R56</f>
        <v>1572724</v>
      </c>
      <c r="S59" s="72">
        <f>'Base Financials '!S56</f>
        <v>1591234</v>
      </c>
      <c r="T59" s="72">
        <f>'Base Financials '!T56</f>
        <v>1816407</v>
      </c>
      <c r="U59" s="72">
        <f>'Base Financials '!U56</f>
        <v>1779478</v>
      </c>
      <c r="V59" s="72">
        <f>'Base Financials '!V56</f>
        <v>1763850</v>
      </c>
      <c r="W59" s="72">
        <f>'Base Financials '!W56</f>
        <v>2200813</v>
      </c>
      <c r="Y59" s="72">
        <f t="shared" si="107"/>
        <v>1558010</v>
      </c>
      <c r="Z59" s="72">
        <f t="shared" si="108"/>
        <v>1633900</v>
      </c>
      <c r="AA59" s="72">
        <f t="shared" si="109"/>
        <v>1491174</v>
      </c>
      <c r="AB59" s="72">
        <f t="shared" si="110"/>
        <v>1641539</v>
      </c>
      <c r="AC59" s="72">
        <f t="shared" si="111"/>
        <v>1658191</v>
      </c>
      <c r="AD59" s="72">
        <f t="shared" si="112"/>
        <v>1572724</v>
      </c>
      <c r="AE59" s="72">
        <f t="shared" si="113"/>
        <v>1591234</v>
      </c>
      <c r="AF59" s="72">
        <f t="shared" si="114"/>
        <v>1816407</v>
      </c>
      <c r="AG59" s="72">
        <f t="shared" si="115"/>
        <v>1779478</v>
      </c>
      <c r="AH59" s="72">
        <f t="shared" si="116"/>
        <v>1763850</v>
      </c>
      <c r="AI59" s="72">
        <f t="shared" si="117"/>
        <v>2200813</v>
      </c>
    </row>
    <row r="60" spans="1:35" ht="12.75" customHeight="1" x14ac:dyDescent="0.2">
      <c r="B60" s="11" t="s">
        <v>13</v>
      </c>
      <c r="C60" s="72">
        <f>'Base Financials '!C61</f>
        <v>1362940</v>
      </c>
      <c r="D60" s="72">
        <f>'Base Financials '!D61</f>
        <v>3093981</v>
      </c>
      <c r="E60" s="72">
        <f>'Base Financials '!E61</f>
        <v>3232869</v>
      </c>
      <c r="F60" s="72">
        <f>'Base Financials '!F61</f>
        <v>3415810</v>
      </c>
      <c r="G60" s="72">
        <f>'Base Financials '!G61</f>
        <v>3432701</v>
      </c>
      <c r="H60" s="72">
        <f>'Base Financials '!H61</f>
        <v>3513340</v>
      </c>
      <c r="I60" s="72"/>
      <c r="J60" s="72">
        <f>'Base Financials '!J61</f>
        <v>3266416</v>
      </c>
      <c r="K60" s="72">
        <f>'Base Financials '!K61</f>
        <v>3176926</v>
      </c>
      <c r="L60" s="72">
        <f>'Base Financials '!L61</f>
        <v>3409294</v>
      </c>
      <c r="M60" s="72">
        <f>'Base Financials '!M61</f>
        <v>3232869</v>
      </c>
      <c r="N60" s="72">
        <f>'Base Financials '!N61</f>
        <v>3357651</v>
      </c>
      <c r="O60" s="72">
        <f>'Base Financials '!O61</f>
        <v>3196883</v>
      </c>
      <c r="P60" s="72">
        <f>'Base Financials '!P61</f>
        <v>3371066</v>
      </c>
      <c r="Q60" s="72">
        <f>'Base Financials '!Q61</f>
        <v>3432701</v>
      </c>
      <c r="R60" s="72">
        <f>'Base Financials '!R61</f>
        <v>3331196</v>
      </c>
      <c r="S60" s="72">
        <f>'Base Financials '!S61</f>
        <v>3389248</v>
      </c>
      <c r="T60" s="72">
        <f>'Base Financials '!T61</f>
        <v>3629477</v>
      </c>
      <c r="U60" s="72">
        <f>'Base Financials '!U61</f>
        <v>3513340</v>
      </c>
      <c r="V60" s="72">
        <f>'Base Financials '!V61</f>
        <v>3556386</v>
      </c>
      <c r="W60" s="72">
        <f>'Base Financials '!W61</f>
        <v>4026833</v>
      </c>
      <c r="Y60" s="72">
        <f t="shared" si="107"/>
        <v>3232869</v>
      </c>
      <c r="Z60" s="72">
        <f t="shared" si="108"/>
        <v>3357651</v>
      </c>
      <c r="AA60" s="72">
        <f t="shared" si="109"/>
        <v>3196883</v>
      </c>
      <c r="AB60" s="72">
        <f t="shared" si="110"/>
        <v>3371066</v>
      </c>
      <c r="AC60" s="72">
        <f t="shared" si="111"/>
        <v>3432701</v>
      </c>
      <c r="AD60" s="72">
        <f t="shared" si="112"/>
        <v>3331196</v>
      </c>
      <c r="AE60" s="72">
        <f t="shared" si="113"/>
        <v>3389248</v>
      </c>
      <c r="AF60" s="72">
        <f t="shared" si="114"/>
        <v>3629477</v>
      </c>
      <c r="AG60" s="72">
        <f t="shared" si="115"/>
        <v>3513340</v>
      </c>
      <c r="AH60" s="72">
        <f t="shared" si="116"/>
        <v>3556386</v>
      </c>
      <c r="AI60" s="72">
        <f t="shared" si="117"/>
        <v>4026833</v>
      </c>
    </row>
    <row r="61" spans="1:35" ht="5.0999999999999996" customHeight="1" x14ac:dyDescent="0.2"/>
    <row r="62" spans="1:35" ht="12.75" customHeight="1" x14ac:dyDescent="0.2">
      <c r="B62" s="90" t="s">
        <v>143</v>
      </c>
    </row>
    <row r="63" spans="1:35" ht="12.75" customHeight="1" x14ac:dyDescent="0.2">
      <c r="B63" s="11" t="s">
        <v>144</v>
      </c>
      <c r="C63" s="72">
        <f>'Base Financials '!C55</f>
        <v>0</v>
      </c>
      <c r="D63" s="72">
        <f>'Base Financials '!D55</f>
        <v>0</v>
      </c>
      <c r="E63" s="72">
        <f>'Base Financials '!E55</f>
        <v>0</v>
      </c>
      <c r="F63" s="72">
        <f>'Base Financials '!F55</f>
        <v>0</v>
      </c>
      <c r="G63" s="72">
        <f>'Base Financials '!G55</f>
        <v>0</v>
      </c>
      <c r="H63" s="72">
        <f>'Base Financials '!H55</f>
        <v>0</v>
      </c>
      <c r="J63" s="72">
        <f>'Base Financials '!J55</f>
        <v>0</v>
      </c>
      <c r="K63" s="72">
        <f>'Base Financials '!K55</f>
        <v>0</v>
      </c>
      <c r="L63" s="72">
        <f>'Base Financials '!L55</f>
        <v>0</v>
      </c>
      <c r="M63" s="72">
        <f>'Base Financials '!M55</f>
        <v>0</v>
      </c>
      <c r="N63" s="72">
        <f>'Base Financials '!N55</f>
        <v>0</v>
      </c>
      <c r="O63" s="72">
        <f>'Base Financials '!O55</f>
        <v>0</v>
      </c>
      <c r="P63" s="72">
        <f>'Base Financials '!P55</f>
        <v>195400</v>
      </c>
      <c r="Q63" s="72">
        <f>'Base Financials '!Q55</f>
        <v>0</v>
      </c>
      <c r="R63" s="72">
        <f>'Base Financials '!R55</f>
        <v>0</v>
      </c>
      <c r="S63" s="72">
        <f>'Base Financials '!S55</f>
        <v>0</v>
      </c>
      <c r="T63" s="72">
        <f>'Base Financials '!T55</f>
        <v>199700</v>
      </c>
      <c r="U63" s="72">
        <f>'Base Financials '!U55</f>
        <v>0</v>
      </c>
      <c r="V63" s="72">
        <f>'Base Financials '!V55</f>
        <v>0</v>
      </c>
      <c r="W63" s="72">
        <f>'Base Financials '!W55</f>
        <v>289101</v>
      </c>
      <c r="Y63" s="72">
        <f t="shared" ref="Y63:Y64" si="118">M63</f>
        <v>0</v>
      </c>
      <c r="Z63" s="72">
        <f t="shared" ref="Z63:Z64" si="119">N63</f>
        <v>0</v>
      </c>
      <c r="AA63" s="72">
        <f t="shared" ref="AA63:AA64" si="120">O63</f>
        <v>0</v>
      </c>
      <c r="AB63" s="72">
        <f t="shared" ref="AB63:AB64" si="121">P63</f>
        <v>195400</v>
      </c>
      <c r="AC63" s="72">
        <f t="shared" ref="AC63:AC64" si="122">Q63</f>
        <v>0</v>
      </c>
      <c r="AD63" s="72">
        <f t="shared" ref="AD63:AD64" si="123">R63</f>
        <v>0</v>
      </c>
      <c r="AE63" s="72">
        <f t="shared" ref="AE63:AE64" si="124">S63</f>
        <v>0</v>
      </c>
      <c r="AF63" s="72">
        <f t="shared" ref="AF63:AF64" si="125">T63</f>
        <v>199700</v>
      </c>
      <c r="AG63" s="72">
        <f t="shared" ref="AG63:AG64" si="126">U63</f>
        <v>0</v>
      </c>
      <c r="AH63" s="72">
        <f t="shared" ref="AH63:AH64" si="127">V63</f>
        <v>0</v>
      </c>
      <c r="AI63" s="72">
        <f t="shared" ref="AI63:AI64" si="128">W63</f>
        <v>289101</v>
      </c>
    </row>
    <row r="64" spans="1:35" ht="12.75" customHeight="1" x14ac:dyDescent="0.2">
      <c r="B64" s="11" t="s">
        <v>145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J64" s="72">
        <v>0</v>
      </c>
      <c r="K64" s="72">
        <v>0</v>
      </c>
      <c r="L64" s="72">
        <v>0</v>
      </c>
      <c r="M64" s="72">
        <v>0</v>
      </c>
      <c r="N64" s="72">
        <v>0</v>
      </c>
      <c r="O64" s="72">
        <v>0</v>
      </c>
      <c r="P64" s="72">
        <v>0</v>
      </c>
      <c r="Q64" s="72">
        <v>0</v>
      </c>
      <c r="R64" s="72">
        <v>0</v>
      </c>
      <c r="S64" s="72">
        <v>0</v>
      </c>
      <c r="T64" s="72">
        <v>0</v>
      </c>
      <c r="U64" s="72">
        <v>0</v>
      </c>
      <c r="V64" s="72">
        <v>0</v>
      </c>
      <c r="W64" s="72">
        <v>0</v>
      </c>
      <c r="Y64" s="72">
        <f t="shared" si="118"/>
        <v>0</v>
      </c>
      <c r="Z64" s="72">
        <f t="shared" si="119"/>
        <v>0</v>
      </c>
      <c r="AA64" s="72">
        <f t="shared" si="120"/>
        <v>0</v>
      </c>
      <c r="AB64" s="72">
        <f t="shared" si="121"/>
        <v>0</v>
      </c>
      <c r="AC64" s="72">
        <f t="shared" si="122"/>
        <v>0</v>
      </c>
      <c r="AD64" s="72">
        <f t="shared" si="123"/>
        <v>0</v>
      </c>
      <c r="AE64" s="72">
        <f t="shared" si="124"/>
        <v>0</v>
      </c>
      <c r="AF64" s="72">
        <f t="shared" si="125"/>
        <v>0</v>
      </c>
      <c r="AG64" s="72">
        <f t="shared" si="126"/>
        <v>0</v>
      </c>
      <c r="AH64" s="72">
        <f t="shared" si="127"/>
        <v>0</v>
      </c>
      <c r="AI64" s="72">
        <f t="shared" si="128"/>
        <v>0</v>
      </c>
    </row>
    <row r="66" spans="1:35" ht="12.75" customHeight="1" x14ac:dyDescent="0.2">
      <c r="B66" s="89" t="s">
        <v>163</v>
      </c>
      <c r="C66" s="69"/>
      <c r="D66" s="69"/>
      <c r="E66" s="69"/>
      <c r="F66" s="69">
        <v>0</v>
      </c>
      <c r="G66" s="69">
        <v>0</v>
      </c>
      <c r="H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195400</v>
      </c>
      <c r="Q66" s="69">
        <f>G66</f>
        <v>0</v>
      </c>
      <c r="R66" s="69"/>
      <c r="S66" s="69">
        <v>0</v>
      </c>
      <c r="T66" s="69">
        <f>H66</f>
        <v>0</v>
      </c>
      <c r="U66" s="69"/>
      <c r="V66" s="69"/>
      <c r="W66" s="69"/>
      <c r="Y66" s="72">
        <f t="shared" ref="Y66" si="129">M66</f>
        <v>0</v>
      </c>
      <c r="Z66" s="72">
        <f t="shared" ref="Z66" si="130">N66</f>
        <v>0</v>
      </c>
      <c r="AA66" s="72">
        <f t="shared" ref="AA66" si="131">O66</f>
        <v>0</v>
      </c>
      <c r="AB66" s="72">
        <f t="shared" ref="AB66" si="132">P66</f>
        <v>195400</v>
      </c>
      <c r="AC66" s="72">
        <f t="shared" ref="AC66" si="133">Q66</f>
        <v>0</v>
      </c>
      <c r="AD66" s="72">
        <f t="shared" ref="AD66" si="134">R66</f>
        <v>0</v>
      </c>
      <c r="AE66" s="72">
        <f t="shared" ref="AE66" si="135">S66</f>
        <v>0</v>
      </c>
      <c r="AF66" s="72">
        <f t="shared" ref="AF66" si="136">T66</f>
        <v>0</v>
      </c>
      <c r="AG66" s="72">
        <f t="shared" ref="AG66" si="137">U66</f>
        <v>0</v>
      </c>
      <c r="AH66" s="72">
        <f t="shared" ref="AH66" si="138">V66</f>
        <v>0</v>
      </c>
      <c r="AI66" s="72">
        <f t="shared" ref="AI66" si="139">W66</f>
        <v>0</v>
      </c>
    </row>
    <row r="67" spans="1:35" ht="12.75" customHeight="1" x14ac:dyDescent="0.2">
      <c r="B67" s="64" t="s">
        <v>146</v>
      </c>
      <c r="C67" s="65">
        <f>SUM(C66:C66)</f>
        <v>0</v>
      </c>
      <c r="D67" s="65">
        <f>SUM(D66:D66)</f>
        <v>0</v>
      </c>
      <c r="E67" s="65">
        <f>SUM(E66:E66)</f>
        <v>0</v>
      </c>
      <c r="F67" s="65">
        <f>SUM(F66:F66)</f>
        <v>0</v>
      </c>
      <c r="G67" s="65">
        <f>SUM(G66:G66)</f>
        <v>0</v>
      </c>
      <c r="H67" s="65">
        <f>SUM(H66:H66)</f>
        <v>0</v>
      </c>
      <c r="J67" s="65">
        <f>SUM(J66:J66)</f>
        <v>0</v>
      </c>
      <c r="K67" s="65">
        <f>SUM(K66:K66)</f>
        <v>0</v>
      </c>
      <c r="L67" s="65">
        <f>SUM(L66:L66)</f>
        <v>0</v>
      </c>
      <c r="M67" s="65">
        <f>SUM(M66:M66)</f>
        <v>0</v>
      </c>
      <c r="N67" s="65">
        <f>SUM(N66:N66)</f>
        <v>0</v>
      </c>
      <c r="O67" s="65">
        <f>SUM(O66:O66)</f>
        <v>0</v>
      </c>
      <c r="P67" s="65">
        <f>SUM(P66:P66)</f>
        <v>195400</v>
      </c>
      <c r="Q67" s="65">
        <f>SUM(Q66:Q66)</f>
        <v>0</v>
      </c>
      <c r="R67" s="65">
        <f>SUM(R66:R66)</f>
        <v>0</v>
      </c>
      <c r="S67" s="65">
        <f>SUM(S66:S66)</f>
        <v>0</v>
      </c>
      <c r="T67" s="65">
        <f>SUM(T66:T66)</f>
        <v>0</v>
      </c>
      <c r="U67" s="65">
        <f>SUM(U66:U66)</f>
        <v>0</v>
      </c>
      <c r="V67" s="65">
        <f t="shared" ref="V67:W67" si="140">SUM(V66:V66)</f>
        <v>0</v>
      </c>
      <c r="W67" s="65">
        <f t="shared" si="140"/>
        <v>0</v>
      </c>
      <c r="Y67" s="65">
        <f>SUM(Y66:Y66)</f>
        <v>0</v>
      </c>
      <c r="Z67" s="65">
        <f>SUM(Z66:Z66)</f>
        <v>0</v>
      </c>
      <c r="AA67" s="65">
        <f>SUM(AA66:AA66)</f>
        <v>0</v>
      </c>
      <c r="AB67" s="65">
        <f>SUM(AB66:AB66)</f>
        <v>195400</v>
      </c>
      <c r="AC67" s="65">
        <f>SUM(AC66:AC66)</f>
        <v>0</v>
      </c>
      <c r="AD67" s="65">
        <f>SUM(AD66:AD66)</f>
        <v>0</v>
      </c>
      <c r="AE67" s="65">
        <f>SUM(AE66:AE66)</f>
        <v>0</v>
      </c>
      <c r="AF67" s="65">
        <f>SUM(AF66:AF66)</f>
        <v>0</v>
      </c>
      <c r="AG67" s="65">
        <f t="shared" ref="AG67:AI67" si="141">SUM(AG66:AG66)</f>
        <v>0</v>
      </c>
      <c r="AH67" s="65">
        <f t="shared" si="141"/>
        <v>0</v>
      </c>
      <c r="AI67" s="65">
        <f t="shared" si="141"/>
        <v>0</v>
      </c>
    </row>
    <row r="68" spans="1:35" ht="5.0999999999999996" customHeight="1" x14ac:dyDescent="0.2"/>
    <row r="69" spans="1:35" ht="12.75" customHeight="1" x14ac:dyDescent="0.2">
      <c r="B69" s="11" t="s">
        <v>147</v>
      </c>
      <c r="C69" s="72">
        <f>'Base Financials '!C67</f>
        <v>1820218</v>
      </c>
      <c r="D69" s="72">
        <f>'Base Financials '!D67</f>
        <v>1999493</v>
      </c>
      <c r="E69" s="72">
        <f>'Base Financials '!E67</f>
        <v>1535373</v>
      </c>
      <c r="F69" s="72">
        <f>'Base Financials '!F67</f>
        <v>1959811</v>
      </c>
      <c r="G69" s="72">
        <f>'Base Financials '!G67</f>
        <v>2279328</v>
      </c>
      <c r="H69" s="72">
        <f>'Base Financials '!H67</f>
        <v>2488353</v>
      </c>
      <c r="J69" s="72">
        <f>'Base Financials '!J67</f>
        <v>1745620</v>
      </c>
      <c r="K69" s="72">
        <f>'Base Financials '!K67</f>
        <v>1769068</v>
      </c>
      <c r="L69" s="72">
        <f>'Base Financials '!L67</f>
        <v>1922255</v>
      </c>
      <c r="M69" s="72">
        <f>'Base Financials '!M67</f>
        <v>1535373</v>
      </c>
      <c r="N69" s="72">
        <f>'Base Financials '!N67</f>
        <v>2018068</v>
      </c>
      <c r="O69" s="72">
        <f>'Base Financials '!O67</f>
        <v>2051877</v>
      </c>
      <c r="P69" s="72">
        <f>'Base Financials '!P67</f>
        <v>2028542</v>
      </c>
      <c r="Q69" s="72">
        <f>'Base Financials '!Q67</f>
        <v>2279328</v>
      </c>
      <c r="R69" s="72">
        <f>'Base Financials '!R67</f>
        <v>2300743</v>
      </c>
      <c r="S69" s="72">
        <f>'Base Financials '!S67</f>
        <v>2348160</v>
      </c>
      <c r="T69" s="72">
        <f>'Base Financials '!T67</f>
        <v>2329009</v>
      </c>
      <c r="U69" s="72">
        <f>'Base Financials '!U67</f>
        <v>2488353</v>
      </c>
      <c r="V69" s="72">
        <f>'Base Financials '!V67</f>
        <v>2430303</v>
      </c>
      <c r="W69" s="72">
        <f>'Base Financials '!W67</f>
        <v>2603860</v>
      </c>
      <c r="Y69" s="72">
        <f t="shared" ref="Y69:AE69" si="142">M69</f>
        <v>1535373</v>
      </c>
      <c r="Z69" s="72">
        <f t="shared" si="142"/>
        <v>2018068</v>
      </c>
      <c r="AA69" s="72">
        <f t="shared" si="142"/>
        <v>2051877</v>
      </c>
      <c r="AB69" s="72">
        <f t="shared" si="142"/>
        <v>2028542</v>
      </c>
      <c r="AC69" s="72">
        <f t="shared" si="142"/>
        <v>2279328</v>
      </c>
      <c r="AD69" s="72">
        <f t="shared" si="142"/>
        <v>2300743</v>
      </c>
      <c r="AE69" s="72">
        <f t="shared" si="142"/>
        <v>2348160</v>
      </c>
      <c r="AF69" s="72">
        <f>T69</f>
        <v>2329009</v>
      </c>
      <c r="AG69" s="72">
        <f t="shared" ref="AG69:AI69" si="143">U69</f>
        <v>2488353</v>
      </c>
      <c r="AH69" s="72">
        <f t="shared" si="143"/>
        <v>2430303</v>
      </c>
      <c r="AI69" s="72">
        <f t="shared" si="143"/>
        <v>2603860</v>
      </c>
    </row>
    <row r="70" spans="1:35" ht="12.75" customHeight="1" x14ac:dyDescent="0.2">
      <c r="B70" s="64" t="s">
        <v>148</v>
      </c>
      <c r="C70" s="65">
        <f t="shared" ref="C70:D70" si="144">SUM(C67:C69)</f>
        <v>1820218</v>
      </c>
      <c r="D70" s="65">
        <f t="shared" si="144"/>
        <v>1999493</v>
      </c>
      <c r="E70" s="65">
        <f>SUM(E67:E69)</f>
        <v>1535373</v>
      </c>
      <c r="F70" s="65">
        <f t="shared" ref="F70:G70" si="145">SUM(F67:F69)</f>
        <v>1959811</v>
      </c>
      <c r="G70" s="65">
        <f t="shared" si="145"/>
        <v>2279328</v>
      </c>
      <c r="H70" s="65">
        <f t="shared" ref="H70" si="146">SUM(H67:H69)</f>
        <v>2488353</v>
      </c>
      <c r="J70" s="65">
        <f t="shared" ref="J70:S70" si="147">SUM(J67:J69)</f>
        <v>1745620</v>
      </c>
      <c r="K70" s="65">
        <f t="shared" si="147"/>
        <v>1769068</v>
      </c>
      <c r="L70" s="65">
        <f t="shared" si="147"/>
        <v>1922255</v>
      </c>
      <c r="M70" s="65">
        <f t="shared" si="147"/>
        <v>1535373</v>
      </c>
      <c r="N70" s="65">
        <f t="shared" si="147"/>
        <v>2018068</v>
      </c>
      <c r="O70" s="65">
        <f t="shared" si="147"/>
        <v>2051877</v>
      </c>
      <c r="P70" s="65">
        <f t="shared" si="147"/>
        <v>2223942</v>
      </c>
      <c r="Q70" s="65">
        <f t="shared" si="147"/>
        <v>2279328</v>
      </c>
      <c r="R70" s="65">
        <f t="shared" si="147"/>
        <v>2300743</v>
      </c>
      <c r="S70" s="65">
        <f t="shared" si="147"/>
        <v>2348160</v>
      </c>
      <c r="T70" s="65">
        <f>SUM(T67:T69)</f>
        <v>2329009</v>
      </c>
      <c r="U70" s="65">
        <f>SUM(U67:U69)</f>
        <v>2488353</v>
      </c>
      <c r="V70" s="65">
        <f t="shared" ref="V70:W70" si="148">SUM(V67:V69)</f>
        <v>2430303</v>
      </c>
      <c r="W70" s="65">
        <f t="shared" si="148"/>
        <v>2603860</v>
      </c>
      <c r="Y70" s="65">
        <f t="shared" ref="Y70:AE70" si="149">SUM(Y67:Y69)</f>
        <v>1535373</v>
      </c>
      <c r="Z70" s="65">
        <f t="shared" si="149"/>
        <v>2018068</v>
      </c>
      <c r="AA70" s="65">
        <f t="shared" si="149"/>
        <v>2051877</v>
      </c>
      <c r="AB70" s="65">
        <f t="shared" si="149"/>
        <v>2223942</v>
      </c>
      <c r="AC70" s="65">
        <f t="shared" si="149"/>
        <v>2279328</v>
      </c>
      <c r="AD70" s="65">
        <f t="shared" si="149"/>
        <v>2300743</v>
      </c>
      <c r="AE70" s="65">
        <f t="shared" si="149"/>
        <v>2348160</v>
      </c>
      <c r="AF70" s="65">
        <f t="shared" ref="AF70:AI70" si="150">SUM(AF67:AF69)</f>
        <v>2329009</v>
      </c>
      <c r="AG70" s="65">
        <f t="shared" si="150"/>
        <v>2488353</v>
      </c>
      <c r="AH70" s="65">
        <f t="shared" si="150"/>
        <v>2430303</v>
      </c>
      <c r="AI70" s="65">
        <f t="shared" si="150"/>
        <v>2603860</v>
      </c>
    </row>
    <row r="71" spans="1:35" ht="5.0999999999999996" customHeight="1" x14ac:dyDescent="0.2"/>
    <row r="72" spans="1:35" ht="12.75" customHeight="1" x14ac:dyDescent="0.2">
      <c r="A72" s="8"/>
      <c r="B72" s="9" t="s">
        <v>16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ht="5.0999999999999996" customHeight="1" x14ac:dyDescent="0.2"/>
    <row r="74" spans="1:35" ht="12.75" customHeight="1" x14ac:dyDescent="0.2">
      <c r="B74" s="91" t="s">
        <v>149</v>
      </c>
      <c r="C74" s="92">
        <f>C67/C32</f>
        <v>0</v>
      </c>
      <c r="D74" s="92">
        <f>D67/D32</f>
        <v>0</v>
      </c>
      <c r="E74" s="92">
        <f>E67/E32</f>
        <v>0</v>
      </c>
      <c r="F74" s="92">
        <f>F67/F32</f>
        <v>0</v>
      </c>
      <c r="G74" s="92">
        <f>G67/G32</f>
        <v>0</v>
      </c>
      <c r="H74" s="92">
        <f>H67/H32</f>
        <v>0</v>
      </c>
      <c r="I74" s="36"/>
      <c r="J74" s="93"/>
      <c r="K74" s="93"/>
      <c r="L74" s="93"/>
      <c r="M74" s="92">
        <f>SUM(M67/SUM(J32:M32))</f>
        <v>0</v>
      </c>
      <c r="N74" s="92">
        <f>SUM(N67/SUM(K32:N32))</f>
        <v>0</v>
      </c>
      <c r="O74" s="92">
        <f>SUM(O67/SUM(L32:O32))</f>
        <v>0</v>
      </c>
      <c r="P74" s="92">
        <f>SUM(P67/SUM(M32:P32))</f>
        <v>8.7708864026572991E-2</v>
      </c>
      <c r="Q74" s="92">
        <f>SUM(Q67/SUM(N32:Q32))</f>
        <v>0</v>
      </c>
      <c r="R74" s="92">
        <f>SUM(R67/SUM(O32:R32))</f>
        <v>0</v>
      </c>
      <c r="S74" s="92">
        <f>SUM(S67/SUM(P32:S32))</f>
        <v>0</v>
      </c>
      <c r="T74" s="92">
        <f>SUM(T67/SUM(Q32:T32))</f>
        <v>0</v>
      </c>
      <c r="U74" s="92">
        <f>SUM(U67/SUM(R32:U32))</f>
        <v>0</v>
      </c>
      <c r="V74" s="92">
        <f t="shared" ref="V74:W74" si="151">SUM(V67/SUM(S32:V32))</f>
        <v>0</v>
      </c>
      <c r="W74" s="92">
        <f t="shared" si="151"/>
        <v>0</v>
      </c>
      <c r="X74" s="36"/>
      <c r="Y74" s="94">
        <f>Y67/Y32</f>
        <v>0</v>
      </c>
      <c r="Z74" s="94">
        <f>Z67/Z32</f>
        <v>0</v>
      </c>
      <c r="AA74" s="94">
        <f>AA67/AA32</f>
        <v>0</v>
      </c>
      <c r="AB74" s="94">
        <f>AB67/AB32</f>
        <v>8.7708864026572936E-2</v>
      </c>
      <c r="AC74" s="94">
        <f>AC67/AC32</f>
        <v>0</v>
      </c>
      <c r="AD74" s="94">
        <f>AD67/AD32</f>
        <v>0</v>
      </c>
      <c r="AE74" s="94">
        <f>AE67/AE32</f>
        <v>0</v>
      </c>
      <c r="AF74" s="94">
        <f>AF67/AF32</f>
        <v>0</v>
      </c>
      <c r="AG74" s="94">
        <f t="shared" ref="AG74:AI74" si="152">AG67/AG32</f>
        <v>0</v>
      </c>
      <c r="AH74" s="94">
        <f t="shared" si="152"/>
        <v>0</v>
      </c>
      <c r="AI74" s="94">
        <f t="shared" si="152"/>
        <v>0</v>
      </c>
    </row>
    <row r="75" spans="1:35" ht="12.75" customHeight="1" x14ac:dyDescent="0.2">
      <c r="B75" s="95" t="s">
        <v>150</v>
      </c>
      <c r="C75" s="96">
        <f>SUM(C67-C51)/C32</f>
        <v>-0.33497443805464017</v>
      </c>
      <c r="D75" s="96">
        <f>SUM(D67-D51)/D32</f>
        <v>-1.7009582481127299</v>
      </c>
      <c r="E75" s="96">
        <f>SUM(E67-E51)/E32</f>
        <v>-0.26751615256776701</v>
      </c>
      <c r="F75" s="96">
        <f>SUM(F67-F51)/F32</f>
        <v>-0.38370620054019028</v>
      </c>
      <c r="G75" s="96">
        <f>SUM(G67-G51)/G32</f>
        <v>-0.38911129553350982</v>
      </c>
      <c r="H75" s="96">
        <f>SUM(H67-H51)/H32</f>
        <v>-0.37508034186028277</v>
      </c>
      <c r="I75" s="37"/>
      <c r="J75" s="97"/>
      <c r="K75" s="97"/>
      <c r="L75" s="97"/>
      <c r="M75" s="96">
        <f>SUM(M67-M51)/SUM(J32:M32)</f>
        <v>-0.19113640148388034</v>
      </c>
      <c r="N75" s="96">
        <f>SUM(N67-N51)/SUM(K32:N32)</f>
        <v>-0.28202628527217372</v>
      </c>
      <c r="O75" s="96">
        <f>SUM(O67-O51)/SUM(L32:O32)</f>
        <v>-0.17216872780757067</v>
      </c>
      <c r="P75" s="96">
        <f>SUM(P67-P51)/SUM(M32:P32)</f>
        <v>3.3031768653282903E-2</v>
      </c>
      <c r="Q75" s="96">
        <f>SUM(Q67-Q51)/SUM(N32:Q32)</f>
        <v>-0.38911129553350937</v>
      </c>
      <c r="R75" s="96">
        <f>SUM(R67-R51)/SUM(O32:R32)</f>
        <v>-0.27094885504383975</v>
      </c>
      <c r="S75" s="96">
        <f>SUM(S67-S51)/SUM(P32:S32)</f>
        <v>-0.22084145115755022</v>
      </c>
      <c r="T75" s="96">
        <f>SUM(T67-T51)/SUM(Q32:T32)</f>
        <v>-9.5180376509160586E-2</v>
      </c>
      <c r="U75" s="96">
        <f>SUM(U67-U51)/SUM(R32:U32)</f>
        <v>-0.37508034186028288</v>
      </c>
      <c r="V75" s="96">
        <f t="shared" ref="V75:W75" si="153">SUM(V67-V51)/SUM(S32:V32)</f>
        <v>-0.24127721227431459</v>
      </c>
      <c r="W75" s="96">
        <f t="shared" si="153"/>
        <v>-0.12739216182260349</v>
      </c>
      <c r="X75" s="37"/>
      <c r="Y75" s="98">
        <f>SUM(Y67-Y51)/Y32</f>
        <v>-0.19113640148388017</v>
      </c>
      <c r="Z75" s="98">
        <f>SUM(Z67-Z51)/Z32</f>
        <v>-0.2820262852721741</v>
      </c>
      <c r="AA75" s="98">
        <f>SUM(AA67-AA51)/AA32</f>
        <v>-0.17216872780757073</v>
      </c>
      <c r="AB75" s="98">
        <f>SUM(AB67-AB51)/AB32</f>
        <v>3.3031768653282882E-2</v>
      </c>
      <c r="AC75" s="98">
        <f>SUM(AC67-AC51)/AC32</f>
        <v>-0.38911129553350948</v>
      </c>
      <c r="AD75" s="98">
        <f>SUM(AD67-AD51)/AD32</f>
        <v>-0.2709488550438397</v>
      </c>
      <c r="AE75" s="98">
        <f>SUM(AE67-AE51)/AE32</f>
        <v>-0.22084145115755016</v>
      </c>
      <c r="AF75" s="98">
        <f>SUM(AF67-AF51)/AF32</f>
        <v>-9.5180376509160572E-2</v>
      </c>
      <c r="AG75" s="98">
        <f t="shared" ref="AG75:AI75" si="154">SUM(AG67-AG51)/AG32</f>
        <v>-0.37508034186028277</v>
      </c>
      <c r="AH75" s="98">
        <f t="shared" si="154"/>
        <v>-0.24127721227431434</v>
      </c>
      <c r="AI75" s="98">
        <f t="shared" si="154"/>
        <v>-0.1273921618226036</v>
      </c>
    </row>
    <row r="76" spans="1:35" ht="12.75" customHeight="1" x14ac:dyDescent="0.2">
      <c r="B76" s="99" t="s">
        <v>151</v>
      </c>
      <c r="C76" s="100" t="e">
        <f>SUM(C67-C51-#REF!)/C32</f>
        <v>#REF!</v>
      </c>
      <c r="D76" s="100" t="e">
        <f>SUM(D67-D51-#REF!)/D32</f>
        <v>#REF!</v>
      </c>
      <c r="E76" s="100" t="e">
        <f>SUM(E67-E51-#REF!)/E32</f>
        <v>#REF!</v>
      </c>
      <c r="F76" s="100" t="e">
        <f>SUM(F67-F51-#REF!)/F32</f>
        <v>#REF!</v>
      </c>
      <c r="G76" s="100" t="e">
        <f>SUM(G67-G51-#REF!)/G32</f>
        <v>#REF!</v>
      </c>
      <c r="H76" s="100" t="e">
        <f>SUM(H67-H51-#REF!)/H32</f>
        <v>#REF!</v>
      </c>
      <c r="I76" s="90"/>
      <c r="J76" s="101"/>
      <c r="K76" s="101"/>
      <c r="L76" s="101"/>
      <c r="M76" s="100" t="e">
        <f>SUM(M67-M51-#REF!)/SUM(J32:M32)</f>
        <v>#REF!</v>
      </c>
      <c r="N76" s="100" t="e">
        <f>SUM(N67-N51-#REF!)/SUM(K32:N32)</f>
        <v>#REF!</v>
      </c>
      <c r="O76" s="100" t="e">
        <f>SUM(O67-O51-#REF!)/SUM(L32:O32)</f>
        <v>#REF!</v>
      </c>
      <c r="P76" s="100" t="e">
        <f>SUM(P67-P51-#REF!)/SUM(M32:P32)</f>
        <v>#REF!</v>
      </c>
      <c r="Q76" s="100" t="e">
        <f>SUM(Q67-Q51-#REF!)/SUM(N32:Q32)</f>
        <v>#REF!</v>
      </c>
      <c r="R76" s="100" t="e">
        <f>SUM(R67-R51-#REF!)/SUM(O32:R32)</f>
        <v>#REF!</v>
      </c>
      <c r="S76" s="100" t="e">
        <f>SUM(S67-S51-#REF!)/SUM(P32:S32)</f>
        <v>#REF!</v>
      </c>
      <c r="T76" s="100" t="e">
        <f>SUM(T67-T51-#REF!)/SUM(Q32:T32)</f>
        <v>#REF!</v>
      </c>
      <c r="U76" s="100" t="e">
        <f>SUM(U67-U51-#REF!)/SUM(R32:U32)</f>
        <v>#REF!</v>
      </c>
      <c r="V76" s="100" t="e">
        <f>SUM(V67-V51-#REF!)/SUM(S32:V32)</f>
        <v>#REF!</v>
      </c>
      <c r="W76" s="100" t="e">
        <f>SUM(W67-W51-#REF!)/SUM(T32:W32)</f>
        <v>#REF!</v>
      </c>
      <c r="X76" s="90"/>
      <c r="Y76" s="102" t="e">
        <f>SUM(Y67-Y51-#REF!)/Y32</f>
        <v>#REF!</v>
      </c>
      <c r="Z76" s="102" t="e">
        <f>SUM(Z67-Z51-#REF!)/Z32</f>
        <v>#REF!</v>
      </c>
      <c r="AA76" s="102" t="e">
        <f>SUM(AA67-AA51-#REF!)/AA32</f>
        <v>#REF!</v>
      </c>
      <c r="AB76" s="102" t="e">
        <f>SUM(AB67-AB51-#REF!)/AB32</f>
        <v>#REF!</v>
      </c>
      <c r="AC76" s="102" t="e">
        <f>SUM(AC67-AC51-#REF!)/AC32</f>
        <v>#REF!</v>
      </c>
      <c r="AD76" s="102" t="e">
        <f>SUM(AD67-AD51-#REF!)/AD32</f>
        <v>#REF!</v>
      </c>
      <c r="AE76" s="102" t="e">
        <f>SUM(AE67-AE51-#REF!)/AE32</f>
        <v>#REF!</v>
      </c>
      <c r="AF76" s="102" t="e">
        <f>SUM(AF67-AF51-#REF!)/AF32</f>
        <v>#REF!</v>
      </c>
      <c r="AG76" s="102" t="e">
        <f>SUM(AG67-AG51-#REF!)/AG32</f>
        <v>#REF!</v>
      </c>
      <c r="AH76" s="102" t="e">
        <f>SUM(AH67-AH51-#REF!)/AH32</f>
        <v>#REF!</v>
      </c>
      <c r="AI76" s="102" t="e">
        <f>SUM(AI67-AI51-#REF!)/AI32</f>
        <v>#REF!</v>
      </c>
    </row>
    <row r="77" spans="1:35" ht="5.0999999999999996" customHeight="1" x14ac:dyDescent="0.2">
      <c r="C77" s="103"/>
      <c r="D77" s="103"/>
      <c r="E77" s="103"/>
      <c r="F77" s="103"/>
      <c r="G77" s="103"/>
      <c r="H77" s="103"/>
      <c r="J77" s="104"/>
      <c r="K77" s="104"/>
      <c r="L77" s="104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</row>
    <row r="78" spans="1:35" ht="12.75" customHeight="1" x14ac:dyDescent="0.2">
      <c r="B78" s="11" t="s">
        <v>152</v>
      </c>
      <c r="C78" s="103" t="e">
        <f>C32/-C36</f>
        <v>#DIV/0!</v>
      </c>
      <c r="D78" s="103">
        <f>D32/-D36</f>
        <v>88.017385143838652</v>
      </c>
      <c r="E78" s="103">
        <f>E32/-E36</f>
        <v>756.66557223264545</v>
      </c>
      <c r="F78" s="103">
        <f>F32/-F36</f>
        <v>899.45088868101027</v>
      </c>
      <c r="G78" s="103">
        <f>G32/-G36</f>
        <v>592.15960324616719</v>
      </c>
      <c r="H78" s="103">
        <f>H32/-H36</f>
        <v>450.78167828804999</v>
      </c>
      <c r="J78" s="104"/>
      <c r="K78" s="104"/>
      <c r="L78" s="104"/>
      <c r="M78" s="103" cm="1">
        <f t="array" ref="M78">SUM(J32:M32)/SUM(-J36:M36)</f>
        <v>918.57770545158667</v>
      </c>
      <c r="N78" s="103" cm="1">
        <f t="array" ref="N78">SUM(K32:N32)/SUM(-K36:N36)</f>
        <v>1142.6334177215194</v>
      </c>
      <c r="O78" s="103" cm="1">
        <f t="array" ref="O78">SUM(L32:O32)/SUM(-L36:O36)</f>
        <v>779.43542817679588</v>
      </c>
      <c r="P78" s="103" cm="1">
        <f t="array" ref="P78">SUM(M32:P32)/SUM(-M36:P36)</f>
        <v>522.96361502347429</v>
      </c>
      <c r="Q78" s="103" cm="1">
        <f t="array" ref="Q78">SUM(N32:Q32)/SUM(-N36:Q36)</f>
        <v>319.92773627801239</v>
      </c>
      <c r="R78" s="103" cm="1">
        <f t="array" ref="R78">SUM(O32:R32)/SUM(-O36:R36)</f>
        <v>230.30141548709403</v>
      </c>
      <c r="S78" s="103" cm="1">
        <f t="array" ref="S78">SUM(P32:S32)/SUM(-P36:S36)</f>
        <v>196.03388412466006</v>
      </c>
      <c r="T78" s="103" cm="1">
        <f t="array" ref="T78">SUM(Q32:T32)/SUM(-Q36:T36)</f>
        <v>252.54772850189286</v>
      </c>
      <c r="U78" s="103" cm="1">
        <f t="array" ref="U78">SUM(R32:U32)/SUM(-R36:U36)</f>
        <v>217.21712431931405</v>
      </c>
      <c r="V78" s="103" cm="1">
        <f t="array" ref="V78">SUM(S32:V32)/SUM(-S36:V36)</f>
        <v>140.46965856567766</v>
      </c>
      <c r="W78" s="103" cm="1">
        <f t="array" ref="W78">SUM(T32:W32)/SUM(-T36:W36)</f>
        <v>92.186453797774547</v>
      </c>
      <c r="Y78" s="103">
        <f>Y32/-Y36</f>
        <v>918.57770545158746</v>
      </c>
      <c r="Z78" s="103">
        <f>Z32/-Z36</f>
        <v>1142.6334177215181</v>
      </c>
      <c r="AA78" s="103">
        <f>AA32/-AA36</f>
        <v>779.43542817679554</v>
      </c>
      <c r="AB78" s="103">
        <f>AB32/-AB36</f>
        <v>522.96361502347463</v>
      </c>
      <c r="AC78" s="103">
        <f>AC32/-AC36</f>
        <v>319.92773627801233</v>
      </c>
      <c r="AD78" s="103">
        <f>AD32/-AD36</f>
        <v>230.30141548709409</v>
      </c>
      <c r="AE78" s="103">
        <f>AE32/-AE36</f>
        <v>196.03388412466012</v>
      </c>
      <c r="AF78" s="103">
        <f>AF32/-AF36</f>
        <v>252.54772850189292</v>
      </c>
      <c r="AG78" s="103">
        <f t="shared" ref="AG78:AI78" si="155">AG32/-AG36</f>
        <v>217.21712431931411</v>
      </c>
      <c r="AH78" s="103">
        <f t="shared" si="155"/>
        <v>140.46965856567778</v>
      </c>
      <c r="AI78" s="103">
        <f t="shared" si="155"/>
        <v>92.186453797774462</v>
      </c>
    </row>
    <row r="79" spans="1:35" ht="12.75" customHeight="1" x14ac:dyDescent="0.2">
      <c r="B79" s="11" t="s">
        <v>153</v>
      </c>
      <c r="C79" s="103" cm="1">
        <f t="array" ref="C79">SUM(C32+C35)/SUM(-C36:C38)</f>
        <v>6.8967361666205989</v>
      </c>
      <c r="D79" s="103" cm="1">
        <f t="array" ref="D79">SUM(D32+D35)/SUM(-D36:D38)</f>
        <v>17.514899965961977</v>
      </c>
      <c r="E79" s="103" cm="1">
        <f t="array" ref="E79">SUM(E32+E35)/SUM(-E36:E38)</f>
        <v>3.8656358476090329</v>
      </c>
      <c r="F79" s="103" cm="1">
        <f t="array" ref="F79">SUM(F32+F35)/SUM(-F36:F38)</f>
        <v>3.7290732990110746</v>
      </c>
      <c r="G79" s="103" cm="1">
        <f t="array" ref="G79">SUM(G32+G35)/SUM(-G36:G38)</f>
        <v>4.6294225166042251</v>
      </c>
      <c r="H79" s="103" cm="1">
        <f t="array" ref="H79">SUM(H32+H35)/SUM(-H36:H38)</f>
        <v>3.8448841416849042</v>
      </c>
      <c r="J79" s="104"/>
      <c r="K79" s="104"/>
      <c r="L79" s="104"/>
      <c r="M79" s="103" cm="1">
        <f t="array" ref="M79">SUM(J32:M32+J35:M35)/SUM(-J36:M38)</f>
        <v>6.137161637890248</v>
      </c>
      <c r="N79" s="103" cm="1">
        <f t="array" ref="N79">SUM(K32:N32+K35:N35)/SUM(-K36:N38)</f>
        <v>5.3722312735718782</v>
      </c>
      <c r="O79" s="103" cm="1">
        <f t="array" ref="O79">SUM(L32:O32+L35:O35)/SUM(-L36:O38)</f>
        <v>4.6271216363392256</v>
      </c>
      <c r="P79" s="103" cm="1">
        <f t="array" ref="P79">SUM(M32:P32+M35:P35)/SUM(-M36:P38)</f>
        <v>4.2285867926072278</v>
      </c>
      <c r="Q79" s="103" cm="1">
        <f t="array" ref="Q79">SUM(N32:Q32+N35:Q35)/SUM(-N36:Q38)</f>
        <v>3.4291919040714247</v>
      </c>
      <c r="R79" s="103" cm="1">
        <f t="array" ref="R79">SUM(O32:R32+O35:R35)/SUM(-O36:R38)</f>
        <v>3.5067672191979016</v>
      </c>
      <c r="S79" s="103" cm="1">
        <f t="array" ref="S79">SUM(P32:S32+P35:S35)/SUM(-P36:S38)</f>
        <v>3.3436771695447112</v>
      </c>
      <c r="T79" s="103" cm="1">
        <f t="array" ref="T79">SUM(Q32:T32+Q35:T35)/SUM(-Q36:T38)</f>
        <v>3.2829501893917841</v>
      </c>
      <c r="U79" s="103" cm="1">
        <f t="array" ref="U79">SUM(R32:U32+R35:U35)/SUM(-R36:U38)</f>
        <v>3.8301414275502896</v>
      </c>
      <c r="V79" s="103" cm="1">
        <f t="array" ref="V79">SUM(S32:V32+S35:V35)/SUM(-S36:V38)</f>
        <v>3.909125003532044</v>
      </c>
      <c r="W79" s="103" cm="1">
        <f t="array" ref="W79">SUM(T32:W32+T35:W35)/SUM(-T36:W38)</f>
        <v>2.0217447603065217</v>
      </c>
      <c r="Y79" s="103" cm="1">
        <f t="array" ref="Y79">SUM(Y32+Y35)/SUM(-Y36:Y38)</f>
        <v>6.1371616378902543</v>
      </c>
      <c r="Z79" s="103" cm="1">
        <f t="array" ref="Z79">SUM(Z32+Z35)/SUM(-Z36:Z38)</f>
        <v>5.3722312735718702</v>
      </c>
      <c r="AA79" s="103" cm="1">
        <f t="array" ref="AA79">SUM(AA32+AA35)/SUM(-AA36:AA38)</f>
        <v>4.6271216363392229</v>
      </c>
      <c r="AB79" s="103" cm="1">
        <f t="array" ref="AB79">SUM(AB32+AB35)/SUM(-AB36:AB38)</f>
        <v>4.2285867926072314</v>
      </c>
      <c r="AC79" s="103" cm="1">
        <f t="array" ref="AC79">SUM(AC32+AC35)/SUM(-AC36:AC38)</f>
        <v>3.4291919040714238</v>
      </c>
      <c r="AD79" s="103" cm="1">
        <f t="array" ref="AD79">SUM(AD32+AD35)/SUM(-AD36:AD38)</f>
        <v>3.5067672191979029</v>
      </c>
      <c r="AE79" s="103" cm="1">
        <f t="array" ref="AE79">SUM(AE32+AE35)/SUM(-AE36:AE38)</f>
        <v>3.3436771695447121</v>
      </c>
      <c r="AF79" s="103" cm="1">
        <f t="array" ref="AF79">SUM(AF32+AF35)/SUM(-AF36:AF38)</f>
        <v>3.282950189391785</v>
      </c>
      <c r="AG79" s="103" cm="1">
        <f t="array" ref="AG79">SUM(AG32+AG35)/SUM(-AG36:AG38)</f>
        <v>3.830141427550291</v>
      </c>
      <c r="AH79" s="103" cm="1">
        <f t="array" ref="AH79">SUM(AH32+AH35)/SUM(-AH36:AH38)</f>
        <v>3.9091250035320488</v>
      </c>
      <c r="AI79" s="103" cm="1">
        <f t="array" ref="AI79">SUM(AI32+AI35)/SUM(-AI36:AI38)</f>
        <v>2.0217447603065195</v>
      </c>
    </row>
    <row r="80" spans="1:35" ht="12.75" customHeight="1" x14ac:dyDescent="0.2">
      <c r="B80" s="11" t="s">
        <v>154</v>
      </c>
      <c r="C80" s="103" cm="1">
        <f t="array" ref="C80">SUM(C32)/SUM(-C35:C38)</f>
        <v>2.8255137085303947</v>
      </c>
      <c r="D80" s="103" cm="1">
        <f t="array" ref="D80">SUM(D32)/SUM(-D35:D38)</f>
        <v>3.4489810831879884</v>
      </c>
      <c r="E80" s="103" cm="1">
        <f t="array" ref="E80">SUM(E32)/SUM(-E35:E38)</f>
        <v>2.9602102887341388</v>
      </c>
      <c r="F80" s="103" cm="1">
        <f t="array" ref="F80">SUM(F32)/SUM(-F35:F38)</f>
        <v>2.584330273749849</v>
      </c>
      <c r="G80" s="103" cm="1">
        <f t="array" ref="G80">SUM(G32)/SUM(-G35:G38)</f>
        <v>2.5692382327280954</v>
      </c>
      <c r="H80" s="103" cm="1">
        <f t="array" ref="H80">SUM(H32)/SUM(-H35:H38)</f>
        <v>2.4517586533381457</v>
      </c>
      <c r="J80" s="104"/>
      <c r="K80" s="104"/>
      <c r="L80" s="104"/>
      <c r="M80" s="103" cm="1">
        <f t="array" ref="M80">SUM(J32:M32)/SUM(-J35:M38)</f>
        <v>3.5886504081580752</v>
      </c>
      <c r="N80" s="103" cm="1">
        <f t="array" ref="N80">SUM(K32:N32)/SUM(-K35:N38)</f>
        <v>3.1983539829530812</v>
      </c>
      <c r="O80" s="103" cm="1">
        <f t="array" ref="O80">SUM(L32:O32)/SUM(-L35:O38)</f>
        <v>2.8267150048839143</v>
      </c>
      <c r="P80" s="103" cm="1">
        <f t="array" ref="P80">SUM(M32:P32)/SUM(-M35:P38)</f>
        <v>2.6305333506511914</v>
      </c>
      <c r="Q80" s="103" cm="1">
        <f t="array" ref="Q80">SUM(N32:Q32)/SUM(-N35:Q38)</f>
        <v>2.2315398991901234</v>
      </c>
      <c r="R80" s="103" cm="1">
        <f t="array" ref="R80">SUM(O32:R32)/SUM(-O35:R38)</f>
        <v>2.2781809795449619</v>
      </c>
      <c r="S80" s="103" cm="1">
        <f t="array" ref="S80">SUM(P32:S32)/SUM(-P35:S38)</f>
        <v>2.1981181194328085</v>
      </c>
      <c r="T80" s="103" cm="1">
        <f t="array" ref="T80">SUM(Q32:T32)/SUM(-Q35:T38)</f>
        <v>2.1610099289861138</v>
      </c>
      <c r="U80" s="103" cm="1">
        <f t="array" ref="U80">SUM(R32:U32)/SUM(-R35:U38)</f>
        <v>2.4469522747977619</v>
      </c>
      <c r="V80" s="103" cm="1">
        <f t="array" ref="V80">SUM(S32:V32)/SUM(-S35:V38)</f>
        <v>2.5064714974765816</v>
      </c>
      <c r="W80" s="103" cm="1">
        <f t="array" ref="W80">SUM(T32:W32)/SUM(-T35:W38)</f>
        <v>1.7067849730792002</v>
      </c>
      <c r="Y80" s="103" cm="1">
        <f t="array" ref="Y80">SUM(Y32)/SUM(-Y35:Y38)</f>
        <v>3.5886504081580783</v>
      </c>
      <c r="Z80" s="103" cm="1">
        <f t="array" ref="Z80">SUM(Z32)/SUM(-Z35:Z38)</f>
        <v>3.1983539829530772</v>
      </c>
      <c r="AA80" s="103" cm="1">
        <f t="array" ref="AA80">SUM(AA32)/SUM(-AA35:AA38)</f>
        <v>2.8267150048839134</v>
      </c>
      <c r="AB80" s="103" cm="1">
        <f t="array" ref="AB80">SUM(AB32)/SUM(-AB35:AB38)</f>
        <v>2.6305333506511932</v>
      </c>
      <c r="AC80" s="103" cm="1">
        <f t="array" ref="AC80">SUM(AC32)/SUM(-AC35:AC38)</f>
        <v>2.231539899190123</v>
      </c>
      <c r="AD80" s="103" cm="1">
        <f t="array" ref="AD80">SUM(AD32)/SUM(-AD35:AD38)</f>
        <v>2.2781809795449623</v>
      </c>
      <c r="AE80" s="103" cm="1">
        <f t="array" ref="AE80">SUM(AE32)/SUM(-AE35:AE38)</f>
        <v>2.198118119432809</v>
      </c>
      <c r="AF80" s="103" cm="1">
        <f t="array" ref="AF80">SUM(AF32)/SUM(-AF35:AF38)</f>
        <v>2.1610099289861142</v>
      </c>
      <c r="AG80" s="103" cm="1">
        <f t="array" ref="AG80">SUM(AG32)/SUM(-AG35:AG38)</f>
        <v>2.4469522747977623</v>
      </c>
      <c r="AH80" s="103" cm="1">
        <f t="array" ref="AH80">SUM(AH32)/SUM(-AH35:AH38)</f>
        <v>2.5064714974765838</v>
      </c>
      <c r="AI80" s="103" cm="1">
        <f t="array" ref="AI80">SUM(AI32)/SUM(-AI35:AI38)</f>
        <v>1.7067849730791986</v>
      </c>
    </row>
    <row r="81" spans="2:35" ht="12.75" customHeight="1" x14ac:dyDescent="0.2">
      <c r="B81" s="11" t="s">
        <v>155</v>
      </c>
      <c r="C81" s="103" t="e">
        <f t="shared" ref="C81:D81" si="156">C70/C67</f>
        <v>#DIV/0!</v>
      </c>
      <c r="D81" s="103" t="e">
        <f t="shared" si="156"/>
        <v>#DIV/0!</v>
      </c>
      <c r="E81" s="103" t="e">
        <f>E70/E67</f>
        <v>#DIV/0!</v>
      </c>
      <c r="F81" s="103" t="e">
        <f t="shared" ref="F81:G81" si="157">F70/F67</f>
        <v>#DIV/0!</v>
      </c>
      <c r="G81" s="103" t="e">
        <f t="shared" si="157"/>
        <v>#DIV/0!</v>
      </c>
      <c r="H81" s="103" t="e">
        <f t="shared" ref="H81" si="158">H70/H67</f>
        <v>#DIV/0!</v>
      </c>
      <c r="J81" s="104"/>
      <c r="K81" s="104"/>
      <c r="L81" s="104"/>
      <c r="M81" s="103" t="e">
        <f t="shared" ref="M81:T81" si="159">M70/M67</f>
        <v>#DIV/0!</v>
      </c>
      <c r="N81" s="103" t="e">
        <f t="shared" si="159"/>
        <v>#DIV/0!</v>
      </c>
      <c r="O81" s="103" t="e">
        <f t="shared" si="159"/>
        <v>#DIV/0!</v>
      </c>
      <c r="P81" s="103">
        <f t="shared" si="159"/>
        <v>11.381484135107472</v>
      </c>
      <c r="Q81" s="103" t="e">
        <f t="shared" si="159"/>
        <v>#DIV/0!</v>
      </c>
      <c r="R81" s="103" t="e">
        <f t="shared" si="159"/>
        <v>#DIV/0!</v>
      </c>
      <c r="S81" s="103" t="e">
        <f t="shared" si="159"/>
        <v>#DIV/0!</v>
      </c>
      <c r="T81" s="103" t="e">
        <f t="shared" si="159"/>
        <v>#DIV/0!</v>
      </c>
      <c r="U81" s="103" t="e">
        <f t="shared" ref="U81:W81" si="160">U70/U67</f>
        <v>#DIV/0!</v>
      </c>
      <c r="V81" s="103" t="e">
        <f t="shared" si="160"/>
        <v>#DIV/0!</v>
      </c>
      <c r="W81" s="103" t="e">
        <f t="shared" si="160"/>
        <v>#DIV/0!</v>
      </c>
      <c r="Y81" s="103" t="e">
        <f t="shared" ref="Y81:AE81" si="161">Y70/Y67</f>
        <v>#DIV/0!</v>
      </c>
      <c r="Z81" s="103" t="e">
        <f t="shared" si="161"/>
        <v>#DIV/0!</v>
      </c>
      <c r="AA81" s="103" t="e">
        <f t="shared" si="161"/>
        <v>#DIV/0!</v>
      </c>
      <c r="AB81" s="103">
        <f t="shared" si="161"/>
        <v>11.381484135107472</v>
      </c>
      <c r="AC81" s="103" t="e">
        <f t="shared" si="161"/>
        <v>#DIV/0!</v>
      </c>
      <c r="AD81" s="103" t="e">
        <f t="shared" si="161"/>
        <v>#DIV/0!</v>
      </c>
      <c r="AE81" s="103" t="e">
        <f t="shared" si="161"/>
        <v>#DIV/0!</v>
      </c>
      <c r="AF81" s="103" t="e">
        <f t="shared" ref="AF81:AI81" si="162">AF70/AF67</f>
        <v>#DIV/0!</v>
      </c>
      <c r="AG81" s="103" t="e">
        <f t="shared" si="162"/>
        <v>#DIV/0!</v>
      </c>
      <c r="AH81" s="103" t="e">
        <f t="shared" si="162"/>
        <v>#DIV/0!</v>
      </c>
      <c r="AI81" s="103" t="e">
        <f t="shared" si="162"/>
        <v>#DIV/0!</v>
      </c>
    </row>
    <row r="82" spans="2:35" ht="5.0999999999999996" customHeight="1" thickBot="1" x14ac:dyDescent="0.25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</row>
  </sheetData>
  <mergeCells count="1">
    <mergeCell ref="AK2:AK4"/>
  </mergeCells>
  <pageMargins left="0.7" right="0.7" top="0.75" bottom="0.75" header="0.3" footer="0.3"/>
  <ignoredErrors>
    <ignoredError sqref="C42:G44 J45:T45 V45:W45 V42:W44 J42:T44 H32:AI41 H42:I44 U42:U44 X42:AI4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08C-6A05-4C42-A250-755FDCE0B6B6}">
  <dimension ref="A2:AG31"/>
  <sheetViews>
    <sheetView showGridLines="0" zoomScaleNormal="100" workbookViewId="0">
      <selection activeCell="AF14" sqref="AF14"/>
    </sheetView>
  </sheetViews>
  <sheetFormatPr defaultRowHeight="12" outlineLevelRow="1" outlineLevelCol="1" x14ac:dyDescent="0.2"/>
  <cols>
    <col min="1" max="1" width="2.140625" style="11" bestFit="1" customWidth="1"/>
    <col min="2" max="2" width="44.42578125" style="11" bestFit="1" customWidth="1"/>
    <col min="3" max="3" width="13" style="11" hidden="1" customWidth="1" outlineLevel="1"/>
    <col min="4" max="5" width="12.7109375" style="11" hidden="1" customWidth="1" outlineLevel="1"/>
    <col min="6" max="6" width="12.7109375" style="11" bestFit="1" customWidth="1" collapsed="1"/>
    <col min="7" max="7" width="13" style="11" bestFit="1" customWidth="1"/>
    <col min="8" max="8" width="10" style="11" bestFit="1" customWidth="1"/>
    <col min="9" max="9" width="1.7109375" style="11" customWidth="1"/>
    <col min="10" max="11" width="10.5703125" style="11" hidden="1" customWidth="1" outlineLevel="1"/>
    <col min="12" max="13" width="12.28515625" style="11" hidden="1" customWidth="1" outlineLevel="1"/>
    <col min="14" max="14" width="12.42578125" style="11" hidden="1" customWidth="1" outlineLevel="1"/>
    <col min="15" max="15" width="11.85546875" style="11" hidden="1" customWidth="1" outlineLevel="1"/>
    <col min="16" max="16" width="12.5703125" style="11" hidden="1" customWidth="1" outlineLevel="1"/>
    <col min="17" max="17" width="11.7109375" style="11" hidden="1" customWidth="1" outlineLevel="1"/>
    <col min="18" max="18" width="11" style="11" hidden="1" customWidth="1" outlineLevel="1"/>
    <col min="19" max="19" width="12.85546875" style="11" bestFit="1" customWidth="1" collapsed="1"/>
    <col min="20" max="23" width="11" style="11" bestFit="1" customWidth="1"/>
    <col min="24" max="24" width="2.5703125" style="11" customWidth="1"/>
    <col min="25" max="27" width="11.85546875" style="11" hidden="1" customWidth="1" outlineLevel="1"/>
    <col min="28" max="28" width="11.85546875" style="11" bestFit="1" customWidth="1" collapsed="1"/>
    <col min="29" max="31" width="11.85546875" style="11" hidden="1" customWidth="1" outlineLevel="1"/>
    <col min="32" max="32" width="11.85546875" style="11" bestFit="1" customWidth="1" collapsed="1"/>
    <col min="33" max="33" width="2" style="11" customWidth="1"/>
    <col min="34" max="16384" width="9.140625" style="11"/>
  </cols>
  <sheetData>
    <row r="2" spans="1:33" x14ac:dyDescent="0.2">
      <c r="B2" s="1" t="s">
        <v>100</v>
      </c>
      <c r="C2" s="2" t="s">
        <v>1</v>
      </c>
      <c r="D2" s="2"/>
      <c r="E2" s="2"/>
      <c r="F2" s="2" t="s">
        <v>1</v>
      </c>
      <c r="G2" s="2"/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 t="s">
        <v>2</v>
      </c>
      <c r="T2" s="2"/>
      <c r="U2" s="2"/>
      <c r="V2" s="2"/>
      <c r="W2" s="2"/>
      <c r="X2" s="5"/>
      <c r="Y2" s="2" t="s">
        <v>3</v>
      </c>
      <c r="Z2" s="2"/>
      <c r="AA2" s="2"/>
      <c r="AB2" s="2"/>
      <c r="AC2" s="2"/>
      <c r="AD2" s="2"/>
      <c r="AE2" s="2"/>
      <c r="AF2" s="2"/>
    </row>
    <row r="3" spans="1:33" x14ac:dyDescent="0.2">
      <c r="B3" s="3" t="s">
        <v>98</v>
      </c>
      <c r="C3" s="4">
        <f>'Base Financials '!C3</f>
        <v>2019</v>
      </c>
      <c r="D3" s="4">
        <f>'Base Financials '!D3</f>
        <v>2020</v>
      </c>
      <c r="E3" s="4">
        <f>'Base Financials '!E3</f>
        <v>2021</v>
      </c>
      <c r="F3" s="4">
        <f>'Base Financials '!F3</f>
        <v>2022</v>
      </c>
      <c r="G3" s="4">
        <f>'Base Financials '!G3</f>
        <v>2023</v>
      </c>
      <c r="H3" s="4">
        <f>'Base Financials '!H3</f>
        <v>2024</v>
      </c>
      <c r="I3" s="5"/>
      <c r="J3" s="4" t="str">
        <f>'Base Financials '!J3</f>
        <v>1Q22</v>
      </c>
      <c r="K3" s="4" t="str">
        <f>'Base Financials '!K3</f>
        <v>2Q22</v>
      </c>
      <c r="L3" s="4" t="str">
        <f>'Base Financials '!L3</f>
        <v>3Q22</v>
      </c>
      <c r="M3" s="4" t="str">
        <f>'Base Financials '!M3</f>
        <v>4Q22</v>
      </c>
      <c r="N3" s="4" t="str">
        <f>'Base Financials '!N3</f>
        <v>1Q23</v>
      </c>
      <c r="O3" s="4" t="str">
        <f>'Base Financials '!O3</f>
        <v>2Q23</v>
      </c>
      <c r="P3" s="4" t="str">
        <f>'Base Financials '!P3</f>
        <v>3Q23</v>
      </c>
      <c r="Q3" s="4" t="str">
        <f>'Base Financials '!Q3</f>
        <v>4Q23</v>
      </c>
      <c r="R3" s="4" t="str">
        <f>'Base Financials '!R3</f>
        <v>1Q24</v>
      </c>
      <c r="S3" s="4" t="str">
        <f>'Base Financials '!S3</f>
        <v>2Q24</v>
      </c>
      <c r="T3" s="4" t="str">
        <f>'Base Financials '!T3</f>
        <v>3Q24</v>
      </c>
      <c r="U3" s="4" t="str">
        <f>'Base Financials '!U3</f>
        <v>4Q24</v>
      </c>
      <c r="V3" s="4" t="str">
        <f>'Base Financials '!V3</f>
        <v>1Q25</v>
      </c>
      <c r="W3" s="4" t="str">
        <f>'Base Financials '!W3</f>
        <v>2Q25</v>
      </c>
      <c r="X3" s="5"/>
      <c r="Y3" s="4" t="str">
        <f t="shared" ref="Y3:AA4" si="0">P3</f>
        <v>3Q23</v>
      </c>
      <c r="Z3" s="4" t="str">
        <f t="shared" si="0"/>
        <v>4Q23</v>
      </c>
      <c r="AA3" s="4" t="str">
        <f t="shared" si="0"/>
        <v>1Q24</v>
      </c>
      <c r="AB3" s="4" t="str">
        <f>S3</f>
        <v>2Q24</v>
      </c>
      <c r="AC3" s="4" t="str">
        <f t="shared" ref="AC3:AE4" si="1">T3</f>
        <v>3Q24</v>
      </c>
      <c r="AD3" s="4" t="str">
        <f t="shared" si="1"/>
        <v>4Q24</v>
      </c>
      <c r="AE3" s="4" t="str">
        <f t="shared" si="1"/>
        <v>1Q25</v>
      </c>
      <c r="AF3" s="4" t="str">
        <f>W3</f>
        <v>2Q25</v>
      </c>
    </row>
    <row r="4" spans="1:33" x14ac:dyDescent="0.2">
      <c r="B4" s="3" t="s">
        <v>103</v>
      </c>
      <c r="C4" s="5">
        <f>'Base Financials '!C4</f>
        <v>43497</v>
      </c>
      <c r="D4" s="5">
        <f>'Base Financials '!D4</f>
        <v>43861</v>
      </c>
      <c r="E4" s="5">
        <f>'Base Financials '!E4</f>
        <v>44225</v>
      </c>
      <c r="F4" s="5">
        <f>'Base Financials '!F4</f>
        <v>44954</v>
      </c>
      <c r="G4" s="5">
        <f>'Base Financials '!G4</f>
        <v>45325</v>
      </c>
      <c r="H4" s="5">
        <f>'Base Financials '!H4</f>
        <v>45689</v>
      </c>
      <c r="I4" s="5"/>
      <c r="J4" s="5">
        <f>'Base Financials '!J4</f>
        <v>44681</v>
      </c>
      <c r="K4" s="5">
        <f>'Base Financials '!K4</f>
        <v>44772</v>
      </c>
      <c r="L4" s="5">
        <f>'Base Financials '!L4</f>
        <v>44863</v>
      </c>
      <c r="M4" s="5">
        <f>'Base Financials '!M4</f>
        <v>44954</v>
      </c>
      <c r="N4" s="5">
        <f>'Base Financials '!N4</f>
        <v>45045</v>
      </c>
      <c r="O4" s="5">
        <f>'Base Financials '!O4</f>
        <v>45136</v>
      </c>
      <c r="P4" s="5">
        <f>'Base Financials '!P4</f>
        <v>45227</v>
      </c>
      <c r="Q4" s="5">
        <f>'Base Financials '!Q4</f>
        <v>45325</v>
      </c>
      <c r="R4" s="5">
        <f>'Base Financials '!R4</f>
        <v>45416</v>
      </c>
      <c r="S4" s="5">
        <f>'Base Financials '!S4</f>
        <v>45507</v>
      </c>
      <c r="T4" s="5">
        <f>'Base Financials '!T4</f>
        <v>45598</v>
      </c>
      <c r="U4" s="5">
        <f>'Base Financials '!U4</f>
        <v>45689</v>
      </c>
      <c r="V4" s="5">
        <f>'Base Financials '!V4</f>
        <v>45780</v>
      </c>
      <c r="W4" s="5">
        <f>'Base Financials '!W4</f>
        <v>45871</v>
      </c>
      <c r="X4" s="5"/>
      <c r="Y4" s="5">
        <f t="shared" si="0"/>
        <v>45227</v>
      </c>
      <c r="Z4" s="5">
        <f t="shared" si="0"/>
        <v>45325</v>
      </c>
      <c r="AA4" s="5">
        <f t="shared" si="0"/>
        <v>45416</v>
      </c>
      <c r="AB4" s="5">
        <f>S4</f>
        <v>45507</v>
      </c>
      <c r="AC4" s="5">
        <f t="shared" si="1"/>
        <v>45598</v>
      </c>
      <c r="AD4" s="5">
        <f t="shared" si="1"/>
        <v>45689</v>
      </c>
      <c r="AE4" s="5">
        <f t="shared" si="1"/>
        <v>45780</v>
      </c>
      <c r="AF4" s="5">
        <f>W4</f>
        <v>45871</v>
      </c>
    </row>
    <row r="5" spans="1:33" ht="5.0999999999999996" customHeight="1" x14ac:dyDescent="0.2"/>
    <row r="6" spans="1:33" x14ac:dyDescent="0.2">
      <c r="B6" s="108" t="s">
        <v>99</v>
      </c>
      <c r="C6" s="106"/>
      <c r="D6" s="106"/>
      <c r="E6" s="106"/>
      <c r="F6" s="106"/>
      <c r="G6" s="106"/>
      <c r="H6" s="106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06"/>
    </row>
    <row r="7" spans="1:33" hidden="1" outlineLevel="1" x14ac:dyDescent="0.2">
      <c r="A7" s="111" t="s">
        <v>7</v>
      </c>
      <c r="B7" s="29" t="s">
        <v>41</v>
      </c>
      <c r="C7" s="14">
        <v>7398068</v>
      </c>
      <c r="D7" s="14">
        <v>6151953</v>
      </c>
      <c r="E7" s="14">
        <v>8630889</v>
      </c>
      <c r="F7" s="14">
        <v>10208580</v>
      </c>
      <c r="G7" s="14">
        <v>11207303</v>
      </c>
      <c r="H7" s="14">
        <v>11295654</v>
      </c>
      <c r="J7" s="14">
        <v>2345901</v>
      </c>
      <c r="K7" s="14">
        <v>2297113</v>
      </c>
      <c r="L7" s="14">
        <v>2338793</v>
      </c>
      <c r="M7" s="14">
        <f>F7-SUM(J7:L7)</f>
        <v>3226773</v>
      </c>
      <c r="N7" s="14">
        <v>2634263</v>
      </c>
      <c r="O7" s="14">
        <v>2529809</v>
      </c>
      <c r="P7" s="14">
        <v>2488933</v>
      </c>
      <c r="Q7" s="14">
        <f>G7-SUM(N7:P7)</f>
        <v>3554298</v>
      </c>
      <c r="R7" s="14">
        <v>2725848</v>
      </c>
      <c r="S7" s="14">
        <v>2552087</v>
      </c>
      <c r="T7" s="14">
        <v>2530100</v>
      </c>
      <c r="U7" s="14">
        <f>SUM(H7-SUM(R7:T7))</f>
        <v>3487619</v>
      </c>
      <c r="V7" s="14">
        <v>2848367</v>
      </c>
      <c r="W7" s="14">
        <v>2788469</v>
      </c>
      <c r="Y7" s="33">
        <f t="shared" ref="Y7:AA7" si="2">SUM(J7:M7)</f>
        <v>10208580</v>
      </c>
      <c r="Z7" s="33">
        <f t="shared" si="2"/>
        <v>10496942</v>
      </c>
      <c r="AA7" s="33">
        <f t="shared" si="2"/>
        <v>10729638</v>
      </c>
      <c r="AB7" s="33">
        <f>SUM(M7:P7)</f>
        <v>10879778</v>
      </c>
      <c r="AC7" s="33">
        <f t="shared" ref="AC7:AE7" si="3">SUM(N7:Q7)</f>
        <v>11207303</v>
      </c>
      <c r="AD7" s="33">
        <f t="shared" si="3"/>
        <v>11298888</v>
      </c>
      <c r="AE7" s="33">
        <f t="shared" si="3"/>
        <v>11321166</v>
      </c>
      <c r="AF7" s="33">
        <f>SUM(Q7:T7)</f>
        <v>11362333</v>
      </c>
    </row>
    <row r="8" spans="1:33" collapsed="1" x14ac:dyDescent="0.2">
      <c r="A8" s="111"/>
      <c r="B8" s="11" t="s">
        <v>47</v>
      </c>
      <c r="C8" s="14">
        <f t="shared" ref="C8:C12" si="4">+$C$7*C17</f>
        <v>3773014.68</v>
      </c>
      <c r="D8" s="14">
        <f t="shared" ref="D8:D12" si="5">+$D$7*D17</f>
        <v>3075976.5</v>
      </c>
      <c r="E8" s="14">
        <f t="shared" ref="E8:E13" si="6">+$E$7*E17</f>
        <v>3711282.27</v>
      </c>
      <c r="F8" s="14">
        <f t="shared" ref="F8:F13" si="7">+$F$7*F17</f>
        <v>4287603.5999999996</v>
      </c>
      <c r="G8" s="14">
        <f>+$G$7*G17</f>
        <v>4594994.2299999995</v>
      </c>
      <c r="H8" s="14">
        <f>+$H$7*H17</f>
        <v>4405305.0600000005</v>
      </c>
      <c r="J8" s="14">
        <f t="shared" ref="J8" si="8">+J$7*J17</f>
        <v>1032196.4400000001</v>
      </c>
      <c r="K8" s="14">
        <f t="shared" ref="K8:S8" si="9">+K$7*K17</f>
        <v>964787.46</v>
      </c>
      <c r="L8" s="14">
        <f t="shared" si="9"/>
        <v>1029068.92</v>
      </c>
      <c r="M8" s="14">
        <f t="shared" si="9"/>
        <v>1355244.66</v>
      </c>
      <c r="N8" s="14">
        <f t="shared" si="9"/>
        <v>1159075.72</v>
      </c>
      <c r="O8" s="14">
        <f t="shared" si="9"/>
        <v>1011923.6000000001</v>
      </c>
      <c r="P8" s="14">
        <f t="shared" si="9"/>
        <v>1045351.86</v>
      </c>
      <c r="Q8" s="14">
        <f t="shared" si="9"/>
        <v>1457262.18</v>
      </c>
      <c r="R8" s="14">
        <f t="shared" si="9"/>
        <v>1144856.1599999999</v>
      </c>
      <c r="S8" s="14">
        <f t="shared" si="9"/>
        <v>995313.93</v>
      </c>
      <c r="T8" s="14">
        <f>+T$7*T17</f>
        <v>1037340.9999999999</v>
      </c>
      <c r="U8" s="14">
        <f>+U$7*U17</f>
        <v>1360171.4100000001</v>
      </c>
      <c r="V8" s="14">
        <f>+V$7*V17</f>
        <v>1139346.8</v>
      </c>
      <c r="W8" s="14">
        <f>+W$7*W17</f>
        <v>1059618.22</v>
      </c>
      <c r="Y8" s="33">
        <f t="shared" ref="Y8:AA13" si="10">SUM(M8:P8)</f>
        <v>4571595.84</v>
      </c>
      <c r="Z8" s="33">
        <f t="shared" si="10"/>
        <v>4673613.3600000003</v>
      </c>
      <c r="AA8" s="33">
        <f t="shared" si="10"/>
        <v>4659393.8</v>
      </c>
      <c r="AB8" s="33">
        <f>SUM(P8:S8)</f>
        <v>4642784.13</v>
      </c>
      <c r="AC8" s="33">
        <f t="shared" ref="AC8:AE13" si="11">SUM(Q8:T8)</f>
        <v>4634773.2699999996</v>
      </c>
      <c r="AD8" s="33">
        <f t="shared" si="11"/>
        <v>4537682.5</v>
      </c>
      <c r="AE8" s="33">
        <f t="shared" si="11"/>
        <v>4532173.1399999997</v>
      </c>
      <c r="AF8" s="33">
        <f>SUM(T8:W8)</f>
        <v>4596477.43</v>
      </c>
    </row>
    <row r="9" spans="1:33" x14ac:dyDescent="0.2">
      <c r="A9" s="111"/>
      <c r="B9" s="11" t="s">
        <v>48</v>
      </c>
      <c r="C9" s="14">
        <f t="shared" si="4"/>
        <v>1405632.92</v>
      </c>
      <c r="D9" s="14">
        <f t="shared" si="5"/>
        <v>1168871.07</v>
      </c>
      <c r="E9" s="14">
        <f t="shared" si="6"/>
        <v>1726177.8</v>
      </c>
      <c r="F9" s="14">
        <f t="shared" si="7"/>
        <v>2143801.7999999998</v>
      </c>
      <c r="G9" s="14">
        <f>+$G$7*G18</f>
        <v>2129387.5699999998</v>
      </c>
      <c r="H9" s="14">
        <f t="shared" ref="H9:H13" si="12">+$H$7*H18</f>
        <v>2598000.42</v>
      </c>
      <c r="J9" s="14">
        <f t="shared" ref="J9:T9" si="13">+J$7*J18</f>
        <v>469180.2</v>
      </c>
      <c r="K9" s="14">
        <f t="shared" si="13"/>
        <v>505364.86</v>
      </c>
      <c r="L9" s="14">
        <f t="shared" si="13"/>
        <v>491146.52999999997</v>
      </c>
      <c r="M9" s="14">
        <f t="shared" si="13"/>
        <v>677622.33</v>
      </c>
      <c r="N9" s="14">
        <f t="shared" si="13"/>
        <v>474167.33999999997</v>
      </c>
      <c r="O9" s="14">
        <f t="shared" si="13"/>
        <v>531259.89</v>
      </c>
      <c r="P9" s="14">
        <f t="shared" si="13"/>
        <v>472897.27</v>
      </c>
      <c r="Q9" s="14">
        <f t="shared" si="13"/>
        <v>675316.62</v>
      </c>
      <c r="R9" s="14">
        <f t="shared" si="13"/>
        <v>517911.12</v>
      </c>
      <c r="S9" s="14">
        <f t="shared" si="13"/>
        <v>510417.4</v>
      </c>
      <c r="T9" s="14">
        <f t="shared" si="13"/>
        <v>506020</v>
      </c>
      <c r="U9" s="14">
        <f t="shared" ref="U9:V9" si="14">+U$7*U18</f>
        <v>802152.37</v>
      </c>
      <c r="V9" s="14">
        <f t="shared" si="14"/>
        <v>712091.75</v>
      </c>
      <c r="W9" s="14">
        <f t="shared" ref="W9" si="15">+W$7*W18</f>
        <v>697117.25</v>
      </c>
      <c r="Y9" s="33">
        <f t="shared" si="10"/>
        <v>2155946.83</v>
      </c>
      <c r="Z9" s="33">
        <f t="shared" si="10"/>
        <v>2153641.12</v>
      </c>
      <c r="AA9" s="33">
        <f t="shared" si="10"/>
        <v>2197384.9</v>
      </c>
      <c r="AB9" s="33">
        <f>SUM(P9:S9)</f>
        <v>2176542.41</v>
      </c>
      <c r="AC9" s="33">
        <f t="shared" si="11"/>
        <v>2209665.14</v>
      </c>
      <c r="AD9" s="33">
        <f t="shared" si="11"/>
        <v>2336500.89</v>
      </c>
      <c r="AE9" s="33">
        <f t="shared" si="11"/>
        <v>2530681.52</v>
      </c>
      <c r="AF9" s="33">
        <f t="shared" ref="AF9:AF13" si="16">SUM(T9:W9)</f>
        <v>2717381.37</v>
      </c>
    </row>
    <row r="10" spans="1:33" x14ac:dyDescent="0.2">
      <c r="A10" s="111"/>
      <c r="B10" s="11" t="s">
        <v>49</v>
      </c>
      <c r="C10" s="14">
        <f t="shared" si="4"/>
        <v>854476.85400000005</v>
      </c>
      <c r="D10" s="14">
        <f t="shared" si="5"/>
        <v>710550.57150000008</v>
      </c>
      <c r="E10" s="14">
        <f t="shared" si="6"/>
        <v>1467251.1300000001</v>
      </c>
      <c r="F10" s="14">
        <f t="shared" si="7"/>
        <v>1735458.6</v>
      </c>
      <c r="G10" s="14">
        <f>+$G$7*G19</f>
        <v>2129387.5699999998</v>
      </c>
      <c r="H10" s="14">
        <f t="shared" si="12"/>
        <v>2146174.2600000002</v>
      </c>
      <c r="J10" s="14">
        <f t="shared" ref="J10:T10" si="17">+J$7*J19</f>
        <v>422262.18</v>
      </c>
      <c r="K10" s="14">
        <f t="shared" si="17"/>
        <v>390509.21</v>
      </c>
      <c r="L10" s="14">
        <f t="shared" si="17"/>
        <v>374206.88</v>
      </c>
      <c r="M10" s="14">
        <f t="shared" si="17"/>
        <v>548551.41</v>
      </c>
      <c r="N10" s="14">
        <f t="shared" si="17"/>
        <v>500509.97000000003</v>
      </c>
      <c r="O10" s="14">
        <f t="shared" si="17"/>
        <v>505961.80000000005</v>
      </c>
      <c r="P10" s="14">
        <f t="shared" si="17"/>
        <v>472897.27</v>
      </c>
      <c r="Q10" s="14">
        <f t="shared" si="17"/>
        <v>675316.62</v>
      </c>
      <c r="R10" s="14">
        <f t="shared" si="17"/>
        <v>626945.04</v>
      </c>
      <c r="S10" s="14">
        <f t="shared" si="17"/>
        <v>612500.88</v>
      </c>
      <c r="T10" s="14">
        <f t="shared" si="17"/>
        <v>581923</v>
      </c>
      <c r="U10" s="14">
        <f t="shared" ref="U10:V10" si="18">+U$7*U19</f>
        <v>662647.61</v>
      </c>
      <c r="V10" s="14">
        <f t="shared" si="18"/>
        <v>512706.06</v>
      </c>
      <c r="W10" s="14">
        <f t="shared" ref="W10" si="19">+W$7*W19</f>
        <v>529809.11</v>
      </c>
      <c r="Y10" s="33">
        <f t="shared" si="10"/>
        <v>2027920.4500000002</v>
      </c>
      <c r="Z10" s="33">
        <f t="shared" si="10"/>
        <v>2154685.66</v>
      </c>
      <c r="AA10" s="33">
        <f t="shared" si="10"/>
        <v>2281120.73</v>
      </c>
      <c r="AB10" s="33">
        <f>SUM(P10:S10)</f>
        <v>2387659.81</v>
      </c>
      <c r="AC10" s="33">
        <f t="shared" si="11"/>
        <v>2496685.54</v>
      </c>
      <c r="AD10" s="33">
        <f t="shared" si="11"/>
        <v>2484016.5299999998</v>
      </c>
      <c r="AE10" s="33">
        <f t="shared" si="11"/>
        <v>2369777.5499999998</v>
      </c>
      <c r="AF10" s="33">
        <f t="shared" si="16"/>
        <v>2287085.7799999998</v>
      </c>
    </row>
    <row r="11" spans="1:33" x14ac:dyDescent="0.2">
      <c r="A11" s="111"/>
      <c r="B11" s="11" t="s">
        <v>50</v>
      </c>
      <c r="C11" s="14">
        <f t="shared" si="4"/>
        <v>699117.42599999998</v>
      </c>
      <c r="D11" s="14">
        <f t="shared" si="5"/>
        <v>581359.55850000004</v>
      </c>
      <c r="E11" s="14">
        <f t="shared" si="6"/>
        <v>1208324.4600000002</v>
      </c>
      <c r="F11" s="14">
        <f t="shared" si="7"/>
        <v>1429201.2000000002</v>
      </c>
      <c r="G11" s="14">
        <f>+$G$7*G20</f>
        <v>1681095.45</v>
      </c>
      <c r="H11" s="14">
        <f t="shared" si="12"/>
        <v>1468435.02</v>
      </c>
      <c r="J11" s="14">
        <f t="shared" ref="J11:T11" si="20">+J$7*J20</f>
        <v>281508.12</v>
      </c>
      <c r="K11" s="14">
        <f t="shared" si="20"/>
        <v>275653.56</v>
      </c>
      <c r="L11" s="14">
        <f t="shared" si="20"/>
        <v>280655.15999999997</v>
      </c>
      <c r="M11" s="14">
        <f t="shared" si="20"/>
        <v>451748.22000000003</v>
      </c>
      <c r="N11" s="14">
        <f t="shared" si="20"/>
        <v>316111.56</v>
      </c>
      <c r="O11" s="14">
        <f t="shared" si="20"/>
        <v>303577.08</v>
      </c>
      <c r="P11" s="14">
        <f t="shared" si="20"/>
        <v>323561.29000000004</v>
      </c>
      <c r="Q11" s="14">
        <f t="shared" si="20"/>
        <v>533144.69999999995</v>
      </c>
      <c r="R11" s="14">
        <f t="shared" si="20"/>
        <v>272584.8</v>
      </c>
      <c r="S11" s="14">
        <f t="shared" si="20"/>
        <v>280729.57</v>
      </c>
      <c r="T11" s="14">
        <f t="shared" si="20"/>
        <v>253010</v>
      </c>
      <c r="U11" s="14">
        <f t="shared" ref="U11:V11" si="21">+U$7*U20</f>
        <v>453390.47000000003</v>
      </c>
      <c r="V11" s="14">
        <f t="shared" si="21"/>
        <v>313320.37</v>
      </c>
      <c r="W11" s="14">
        <f t="shared" ref="W11" si="22">+W$7*W20</f>
        <v>334616.27999999997</v>
      </c>
      <c r="Y11" s="33">
        <f t="shared" si="10"/>
        <v>1394998.1500000001</v>
      </c>
      <c r="Z11" s="33">
        <f t="shared" si="10"/>
        <v>1476394.63</v>
      </c>
      <c r="AA11" s="33">
        <f t="shared" si="10"/>
        <v>1432867.87</v>
      </c>
      <c r="AB11" s="33">
        <f>SUM(P11:S11)</f>
        <v>1410020.36</v>
      </c>
      <c r="AC11" s="33">
        <f t="shared" si="11"/>
        <v>1339469.07</v>
      </c>
      <c r="AD11" s="33">
        <f t="shared" si="11"/>
        <v>1259714.8400000001</v>
      </c>
      <c r="AE11" s="33">
        <f t="shared" si="11"/>
        <v>1300450.4100000001</v>
      </c>
      <c r="AF11" s="33">
        <f t="shared" si="16"/>
        <v>1354337.1199999999</v>
      </c>
    </row>
    <row r="12" spans="1:33" x14ac:dyDescent="0.2">
      <c r="A12" s="111"/>
      <c r="B12" s="11" t="s">
        <v>51</v>
      </c>
      <c r="C12" s="14">
        <f t="shared" si="4"/>
        <v>369903.4</v>
      </c>
      <c r="D12" s="14">
        <f t="shared" si="5"/>
        <v>307597.65000000002</v>
      </c>
      <c r="E12" s="14">
        <f t="shared" si="6"/>
        <v>258926.66999999998</v>
      </c>
      <c r="F12" s="14">
        <f t="shared" si="7"/>
        <v>306257.39999999997</v>
      </c>
      <c r="G12" s="14">
        <f>+$G$7*G21</f>
        <v>336219.08999999997</v>
      </c>
      <c r="H12" s="14">
        <f t="shared" si="12"/>
        <v>451826.16000000003</v>
      </c>
      <c r="J12" s="14">
        <f t="shared" ref="J12:T12" si="23">+J$7*J21</f>
        <v>70377.03</v>
      </c>
      <c r="K12" s="14">
        <f t="shared" si="23"/>
        <v>91884.52</v>
      </c>
      <c r="L12" s="14">
        <f t="shared" si="23"/>
        <v>93551.72</v>
      </c>
      <c r="M12" s="14">
        <f t="shared" si="23"/>
        <v>96803.19</v>
      </c>
      <c r="N12" s="14">
        <f t="shared" si="23"/>
        <v>105370.52</v>
      </c>
      <c r="O12" s="14">
        <f t="shared" si="23"/>
        <v>101192.36</v>
      </c>
      <c r="P12" s="14">
        <f t="shared" si="23"/>
        <v>99557.32</v>
      </c>
      <c r="Q12" s="14">
        <f t="shared" si="23"/>
        <v>106628.94</v>
      </c>
      <c r="R12" s="14">
        <f t="shared" si="23"/>
        <v>109033.92</v>
      </c>
      <c r="S12" s="14">
        <f t="shared" si="23"/>
        <v>102083.48</v>
      </c>
      <c r="T12" s="14">
        <f t="shared" si="23"/>
        <v>101204</v>
      </c>
      <c r="U12" s="14">
        <f t="shared" ref="U12:V12" si="24">+U$7*U21</f>
        <v>139504.76</v>
      </c>
      <c r="V12" s="14">
        <f t="shared" si="24"/>
        <v>113934.68000000001</v>
      </c>
      <c r="W12" s="14">
        <f t="shared" ref="W12" si="25">+W$7*W21</f>
        <v>111538.76000000001</v>
      </c>
      <c r="Y12" s="33">
        <f t="shared" si="10"/>
        <v>402923.39</v>
      </c>
      <c r="Z12" s="33">
        <f t="shared" si="10"/>
        <v>412749.14</v>
      </c>
      <c r="AA12" s="33">
        <f t="shared" si="10"/>
        <v>416412.54</v>
      </c>
      <c r="AB12" s="33">
        <f>SUM(P12:S12)</f>
        <v>417303.66</v>
      </c>
      <c r="AC12" s="33">
        <f t="shared" si="11"/>
        <v>418950.33999999997</v>
      </c>
      <c r="AD12" s="33">
        <f t="shared" si="11"/>
        <v>451826.16000000003</v>
      </c>
      <c r="AE12" s="33">
        <f t="shared" si="11"/>
        <v>456726.92</v>
      </c>
      <c r="AF12" s="33">
        <f t="shared" si="16"/>
        <v>466182.2</v>
      </c>
    </row>
    <row r="13" spans="1:33" x14ac:dyDescent="0.2">
      <c r="A13" s="111"/>
      <c r="B13" s="11" t="s">
        <v>54</v>
      </c>
      <c r="C13" s="14">
        <f>+$C$7*C22</f>
        <v>295922.72000000003</v>
      </c>
      <c r="D13" s="14">
        <f>+$D$7*D22</f>
        <v>246078.12</v>
      </c>
      <c r="E13" s="14">
        <f t="shared" si="6"/>
        <v>258926.66999999998</v>
      </c>
      <c r="F13" s="14">
        <f t="shared" si="7"/>
        <v>306257.39999999997</v>
      </c>
      <c r="G13" s="14">
        <f>+$G$7*G22</f>
        <v>336219.08999999997</v>
      </c>
      <c r="H13" s="14">
        <f t="shared" si="12"/>
        <v>225913.08000000002</v>
      </c>
      <c r="J13" s="14">
        <f t="shared" ref="J13:T13" si="26">+J$7*J22</f>
        <v>70377.03</v>
      </c>
      <c r="K13" s="14">
        <f t="shared" si="26"/>
        <v>68913.39</v>
      </c>
      <c r="L13" s="14">
        <f t="shared" si="26"/>
        <v>70163.789999999994</v>
      </c>
      <c r="M13" s="14">
        <f t="shared" si="26"/>
        <v>96803.19</v>
      </c>
      <c r="N13" s="14">
        <f t="shared" si="26"/>
        <v>79027.89</v>
      </c>
      <c r="O13" s="14">
        <f t="shared" si="26"/>
        <v>75894.27</v>
      </c>
      <c r="P13" s="14">
        <f t="shared" si="26"/>
        <v>74667.989999999991</v>
      </c>
      <c r="Q13" s="14">
        <f t="shared" si="26"/>
        <v>106628.94</v>
      </c>
      <c r="R13" s="14">
        <f t="shared" si="26"/>
        <v>54516.959999999999</v>
      </c>
      <c r="S13" s="14">
        <f t="shared" si="26"/>
        <v>51041.74</v>
      </c>
      <c r="T13" s="14">
        <f t="shared" si="26"/>
        <v>50602</v>
      </c>
      <c r="U13" s="14">
        <f t="shared" ref="U13:V13" si="27">+U$7*U22</f>
        <v>69752.38</v>
      </c>
      <c r="V13" s="14">
        <f t="shared" si="27"/>
        <v>56967.340000000004</v>
      </c>
      <c r="W13" s="14">
        <f t="shared" ref="W13" si="28">+W$7*W22</f>
        <v>55769.380000000005</v>
      </c>
      <c r="Y13" s="33">
        <f t="shared" si="10"/>
        <v>326393.34000000003</v>
      </c>
      <c r="Z13" s="33">
        <f t="shared" si="10"/>
        <v>336219.08999999997</v>
      </c>
      <c r="AA13" s="33">
        <f t="shared" si="10"/>
        <v>311708.16000000003</v>
      </c>
      <c r="AB13" s="33">
        <f>SUM(P13:S13)</f>
        <v>286855.63</v>
      </c>
      <c r="AC13" s="33">
        <f t="shared" si="11"/>
        <v>262789.64</v>
      </c>
      <c r="AD13" s="33">
        <f t="shared" si="11"/>
        <v>225913.08000000002</v>
      </c>
      <c r="AE13" s="33">
        <f t="shared" si="11"/>
        <v>228363.46</v>
      </c>
      <c r="AF13" s="33">
        <f t="shared" si="16"/>
        <v>233091.1</v>
      </c>
    </row>
    <row r="14" spans="1:33" x14ac:dyDescent="0.2">
      <c r="A14" s="111"/>
      <c r="B14" s="64" t="s">
        <v>106</v>
      </c>
      <c r="C14" s="65">
        <f t="shared" ref="C14" si="29">SUM(C8:C13)</f>
        <v>7398068</v>
      </c>
      <c r="D14" s="65">
        <f t="shared" ref="D14" si="30">SUM(D8:D13)</f>
        <v>6090433.4700000007</v>
      </c>
      <c r="E14" s="65">
        <f t="shared" ref="E14" si="31">SUM(E8:E13)</f>
        <v>8630889</v>
      </c>
      <c r="F14" s="65">
        <f t="shared" ref="F14" si="32">SUM(F8:F13)</f>
        <v>10208580</v>
      </c>
      <c r="G14" s="65">
        <f t="shared" ref="G14" si="33">SUM(G8:G13)</f>
        <v>11207302.999999998</v>
      </c>
      <c r="H14" s="65">
        <f t="shared" ref="H14" si="34">SUM(H8:H13)</f>
        <v>11295654</v>
      </c>
      <c r="J14" s="65">
        <f t="shared" ref="J14" si="35">SUM(J8:J13)</f>
        <v>2345900.9999999995</v>
      </c>
      <c r="K14" s="65">
        <f t="shared" ref="K14" si="36">SUM(K8:K13)</f>
        <v>2297113</v>
      </c>
      <c r="L14" s="65">
        <f t="shared" ref="L14" si="37">SUM(L8:L13)</f>
        <v>2338793.0000000005</v>
      </c>
      <c r="M14" s="65">
        <f t="shared" ref="M14" si="38">SUM(M8:M13)</f>
        <v>3226773</v>
      </c>
      <c r="N14" s="65">
        <f t="shared" ref="N14" si="39">SUM(N8:N13)</f>
        <v>2634263.0000000005</v>
      </c>
      <c r="O14" s="65">
        <f t="shared" ref="O14" si="40">SUM(O8:O13)</f>
        <v>2529809</v>
      </c>
      <c r="P14" s="65">
        <f t="shared" ref="P14" si="41">SUM(P8:P13)</f>
        <v>2488933</v>
      </c>
      <c r="Q14" s="65">
        <f t="shared" ref="Q14" si="42">SUM(Q8:Q13)</f>
        <v>3554298</v>
      </c>
      <c r="R14" s="65">
        <f t="shared" ref="R14" si="43">SUM(R8:R13)</f>
        <v>2725847.9999999995</v>
      </c>
      <c r="S14" s="65">
        <f t="shared" ref="S14" si="44">SUM(S8:S13)</f>
        <v>2552087</v>
      </c>
      <c r="T14" s="65">
        <f t="shared" ref="T14:U14" si="45">SUM(T8:T13)</f>
        <v>2530100</v>
      </c>
      <c r="U14" s="65">
        <f t="shared" si="45"/>
        <v>3487619</v>
      </c>
      <c r="V14" s="65">
        <f t="shared" ref="V14:W14" si="46">SUM(V8:V13)</f>
        <v>2848367</v>
      </c>
      <c r="W14" s="65">
        <f t="shared" si="46"/>
        <v>2788469</v>
      </c>
      <c r="Y14" s="65">
        <f t="shared" ref="Y14:AA14" si="47">SUM(Y8:Y13)</f>
        <v>10879778.000000002</v>
      </c>
      <c r="Z14" s="65">
        <f t="shared" si="47"/>
        <v>11207303</v>
      </c>
      <c r="AA14" s="65">
        <f t="shared" si="47"/>
        <v>11298888</v>
      </c>
      <c r="AB14" s="65">
        <f>SUM(AB8:AB13)</f>
        <v>11321166</v>
      </c>
      <c r="AC14" s="65">
        <f t="shared" ref="AC14" si="48">SUM(AC8:AC13)</f>
        <v>11362333</v>
      </c>
      <c r="AD14" s="65">
        <f t="shared" ref="AD14" si="49">SUM(AD8:AD13)</f>
        <v>11295654</v>
      </c>
      <c r="AE14" s="65">
        <f t="shared" ref="AE14" si="50">SUM(AE8:AE13)</f>
        <v>11418173.000000002</v>
      </c>
      <c r="AF14" s="65">
        <f t="shared" ref="AF14" si="51">SUM(AF8:AF13)</f>
        <v>11654554.999999998</v>
      </c>
    </row>
    <row r="15" spans="1:33" ht="6" customHeight="1" x14ac:dyDescent="0.2">
      <c r="B15" s="13"/>
      <c r="C15" s="20"/>
      <c r="D15" s="20"/>
      <c r="E15" s="20"/>
      <c r="F15" s="20"/>
      <c r="G15" s="20"/>
      <c r="H15" s="20"/>
    </row>
    <row r="16" spans="1:33" x14ac:dyDescent="0.2">
      <c r="B16" s="118" t="s">
        <v>52</v>
      </c>
      <c r="C16" s="116"/>
      <c r="D16" s="116"/>
      <c r="E16" s="116"/>
      <c r="F16" s="116"/>
      <c r="G16" s="116"/>
      <c r="H16" s="116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23"/>
    </row>
    <row r="17" spans="2:32" x14ac:dyDescent="0.2">
      <c r="B17" s="119" t="s">
        <v>47</v>
      </c>
      <c r="C17" s="112">
        <v>0.51</v>
      </c>
      <c r="D17" s="112">
        <v>0.5</v>
      </c>
      <c r="E17" s="112">
        <v>0.43</v>
      </c>
      <c r="F17" s="112">
        <v>0.42</v>
      </c>
      <c r="G17" s="112">
        <v>0.41</v>
      </c>
      <c r="H17" s="112">
        <v>0.39</v>
      </c>
      <c r="I17" s="109"/>
      <c r="J17" s="112">
        <v>0.44</v>
      </c>
      <c r="K17" s="112">
        <v>0.42</v>
      </c>
      <c r="L17" s="112">
        <v>0.44</v>
      </c>
      <c r="M17" s="112">
        <f>F17</f>
        <v>0.42</v>
      </c>
      <c r="N17" s="112">
        <v>0.44</v>
      </c>
      <c r="O17" s="112">
        <v>0.4</v>
      </c>
      <c r="P17" s="112">
        <v>0.42</v>
      </c>
      <c r="Q17" s="112">
        <f>G17</f>
        <v>0.41</v>
      </c>
      <c r="R17" s="112">
        <v>0.42</v>
      </c>
      <c r="S17" s="112">
        <v>0.39</v>
      </c>
      <c r="T17" s="112">
        <v>0.41</v>
      </c>
      <c r="U17" s="112">
        <f>H17</f>
        <v>0.39</v>
      </c>
      <c r="V17" s="112">
        <v>0.4</v>
      </c>
      <c r="W17" s="112">
        <v>0.38</v>
      </c>
      <c r="X17" s="109"/>
      <c r="Y17" s="112">
        <f t="shared" ref="Y17:AA22" si="52">P17</f>
        <v>0.42</v>
      </c>
      <c r="Z17" s="112">
        <f t="shared" si="52"/>
        <v>0.41</v>
      </c>
      <c r="AA17" s="112">
        <f t="shared" si="52"/>
        <v>0.42</v>
      </c>
      <c r="AB17" s="112">
        <f>S17</f>
        <v>0.39</v>
      </c>
      <c r="AC17" s="112">
        <f t="shared" ref="AC17:AE22" si="53">T17</f>
        <v>0.41</v>
      </c>
      <c r="AD17" s="112">
        <f t="shared" si="53"/>
        <v>0.39</v>
      </c>
      <c r="AE17" s="112">
        <f t="shared" si="53"/>
        <v>0.4</v>
      </c>
      <c r="AF17" s="129">
        <f>W17</f>
        <v>0.38</v>
      </c>
    </row>
    <row r="18" spans="2:32" x14ac:dyDescent="0.2">
      <c r="B18" s="119" t="s">
        <v>48</v>
      </c>
      <c r="C18" s="112">
        <v>0.19</v>
      </c>
      <c r="D18" s="112">
        <v>0.19</v>
      </c>
      <c r="E18" s="112">
        <v>0.2</v>
      </c>
      <c r="F18" s="112">
        <v>0.21</v>
      </c>
      <c r="G18" s="112">
        <v>0.19</v>
      </c>
      <c r="H18" s="112">
        <v>0.23</v>
      </c>
      <c r="I18" s="109"/>
      <c r="J18" s="112">
        <v>0.2</v>
      </c>
      <c r="K18" s="112">
        <v>0.22</v>
      </c>
      <c r="L18" s="112">
        <v>0.21</v>
      </c>
      <c r="M18" s="112">
        <f t="shared" ref="M18:M22" si="54">F18</f>
        <v>0.21</v>
      </c>
      <c r="N18" s="112">
        <v>0.18</v>
      </c>
      <c r="O18" s="112">
        <v>0.21</v>
      </c>
      <c r="P18" s="112">
        <v>0.19</v>
      </c>
      <c r="Q18" s="112">
        <f t="shared" ref="Q18:Q22" si="55">G18</f>
        <v>0.19</v>
      </c>
      <c r="R18" s="112">
        <v>0.19</v>
      </c>
      <c r="S18" s="112">
        <v>0.2</v>
      </c>
      <c r="T18" s="112">
        <v>0.2</v>
      </c>
      <c r="U18" s="112">
        <f t="shared" ref="U18:U22" si="56">H18</f>
        <v>0.23</v>
      </c>
      <c r="V18" s="112">
        <v>0.25</v>
      </c>
      <c r="W18" s="112">
        <v>0.25</v>
      </c>
      <c r="X18" s="109"/>
      <c r="Y18" s="112">
        <f t="shared" si="52"/>
        <v>0.19</v>
      </c>
      <c r="Z18" s="112">
        <f t="shared" si="52"/>
        <v>0.19</v>
      </c>
      <c r="AA18" s="112">
        <f t="shared" si="52"/>
        <v>0.19</v>
      </c>
      <c r="AB18" s="112">
        <f>S18</f>
        <v>0.2</v>
      </c>
      <c r="AC18" s="112">
        <f t="shared" si="53"/>
        <v>0.2</v>
      </c>
      <c r="AD18" s="112">
        <f t="shared" si="53"/>
        <v>0.23</v>
      </c>
      <c r="AE18" s="112">
        <f t="shared" si="53"/>
        <v>0.25</v>
      </c>
      <c r="AF18" s="129">
        <f t="shared" ref="AF18:AF22" si="57">W18</f>
        <v>0.25</v>
      </c>
    </row>
    <row r="19" spans="2:32" x14ac:dyDescent="0.2">
      <c r="B19" s="119" t="s">
        <v>49</v>
      </c>
      <c r="C19" s="112">
        <f>21%*0.55</f>
        <v>0.11550000000000001</v>
      </c>
      <c r="D19" s="112">
        <f>21%*0.55</f>
        <v>0.11550000000000001</v>
      </c>
      <c r="E19" s="112">
        <v>0.17</v>
      </c>
      <c r="F19" s="112">
        <v>0.17</v>
      </c>
      <c r="G19" s="112">
        <v>0.19</v>
      </c>
      <c r="H19" s="112">
        <v>0.19</v>
      </c>
      <c r="I19" s="109"/>
      <c r="J19" s="112">
        <v>0.18</v>
      </c>
      <c r="K19" s="112">
        <v>0.17</v>
      </c>
      <c r="L19" s="112">
        <v>0.16</v>
      </c>
      <c r="M19" s="112">
        <f t="shared" si="54"/>
        <v>0.17</v>
      </c>
      <c r="N19" s="112">
        <v>0.19</v>
      </c>
      <c r="O19" s="112">
        <v>0.2</v>
      </c>
      <c r="P19" s="112">
        <v>0.19</v>
      </c>
      <c r="Q19" s="112">
        <f t="shared" si="55"/>
        <v>0.19</v>
      </c>
      <c r="R19" s="112">
        <v>0.23</v>
      </c>
      <c r="S19" s="112">
        <v>0.24</v>
      </c>
      <c r="T19" s="112">
        <v>0.23</v>
      </c>
      <c r="U19" s="112">
        <f t="shared" si="56"/>
        <v>0.19</v>
      </c>
      <c r="V19" s="112">
        <v>0.18</v>
      </c>
      <c r="W19" s="112">
        <v>0.19</v>
      </c>
      <c r="X19" s="109"/>
      <c r="Y19" s="112">
        <f t="shared" si="52"/>
        <v>0.19</v>
      </c>
      <c r="Z19" s="112">
        <f t="shared" si="52"/>
        <v>0.19</v>
      </c>
      <c r="AA19" s="112">
        <f t="shared" si="52"/>
        <v>0.23</v>
      </c>
      <c r="AB19" s="112">
        <f>S19</f>
        <v>0.24</v>
      </c>
      <c r="AC19" s="112">
        <f t="shared" si="53"/>
        <v>0.23</v>
      </c>
      <c r="AD19" s="112">
        <f t="shared" si="53"/>
        <v>0.19</v>
      </c>
      <c r="AE19" s="112">
        <f t="shared" si="53"/>
        <v>0.18</v>
      </c>
      <c r="AF19" s="129">
        <f t="shared" si="57"/>
        <v>0.19</v>
      </c>
    </row>
    <row r="20" spans="2:32" x14ac:dyDescent="0.2">
      <c r="B20" s="119" t="s">
        <v>50</v>
      </c>
      <c r="C20" s="112">
        <f>21%*0.45</f>
        <v>9.4500000000000001E-2</v>
      </c>
      <c r="D20" s="112">
        <f>21%*0.45</f>
        <v>9.4500000000000001E-2</v>
      </c>
      <c r="E20" s="112">
        <v>0.14000000000000001</v>
      </c>
      <c r="F20" s="112">
        <v>0.14000000000000001</v>
      </c>
      <c r="G20" s="112">
        <v>0.15</v>
      </c>
      <c r="H20" s="112">
        <v>0.13</v>
      </c>
      <c r="I20" s="109"/>
      <c r="J20" s="112">
        <v>0.12</v>
      </c>
      <c r="K20" s="112">
        <v>0.12</v>
      </c>
      <c r="L20" s="112">
        <v>0.12</v>
      </c>
      <c r="M20" s="112">
        <f t="shared" si="54"/>
        <v>0.14000000000000001</v>
      </c>
      <c r="N20" s="112">
        <v>0.12</v>
      </c>
      <c r="O20" s="112">
        <v>0.12</v>
      </c>
      <c r="P20" s="112">
        <v>0.13</v>
      </c>
      <c r="Q20" s="112">
        <f t="shared" si="55"/>
        <v>0.15</v>
      </c>
      <c r="R20" s="112">
        <v>0.1</v>
      </c>
      <c r="S20" s="112">
        <v>0.11</v>
      </c>
      <c r="T20" s="112">
        <v>0.1</v>
      </c>
      <c r="U20" s="112">
        <f t="shared" si="56"/>
        <v>0.13</v>
      </c>
      <c r="V20" s="112">
        <v>0.11</v>
      </c>
      <c r="W20" s="112">
        <v>0.12</v>
      </c>
      <c r="X20" s="109"/>
      <c r="Y20" s="112">
        <f t="shared" si="52"/>
        <v>0.13</v>
      </c>
      <c r="Z20" s="112">
        <f t="shared" si="52"/>
        <v>0.15</v>
      </c>
      <c r="AA20" s="112">
        <f t="shared" si="52"/>
        <v>0.1</v>
      </c>
      <c r="AB20" s="112">
        <f>S20</f>
        <v>0.11</v>
      </c>
      <c r="AC20" s="112">
        <f t="shared" si="53"/>
        <v>0.1</v>
      </c>
      <c r="AD20" s="112">
        <f t="shared" si="53"/>
        <v>0.13</v>
      </c>
      <c r="AE20" s="112">
        <f t="shared" si="53"/>
        <v>0.11</v>
      </c>
      <c r="AF20" s="129">
        <f t="shared" si="57"/>
        <v>0.12</v>
      </c>
    </row>
    <row r="21" spans="2:32" x14ac:dyDescent="0.2">
      <c r="B21" s="119" t="s">
        <v>51</v>
      </c>
      <c r="C21" s="112">
        <v>0.05</v>
      </c>
      <c r="D21" s="112">
        <v>0.05</v>
      </c>
      <c r="E21" s="112">
        <v>0.03</v>
      </c>
      <c r="F21" s="112">
        <v>0.03</v>
      </c>
      <c r="G21" s="112">
        <v>0.03</v>
      </c>
      <c r="H21" s="112">
        <v>0.04</v>
      </c>
      <c r="I21" s="109"/>
      <c r="J21" s="112">
        <v>0.03</v>
      </c>
      <c r="K21" s="112">
        <v>0.04</v>
      </c>
      <c r="L21" s="112">
        <v>0.04</v>
      </c>
      <c r="M21" s="112">
        <f t="shared" si="54"/>
        <v>0.03</v>
      </c>
      <c r="N21" s="112">
        <v>0.04</v>
      </c>
      <c r="O21" s="112">
        <v>0.04</v>
      </c>
      <c r="P21" s="112">
        <v>0.04</v>
      </c>
      <c r="Q21" s="112">
        <f t="shared" si="55"/>
        <v>0.03</v>
      </c>
      <c r="R21" s="112">
        <v>0.04</v>
      </c>
      <c r="S21" s="112">
        <v>0.04</v>
      </c>
      <c r="T21" s="112">
        <v>0.04</v>
      </c>
      <c r="U21" s="112">
        <f t="shared" si="56"/>
        <v>0.04</v>
      </c>
      <c r="V21" s="112">
        <v>0.04</v>
      </c>
      <c r="W21" s="112">
        <v>0.04</v>
      </c>
      <c r="X21" s="109"/>
      <c r="Y21" s="112">
        <f t="shared" si="52"/>
        <v>0.04</v>
      </c>
      <c r="Z21" s="112">
        <f t="shared" si="52"/>
        <v>0.03</v>
      </c>
      <c r="AA21" s="112">
        <f t="shared" si="52"/>
        <v>0.04</v>
      </c>
      <c r="AB21" s="112">
        <f>S21</f>
        <v>0.04</v>
      </c>
      <c r="AC21" s="112">
        <f t="shared" si="53"/>
        <v>0.04</v>
      </c>
      <c r="AD21" s="112">
        <f t="shared" si="53"/>
        <v>0.04</v>
      </c>
      <c r="AE21" s="112">
        <f t="shared" si="53"/>
        <v>0.04</v>
      </c>
      <c r="AF21" s="129">
        <f t="shared" si="57"/>
        <v>0.04</v>
      </c>
    </row>
    <row r="22" spans="2:32" x14ac:dyDescent="0.2">
      <c r="B22" s="119" t="s">
        <v>54</v>
      </c>
      <c r="C22" s="112">
        <v>0.04</v>
      </c>
      <c r="D22" s="112">
        <v>0.04</v>
      </c>
      <c r="E22" s="112">
        <v>0.03</v>
      </c>
      <c r="F22" s="112">
        <v>0.03</v>
      </c>
      <c r="G22" s="112">
        <v>0.03</v>
      </c>
      <c r="H22" s="112">
        <v>0.02</v>
      </c>
      <c r="I22" s="109"/>
      <c r="J22" s="112">
        <v>0.03</v>
      </c>
      <c r="K22" s="112">
        <v>0.03</v>
      </c>
      <c r="L22" s="112">
        <v>0.03</v>
      </c>
      <c r="M22" s="112">
        <f t="shared" si="54"/>
        <v>0.03</v>
      </c>
      <c r="N22" s="112">
        <v>0.03</v>
      </c>
      <c r="O22" s="112">
        <v>0.03</v>
      </c>
      <c r="P22" s="112">
        <v>0.03</v>
      </c>
      <c r="Q22" s="112">
        <f t="shared" si="55"/>
        <v>0.03</v>
      </c>
      <c r="R22" s="112">
        <v>0.02</v>
      </c>
      <c r="S22" s="112">
        <v>0.02</v>
      </c>
      <c r="T22" s="112">
        <v>0.02</v>
      </c>
      <c r="U22" s="112">
        <f t="shared" si="56"/>
        <v>0.02</v>
      </c>
      <c r="V22" s="112">
        <v>0.02</v>
      </c>
      <c r="W22" s="112">
        <v>0.02</v>
      </c>
      <c r="X22" s="109"/>
      <c r="Y22" s="112">
        <f t="shared" si="52"/>
        <v>0.03</v>
      </c>
      <c r="Z22" s="112">
        <f t="shared" si="52"/>
        <v>0.03</v>
      </c>
      <c r="AA22" s="112">
        <f t="shared" si="52"/>
        <v>0.02</v>
      </c>
      <c r="AB22" s="112">
        <f>S22</f>
        <v>0.02</v>
      </c>
      <c r="AC22" s="112">
        <f t="shared" si="53"/>
        <v>0.02</v>
      </c>
      <c r="AD22" s="112">
        <f t="shared" si="53"/>
        <v>0.02</v>
      </c>
      <c r="AE22" s="112">
        <f t="shared" si="53"/>
        <v>0.02</v>
      </c>
      <c r="AF22" s="129">
        <f t="shared" si="57"/>
        <v>0.02</v>
      </c>
    </row>
    <row r="23" spans="2:32" ht="5.0999999999999996" customHeight="1" x14ac:dyDescent="0.2">
      <c r="B23" s="120"/>
      <c r="C23" s="109"/>
      <c r="D23" s="109"/>
      <c r="E23" s="107"/>
      <c r="F23" s="107"/>
      <c r="G23" s="107"/>
      <c r="H23" s="107"/>
      <c r="I23" s="109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9"/>
      <c r="Y23" s="107"/>
      <c r="Z23" s="107"/>
      <c r="AA23" s="107"/>
      <c r="AB23" s="107"/>
      <c r="AC23" s="107"/>
      <c r="AD23" s="107"/>
      <c r="AE23" s="107"/>
      <c r="AF23" s="124"/>
    </row>
    <row r="24" spans="2:32" x14ac:dyDescent="0.2">
      <c r="B24" s="121" t="s">
        <v>53</v>
      </c>
      <c r="C24" s="109"/>
      <c r="D24" s="109"/>
      <c r="E24" s="107"/>
      <c r="F24" s="107"/>
      <c r="G24" s="107"/>
      <c r="H24" s="107"/>
      <c r="I24" s="109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9"/>
      <c r="Y24" s="107"/>
      <c r="Z24" s="107"/>
      <c r="AA24" s="107"/>
      <c r="AB24" s="107"/>
      <c r="AC24" s="107"/>
      <c r="AD24" s="107"/>
      <c r="AE24" s="107"/>
      <c r="AF24" s="124"/>
    </row>
    <row r="25" spans="2:32" x14ac:dyDescent="0.2">
      <c r="B25" s="120" t="s">
        <v>47</v>
      </c>
      <c r="C25" s="109"/>
      <c r="D25" s="112">
        <f>SUM(D8/C8)-1</f>
        <v>-0.1847430341829468</v>
      </c>
      <c r="E25" s="112">
        <f t="shared" ref="E25:H25" si="58">SUM(E8/D8)-1</f>
        <v>0.20653791405753585</v>
      </c>
      <c r="F25" s="112">
        <f t="shared" si="58"/>
        <v>0.1552890047352824</v>
      </c>
      <c r="G25" s="112">
        <f t="shared" si="58"/>
        <v>7.169287524620982E-2</v>
      </c>
      <c r="H25" s="112">
        <f t="shared" si="58"/>
        <v>-4.128169928082781E-2</v>
      </c>
      <c r="I25" s="109"/>
      <c r="J25" s="110"/>
      <c r="K25" s="112">
        <f>SUM(K8/J8)-1</f>
        <v>-6.5306348082347698E-2</v>
      </c>
      <c r="L25" s="112">
        <f>SUM(L8/K8)-1</f>
        <v>6.662758655673251E-2</v>
      </c>
      <c r="M25" s="112">
        <f>SUM(M8/L8)-1</f>
        <v>0.31696199706429762</v>
      </c>
      <c r="N25" s="112">
        <f>SUM(N8/M8)-1</f>
        <v>-0.14474798963605584</v>
      </c>
      <c r="O25" s="112">
        <f>SUM(O8/N8)-1</f>
        <v>-0.12695643387301725</v>
      </c>
      <c r="P25" s="112">
        <f>SUM(P8/O8)-1</f>
        <v>3.3034371369538018E-2</v>
      </c>
      <c r="Q25" s="112">
        <f>SUM(Q8/P8)-1</f>
        <v>0.39403987859169254</v>
      </c>
      <c r="R25" s="112">
        <f>SUM(R8/Q8)-1</f>
        <v>-0.21437873313915279</v>
      </c>
      <c r="S25" s="112">
        <f>SUM(S8/R8)-1</f>
        <v>-0.13062097687450958</v>
      </c>
      <c r="T25" s="112">
        <f>SUM(T8/S8)-1</f>
        <v>4.2224939019993357E-2</v>
      </c>
      <c r="U25" s="112">
        <f>SUM(U8/T8)-1</f>
        <v>0.31120953476243618</v>
      </c>
      <c r="V25" s="112">
        <f t="shared" ref="V25" si="59">SUM(V8/U8)-1</f>
        <v>-0.1623505746235322</v>
      </c>
      <c r="W25" s="112">
        <f t="shared" ref="W25" si="60">SUM(W8/V8)-1</f>
        <v>-6.9977446726492865E-2</v>
      </c>
      <c r="X25" s="109"/>
      <c r="Y25" s="110"/>
      <c r="Z25" s="110"/>
      <c r="AA25" s="110"/>
      <c r="AB25" s="110"/>
      <c r="AC25" s="110"/>
      <c r="AD25" s="110"/>
      <c r="AE25" s="110"/>
      <c r="AF25" s="125"/>
    </row>
    <row r="26" spans="2:32" x14ac:dyDescent="0.2">
      <c r="B26" s="120" t="s">
        <v>48</v>
      </c>
      <c r="C26" s="109"/>
      <c r="D26" s="112">
        <f>SUM(D9/C9)-1</f>
        <v>-0.16843789486660565</v>
      </c>
      <c r="E26" s="112">
        <f>SUM(E9/D9)-1</f>
        <v>0.47679059248168398</v>
      </c>
      <c r="F26" s="112">
        <f>SUM(F9/E9)-1</f>
        <v>0.24193568009042865</v>
      </c>
      <c r="G26" s="112">
        <f>SUM(G9/F9)-1</f>
        <v>-6.7236766010738691E-3</v>
      </c>
      <c r="H26" s="112">
        <f>SUM(H9/G9)-1</f>
        <v>0.22006930847257644</v>
      </c>
      <c r="I26" s="109"/>
      <c r="J26" s="110"/>
      <c r="K26" s="112">
        <f>SUM(K9/J9)-1</f>
        <v>7.7123160781294553E-2</v>
      </c>
      <c r="L26" s="112">
        <f>SUM(L9/K9)-1</f>
        <v>-2.8134781670415387E-2</v>
      </c>
      <c r="M26" s="112">
        <f>SUM(M9/L9)-1</f>
        <v>0.37967447311497859</v>
      </c>
      <c r="N26" s="112">
        <f>SUM(N9/M9)-1</f>
        <v>-0.30024835515677295</v>
      </c>
      <c r="O26" s="112">
        <f>SUM(O9/N9)-1</f>
        <v>0.12040590986296107</v>
      </c>
      <c r="P26" s="112">
        <f>SUM(P9/O9)-1</f>
        <v>-0.1098570042620759</v>
      </c>
      <c r="Q26" s="112">
        <f>SUM(Q9/P9)-1</f>
        <v>0.42804085124027047</v>
      </c>
      <c r="R26" s="112">
        <f>SUM(R9/Q9)-1</f>
        <v>-0.23308400139774432</v>
      </c>
      <c r="S26" s="112">
        <f>SUM(S9/R9)-1</f>
        <v>-1.4469123582440124E-2</v>
      </c>
      <c r="T26" s="112">
        <f>SUM(T9/S9)-1</f>
        <v>-8.6153019078112347E-3</v>
      </c>
      <c r="U26" s="112">
        <f>SUM(U9/T9)-1</f>
        <v>0.58521870677048327</v>
      </c>
      <c r="V26" s="112">
        <f t="shared" ref="V26" si="61">SUM(V9/U9)-1</f>
        <v>-0.1122737068021129</v>
      </c>
      <c r="W26" s="112">
        <f t="shared" ref="W26" si="62">SUM(W9/V9)-1</f>
        <v>-2.1028891291045015E-2</v>
      </c>
      <c r="X26" s="109"/>
      <c r="Y26" s="110"/>
      <c r="Z26" s="110"/>
      <c r="AA26" s="110"/>
      <c r="AB26" s="110"/>
      <c r="AC26" s="110"/>
      <c r="AD26" s="110"/>
      <c r="AE26" s="110"/>
      <c r="AF26" s="125"/>
    </row>
    <row r="27" spans="2:32" x14ac:dyDescent="0.2">
      <c r="B27" s="120" t="s">
        <v>49</v>
      </c>
      <c r="C27" s="109"/>
      <c r="D27" s="112">
        <f>SUM(D10/C10)-1</f>
        <v>-0.16843789486660565</v>
      </c>
      <c r="E27" s="112">
        <f>SUM(E10/D10)-1</f>
        <v>1.064949616327203</v>
      </c>
      <c r="F27" s="112">
        <f>SUM(F10/E10)-1</f>
        <v>0.18279588580040818</v>
      </c>
      <c r="G27" s="112">
        <f>SUM(G10/F10)-1</f>
        <v>0.22698839949279104</v>
      </c>
      <c r="H27" s="112">
        <f>SUM(H10/G10)-1</f>
        <v>7.8833417816936979E-3</v>
      </c>
      <c r="I27" s="109"/>
      <c r="J27" s="110"/>
      <c r="K27" s="112">
        <f>SUM(K10/J10)-1</f>
        <v>-7.5197286197878244E-2</v>
      </c>
      <c r="L27" s="112">
        <f>SUM(L10/K10)-1</f>
        <v>-4.1746339350101414E-2</v>
      </c>
      <c r="M27" s="112">
        <f>SUM(M10/L10)-1</f>
        <v>0.46590412768466472</v>
      </c>
      <c r="N27" s="112">
        <f>SUM(N10/M10)-1</f>
        <v>-8.7578737606380463E-2</v>
      </c>
      <c r="O27" s="112">
        <f>SUM(O10/N10)-1</f>
        <v>1.089255025229563E-2</v>
      </c>
      <c r="P27" s="112">
        <f>SUM(P10/O10)-1</f>
        <v>-6.5349854475179825E-2</v>
      </c>
      <c r="Q27" s="112">
        <f>SUM(Q10/P10)-1</f>
        <v>0.42804085124027047</v>
      </c>
      <c r="R27" s="112">
        <f>SUM(R10/Q10)-1</f>
        <v>-7.1628001692006227E-2</v>
      </c>
      <c r="S27" s="112">
        <f>SUM(S10/R10)-1</f>
        <v>-2.3038957290419049E-2</v>
      </c>
      <c r="T27" s="112">
        <f>SUM(T10/S10)-1</f>
        <v>-4.9922997661652313E-2</v>
      </c>
      <c r="U27" s="112">
        <f>SUM(U10/T10)-1</f>
        <v>0.13872043208465712</v>
      </c>
      <c r="V27" s="112">
        <f t="shared" ref="V27" si="63">SUM(V10/U10)-1</f>
        <v>-0.22627645182331524</v>
      </c>
      <c r="W27" s="112">
        <f t="shared" ref="W27" si="64">SUM(W10/V10)-1</f>
        <v>3.3358392526119163E-2</v>
      </c>
      <c r="X27" s="109"/>
      <c r="Y27" s="110"/>
      <c r="Z27" s="110"/>
      <c r="AA27" s="110"/>
      <c r="AB27" s="110"/>
      <c r="AC27" s="110"/>
      <c r="AD27" s="110"/>
      <c r="AE27" s="110"/>
      <c r="AF27" s="125"/>
    </row>
    <row r="28" spans="2:32" x14ac:dyDescent="0.2">
      <c r="B28" s="120" t="s">
        <v>50</v>
      </c>
      <c r="C28" s="109"/>
      <c r="D28" s="112">
        <f>SUM(D11/C11)-1</f>
        <v>-0.16843789486660565</v>
      </c>
      <c r="E28" s="112">
        <f>SUM(E11/D11)-1</f>
        <v>1.0784460190482963</v>
      </c>
      <c r="F28" s="112">
        <f>SUM(F11/E11)-1</f>
        <v>0.18279588580040818</v>
      </c>
      <c r="G28" s="112">
        <f>SUM(G11/F11)-1</f>
        <v>0.17624827770925444</v>
      </c>
      <c r="H28" s="112">
        <f>SUM(H11/G11)-1</f>
        <v>-0.12650110378919888</v>
      </c>
      <c r="I28" s="109"/>
      <c r="J28" s="110"/>
      <c r="K28" s="112">
        <f>SUM(K11/J11)-1</f>
        <v>-2.0797126562459356E-2</v>
      </c>
      <c r="L28" s="112">
        <f>SUM(L11/K11)-1</f>
        <v>1.8144514440517234E-2</v>
      </c>
      <c r="M28" s="112">
        <f>SUM(M11/L11)-1</f>
        <v>0.60962021863414195</v>
      </c>
      <c r="N28" s="112">
        <f>SUM(N11/M11)-1</f>
        <v>-0.30024835515677295</v>
      </c>
      <c r="O28" s="112">
        <f>SUM(O11/N11)-1</f>
        <v>-3.9652077260319052E-2</v>
      </c>
      <c r="P28" s="112">
        <f>SUM(P11/O11)-1</f>
        <v>6.5829113317777521E-2</v>
      </c>
      <c r="Q28" s="112">
        <f>SUM(Q11/P11)-1</f>
        <v>0.64773944373877335</v>
      </c>
      <c r="R28" s="112">
        <f>SUM(R11/Q11)-1</f>
        <v>-0.48872266759849625</v>
      </c>
      <c r="S28" s="112">
        <f>SUM(S11/R11)-1</f>
        <v>2.9879765856350105E-2</v>
      </c>
      <c r="T28" s="112">
        <f>SUM(T11/S11)-1</f>
        <v>-9.8741183552555567E-2</v>
      </c>
      <c r="U28" s="112">
        <f>SUM(U11/T11)-1</f>
        <v>0.79198636417532908</v>
      </c>
      <c r="V28" s="112">
        <f t="shared" ref="V28" si="65">SUM(V11/U11)-1</f>
        <v>-0.3089392240644141</v>
      </c>
      <c r="W28" s="112">
        <f t="shared" ref="W28" si="66">SUM(W11/V11)-1</f>
        <v>6.7968482227950711E-2</v>
      </c>
      <c r="X28" s="109"/>
      <c r="Y28" s="110"/>
      <c r="Z28" s="110"/>
      <c r="AA28" s="110"/>
      <c r="AB28" s="110"/>
      <c r="AC28" s="110"/>
      <c r="AD28" s="110"/>
      <c r="AE28" s="110"/>
      <c r="AF28" s="125"/>
    </row>
    <row r="29" spans="2:32" x14ac:dyDescent="0.2">
      <c r="B29" s="120" t="s">
        <v>51</v>
      </c>
      <c r="C29" s="109"/>
      <c r="D29" s="112">
        <f>SUM(D12/C12)-1</f>
        <v>-0.16843789486660565</v>
      </c>
      <c r="E29" s="112">
        <f>SUM(E12/D12)-1</f>
        <v>-0.15822936228544016</v>
      </c>
      <c r="F29" s="112">
        <f>SUM(F12/E12)-1</f>
        <v>0.18279588580040818</v>
      </c>
      <c r="G29" s="112">
        <f>SUM(G12/F12)-1</f>
        <v>9.7831725861970975E-2</v>
      </c>
      <c r="H29" s="112">
        <f>SUM(H12/G12)-1</f>
        <v>0.34384445570892508</v>
      </c>
      <c r="I29" s="109"/>
      <c r="J29" s="110"/>
      <c r="K29" s="112">
        <f>SUM(K12/J12)-1</f>
        <v>0.30560383125005419</v>
      </c>
      <c r="L29" s="112">
        <f>SUM(L12/K12)-1</f>
        <v>1.8144514440517234E-2</v>
      </c>
      <c r="M29" s="112">
        <f>SUM(M12/L12)-1</f>
        <v>3.475585483623389E-2</v>
      </c>
      <c r="N29" s="112">
        <f>SUM(N12/M12)-1</f>
        <v>8.850255864501988E-2</v>
      </c>
      <c r="O29" s="112">
        <f>SUM(O12/N12)-1</f>
        <v>-3.9652077260319163E-2</v>
      </c>
      <c r="P29" s="112">
        <f>SUM(P12/O12)-1</f>
        <v>-1.6157741552820681E-2</v>
      </c>
      <c r="Q29" s="112">
        <f>SUM(Q12/P12)-1</f>
        <v>7.1030638430202853E-2</v>
      </c>
      <c r="R29" s="112">
        <f>SUM(R12/Q12)-1</f>
        <v>2.2554664803007496E-2</v>
      </c>
      <c r="S29" s="112">
        <f>SUM(S12/R12)-1</f>
        <v>-6.3745667403318218E-2</v>
      </c>
      <c r="T29" s="112">
        <f>SUM(T12/S12)-1</f>
        <v>-8.6153019078111237E-3</v>
      </c>
      <c r="U29" s="112">
        <f>SUM(U12/T12)-1</f>
        <v>0.37845104936563789</v>
      </c>
      <c r="V29" s="112">
        <f t="shared" ref="V29" si="67">SUM(V12/U12)-1</f>
        <v>-0.18329181025794383</v>
      </c>
      <c r="W29" s="112">
        <f t="shared" ref="W29" si="68">SUM(W12/V12)-1</f>
        <v>-2.1028891291045015E-2</v>
      </c>
      <c r="X29" s="109"/>
      <c r="Y29" s="110"/>
      <c r="Z29" s="110"/>
      <c r="AA29" s="110"/>
      <c r="AB29" s="110"/>
      <c r="AC29" s="110"/>
      <c r="AD29" s="110"/>
      <c r="AE29" s="110"/>
      <c r="AF29" s="125"/>
    </row>
    <row r="30" spans="2:32" x14ac:dyDescent="0.2">
      <c r="B30" s="122" t="s">
        <v>54</v>
      </c>
      <c r="C30" s="113"/>
      <c r="D30" s="114">
        <f>SUM(D13/C13)-1</f>
        <v>-0.16843789486660576</v>
      </c>
      <c r="E30" s="114">
        <f>SUM(E13/D13)-1</f>
        <v>5.2213297143199888E-2</v>
      </c>
      <c r="F30" s="114">
        <f>SUM(F13/E13)-1</f>
        <v>0.18279588580040818</v>
      </c>
      <c r="G30" s="114">
        <f>SUM(G13/F13)-1</f>
        <v>9.7831725861970975E-2</v>
      </c>
      <c r="H30" s="114">
        <f>SUM(H13/G13)-1</f>
        <v>-0.32807777214553746</v>
      </c>
      <c r="I30" s="113"/>
      <c r="J30" s="115"/>
      <c r="K30" s="114">
        <f>SUM(K13/J13)-1</f>
        <v>-2.0797126562459356E-2</v>
      </c>
      <c r="L30" s="114">
        <f>SUM(L13/K13)-1</f>
        <v>1.8144514440517234E-2</v>
      </c>
      <c r="M30" s="114">
        <f>SUM(M13/L13)-1</f>
        <v>0.37967447311497859</v>
      </c>
      <c r="N30" s="114">
        <f>SUM(N13/M13)-1</f>
        <v>-0.18362308101623515</v>
      </c>
      <c r="O30" s="114">
        <f>SUM(O13/N13)-1</f>
        <v>-3.9652077260319052E-2</v>
      </c>
      <c r="P30" s="114">
        <f>SUM(P13/O13)-1</f>
        <v>-1.6157741552821014E-2</v>
      </c>
      <c r="Q30" s="114">
        <f>SUM(Q13/P13)-1</f>
        <v>0.42804085124027069</v>
      </c>
      <c r="R30" s="114">
        <f>SUM(R13/Q13)-1</f>
        <v>-0.48872266759849625</v>
      </c>
      <c r="S30" s="114">
        <f>SUM(S13/R13)-1</f>
        <v>-6.3745667403318218E-2</v>
      </c>
      <c r="T30" s="114">
        <f>SUM(T13/S13)-1</f>
        <v>-8.6153019078111237E-3</v>
      </c>
      <c r="U30" s="114">
        <f>SUM(U13/T13)-1</f>
        <v>0.37845104936563789</v>
      </c>
      <c r="V30" s="114">
        <f t="shared" ref="V30" si="69">SUM(V13/U13)-1</f>
        <v>-0.18329181025794383</v>
      </c>
      <c r="W30" s="114">
        <f t="shared" ref="W30" si="70">SUM(W13/V13)-1</f>
        <v>-2.1028891291045015E-2</v>
      </c>
      <c r="X30" s="113"/>
      <c r="Y30" s="115"/>
      <c r="Z30" s="115"/>
      <c r="AA30" s="115"/>
      <c r="AB30" s="115"/>
      <c r="AC30" s="115"/>
      <c r="AD30" s="115"/>
      <c r="AE30" s="115"/>
      <c r="AF30" s="126"/>
    </row>
    <row r="31" spans="2:32" x14ac:dyDescent="0.2">
      <c r="B31" s="57"/>
      <c r="E31" s="107"/>
      <c r="F31" s="107"/>
      <c r="G31" s="107"/>
      <c r="H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Y31" s="107"/>
      <c r="Z31" s="107"/>
      <c r="AA31" s="107"/>
      <c r="AB31" s="107"/>
      <c r="AC31" s="107"/>
      <c r="AD31" s="107"/>
      <c r="AE31" s="107"/>
      <c r="AF31" s="107"/>
    </row>
  </sheetData>
  <conditionalFormatting sqref="C6:AF6">
    <cfRule type="timePeriod" dxfId="0" priority="1" timePeriod="lastWeek">
      <formula>AND(TODAY()-ROUNDDOWN(C6,0)&gt;=(WEEKDAY(TODAY())),TODAY()-ROUNDDOWN(C6,0)&lt;(WEEKDAY(TODAY())+7))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Financials </vt:lpstr>
      <vt:lpstr>FCF</vt:lpstr>
      <vt:lpstr> Segment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2024-12-28T10:46:35Z</dcterms:created>
  <dcterms:modified xsi:type="dcterms:W3CDTF">2025-09-01T00:02:12Z</dcterms:modified>
</cp:coreProperties>
</file>