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8_{5CAE5FAB-1C0A-4071-A166-DE1200AEE0CF}" xr6:coauthVersionLast="47" xr6:coauthVersionMax="47" xr10:uidLastSave="{00000000-0000-0000-0000-000000000000}"/>
  <bookViews>
    <workbookView xWindow="57480" yWindow="-120" windowWidth="29040" windowHeight="15720" activeTab="1" xr2:uid="{D8DF2202-62BF-453D-A849-EFD132DF8234}"/>
  </bookViews>
  <sheets>
    <sheet name="background" sheetId="6" r:id="rId1"/>
    <sheet name="Base Financials " sheetId="4" r:id="rId2"/>
    <sheet name="Adjusted EBITDA Analysis" sheetId="5" r:id="rId3"/>
  </sheets>
  <externalReferences>
    <externalReference r:id="rId4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9" i="4" l="1"/>
  <c r="R169" i="4"/>
  <c r="Q169" i="4"/>
  <c r="O169" i="4"/>
  <c r="N169" i="4"/>
  <c r="M169" i="4"/>
  <c r="K169" i="4"/>
  <c r="J169" i="4"/>
  <c r="I169" i="4"/>
  <c r="G169" i="4"/>
  <c r="F169" i="4"/>
  <c r="E169" i="4"/>
  <c r="D169" i="4"/>
  <c r="C169" i="4"/>
  <c r="T168" i="4"/>
  <c r="P168" i="4"/>
  <c r="W168" i="4" s="1"/>
  <c r="L168" i="4"/>
  <c r="V168" i="4" s="1"/>
  <c r="T167" i="4"/>
  <c r="P167" i="4"/>
  <c r="W167" i="4" s="1"/>
  <c r="L167" i="4"/>
  <c r="V167" i="4" s="1"/>
  <c r="T166" i="4"/>
  <c r="P166" i="4"/>
  <c r="W166" i="4" s="1"/>
  <c r="L166" i="4"/>
  <c r="V166" i="4" s="1"/>
  <c r="T165" i="4"/>
  <c r="W165" i="4" s="1"/>
  <c r="P165" i="4"/>
  <c r="V165" i="4" s="1"/>
  <c r="L165" i="4"/>
  <c r="S155" i="4"/>
  <c r="R155" i="4"/>
  <c r="Q155" i="4"/>
  <c r="O155" i="4"/>
  <c r="N155" i="4"/>
  <c r="M155" i="4"/>
  <c r="K155" i="4"/>
  <c r="J155" i="4"/>
  <c r="I155" i="4"/>
  <c r="G155" i="4"/>
  <c r="F155" i="4"/>
  <c r="E155" i="4"/>
  <c r="D155" i="4"/>
  <c r="C155" i="4"/>
  <c r="T154" i="4"/>
  <c r="W154" i="4" s="1"/>
  <c r="P154" i="4"/>
  <c r="V154" i="4" s="1"/>
  <c r="L154" i="4"/>
  <c r="T153" i="4"/>
  <c r="W153" i="4" s="1"/>
  <c r="P153" i="4"/>
  <c r="V153" i="4" s="1"/>
  <c r="L153" i="4"/>
  <c r="T152" i="4"/>
  <c r="W152" i="4" s="1"/>
  <c r="P152" i="4"/>
  <c r="V152" i="4" s="1"/>
  <c r="L152" i="4"/>
  <c r="T151" i="4"/>
  <c r="W151" i="4" s="1"/>
  <c r="P151" i="4"/>
  <c r="V151" i="4" s="1"/>
  <c r="L151" i="4"/>
  <c r="T150" i="4"/>
  <c r="W150" i="4" s="1"/>
  <c r="P150" i="4"/>
  <c r="V150" i="4" s="1"/>
  <c r="L150" i="4"/>
  <c r="T149" i="4"/>
  <c r="P149" i="4"/>
  <c r="V149" i="4" s="1"/>
  <c r="L149" i="4"/>
  <c r="C13" i="4"/>
  <c r="C12" i="4"/>
  <c r="D12" i="4"/>
  <c r="D11" i="4"/>
  <c r="C14" i="4"/>
  <c r="C11" i="4"/>
  <c r="D14" i="4"/>
  <c r="D13" i="4"/>
  <c r="P15" i="4"/>
  <c r="L15" i="4"/>
  <c r="E13" i="4"/>
  <c r="L13" i="4" s="1"/>
  <c r="E12" i="4"/>
  <c r="L12" i="4" s="1"/>
  <c r="E11" i="4"/>
  <c r="L11" i="4" s="1"/>
  <c r="F13" i="4"/>
  <c r="P13" i="4" s="1"/>
  <c r="F12" i="4"/>
  <c r="P12" i="4" s="1"/>
  <c r="E14" i="4"/>
  <c r="L14" i="4" s="1"/>
  <c r="F11" i="4"/>
  <c r="P11" i="4" s="1"/>
  <c r="F14" i="4"/>
  <c r="P14" i="4" s="1"/>
  <c r="G14" i="4"/>
  <c r="G13" i="4"/>
  <c r="G12" i="4"/>
  <c r="G11" i="4"/>
  <c r="T11" i="4" s="1"/>
  <c r="W11" i="4" s="1"/>
  <c r="Q31" i="5"/>
  <c r="M31" i="5"/>
  <c r="K31" i="5"/>
  <c r="I31" i="5"/>
  <c r="H31" i="5"/>
  <c r="G31" i="5"/>
  <c r="F31" i="5"/>
  <c r="E31" i="5"/>
  <c r="D31" i="5"/>
  <c r="C31" i="5"/>
  <c r="Q26" i="5"/>
  <c r="M26" i="5"/>
  <c r="K26" i="5"/>
  <c r="I26" i="5"/>
  <c r="H26" i="5"/>
  <c r="G26" i="5"/>
  <c r="F26" i="5"/>
  <c r="E26" i="5"/>
  <c r="D26" i="5"/>
  <c r="C26" i="5"/>
  <c r="H22" i="5"/>
  <c r="S21" i="5"/>
  <c r="R21" i="5"/>
  <c r="Q21" i="5"/>
  <c r="O21" i="5"/>
  <c r="N21" i="5"/>
  <c r="M21" i="5"/>
  <c r="K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K20" i="5"/>
  <c r="J20" i="5"/>
  <c r="I20" i="5"/>
  <c r="H20" i="5"/>
  <c r="G20" i="5"/>
  <c r="F20" i="5"/>
  <c r="E20" i="5"/>
  <c r="D20" i="5"/>
  <c r="C20" i="5"/>
  <c r="B22" i="5"/>
  <c r="B21" i="5"/>
  <c r="B20" i="5"/>
  <c r="S16" i="5"/>
  <c r="R16" i="5"/>
  <c r="Q16" i="5"/>
  <c r="O16" i="5"/>
  <c r="N16" i="5"/>
  <c r="M16" i="5"/>
  <c r="K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K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K14" i="5"/>
  <c r="J14" i="5"/>
  <c r="I14" i="5"/>
  <c r="H14" i="5"/>
  <c r="G14" i="5"/>
  <c r="F14" i="5"/>
  <c r="E14" i="5"/>
  <c r="D14" i="5"/>
  <c r="C14" i="5"/>
  <c r="B16" i="5"/>
  <c r="B15" i="5"/>
  <c r="B14" i="5"/>
  <c r="S10" i="5"/>
  <c r="R10" i="5"/>
  <c r="Q10" i="5"/>
  <c r="O10" i="5"/>
  <c r="N10" i="5"/>
  <c r="M10" i="5"/>
  <c r="K10" i="5"/>
  <c r="J10" i="5"/>
  <c r="I10" i="5"/>
  <c r="H10" i="5"/>
  <c r="G10" i="5"/>
  <c r="F10" i="5"/>
  <c r="E10" i="5"/>
  <c r="D10" i="5"/>
  <c r="C10" i="5"/>
  <c r="H9" i="5"/>
  <c r="Y167" i="4" l="1"/>
  <c r="L169" i="4"/>
  <c r="V169" i="4"/>
  <c r="W169" i="4"/>
  <c r="Y166" i="4"/>
  <c r="T169" i="4"/>
  <c r="Y169" i="4"/>
  <c r="Y168" i="4"/>
  <c r="P169" i="4"/>
  <c r="Y153" i="4"/>
  <c r="T155" i="4"/>
  <c r="W155" i="4" s="1"/>
  <c r="Y154" i="4"/>
  <c r="P155" i="4"/>
  <c r="V155" i="4" s="1"/>
  <c r="L155" i="4"/>
  <c r="Y152" i="4"/>
  <c r="Y150" i="4"/>
  <c r="Y151" i="4"/>
  <c r="W149" i="4"/>
  <c r="Y149" i="4" s="1"/>
  <c r="V14" i="4"/>
  <c r="V11" i="4"/>
  <c r="Y11" i="4" s="1"/>
  <c r="T14" i="4"/>
  <c r="W14" i="4" s="1"/>
  <c r="I22" i="5"/>
  <c r="J22" i="5"/>
  <c r="K22" i="5"/>
  <c r="C22" i="5"/>
  <c r="D22" i="5"/>
  <c r="M22" i="5"/>
  <c r="N22" i="5"/>
  <c r="O22" i="5"/>
  <c r="E22" i="5"/>
  <c r="Q22" i="5"/>
  <c r="R22" i="5"/>
  <c r="L28" i="4"/>
  <c r="L21" i="5" s="1"/>
  <c r="P28" i="4"/>
  <c r="S22" i="5"/>
  <c r="F22" i="5"/>
  <c r="G22" i="5"/>
  <c r="T28" i="4"/>
  <c r="L173" i="4"/>
  <c r="V173" i="4" s="1"/>
  <c r="L161" i="4"/>
  <c r="V161" i="4" s="1"/>
  <c r="L160" i="4"/>
  <c r="V160" i="4" s="1"/>
  <c r="L159" i="4"/>
  <c r="V159" i="4" s="1"/>
  <c r="L145" i="4"/>
  <c r="L144" i="4"/>
  <c r="L143" i="4"/>
  <c r="L141" i="4"/>
  <c r="L142" i="4"/>
  <c r="J26" i="5"/>
  <c r="L95" i="4"/>
  <c r="L96" i="4"/>
  <c r="J31" i="5"/>
  <c r="L98" i="4"/>
  <c r="L99" i="4"/>
  <c r="L106" i="4"/>
  <c r="L105" i="4"/>
  <c r="L104" i="4"/>
  <c r="L103" i="4"/>
  <c r="L102" i="4"/>
  <c r="L112" i="4"/>
  <c r="L111" i="4"/>
  <c r="L110" i="4"/>
  <c r="L122" i="4"/>
  <c r="L121" i="4"/>
  <c r="L120" i="4"/>
  <c r="L119" i="4"/>
  <c r="L118" i="4"/>
  <c r="L117" i="4"/>
  <c r="L116" i="4"/>
  <c r="L177" i="4"/>
  <c r="L172" i="4"/>
  <c r="L158" i="4"/>
  <c r="L140" i="4"/>
  <c r="L128" i="4"/>
  <c r="L127" i="4"/>
  <c r="L126" i="4"/>
  <c r="L125" i="4"/>
  <c r="L31" i="4"/>
  <c r="L27" i="4"/>
  <c r="L20" i="5" s="1"/>
  <c r="L21" i="4"/>
  <c r="L16" i="5" s="1"/>
  <c r="L15" i="5"/>
  <c r="L14" i="5"/>
  <c r="L10" i="5"/>
  <c r="L77" i="4"/>
  <c r="L76" i="4"/>
  <c r="L75" i="4"/>
  <c r="L72" i="4"/>
  <c r="L68" i="4"/>
  <c r="L67" i="4"/>
  <c r="L66" i="4"/>
  <c r="L65" i="4"/>
  <c r="L61" i="4"/>
  <c r="L60" i="4"/>
  <c r="L59" i="4"/>
  <c r="L58" i="4"/>
  <c r="L54" i="4"/>
  <c r="V54" i="4" s="1"/>
  <c r="L53" i="4"/>
  <c r="V53" i="4" s="1"/>
  <c r="L52" i="4"/>
  <c r="L51" i="4"/>
  <c r="V51" i="4" s="1"/>
  <c r="L50" i="4"/>
  <c r="L46" i="4"/>
  <c r="L45" i="4"/>
  <c r="L44" i="4"/>
  <c r="L43" i="4"/>
  <c r="P120" i="4"/>
  <c r="V120" i="4" s="1"/>
  <c r="P119" i="4"/>
  <c r="V119" i="4" s="1"/>
  <c r="P118" i="4"/>
  <c r="V118" i="4" s="1"/>
  <c r="P117" i="4"/>
  <c r="P116" i="4"/>
  <c r="V116" i="4" s="1"/>
  <c r="P112" i="4"/>
  <c r="V112" i="4" s="1"/>
  <c r="P111" i="4"/>
  <c r="V111" i="4" s="1"/>
  <c r="P110" i="4"/>
  <c r="V110" i="4" s="1"/>
  <c r="P105" i="4"/>
  <c r="V105" i="4" s="1"/>
  <c r="P104" i="4"/>
  <c r="P102" i="4"/>
  <c r="V102" i="4" s="1"/>
  <c r="P99" i="4"/>
  <c r="V99" i="4" s="1"/>
  <c r="P98" i="4"/>
  <c r="V98" i="4" s="1"/>
  <c r="P95" i="4"/>
  <c r="V95" i="4" s="1"/>
  <c r="P177" i="4"/>
  <c r="V177" i="4" s="1"/>
  <c r="P173" i="4"/>
  <c r="W173" i="4" s="1"/>
  <c r="P161" i="4"/>
  <c r="W161" i="4" s="1"/>
  <c r="P160" i="4"/>
  <c r="W160" i="4" s="1"/>
  <c r="P159" i="4"/>
  <c r="W159" i="4" s="1"/>
  <c r="P172" i="4"/>
  <c r="W172" i="4" s="1"/>
  <c r="P158" i="4"/>
  <c r="V158" i="4" s="1"/>
  <c r="P145" i="4"/>
  <c r="V145" i="4" s="1"/>
  <c r="P144" i="4"/>
  <c r="P143" i="4"/>
  <c r="V143" i="4" s="1"/>
  <c r="P142" i="4"/>
  <c r="V142" i="4" s="1"/>
  <c r="P141" i="4"/>
  <c r="V141" i="4" s="1"/>
  <c r="P140" i="4"/>
  <c r="V140" i="4" s="1"/>
  <c r="P128" i="4"/>
  <c r="P127" i="4"/>
  <c r="P126" i="4"/>
  <c r="P125" i="4"/>
  <c r="V125" i="4" s="1"/>
  <c r="P77" i="4"/>
  <c r="V77" i="4" s="1"/>
  <c r="P76" i="4"/>
  <c r="V76" i="4" s="1"/>
  <c r="P75" i="4"/>
  <c r="V75" i="4" s="1"/>
  <c r="P72" i="4"/>
  <c r="V72" i="4" s="1"/>
  <c r="P68" i="4"/>
  <c r="V68" i="4" s="1"/>
  <c r="P67" i="4"/>
  <c r="V67" i="4" s="1"/>
  <c r="P66" i="4"/>
  <c r="V66" i="4" s="1"/>
  <c r="P65" i="4"/>
  <c r="V65" i="4" s="1"/>
  <c r="P61" i="4"/>
  <c r="V61" i="4" s="1"/>
  <c r="P60" i="4"/>
  <c r="V60" i="4" s="1"/>
  <c r="P59" i="4"/>
  <c r="V59" i="4" s="1"/>
  <c r="P58" i="4"/>
  <c r="V58" i="4" s="1"/>
  <c r="P54" i="4"/>
  <c r="W54" i="4" s="1"/>
  <c r="P53" i="4"/>
  <c r="W53" i="4" s="1"/>
  <c r="P52" i="4"/>
  <c r="P51" i="4"/>
  <c r="W51" i="4" s="1"/>
  <c r="P50" i="4"/>
  <c r="V50" i="4" s="1"/>
  <c r="P46" i="4"/>
  <c r="V46" i="4" s="1"/>
  <c r="P45" i="4"/>
  <c r="V45" i="4" s="1"/>
  <c r="P44" i="4"/>
  <c r="V44" i="4" s="1"/>
  <c r="P43" i="4"/>
  <c r="V43" i="4" s="1"/>
  <c r="P37" i="4"/>
  <c r="P31" i="4"/>
  <c r="P27" i="4"/>
  <c r="P21" i="4"/>
  <c r="Q10" i="4"/>
  <c r="Q9" i="5" s="1"/>
  <c r="O10" i="4"/>
  <c r="O9" i="5" s="1"/>
  <c r="N10" i="4"/>
  <c r="N9" i="5" s="1"/>
  <c r="M10" i="4"/>
  <c r="M9" i="5" s="1"/>
  <c r="K10" i="4"/>
  <c r="K9" i="5" s="1"/>
  <c r="J10" i="4"/>
  <c r="J9" i="5" s="1"/>
  <c r="I10" i="4"/>
  <c r="I9" i="5" s="1"/>
  <c r="T121" i="4"/>
  <c r="W121" i="4" s="1"/>
  <c r="T120" i="4"/>
  <c r="W120" i="4" s="1"/>
  <c r="T119" i="4"/>
  <c r="T118" i="4"/>
  <c r="W118" i="4" s="1"/>
  <c r="T117" i="4"/>
  <c r="W117" i="4" s="1"/>
  <c r="T116" i="4"/>
  <c r="W116" i="4" s="1"/>
  <c r="T112" i="4"/>
  <c r="W112" i="4" s="1"/>
  <c r="T106" i="4"/>
  <c r="W106" i="4" s="1"/>
  <c r="T104" i="4"/>
  <c r="W104" i="4" s="1"/>
  <c r="T103" i="4"/>
  <c r="W103" i="4" s="1"/>
  <c r="T102" i="4"/>
  <c r="T99" i="4"/>
  <c r="W99" i="4" s="1"/>
  <c r="T98" i="4"/>
  <c r="W98" i="4" s="1"/>
  <c r="T96" i="4"/>
  <c r="W96" i="4" s="1"/>
  <c r="T37" i="4"/>
  <c r="R10" i="4"/>
  <c r="R9" i="5" s="1"/>
  <c r="T31" i="4"/>
  <c r="W31" i="4" s="1"/>
  <c r="T27" i="4"/>
  <c r="T21" i="4"/>
  <c r="T177" i="4"/>
  <c r="W177" i="4" s="1"/>
  <c r="T172" i="4"/>
  <c r="T173" i="4"/>
  <c r="T161" i="4"/>
  <c r="T160" i="4"/>
  <c r="T159" i="4"/>
  <c r="T158" i="4"/>
  <c r="W158" i="4" s="1"/>
  <c r="T145" i="4"/>
  <c r="W145" i="4" s="1"/>
  <c r="T144" i="4"/>
  <c r="W144" i="4" s="1"/>
  <c r="T143" i="4"/>
  <c r="W143" i="4" s="1"/>
  <c r="T142" i="4"/>
  <c r="W142" i="4" s="1"/>
  <c r="T141" i="4"/>
  <c r="W141" i="4" s="1"/>
  <c r="T140" i="4"/>
  <c r="W140" i="4" s="1"/>
  <c r="T128" i="4"/>
  <c r="T127" i="4"/>
  <c r="T126" i="4"/>
  <c r="T125" i="4"/>
  <c r="W125" i="4" s="1"/>
  <c r="T111" i="4"/>
  <c r="W111" i="4" s="1"/>
  <c r="T77" i="4"/>
  <c r="W77" i="4" s="1"/>
  <c r="T76" i="4"/>
  <c r="W76" i="4" s="1"/>
  <c r="T75" i="4"/>
  <c r="T72" i="4"/>
  <c r="W72" i="4" s="1"/>
  <c r="T68" i="4"/>
  <c r="W68" i="4" s="1"/>
  <c r="T67" i="4"/>
  <c r="W67" i="4" s="1"/>
  <c r="T66" i="4"/>
  <c r="W66" i="4" s="1"/>
  <c r="T65" i="4"/>
  <c r="W65" i="4" s="1"/>
  <c r="T46" i="4"/>
  <c r="W46" i="4" s="1"/>
  <c r="T45" i="4"/>
  <c r="W45" i="4" s="1"/>
  <c r="T44" i="4"/>
  <c r="W44" i="4" s="1"/>
  <c r="T43" i="4"/>
  <c r="W43" i="4" s="1"/>
  <c r="T54" i="4"/>
  <c r="T53" i="4"/>
  <c r="T52" i="4"/>
  <c r="T51" i="4"/>
  <c r="T50" i="4"/>
  <c r="W50" i="4" s="1"/>
  <c r="T61" i="4"/>
  <c r="W61" i="4" s="1"/>
  <c r="T60" i="4"/>
  <c r="W60" i="4" s="1"/>
  <c r="T59" i="4"/>
  <c r="W59" i="4" s="1"/>
  <c r="T58" i="4"/>
  <c r="W58" i="4" s="1"/>
  <c r="X32" i="4"/>
  <c r="S10" i="4"/>
  <c r="S9" i="5" s="1"/>
  <c r="S11" i="5" s="1"/>
  <c r="S17" i="5" s="1"/>
  <c r="S174" i="4"/>
  <c r="R174" i="4"/>
  <c r="Q174" i="4"/>
  <c r="O174" i="4"/>
  <c r="N174" i="4"/>
  <c r="M174" i="4"/>
  <c r="K174" i="4"/>
  <c r="J174" i="4"/>
  <c r="S162" i="4"/>
  <c r="R162" i="4"/>
  <c r="Q162" i="4"/>
  <c r="O162" i="4"/>
  <c r="N162" i="4"/>
  <c r="M162" i="4"/>
  <c r="K162" i="4"/>
  <c r="J162" i="4"/>
  <c r="S146" i="4"/>
  <c r="R146" i="4"/>
  <c r="Q146" i="4"/>
  <c r="O146" i="4"/>
  <c r="N146" i="4"/>
  <c r="M146" i="4"/>
  <c r="K146" i="4"/>
  <c r="J146" i="4"/>
  <c r="S137" i="4"/>
  <c r="R137" i="4"/>
  <c r="Q137" i="4"/>
  <c r="O137" i="4"/>
  <c r="N137" i="4"/>
  <c r="M137" i="4"/>
  <c r="K137" i="4"/>
  <c r="J137" i="4"/>
  <c r="I174" i="4"/>
  <c r="I162" i="4"/>
  <c r="I146" i="4"/>
  <c r="I137" i="4"/>
  <c r="G137" i="4"/>
  <c r="F137" i="4"/>
  <c r="E137" i="4"/>
  <c r="D137" i="4"/>
  <c r="C137" i="4"/>
  <c r="G162" i="4"/>
  <c r="F162" i="4"/>
  <c r="E162" i="4"/>
  <c r="D162" i="4"/>
  <c r="C162" i="4"/>
  <c r="G174" i="4"/>
  <c r="F174" i="4"/>
  <c r="E174" i="4"/>
  <c r="D174" i="4"/>
  <c r="C174" i="4"/>
  <c r="G146" i="4"/>
  <c r="F146" i="4"/>
  <c r="E146" i="4"/>
  <c r="D146" i="4"/>
  <c r="C146" i="4"/>
  <c r="C123" i="4"/>
  <c r="C113" i="4"/>
  <c r="C78" i="4"/>
  <c r="C62" i="4"/>
  <c r="C69" i="4" s="1"/>
  <c r="C47" i="4"/>
  <c r="C55" i="4" s="1"/>
  <c r="C9" i="5"/>
  <c r="C11" i="5" s="1"/>
  <c r="C17" i="5" s="1"/>
  <c r="D123" i="4"/>
  <c r="D113" i="4"/>
  <c r="D78" i="4"/>
  <c r="D62" i="4"/>
  <c r="D85" i="4" s="1"/>
  <c r="D47" i="4"/>
  <c r="E9" i="5"/>
  <c r="E47" i="4"/>
  <c r="E55" i="4" s="1"/>
  <c r="E62" i="4"/>
  <c r="E69" i="4" s="1"/>
  <c r="E78" i="4"/>
  <c r="E113" i="4"/>
  <c r="E123" i="4"/>
  <c r="W8" i="5"/>
  <c r="V8" i="5"/>
  <c r="W7" i="5"/>
  <c r="V7" i="5"/>
  <c r="S78" i="4"/>
  <c r="S62" i="4"/>
  <c r="S85" i="4" s="1"/>
  <c r="S47" i="4"/>
  <c r="S55" i="4" s="1"/>
  <c r="S82" i="4" s="1"/>
  <c r="W82" i="4" s="1"/>
  <c r="W37" i="4"/>
  <c r="V37" i="4"/>
  <c r="V7" i="4"/>
  <c r="V8" i="4"/>
  <c r="W8" i="4"/>
  <c r="W7" i="4"/>
  <c r="L37" i="4"/>
  <c r="G9" i="5"/>
  <c r="F9" i="5"/>
  <c r="B31" i="5"/>
  <c r="B26" i="5"/>
  <c r="G123" i="4"/>
  <c r="F123" i="4"/>
  <c r="I123" i="4"/>
  <c r="I113" i="4"/>
  <c r="G113" i="4"/>
  <c r="F113" i="4"/>
  <c r="R78" i="4"/>
  <c r="Q78" i="4"/>
  <c r="O78" i="4"/>
  <c r="N78" i="4"/>
  <c r="M78" i="4"/>
  <c r="K78" i="4"/>
  <c r="J78" i="4"/>
  <c r="I78" i="4"/>
  <c r="G78" i="4"/>
  <c r="F78" i="4"/>
  <c r="R62" i="4"/>
  <c r="R69" i="4" s="1"/>
  <c r="Q62" i="4"/>
  <c r="Q69" i="4" s="1"/>
  <c r="O62" i="4"/>
  <c r="O69" i="4" s="1"/>
  <c r="N62" i="4"/>
  <c r="N69" i="4" s="1"/>
  <c r="M62" i="4"/>
  <c r="M69" i="4" s="1"/>
  <c r="K62" i="4"/>
  <c r="K69" i="4" s="1"/>
  <c r="J62" i="4"/>
  <c r="J69" i="4" s="1"/>
  <c r="I62" i="4"/>
  <c r="I69" i="4" s="1"/>
  <c r="G62" i="4"/>
  <c r="G69" i="4" s="1"/>
  <c r="F62" i="4"/>
  <c r="F69" i="4" s="1"/>
  <c r="R47" i="4"/>
  <c r="Q47" i="4"/>
  <c r="O47" i="4"/>
  <c r="O55" i="4" s="1"/>
  <c r="O82" i="4" s="1"/>
  <c r="V82" i="4" s="1"/>
  <c r="N47" i="4"/>
  <c r="N55" i="4" s="1"/>
  <c r="N82" i="4" s="1"/>
  <c r="M47" i="4"/>
  <c r="M55" i="4" s="1"/>
  <c r="M82" i="4" s="1"/>
  <c r="K47" i="4"/>
  <c r="K55" i="4" s="1"/>
  <c r="K82" i="4" s="1"/>
  <c r="J47" i="4"/>
  <c r="I47" i="4"/>
  <c r="G47" i="4"/>
  <c r="G55" i="4" s="1"/>
  <c r="F47" i="4"/>
  <c r="Y155" i="4" l="1"/>
  <c r="Y14" i="4"/>
  <c r="V31" i="4"/>
  <c r="S23" i="5"/>
  <c r="L94" i="4"/>
  <c r="L26" i="5" s="1"/>
  <c r="C23" i="5"/>
  <c r="C27" i="5" s="1"/>
  <c r="C29" i="5" s="1"/>
  <c r="R31" i="5"/>
  <c r="W15" i="4"/>
  <c r="T10" i="5"/>
  <c r="W10" i="5" s="1"/>
  <c r="V15" i="4"/>
  <c r="P10" i="5"/>
  <c r="V10" i="5" s="1"/>
  <c r="N26" i="5"/>
  <c r="T15" i="5"/>
  <c r="W15" i="5" s="1"/>
  <c r="P15" i="5"/>
  <c r="V15" i="5" s="1"/>
  <c r="V28" i="4"/>
  <c r="P21" i="5"/>
  <c r="V21" i="5" s="1"/>
  <c r="W21" i="4"/>
  <c r="T16" i="5"/>
  <c r="W16" i="5" s="1"/>
  <c r="V21" i="4"/>
  <c r="P16" i="5"/>
  <c r="V16" i="5" s="1"/>
  <c r="N31" i="5"/>
  <c r="T14" i="5"/>
  <c r="W14" i="5" s="1"/>
  <c r="W27" i="4"/>
  <c r="T20" i="5"/>
  <c r="W20" i="5" s="1"/>
  <c r="R26" i="5"/>
  <c r="V27" i="4"/>
  <c r="P20" i="5"/>
  <c r="V20" i="5" s="1"/>
  <c r="T29" i="4"/>
  <c r="P29" i="4"/>
  <c r="P14" i="5"/>
  <c r="V14" i="5" s="1"/>
  <c r="D16" i="4"/>
  <c r="D22" i="4" s="1"/>
  <c r="D24" i="4" s="1"/>
  <c r="D9" i="5"/>
  <c r="D11" i="5" s="1"/>
  <c r="D17" i="5" s="1"/>
  <c r="D23" i="5" s="1"/>
  <c r="D27" i="5" s="1"/>
  <c r="L97" i="4"/>
  <c r="L31" i="5" s="1"/>
  <c r="W28" i="4"/>
  <c r="T21" i="5"/>
  <c r="W21" i="5" s="1"/>
  <c r="L29" i="4"/>
  <c r="L22" i="5" s="1"/>
  <c r="L78" i="4"/>
  <c r="L146" i="4"/>
  <c r="L162" i="4"/>
  <c r="L174" i="4"/>
  <c r="V172" i="4"/>
  <c r="Y172" i="4" s="1"/>
  <c r="Y160" i="4"/>
  <c r="E176" i="4"/>
  <c r="L10" i="4"/>
  <c r="L9" i="5" s="1"/>
  <c r="L137" i="4"/>
  <c r="P121" i="4"/>
  <c r="V121" i="4" s="1"/>
  <c r="Y121" i="4" s="1"/>
  <c r="P96" i="4"/>
  <c r="V96" i="4" s="1"/>
  <c r="P122" i="4"/>
  <c r="V122" i="4" s="1"/>
  <c r="P106" i="4"/>
  <c r="V106" i="4" s="1"/>
  <c r="P103" i="4"/>
  <c r="V103" i="4" s="1"/>
  <c r="V104" i="4"/>
  <c r="V117" i="4"/>
  <c r="Y117" i="4" s="1"/>
  <c r="F176" i="4"/>
  <c r="P162" i="4"/>
  <c r="P146" i="4"/>
  <c r="V146" i="4" s="1"/>
  <c r="V144" i="4"/>
  <c r="Y144" i="4" s="1"/>
  <c r="Y177" i="4"/>
  <c r="P174" i="4"/>
  <c r="P137" i="4"/>
  <c r="V137" i="4" s="1"/>
  <c r="V162" i="4"/>
  <c r="Y142" i="4"/>
  <c r="Y141" i="4"/>
  <c r="Y111" i="4"/>
  <c r="D176" i="4"/>
  <c r="P10" i="4"/>
  <c r="Y145" i="4"/>
  <c r="Y161" i="4"/>
  <c r="T47" i="4"/>
  <c r="T55" i="4" s="1"/>
  <c r="T82" i="4" s="1"/>
  <c r="T78" i="4"/>
  <c r="Y112" i="4"/>
  <c r="G176" i="4"/>
  <c r="T10" i="4"/>
  <c r="W75" i="4"/>
  <c r="Y75" i="4" s="1"/>
  <c r="Y173" i="4"/>
  <c r="C176" i="4"/>
  <c r="T62" i="4"/>
  <c r="T69" i="4" s="1"/>
  <c r="N11" i="5"/>
  <c r="N17" i="5" s="1"/>
  <c r="T122" i="4"/>
  <c r="W122" i="4" s="1"/>
  <c r="S123" i="4"/>
  <c r="T110" i="4"/>
  <c r="W102" i="4"/>
  <c r="T95" i="4"/>
  <c r="W95" i="4" s="1"/>
  <c r="W162" i="4"/>
  <c r="T162" i="4"/>
  <c r="Y143" i="4"/>
  <c r="T174" i="4"/>
  <c r="T146" i="4"/>
  <c r="T137" i="4"/>
  <c r="W137" i="4" s="1"/>
  <c r="W119" i="4"/>
  <c r="Y119" i="4" s="1"/>
  <c r="T105" i="4"/>
  <c r="W105" i="4" s="1"/>
  <c r="Y159" i="4"/>
  <c r="Y140" i="4"/>
  <c r="W174" i="4"/>
  <c r="O176" i="4"/>
  <c r="M176" i="4"/>
  <c r="J176" i="4"/>
  <c r="R176" i="4"/>
  <c r="N176" i="4"/>
  <c r="K176" i="4"/>
  <c r="S176" i="4"/>
  <c r="Q176" i="4"/>
  <c r="I176" i="4"/>
  <c r="E82" i="4"/>
  <c r="C82" i="4"/>
  <c r="F55" i="4"/>
  <c r="F82" i="4" s="1"/>
  <c r="G82" i="4"/>
  <c r="D55" i="4"/>
  <c r="D82" i="4" s="1"/>
  <c r="D69" i="4"/>
  <c r="D79" i="4" s="1"/>
  <c r="E16" i="4"/>
  <c r="C83" i="4"/>
  <c r="E85" i="4"/>
  <c r="E84" i="4"/>
  <c r="C16" i="4"/>
  <c r="C22" i="4" s="1"/>
  <c r="C79" i="4"/>
  <c r="C84" i="4"/>
  <c r="C85" i="4"/>
  <c r="D83" i="4"/>
  <c r="D84" i="4"/>
  <c r="F16" i="4"/>
  <c r="E83" i="4"/>
  <c r="Q16" i="4"/>
  <c r="Q22" i="4" s="1"/>
  <c r="Q30" i="4" s="1"/>
  <c r="Q32" i="4" s="1"/>
  <c r="Q91" i="4" s="1"/>
  <c r="Q107" i="4" s="1"/>
  <c r="Q131" i="4" s="1"/>
  <c r="E79" i="4"/>
  <c r="E11" i="5"/>
  <c r="E17" i="5" s="1"/>
  <c r="E23" i="5" s="1"/>
  <c r="E27" i="5" s="1"/>
  <c r="E29" i="5" s="1"/>
  <c r="F11" i="5"/>
  <c r="F17" i="5" s="1"/>
  <c r="F23" i="5" s="1"/>
  <c r="F27" i="5" s="1"/>
  <c r="F32" i="5" s="1"/>
  <c r="J16" i="4"/>
  <c r="J22" i="4" s="1"/>
  <c r="J30" i="4" s="1"/>
  <c r="J32" i="4" s="1"/>
  <c r="J91" i="4" s="1"/>
  <c r="G16" i="4"/>
  <c r="S16" i="4"/>
  <c r="S18" i="4" s="1"/>
  <c r="Q11" i="5"/>
  <c r="Q17" i="5" s="1"/>
  <c r="I16" i="4"/>
  <c r="I22" i="4" s="1"/>
  <c r="I30" i="4" s="1"/>
  <c r="I32" i="4" s="1"/>
  <c r="I91" i="4" s="1"/>
  <c r="I107" i="4" s="1"/>
  <c r="I131" i="4" s="1"/>
  <c r="J11" i="5"/>
  <c r="J17" i="5" s="1"/>
  <c r="J23" i="5" s="1"/>
  <c r="F83" i="4"/>
  <c r="Y118" i="4"/>
  <c r="Y120" i="4"/>
  <c r="P113" i="4"/>
  <c r="O83" i="4"/>
  <c r="G83" i="4"/>
  <c r="N83" i="4"/>
  <c r="V83" i="4" s="1"/>
  <c r="I83" i="4"/>
  <c r="Q83" i="4"/>
  <c r="J83" i="4"/>
  <c r="R83" i="4"/>
  <c r="W83" i="4" s="1"/>
  <c r="K83" i="4"/>
  <c r="S83" i="4"/>
  <c r="M83" i="4"/>
  <c r="S69" i="4"/>
  <c r="S79" i="4" s="1"/>
  <c r="S84" i="4"/>
  <c r="M16" i="4"/>
  <c r="M22" i="4" s="1"/>
  <c r="R16" i="4"/>
  <c r="R18" i="4" s="1"/>
  <c r="O16" i="4"/>
  <c r="O18" i="4" s="1"/>
  <c r="N16" i="4"/>
  <c r="K16" i="4"/>
  <c r="K22" i="4" s="1"/>
  <c r="K30" i="4" s="1"/>
  <c r="K32" i="4" s="1"/>
  <c r="K91" i="4" s="1"/>
  <c r="M11" i="5"/>
  <c r="M17" i="5" s="1"/>
  <c r="I11" i="5"/>
  <c r="I17" i="5" s="1"/>
  <c r="I23" i="5" s="1"/>
  <c r="G11" i="5"/>
  <c r="G17" i="5" s="1"/>
  <c r="J113" i="4"/>
  <c r="O11" i="5"/>
  <c r="O17" i="5" s="1"/>
  <c r="O23" i="5" s="1"/>
  <c r="R11" i="5"/>
  <c r="R17" i="5" s="1"/>
  <c r="R23" i="5" s="1"/>
  <c r="K11" i="5"/>
  <c r="K17" i="5" s="1"/>
  <c r="I84" i="4"/>
  <c r="L62" i="4"/>
  <c r="L69" i="4" s="1"/>
  <c r="P78" i="4"/>
  <c r="V62" i="4"/>
  <c r="V69" i="4" s="1"/>
  <c r="Y59" i="4"/>
  <c r="Y72" i="4"/>
  <c r="P62" i="4"/>
  <c r="P85" i="4" s="1"/>
  <c r="Q84" i="4"/>
  <c r="L47" i="4"/>
  <c r="Y65" i="4"/>
  <c r="P47" i="4"/>
  <c r="P55" i="4" s="1"/>
  <c r="P82" i="4" s="1"/>
  <c r="Y54" i="4"/>
  <c r="Y44" i="4"/>
  <c r="Y53" i="4"/>
  <c r="J84" i="4"/>
  <c r="R84" i="4"/>
  <c r="W84" i="4" s="1"/>
  <c r="Y76" i="4"/>
  <c r="Y43" i="4"/>
  <c r="Y67" i="4"/>
  <c r="Y50" i="4"/>
  <c r="Y68" i="4"/>
  <c r="Y58" i="4"/>
  <c r="K79" i="4"/>
  <c r="Y66" i="4"/>
  <c r="J85" i="4"/>
  <c r="M79" i="4"/>
  <c r="K85" i="4"/>
  <c r="Y51" i="4"/>
  <c r="Y31" i="4"/>
  <c r="J79" i="4"/>
  <c r="R79" i="4"/>
  <c r="Y77" i="4"/>
  <c r="I85" i="4"/>
  <c r="Q85" i="4"/>
  <c r="I55" i="4"/>
  <c r="I82" i="4" s="1"/>
  <c r="R85" i="4"/>
  <c r="W85" i="4" s="1"/>
  <c r="M113" i="4"/>
  <c r="V47" i="4"/>
  <c r="V55" i="4" s="1"/>
  <c r="K84" i="4"/>
  <c r="I79" i="4"/>
  <c r="Q79" i="4"/>
  <c r="J55" i="4"/>
  <c r="J82" i="4" s="1"/>
  <c r="Q113" i="4"/>
  <c r="R113" i="4"/>
  <c r="Q123" i="4"/>
  <c r="R123" i="4"/>
  <c r="Q55" i="4"/>
  <c r="Q82" i="4" s="1"/>
  <c r="R55" i="4"/>
  <c r="R82" i="4" s="1"/>
  <c r="M85" i="4"/>
  <c r="M123" i="4"/>
  <c r="F85" i="4"/>
  <c r="N85" i="4"/>
  <c r="V85" i="4" s="1"/>
  <c r="F79" i="4"/>
  <c r="N79" i="4"/>
  <c r="N123" i="4"/>
  <c r="G85" i="4"/>
  <c r="O85" i="4"/>
  <c r="G79" i="4"/>
  <c r="O79" i="4"/>
  <c r="M84" i="4"/>
  <c r="F84" i="4"/>
  <c r="N84" i="4"/>
  <c r="V84" i="4" s="1"/>
  <c r="G84" i="4"/>
  <c r="O84" i="4"/>
  <c r="Y28" i="4" l="1"/>
  <c r="C32" i="5"/>
  <c r="C34" i="5" s="1"/>
  <c r="D30" i="4"/>
  <c r="D32" i="4" s="1"/>
  <c r="Y27" i="4"/>
  <c r="Y21" i="4"/>
  <c r="D32" i="5"/>
  <c r="D34" i="5" s="1"/>
  <c r="D29" i="5"/>
  <c r="P94" i="4"/>
  <c r="O26" i="5"/>
  <c r="O27" i="5" s="1"/>
  <c r="E17" i="4"/>
  <c r="P97" i="4"/>
  <c r="O31" i="5"/>
  <c r="V10" i="4"/>
  <c r="P9" i="5"/>
  <c r="V9" i="5" s="1"/>
  <c r="W10" i="4"/>
  <c r="T9" i="5"/>
  <c r="V29" i="4"/>
  <c r="P22" i="5"/>
  <c r="V22" i="5" s="1"/>
  <c r="T94" i="4"/>
  <c r="S26" i="5"/>
  <c r="S27" i="5" s="1"/>
  <c r="D18" i="4"/>
  <c r="D23" i="4"/>
  <c r="W29" i="4"/>
  <c r="T22" i="5"/>
  <c r="W22" i="5" s="1"/>
  <c r="T97" i="4"/>
  <c r="S31" i="5"/>
  <c r="Q23" i="5"/>
  <c r="S24" i="5" s="1"/>
  <c r="S18" i="5"/>
  <c r="K23" i="5"/>
  <c r="K27" i="5" s="1"/>
  <c r="T83" i="4"/>
  <c r="V174" i="4"/>
  <c r="Y174" i="4" s="1"/>
  <c r="L176" i="4"/>
  <c r="T79" i="4"/>
  <c r="Y122" i="4"/>
  <c r="W78" i="4"/>
  <c r="P176" i="4"/>
  <c r="Y162" i="4"/>
  <c r="D17" i="4"/>
  <c r="T16" i="4"/>
  <c r="T18" i="4" s="1"/>
  <c r="T85" i="4"/>
  <c r="T84" i="4"/>
  <c r="M24" i="4"/>
  <c r="M30" i="4"/>
  <c r="M32" i="4" s="1"/>
  <c r="M91" i="4" s="1"/>
  <c r="M107" i="4" s="1"/>
  <c r="M131" i="4" s="1"/>
  <c r="S113" i="4"/>
  <c r="W110" i="4"/>
  <c r="T113" i="4"/>
  <c r="T176" i="4"/>
  <c r="W146" i="4"/>
  <c r="Y146" i="4" s="1"/>
  <c r="Y137" i="4"/>
  <c r="G18" i="4"/>
  <c r="G22" i="4"/>
  <c r="G30" i="4" s="1"/>
  <c r="G32" i="4" s="1"/>
  <c r="Q36" i="4"/>
  <c r="I36" i="4"/>
  <c r="K36" i="4"/>
  <c r="F18" i="4"/>
  <c r="F22" i="4"/>
  <c r="F30" i="4" s="1"/>
  <c r="F32" i="4" s="1"/>
  <c r="E18" i="4"/>
  <c r="E22" i="4"/>
  <c r="Y20" i="5"/>
  <c r="Q18" i="4"/>
  <c r="Q24" i="4"/>
  <c r="C18" i="4"/>
  <c r="C30" i="4"/>
  <c r="C32" i="4" s="1"/>
  <c r="C24" i="4"/>
  <c r="Y106" i="4"/>
  <c r="S22" i="4"/>
  <c r="S30" i="4" s="1"/>
  <c r="S32" i="4" s="1"/>
  <c r="S91" i="4" s="1"/>
  <c r="S107" i="4" s="1"/>
  <c r="S131" i="4" s="1"/>
  <c r="I18" i="4"/>
  <c r="Y95" i="4"/>
  <c r="J17" i="4"/>
  <c r="J18" i="4"/>
  <c r="G17" i="4"/>
  <c r="Y102" i="4"/>
  <c r="Y104" i="4"/>
  <c r="L113" i="4"/>
  <c r="S17" i="4"/>
  <c r="Y83" i="4"/>
  <c r="Y85" i="4"/>
  <c r="O22" i="4"/>
  <c r="O30" i="4" s="1"/>
  <c r="O32" i="4" s="1"/>
  <c r="O91" i="4" s="1"/>
  <c r="L83" i="4"/>
  <c r="P83" i="4"/>
  <c r="Y84" i="4"/>
  <c r="O17" i="4"/>
  <c r="K18" i="4"/>
  <c r="K17" i="4"/>
  <c r="R22" i="4"/>
  <c r="R30" i="4" s="1"/>
  <c r="R32" i="4" s="1"/>
  <c r="R91" i="4" s="1"/>
  <c r="R107" i="4" s="1"/>
  <c r="R131" i="4" s="1"/>
  <c r="M18" i="4"/>
  <c r="R17" i="4"/>
  <c r="N17" i="4"/>
  <c r="I24" i="4"/>
  <c r="N22" i="4"/>
  <c r="N30" i="4" s="1"/>
  <c r="N32" i="4" s="1"/>
  <c r="N91" i="4" s="1"/>
  <c r="N107" i="4" s="1"/>
  <c r="N131" i="4" s="1"/>
  <c r="N18" i="4"/>
  <c r="K24" i="4"/>
  <c r="L16" i="4"/>
  <c r="M17" i="4" s="1"/>
  <c r="P16" i="4"/>
  <c r="P22" i="4" s="1"/>
  <c r="F17" i="4"/>
  <c r="Y105" i="4"/>
  <c r="Y16" i="5"/>
  <c r="Y14" i="5"/>
  <c r="Y15" i="5"/>
  <c r="N18" i="5"/>
  <c r="L123" i="4"/>
  <c r="Y103" i="4"/>
  <c r="G18" i="5"/>
  <c r="G23" i="5"/>
  <c r="G24" i="5" s="1"/>
  <c r="E32" i="5"/>
  <c r="E34" i="5" s="1"/>
  <c r="F18" i="5"/>
  <c r="K18" i="5"/>
  <c r="M23" i="5"/>
  <c r="O18" i="5"/>
  <c r="J18" i="5"/>
  <c r="N23" i="5"/>
  <c r="O24" i="5" s="1"/>
  <c r="R18" i="5"/>
  <c r="Y61" i="4"/>
  <c r="P123" i="4"/>
  <c r="L85" i="4"/>
  <c r="L79" i="4"/>
  <c r="P69" i="4"/>
  <c r="P79" i="4" s="1"/>
  <c r="L84" i="4"/>
  <c r="V78" i="4"/>
  <c r="V79" i="4" s="1"/>
  <c r="W62" i="4"/>
  <c r="W69" i="4" s="1"/>
  <c r="Y69" i="4" s="1"/>
  <c r="L55" i="4"/>
  <c r="L82" i="4" s="1"/>
  <c r="Y82" i="4"/>
  <c r="P84" i="4"/>
  <c r="W47" i="4"/>
  <c r="Y47" i="4" s="1"/>
  <c r="Y96" i="4"/>
  <c r="K113" i="4"/>
  <c r="N113" i="4"/>
  <c r="J23" i="4"/>
  <c r="J24" i="4"/>
  <c r="K23" i="4"/>
  <c r="J27" i="5"/>
  <c r="J24" i="5"/>
  <c r="F24" i="5"/>
  <c r="I27" i="5"/>
  <c r="R27" i="5"/>
  <c r="J107" i="4"/>
  <c r="O123" i="4"/>
  <c r="V113" i="4"/>
  <c r="O113" i="4"/>
  <c r="J123" i="4"/>
  <c r="G36" i="4" l="1"/>
  <c r="G91" i="4"/>
  <c r="G107" i="4" s="1"/>
  <c r="G131" i="4" s="1"/>
  <c r="D36" i="4"/>
  <c r="D91" i="4"/>
  <c r="D107" i="4" s="1"/>
  <c r="D131" i="4" s="1"/>
  <c r="F36" i="4"/>
  <c r="F91" i="4"/>
  <c r="F107" i="4" s="1"/>
  <c r="F131" i="4" s="1"/>
  <c r="C36" i="4"/>
  <c r="C91" i="4"/>
  <c r="C107" i="4" s="1"/>
  <c r="C131" i="4" s="1"/>
  <c r="Y22" i="5"/>
  <c r="K24" i="5"/>
  <c r="R24" i="5"/>
  <c r="V176" i="4"/>
  <c r="W9" i="5"/>
  <c r="W11" i="5" s="1"/>
  <c r="W17" i="5" s="1"/>
  <c r="T11" i="5"/>
  <c r="T17" i="5" s="1"/>
  <c r="W97" i="4"/>
  <c r="T31" i="5"/>
  <c r="W31" i="5" s="1"/>
  <c r="Y29" i="4"/>
  <c r="V94" i="4"/>
  <c r="P26" i="5"/>
  <c r="V26" i="5" s="1"/>
  <c r="W94" i="4"/>
  <c r="T26" i="5"/>
  <c r="W26" i="5" s="1"/>
  <c r="V97" i="4"/>
  <c r="P31" i="5"/>
  <c r="V31" i="5" s="1"/>
  <c r="S29" i="5"/>
  <c r="S32" i="5"/>
  <c r="S34" i="5" s="1"/>
  <c r="Q27" i="5"/>
  <c r="S28" i="5" s="1"/>
  <c r="T17" i="4"/>
  <c r="T22" i="4"/>
  <c r="T30" i="4" s="1"/>
  <c r="E24" i="4"/>
  <c r="E23" i="4"/>
  <c r="P24" i="4"/>
  <c r="P30" i="4"/>
  <c r="P32" i="4" s="1"/>
  <c r="P91" i="4" s="1"/>
  <c r="P107" i="4" s="1"/>
  <c r="T123" i="4"/>
  <c r="W176" i="4"/>
  <c r="E30" i="4"/>
  <c r="Q34" i="4"/>
  <c r="K34" i="4"/>
  <c r="S36" i="4"/>
  <c r="W36" i="4" s="1"/>
  <c r="M36" i="4"/>
  <c r="I34" i="4"/>
  <c r="O36" i="4"/>
  <c r="V36" i="4" s="1"/>
  <c r="J36" i="4"/>
  <c r="D34" i="4"/>
  <c r="R34" i="4"/>
  <c r="V16" i="4"/>
  <c r="V22" i="4" s="1"/>
  <c r="V30" i="4" s="1"/>
  <c r="V32" i="4" s="1"/>
  <c r="F24" i="4"/>
  <c r="G24" i="4"/>
  <c r="F23" i="4"/>
  <c r="Y15" i="4"/>
  <c r="S24" i="4"/>
  <c r="G23" i="4"/>
  <c r="O24" i="4"/>
  <c r="W16" i="4"/>
  <c r="W22" i="4" s="1"/>
  <c r="W30" i="4" s="1"/>
  <c r="W32" i="4" s="1"/>
  <c r="Y10" i="4"/>
  <c r="J131" i="4"/>
  <c r="J132" i="4" s="1"/>
  <c r="O23" i="4"/>
  <c r="R23" i="4"/>
  <c r="R132" i="4"/>
  <c r="S132" i="4"/>
  <c r="S23" i="4"/>
  <c r="R24" i="4"/>
  <c r="N23" i="4"/>
  <c r="N24" i="4"/>
  <c r="L17" i="4"/>
  <c r="L18" i="4"/>
  <c r="L22" i="4"/>
  <c r="P11" i="5"/>
  <c r="P17" i="5" s="1"/>
  <c r="P18" i="5" s="1"/>
  <c r="P23" i="4"/>
  <c r="V11" i="5"/>
  <c r="V17" i="5" s="1"/>
  <c r="P17" i="4"/>
  <c r="P18" i="4"/>
  <c r="Q23" i="4"/>
  <c r="Q17" i="4"/>
  <c r="L11" i="5"/>
  <c r="L17" i="5" s="1"/>
  <c r="L23" i="5" s="1"/>
  <c r="L24" i="5" s="1"/>
  <c r="Y98" i="4"/>
  <c r="G27" i="5"/>
  <c r="G29" i="5" s="1"/>
  <c r="N24" i="5"/>
  <c r="N27" i="5"/>
  <c r="N29" i="5" s="1"/>
  <c r="M27" i="5"/>
  <c r="M29" i="5" s="1"/>
  <c r="Y78" i="4"/>
  <c r="Y62" i="4"/>
  <c r="W55" i="4"/>
  <c r="Y55" i="4" s="1"/>
  <c r="W79" i="4"/>
  <c r="Y79" i="4" s="1"/>
  <c r="O29" i="5"/>
  <c r="O32" i="5"/>
  <c r="K28" i="5"/>
  <c r="K29" i="5"/>
  <c r="K32" i="5"/>
  <c r="J32" i="5"/>
  <c r="J28" i="5"/>
  <c r="J29" i="5"/>
  <c r="I32" i="5"/>
  <c r="I29" i="5"/>
  <c r="R32" i="5"/>
  <c r="R29" i="5"/>
  <c r="F29" i="5"/>
  <c r="F28" i="5"/>
  <c r="O107" i="4"/>
  <c r="O131" i="4" s="1"/>
  <c r="Y110" i="4"/>
  <c r="W113" i="4"/>
  <c r="Y113" i="4" s="1"/>
  <c r="K123" i="4"/>
  <c r="N132" i="4"/>
  <c r="V91" i="4" l="1"/>
  <c r="G132" i="4"/>
  <c r="E32" i="4"/>
  <c r="T32" i="4"/>
  <c r="Y9" i="5"/>
  <c r="Y97" i="4"/>
  <c r="Y176" i="4"/>
  <c r="Y26" i="5"/>
  <c r="Y31" i="5"/>
  <c r="R28" i="5"/>
  <c r="T23" i="5"/>
  <c r="T18" i="5"/>
  <c r="Q29" i="5"/>
  <c r="Q32" i="5"/>
  <c r="S33" i="5" s="1"/>
  <c r="T23" i="4"/>
  <c r="T24" i="4"/>
  <c r="D33" i="4"/>
  <c r="L24" i="4"/>
  <c r="L30" i="4"/>
  <c r="L32" i="4" s="1"/>
  <c r="L91" i="4" s="1"/>
  <c r="L107" i="4" s="1"/>
  <c r="L131" i="4" s="1"/>
  <c r="V131" i="4" s="1"/>
  <c r="Y32" i="4"/>
  <c r="M34" i="4"/>
  <c r="G34" i="4"/>
  <c r="R36" i="4"/>
  <c r="Y36" i="4"/>
  <c r="S33" i="4"/>
  <c r="R33" i="4"/>
  <c r="S34" i="4"/>
  <c r="F34" i="4"/>
  <c r="V18" i="4"/>
  <c r="V24" i="4"/>
  <c r="J33" i="4"/>
  <c r="V34" i="4"/>
  <c r="J34" i="4"/>
  <c r="N36" i="4"/>
  <c r="O34" i="4"/>
  <c r="K33" i="4"/>
  <c r="Q33" i="4"/>
  <c r="C34" i="4"/>
  <c r="G33" i="4"/>
  <c r="Y99" i="4"/>
  <c r="Y16" i="4"/>
  <c r="W18" i="4"/>
  <c r="W24" i="4"/>
  <c r="W17" i="4"/>
  <c r="P131" i="4"/>
  <c r="W131" i="4" s="1"/>
  <c r="M23" i="4"/>
  <c r="Q18" i="5"/>
  <c r="L23" i="4"/>
  <c r="M18" i="5"/>
  <c r="P23" i="5"/>
  <c r="Q24" i="5" s="1"/>
  <c r="Y10" i="5"/>
  <c r="Y22" i="4"/>
  <c r="W23" i="4"/>
  <c r="M24" i="5"/>
  <c r="L27" i="5"/>
  <c r="L29" i="5" s="1"/>
  <c r="L18" i="5"/>
  <c r="V23" i="5"/>
  <c r="V27" i="5" s="1"/>
  <c r="V32" i="5" s="1"/>
  <c r="V34" i="5" s="1"/>
  <c r="Y11" i="5"/>
  <c r="G28" i="5"/>
  <c r="G32" i="5"/>
  <c r="G34" i="5" s="1"/>
  <c r="N32" i="5"/>
  <c r="N34" i="5" s="1"/>
  <c r="W123" i="4"/>
  <c r="N28" i="5"/>
  <c r="M32" i="5"/>
  <c r="O28" i="5"/>
  <c r="R34" i="5"/>
  <c r="F34" i="5"/>
  <c r="F33" i="5"/>
  <c r="K33" i="5"/>
  <c r="K34" i="5"/>
  <c r="I34" i="5"/>
  <c r="O34" i="5"/>
  <c r="J33" i="5"/>
  <c r="J34" i="5"/>
  <c r="W23" i="5"/>
  <c r="W27" i="5" s="1"/>
  <c r="W32" i="5" s="1"/>
  <c r="W18" i="5"/>
  <c r="Y17" i="5"/>
  <c r="V123" i="4"/>
  <c r="Y116" i="4"/>
  <c r="K107" i="4"/>
  <c r="K131" i="4" s="1"/>
  <c r="O132" i="4"/>
  <c r="Y94" i="4"/>
  <c r="T34" i="4" l="1"/>
  <c r="T91" i="4"/>
  <c r="E36" i="4"/>
  <c r="E91" i="4"/>
  <c r="E107" i="4" s="1"/>
  <c r="E131" i="4" s="1"/>
  <c r="F132" i="4" s="1"/>
  <c r="F33" i="4"/>
  <c r="E34" i="4"/>
  <c r="E33" i="4"/>
  <c r="T36" i="4"/>
  <c r="T33" i="4"/>
  <c r="Q34" i="5"/>
  <c r="R33" i="5"/>
  <c r="T27" i="5"/>
  <c r="T24" i="5"/>
  <c r="O33" i="4"/>
  <c r="N33" i="4"/>
  <c r="P36" i="4"/>
  <c r="Y24" i="4"/>
  <c r="P33" i="4"/>
  <c r="Y18" i="4"/>
  <c r="P34" i="4"/>
  <c r="N34" i="4"/>
  <c r="L36" i="4"/>
  <c r="M132" i="4"/>
  <c r="Q132" i="4"/>
  <c r="P132" i="4"/>
  <c r="V29" i="5"/>
  <c r="Y32" i="5"/>
  <c r="P24" i="5"/>
  <c r="P27" i="5"/>
  <c r="P32" i="5" s="1"/>
  <c r="Y30" i="4"/>
  <c r="L32" i="5"/>
  <c r="L33" i="5" s="1"/>
  <c r="L28" i="5"/>
  <c r="M28" i="5"/>
  <c r="G33" i="5"/>
  <c r="Y123" i="4"/>
  <c r="O33" i="5"/>
  <c r="N33" i="5"/>
  <c r="M34" i="5"/>
  <c r="Y27" i="5"/>
  <c r="W29" i="5"/>
  <c r="W28" i="5"/>
  <c r="Y23" i="5"/>
  <c r="W24" i="5"/>
  <c r="W34" i="5"/>
  <c r="W33" i="5"/>
  <c r="V107" i="4"/>
  <c r="K132" i="4"/>
  <c r="L132" i="4"/>
  <c r="W34" i="4"/>
  <c r="Y34" i="4" s="1"/>
  <c r="W33" i="4"/>
  <c r="W91" i="4" l="1"/>
  <c r="T107" i="4"/>
  <c r="T131" i="4" s="1"/>
  <c r="T132" i="4" s="1"/>
  <c r="T28" i="5"/>
  <c r="T32" i="5"/>
  <c r="T29" i="5"/>
  <c r="L34" i="4"/>
  <c r="L33" i="4"/>
  <c r="M33" i="4"/>
  <c r="P28" i="5"/>
  <c r="Q28" i="5"/>
  <c r="P29" i="5"/>
  <c r="M33" i="5"/>
  <c r="L34" i="5"/>
  <c r="Q33" i="5"/>
  <c r="P33" i="5"/>
  <c r="P34" i="5"/>
  <c r="W132" i="4"/>
  <c r="Y131" i="4"/>
  <c r="Y91" i="4" l="1"/>
  <c r="W107" i="4"/>
  <c r="Y107" i="4" s="1"/>
  <c r="T34" i="5"/>
  <c r="T33" i="5"/>
</calcChain>
</file>

<file path=xl/sharedStrings.xml><?xml version="1.0" encoding="utf-8"?>
<sst xmlns="http://schemas.openxmlformats.org/spreadsheetml/2006/main" count="217" uniqueCount="154">
  <si>
    <t>Cash and cash equivalents</t>
  </si>
  <si>
    <t>Total current assets</t>
  </si>
  <si>
    <t>Total assets</t>
  </si>
  <si>
    <t>Total current liabilities</t>
  </si>
  <si>
    <t>FYE</t>
  </si>
  <si>
    <t>Quarterly</t>
  </si>
  <si>
    <t>LTM</t>
  </si>
  <si>
    <t>Revenue</t>
  </si>
  <si>
    <t>Cost of revenue</t>
  </si>
  <si>
    <t>Other income (expense), net</t>
  </si>
  <si>
    <t>Net cash used in operating activities</t>
  </si>
  <si>
    <t>Net cash used in investing activities</t>
  </si>
  <si>
    <t>Net cash provided by financing activities</t>
  </si>
  <si>
    <t>V</t>
  </si>
  <si>
    <t>(In Thousands)</t>
  </si>
  <si>
    <t>LTM VAR</t>
  </si>
  <si>
    <t>X</t>
  </si>
  <si>
    <t xml:space="preserve">Income Statement </t>
  </si>
  <si>
    <t>FY2021</t>
  </si>
  <si>
    <t>FY2022</t>
  </si>
  <si>
    <t>FY2023</t>
  </si>
  <si>
    <t>VAR</t>
  </si>
  <si>
    <t>Gross Profit</t>
  </si>
  <si>
    <t>Y/Y Growth, Q/Q Growth</t>
  </si>
  <si>
    <t>Gross Margin</t>
  </si>
  <si>
    <t>Interest income</t>
  </si>
  <si>
    <t>Operating expenses:</t>
  </si>
  <si>
    <t>Profit From Operations</t>
  </si>
  <si>
    <t>Operating Margin</t>
  </si>
  <si>
    <t>Net loss</t>
  </si>
  <si>
    <t>Net Margin</t>
  </si>
  <si>
    <t xml:space="preserve">Balance Sheet Statement </t>
  </si>
  <si>
    <t>Current Assets</t>
  </si>
  <si>
    <t>Long-Term Assets</t>
  </si>
  <si>
    <t>Current Liabilities</t>
  </si>
  <si>
    <t>Long-Term Liabilities</t>
  </si>
  <si>
    <t>Total Liabilities</t>
  </si>
  <si>
    <t>Stockholders’ equity (deficit):</t>
  </si>
  <si>
    <t>Total stockholders' equity</t>
  </si>
  <si>
    <t>Total liabilities and stockholders' equity</t>
  </si>
  <si>
    <t>Ratio Analysis</t>
  </si>
  <si>
    <t>Debt-to Asset</t>
  </si>
  <si>
    <t>Quick Ratio</t>
  </si>
  <si>
    <t>Current Ratio</t>
  </si>
  <si>
    <t>Cash Ratio</t>
  </si>
  <si>
    <t>Cash-Flows Statement</t>
  </si>
  <si>
    <t>CASH FLOWS FROM OPERATING ACTIVITIES:</t>
  </si>
  <si>
    <t>Cash flows from investing activities:</t>
  </si>
  <si>
    <t>Cash flows from financing activities:</t>
  </si>
  <si>
    <t>Cash-Flows Analysis</t>
  </si>
  <si>
    <t>Free-Cash Flow</t>
  </si>
  <si>
    <t>Earnings Before Interest &amp; Taxes (EBIT)</t>
  </si>
  <si>
    <t>EBITDA Add-Backs:</t>
  </si>
  <si>
    <t>EBITDA</t>
  </si>
  <si>
    <t>EBITDA Margin</t>
  </si>
  <si>
    <t>Adjusted EBITDA Add-Backs:</t>
  </si>
  <si>
    <t>Adjusted EBITDA</t>
  </si>
  <si>
    <t>Adjusted EBITDA Margin</t>
  </si>
  <si>
    <t>Microstrategy (NASDAQ: MSTR)</t>
  </si>
  <si>
    <t>1Q22</t>
  </si>
  <si>
    <t>2Q22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</si>
  <si>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</si>
  <si>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</si>
  <si>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</si>
  <si>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</si>
  <si>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</si>
  <si>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</si>
  <si>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</si>
  <si>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</si>
  <si>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</si>
  <si>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Operating Expenses</t>
  </si>
  <si>
    <t>Weighted average shares outstanding used in computing diluted earnings (loss) per share</t>
  </si>
  <si>
    <t xml:space="preserve">Diluted earnings (loss) per share </t>
  </si>
  <si>
    <t xml:space="preserve"> USD ($) shares in Thousands</t>
  </si>
  <si>
    <t>FY2020</t>
  </si>
  <si>
    <t>Interest expense</t>
  </si>
  <si>
    <t>Inventories</t>
  </si>
  <si>
    <t>Other current assets</t>
  </si>
  <si>
    <t>Goodwill</t>
  </si>
  <si>
    <t>Other intangible assets, net</t>
  </si>
  <si>
    <t>Other assets</t>
  </si>
  <si>
    <t>Other current liabilities</t>
  </si>
  <si>
    <t>Long-term debt</t>
  </si>
  <si>
    <t>Preferred stock</t>
  </si>
  <si>
    <t xml:space="preserve">Common stock </t>
  </si>
  <si>
    <t>Retained earnings</t>
  </si>
  <si>
    <t>Adjustments to reconcile net income to net cash provided by operating Activities:</t>
  </si>
  <si>
    <t>Changes in assets and liabilities:</t>
  </si>
  <si>
    <t>Repurchases and retirements of common stock</t>
  </si>
  <si>
    <t>Dividends paid</t>
  </si>
  <si>
    <t xml:space="preserve">Statement of Shareholder Equity </t>
  </si>
  <si>
    <t>Balance at beginning of period</t>
  </si>
  <si>
    <t>Common stock issued under employee benefit plans</t>
  </si>
  <si>
    <t>Share-based compensation</t>
  </si>
  <si>
    <t>Tax withholdings related to vesting of share-based payments</t>
  </si>
  <si>
    <t>Common stock issued in acquisition</t>
  </si>
  <si>
    <t>Balance at end of period</t>
  </si>
  <si>
    <t>Net income</t>
  </si>
  <si>
    <t>Dividends</t>
  </si>
  <si>
    <t>Other comprehensive income (loss)</t>
  </si>
  <si>
    <t>Total stockholders' equity, ending balance</t>
  </si>
  <si>
    <t>Dividends per share announced</t>
  </si>
  <si>
    <t>Total stockholders' equity, beginning balance</t>
  </si>
  <si>
    <t>4Q24</t>
  </si>
  <si>
    <t>FY2019</t>
  </si>
  <si>
    <t>EBITDA Analysis</t>
  </si>
  <si>
    <t>2021K/A</t>
  </si>
  <si>
    <t>2022K/A</t>
  </si>
  <si>
    <t>2023K/A</t>
  </si>
  <si>
    <t>Advance Autoparts (NASDAQ: AAP)</t>
  </si>
  <si>
    <t>Parts and Batteries</t>
  </si>
  <si>
    <t>Accessories and Chemicals</t>
  </si>
  <si>
    <t>Engine Maintenance</t>
  </si>
  <si>
    <t>Other</t>
  </si>
  <si>
    <t>Selling, general and administrative expenses</t>
  </si>
  <si>
    <t>Loss on early redemptions of senior unsecured notes</t>
  </si>
  <si>
    <t>Provision for income taxes</t>
  </si>
  <si>
    <t>Income before provision for income taxes</t>
  </si>
  <si>
    <t>Receivables, net</t>
  </si>
  <si>
    <t>Inventories, net</t>
  </si>
  <si>
    <t xml:space="preserve">Property and equipment, </t>
  </si>
  <si>
    <t>Operating lease right-of-use assets</t>
  </si>
  <si>
    <t>Accounts payable</t>
  </si>
  <si>
    <t>Accrued expenses</t>
  </si>
  <si>
    <t>Current portion of long-term debt</t>
  </si>
  <si>
    <t>Non-current operating lease liabilities</t>
  </si>
  <si>
    <t>Deferred income taxes</t>
  </si>
  <si>
    <t>Other long-term liabilities</t>
  </si>
  <si>
    <t>Common stock</t>
  </si>
  <si>
    <t>Additional paid-in capital</t>
  </si>
  <si>
    <t>Treasury stock, at cost, 17,837 and 17,724 shares</t>
  </si>
  <si>
    <t>Accumulated other comprehensive loss</t>
  </si>
  <si>
    <t>Depreciation and amortization</t>
  </si>
  <si>
    <t>Loss and impairment of long-lived assets</t>
  </si>
  <si>
    <t>Loss on early redemption of senior unsecured notes</t>
  </si>
  <si>
    <t>Provision for deferred income taxes</t>
  </si>
  <si>
    <t>Other, net</t>
  </si>
  <si>
    <t>Other assets and liabilities, net</t>
  </si>
  <si>
    <t>Purchases of property and equipment</t>
  </si>
  <si>
    <t>Purchase of intangible asset</t>
  </si>
  <si>
    <t>Proceeds from sales of property and equipment</t>
  </si>
  <si>
    <t>Payments on senior unsecured notes</t>
  </si>
  <si>
    <t>Borrowings under credit facilities</t>
  </si>
  <si>
    <t>Payments on credit facilities</t>
  </si>
  <si>
    <t>Proceeds from issuance of senior unsecured notes, net</t>
  </si>
  <si>
    <t>Repurchases of common stock</t>
  </si>
  <si>
    <t>Effect of exchange rate changes on cash</t>
  </si>
  <si>
    <t>Net increase (decrease) in cash and cash equivalents</t>
  </si>
  <si>
    <t>Cash and cash equivalents, beginning of period</t>
  </si>
  <si>
    <t>Cash and cash equivalents, end of period</t>
  </si>
  <si>
    <t>Additional Paid-in Capital</t>
  </si>
  <si>
    <t xml:space="preserve">Treasury Stock </t>
  </si>
  <si>
    <t>Accumulated Other Comprehensive Loss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</si>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</sst>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&quot;$&quot;#,##0"/>
    <numFmt numFmtId="166" formatCode="0.00&quot;x&quot;"/>
    <numFmt numFmtId="167" formatCode="_(* #,##0_);_(* \(#,##0\);_(* &quot;-&quot;??_);_(@_)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1"/>
      <color theme="0"/>
      <name val="Calibri"/>
      <family val="2"/>
    </font>
    <font>
      <sz val="11"/>
      <color rgb="FF0000CC"/>
      <name val="Calibri"/>
      <family val="2"/>
    </font>
    <font>
      <sz val="11"/>
      <color rgb="FF0000FF"/>
      <name val="Calibri"/>
      <family val="2"/>
    </font>
    <font>
      <sz val="11"/>
      <color theme="1"/>
      <name val="Calibri"/>
      <family val="2"/>
    </font>
    <font>
      <i/>
      <sz val="9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i/>
      <sz val="9"/>
      <color theme="1"/>
      <name val="Aptos Narrow"/>
      <family val="2"/>
      <scheme val="minor"/>
    </font>
    <font>
      <i/>
      <sz val="10"/>
      <name val="Calibri"/>
      <family val="2"/>
    </font>
    <font>
      <sz val="10"/>
      <name val="Calibri"/>
      <family val="2"/>
    </font>
    <font>
      <sz val="11"/>
      <color rgb="FF0000E1"/>
      <name val="Calibri"/>
      <family val="2"/>
    </font>
    <font>
      <sz val="11"/>
      <color theme="9" tint="-0.249977111117893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color rgb="FF0000CC"/>
      <name val="Calibri"/>
      <family val="2"/>
    </font>
    <font>
      <sz val="11"/>
      <color rgb="FF0000CC"/>
      <name val="Aptos Narrow"/>
      <family val="2"/>
      <scheme val="minor"/>
    </font>
    <font>
      <b/>
      <sz val="12"/>
      <color indexed="8"/>
      <name val="Calibri"/>
      <family val="2"/>
      <charset val="1"/>
    </font>
    <font>
      <b/>
      <sz val="11"/>
      <color rgb="FF0000FF"/>
      <name val="Calibri"/>
      <family val="2"/>
    </font>
    <font>
      <sz val="11"/>
      <color rgb="FF0000FF"/>
      <name val="Aptos Narrow"/>
      <family val="2"/>
      <scheme val="minor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6">
    <xf numFmtId="0" fontId="0" fillId="0" borderId="0" xfId="0"/>
    <xf numFmtId="37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3" fillId="0" borderId="0" xfId="0" applyFont="1"/>
    <xf numFmtId="37" fontId="0" fillId="0" borderId="0" xfId="0" applyNumberFormat="1"/>
    <xf numFmtId="37" fontId="3" fillId="0" borderId="0" xfId="0" applyNumberFormat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" fillId="0" borderId="2" xfId="0" applyFont="1" applyBorder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9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9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center" wrapText="1"/>
    </xf>
    <xf numFmtId="37" fontId="10" fillId="0" borderId="0" xfId="0" applyNumberFormat="1" applyFont="1" applyAlignment="1">
      <alignment horizontal="right" vertical="top" wrapText="1"/>
    </xf>
    <xf numFmtId="37" fontId="0" fillId="0" borderId="0" xfId="0" applyNumberFormat="1" applyAlignment="1">
      <alignment wrapText="1"/>
    </xf>
    <xf numFmtId="37" fontId="11" fillId="0" borderId="0" xfId="0" applyNumberFormat="1" applyFont="1" applyAlignment="1">
      <alignment horizontal="right" vertical="top" wrapText="1"/>
    </xf>
    <xf numFmtId="37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0" fontId="13" fillId="3" borderId="0" xfId="2" applyNumberFormat="1" applyFont="1" applyFill="1" applyAlignment="1">
      <alignment horizontal="center" wrapText="1"/>
    </xf>
    <xf numFmtId="0" fontId="6" fillId="0" borderId="0" xfId="0" applyFont="1" applyAlignment="1">
      <alignment horizontal="left" vertical="top" wrapText="1" indent="1"/>
    </xf>
    <xf numFmtId="165" fontId="5" fillId="0" borderId="1" xfId="0" applyNumberFormat="1" applyFont="1" applyBorder="1" applyAlignment="1">
      <alignment vertical="top" wrapText="1"/>
    </xf>
    <xf numFmtId="37" fontId="5" fillId="0" borderId="1" xfId="0" applyNumberFormat="1" applyFont="1" applyBorder="1" applyAlignment="1">
      <alignment horizontal="right" vertical="top" wrapText="1"/>
    </xf>
    <xf numFmtId="164" fontId="14" fillId="0" borderId="0" xfId="0" applyNumberFormat="1" applyFont="1" applyAlignment="1">
      <alignment wrapText="1"/>
    </xf>
    <xf numFmtId="10" fontId="15" fillId="3" borderId="0" xfId="2" applyNumberFormat="1" applyFont="1" applyFill="1" applyAlignment="1">
      <alignment horizontal="center" wrapText="1"/>
    </xf>
    <xf numFmtId="0" fontId="16" fillId="0" borderId="0" xfId="0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top" wrapText="1"/>
    </xf>
    <xf numFmtId="9" fontId="17" fillId="0" borderId="0" xfId="2" applyFont="1" applyBorder="1" applyAlignment="1">
      <alignment horizontal="right" vertical="center" wrapText="1"/>
    </xf>
    <xf numFmtId="10" fontId="15" fillId="0" borderId="0" xfId="2" applyNumberFormat="1" applyFont="1" applyFill="1" applyAlignment="1">
      <alignment horizontal="center" wrapText="1"/>
    </xf>
    <xf numFmtId="165" fontId="5" fillId="0" borderId="0" xfId="0" applyNumberFormat="1" applyFont="1" applyAlignment="1">
      <alignment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vertical="top" wrapText="1"/>
    </xf>
    <xf numFmtId="37" fontId="6" fillId="0" borderId="0" xfId="0" applyNumberFormat="1" applyFont="1" applyAlignment="1">
      <alignment horizontal="right" vertical="top" wrapText="1"/>
    </xf>
    <xf numFmtId="10" fontId="13" fillId="0" borderId="0" xfId="2" applyNumberFormat="1" applyFont="1" applyFill="1" applyAlignment="1">
      <alignment horizontal="center" wrapText="1"/>
    </xf>
    <xf numFmtId="0" fontId="5" fillId="0" borderId="1" xfId="0" applyFont="1" applyBorder="1" applyAlignment="1">
      <alignment vertical="top" wrapText="1"/>
    </xf>
    <xf numFmtId="39" fontId="17" fillId="0" borderId="0" xfId="0" applyNumberFormat="1" applyFont="1" applyAlignment="1">
      <alignment horizontal="right" vertical="center" wrapText="1"/>
    </xf>
    <xf numFmtId="9" fontId="17" fillId="0" borderId="0" xfId="2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top" wrapText="1"/>
    </xf>
    <xf numFmtId="0" fontId="3" fillId="0" borderId="1" xfId="0" applyFont="1" applyBorder="1"/>
    <xf numFmtId="0" fontId="0" fillId="0" borderId="3" xfId="0" applyBorder="1"/>
    <xf numFmtId="9" fontId="6" fillId="0" borderId="0" xfId="2" applyFont="1" applyBorder="1" applyAlignment="1">
      <alignment horizontal="right" vertical="center"/>
    </xf>
    <xf numFmtId="0" fontId="0" fillId="0" borderId="6" xfId="0" applyBorder="1"/>
    <xf numFmtId="37" fontId="18" fillId="0" borderId="2" xfId="0" applyNumberFormat="1" applyFont="1" applyBorder="1" applyAlignment="1">
      <alignment horizontal="right" vertical="center"/>
    </xf>
    <xf numFmtId="37" fontId="18" fillId="0" borderId="2" xfId="2" applyNumberFormat="1" applyFont="1" applyBorder="1" applyAlignment="1">
      <alignment horizontal="right" vertical="center"/>
    </xf>
    <xf numFmtId="37" fontId="18" fillId="0" borderId="7" xfId="2" applyNumberFormat="1" applyFont="1" applyBorder="1" applyAlignment="1">
      <alignment horizontal="right" vertical="center"/>
    </xf>
    <xf numFmtId="37" fontId="19" fillId="0" borderId="2" xfId="2" applyNumberFormat="1" applyFont="1" applyBorder="1" applyAlignment="1">
      <alignment horizontal="right" vertical="center"/>
    </xf>
    <xf numFmtId="0" fontId="20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37" fontId="3" fillId="0" borderId="1" xfId="0" applyNumberFormat="1" applyFont="1" applyBorder="1" applyAlignment="1">
      <alignment wrapText="1"/>
    </xf>
    <xf numFmtId="37" fontId="21" fillId="0" borderId="0" xfId="0" applyNumberFormat="1" applyFont="1" applyAlignment="1">
      <alignment wrapText="1"/>
    </xf>
    <xf numFmtId="37" fontId="3" fillId="0" borderId="0" xfId="0" applyNumberFormat="1" applyFont="1" applyAlignment="1">
      <alignment wrapText="1"/>
    </xf>
    <xf numFmtId="37" fontId="5" fillId="0" borderId="0" xfId="0" applyNumberFormat="1" applyFont="1" applyAlignment="1">
      <alignment horizontal="right" vertical="top" wrapText="1"/>
    </xf>
    <xf numFmtId="37" fontId="18" fillId="0" borderId="0" xfId="0" applyNumberFormat="1" applyFont="1" applyAlignment="1">
      <alignment horizontal="right" vertical="top" wrapText="1"/>
    </xf>
    <xf numFmtId="37" fontId="22" fillId="0" borderId="1" xfId="0" applyNumberFormat="1" applyFont="1" applyBorder="1" applyAlignment="1">
      <alignment wrapText="1"/>
    </xf>
    <xf numFmtId="37" fontId="23" fillId="0" borderId="0" xfId="0" applyNumberFormat="1" applyFont="1" applyAlignment="1">
      <alignment wrapText="1"/>
    </xf>
    <xf numFmtId="37" fontId="24" fillId="0" borderId="0" xfId="0" applyNumberFormat="1" applyFont="1" applyAlignment="1">
      <alignment horizontal="right" vertical="top" wrapText="1"/>
    </xf>
    <xf numFmtId="0" fontId="21" fillId="0" borderId="0" xfId="0" applyFont="1" applyAlignment="1">
      <alignment wrapText="1"/>
    </xf>
    <xf numFmtId="0" fontId="6" fillId="0" borderId="0" xfId="0" applyFont="1" applyAlignment="1">
      <alignment horizontal="left" vertical="top" indent="1"/>
    </xf>
    <xf numFmtId="37" fontId="22" fillId="0" borderId="0" xfId="0" applyNumberFormat="1" applyFont="1" applyAlignment="1">
      <alignment wrapText="1"/>
    </xf>
    <xf numFmtId="37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37" fontId="25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37" fontId="18" fillId="0" borderId="0" xfId="0" applyNumberFormat="1" applyFont="1" applyAlignment="1">
      <alignment wrapText="1"/>
    </xf>
    <xf numFmtId="37" fontId="18" fillId="0" borderId="0" xfId="0" applyNumberFormat="1" applyFont="1" applyAlignment="1">
      <alignment vertical="top" wrapText="1"/>
    </xf>
    <xf numFmtId="37" fontId="11" fillId="0" borderId="0" xfId="0" applyNumberFormat="1" applyFont="1" applyAlignment="1">
      <alignment vertical="top" wrapText="1"/>
    </xf>
    <xf numFmtId="37" fontId="5" fillId="0" borderId="1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37" fontId="6" fillId="0" borderId="0" xfId="0" applyNumberFormat="1" applyFont="1" applyAlignment="1">
      <alignment wrapText="1"/>
    </xf>
    <xf numFmtId="0" fontId="5" fillId="4" borderId="3" xfId="0" applyFont="1" applyFill="1" applyBorder="1" applyAlignment="1">
      <alignment vertical="top"/>
    </xf>
    <xf numFmtId="37" fontId="6" fillId="4" borderId="4" xfId="0" applyNumberFormat="1" applyFont="1" applyFill="1" applyBorder="1"/>
    <xf numFmtId="37" fontId="6" fillId="4" borderId="5" xfId="0" applyNumberFormat="1" applyFont="1" applyFill="1" applyBorder="1"/>
    <xf numFmtId="37" fontId="6" fillId="4" borderId="3" xfId="0" applyNumberFormat="1" applyFont="1" applyFill="1" applyBorder="1"/>
    <xf numFmtId="37" fontId="6" fillId="4" borderId="3" xfId="0" applyNumberFormat="1" applyFont="1" applyFill="1" applyBorder="1" applyAlignment="1">
      <alignment wrapText="1"/>
    </xf>
    <xf numFmtId="37" fontId="6" fillId="4" borderId="5" xfId="0" applyNumberFormat="1" applyFont="1" applyFill="1" applyBorder="1" applyAlignment="1">
      <alignment wrapText="1"/>
    </xf>
    <xf numFmtId="0" fontId="6" fillId="4" borderId="8" xfId="0" applyFont="1" applyFill="1" applyBorder="1" applyAlignment="1">
      <alignment horizontal="left" vertical="top" indent="1"/>
    </xf>
    <xf numFmtId="166" fontId="6" fillId="4" borderId="9" xfId="0" applyNumberFormat="1" applyFont="1" applyFill="1" applyBorder="1" applyAlignment="1">
      <alignment horizontal="center" vertical="center"/>
    </xf>
    <xf numFmtId="166" fontId="6" fillId="4" borderId="8" xfId="0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indent="1"/>
    </xf>
    <xf numFmtId="0" fontId="6" fillId="4" borderId="6" xfId="0" applyFont="1" applyFill="1" applyBorder="1" applyAlignment="1">
      <alignment horizontal="left" vertical="top" indent="1"/>
    </xf>
    <xf numFmtId="166" fontId="6" fillId="4" borderId="2" xfId="0" applyNumberFormat="1" applyFont="1" applyFill="1" applyBorder="1" applyAlignment="1">
      <alignment horizontal="center" vertical="center"/>
    </xf>
    <xf numFmtId="166" fontId="6" fillId="4" borderId="7" xfId="0" applyNumberFormat="1" applyFont="1" applyFill="1" applyBorder="1" applyAlignment="1">
      <alignment horizontal="center" vertical="center"/>
    </xf>
    <xf numFmtId="166" fontId="6" fillId="4" borderId="6" xfId="0" applyNumberFormat="1" applyFont="1" applyFill="1" applyBorder="1" applyAlignment="1">
      <alignment horizontal="center"/>
    </xf>
    <xf numFmtId="166" fontId="6" fillId="4" borderId="2" xfId="0" applyNumberFormat="1" applyFont="1" applyFill="1" applyBorder="1" applyAlignment="1">
      <alignment horizontal="center"/>
    </xf>
    <xf numFmtId="166" fontId="6" fillId="4" borderId="7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26" fillId="0" borderId="0" xfId="0" applyFont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0" xfId="0" applyAlignment="1">
      <alignment horizontal="left" wrapText="1" indent="1"/>
    </xf>
    <xf numFmtId="37" fontId="11" fillId="0" borderId="0" xfId="0" applyNumberFormat="1" applyFont="1"/>
    <xf numFmtId="37" fontId="12" fillId="0" borderId="0" xfId="0" applyNumberFormat="1" applyFont="1"/>
    <xf numFmtId="37" fontId="6" fillId="0" borderId="0" xfId="0" applyNumberFormat="1" applyFont="1"/>
    <xf numFmtId="37" fontId="11" fillId="0" borderId="0" xfId="1" applyNumberFormat="1" applyFont="1" applyBorder="1" applyAlignment="1">
      <alignment wrapText="1"/>
    </xf>
    <xf numFmtId="37" fontId="10" fillId="0" borderId="0" xfId="1" applyNumberFormat="1" applyFont="1" applyBorder="1" applyAlignment="1">
      <alignment wrapText="1"/>
    </xf>
    <xf numFmtId="37" fontId="6" fillId="0" borderId="0" xfId="1" applyNumberFormat="1" applyFont="1" applyBorder="1" applyAlignment="1">
      <alignment wrapText="1"/>
    </xf>
    <xf numFmtId="37" fontId="10" fillId="0" borderId="0" xfId="1" applyNumberFormat="1" applyFont="1" applyFill="1" applyBorder="1" applyAlignment="1">
      <alignment wrapText="1"/>
    </xf>
    <xf numFmtId="0" fontId="0" fillId="0" borderId="0" xfId="0" applyAlignment="1">
      <alignment horizontal="left" indent="1"/>
    </xf>
    <xf numFmtId="0" fontId="21" fillId="0" borderId="1" xfId="0" applyFont="1" applyBorder="1" applyAlignment="1">
      <alignment wrapText="1"/>
    </xf>
    <xf numFmtId="37" fontId="5" fillId="0" borderId="1" xfId="1" applyNumberFormat="1" applyFont="1" applyBorder="1" applyAlignment="1">
      <alignment wrapText="1"/>
    </xf>
    <xf numFmtId="37" fontId="5" fillId="0" borderId="0" xfId="1" applyNumberFormat="1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3" fillId="0" borderId="0" xfId="0" applyFont="1" applyAlignment="1">
      <alignment wrapText="1"/>
    </xf>
    <xf numFmtId="37" fontId="14" fillId="0" borderId="0" xfId="1" applyNumberFormat="1" applyFont="1" applyBorder="1" applyAlignment="1">
      <alignment wrapText="1"/>
    </xf>
    <xf numFmtId="37" fontId="27" fillId="0" borderId="0" xfId="1" applyNumberFormat="1" applyFont="1" applyBorder="1" applyAlignment="1">
      <alignment wrapText="1"/>
    </xf>
    <xf numFmtId="37" fontId="14" fillId="0" borderId="0" xfId="1" applyNumberFormat="1" applyFont="1" applyFill="1" applyBorder="1" applyAlignment="1">
      <alignment wrapText="1"/>
    </xf>
    <xf numFmtId="37" fontId="18" fillId="0" borderId="0" xfId="1" applyNumberFormat="1" applyFont="1" applyFill="1" applyBorder="1" applyAlignment="1">
      <alignment wrapText="1"/>
    </xf>
    <xf numFmtId="0" fontId="14" fillId="4" borderId="3" xfId="0" applyFont="1" applyFill="1" applyBorder="1" applyAlignment="1">
      <alignment wrapText="1"/>
    </xf>
    <xf numFmtId="167" fontId="12" fillId="4" borderId="4" xfId="1" applyNumberFormat="1" applyFont="1" applyFill="1" applyBorder="1" applyAlignment="1">
      <alignment wrapText="1"/>
    </xf>
    <xf numFmtId="167" fontId="12" fillId="4" borderId="5" xfId="1" applyNumberFormat="1" applyFont="1" applyFill="1" applyBorder="1" applyAlignment="1">
      <alignment wrapText="1"/>
    </xf>
    <xf numFmtId="0" fontId="12" fillId="4" borderId="3" xfId="0" applyFont="1" applyFill="1" applyBorder="1" applyAlignment="1">
      <alignment wrapText="1"/>
    </xf>
    <xf numFmtId="0" fontId="12" fillId="4" borderId="4" xfId="0" applyFont="1" applyFill="1" applyBorder="1" applyAlignment="1">
      <alignment wrapText="1"/>
    </xf>
    <xf numFmtId="0" fontId="12" fillId="4" borderId="5" xfId="0" applyFont="1" applyFill="1" applyBorder="1" applyAlignment="1">
      <alignment wrapText="1"/>
    </xf>
    <xf numFmtId="0" fontId="12" fillId="4" borderId="8" xfId="0" applyFont="1" applyFill="1" applyBorder="1" applyAlignment="1">
      <alignment horizontal="left" wrapText="1" indent="1"/>
    </xf>
    <xf numFmtId="167" fontId="12" fillId="4" borderId="0" xfId="1" applyNumberFormat="1" applyFont="1" applyFill="1" applyBorder="1" applyAlignment="1">
      <alignment wrapText="1"/>
    </xf>
    <xf numFmtId="167" fontId="12" fillId="4" borderId="9" xfId="1" applyNumberFormat="1" applyFont="1" applyFill="1" applyBorder="1" applyAlignment="1">
      <alignment wrapText="1"/>
    </xf>
    <xf numFmtId="167" fontId="12" fillId="4" borderId="8" xfId="1" applyNumberFormat="1" applyFont="1" applyFill="1" applyBorder="1" applyAlignment="1">
      <alignment wrapText="1"/>
    </xf>
    <xf numFmtId="37" fontId="14" fillId="4" borderId="8" xfId="0" applyNumberFormat="1" applyFont="1" applyFill="1" applyBorder="1" applyAlignment="1">
      <alignment wrapText="1"/>
    </xf>
    <xf numFmtId="37" fontId="14" fillId="4" borderId="9" xfId="0" applyNumberFormat="1" applyFont="1" applyFill="1" applyBorder="1" applyAlignment="1">
      <alignment wrapText="1"/>
    </xf>
    <xf numFmtId="0" fontId="16" fillId="4" borderId="6" xfId="0" applyFont="1" applyFill="1" applyBorder="1" applyAlignment="1">
      <alignment horizontal="right" vertical="center" wrapText="1"/>
    </xf>
    <xf numFmtId="165" fontId="5" fillId="4" borderId="2" xfId="0" applyNumberFormat="1" applyFont="1" applyFill="1" applyBorder="1" applyAlignment="1">
      <alignment horizontal="right" vertical="top" wrapText="1"/>
    </xf>
    <xf numFmtId="9" fontId="17" fillId="4" borderId="2" xfId="2" applyFont="1" applyFill="1" applyBorder="1" applyAlignment="1">
      <alignment horizontal="right" vertical="center" wrapText="1"/>
    </xf>
    <xf numFmtId="9" fontId="17" fillId="4" borderId="7" xfId="2" applyFont="1" applyFill="1" applyBorder="1" applyAlignment="1">
      <alignment horizontal="right" vertical="center" wrapText="1"/>
    </xf>
    <xf numFmtId="9" fontId="17" fillId="4" borderId="6" xfId="2" applyFont="1" applyFill="1" applyBorder="1" applyAlignment="1">
      <alignment horizontal="right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37" fontId="19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wrapText="1"/>
    </xf>
    <xf numFmtId="37" fontId="3" fillId="0" borderId="1" xfId="0" applyNumberFormat="1" applyFont="1" applyBorder="1"/>
    <xf numFmtId="37" fontId="11" fillId="0" borderId="0" xfId="0" applyNumberFormat="1" applyFont="1" applyAlignment="1">
      <alignment horizontal="right" vertical="top"/>
    </xf>
    <xf numFmtId="37" fontId="28" fillId="0" borderId="0" xfId="0" applyNumberFormat="1" applyFont="1"/>
    <xf numFmtId="37" fontId="17" fillId="0" borderId="0" xfId="2" applyNumberFormat="1" applyFont="1" applyBorder="1" applyAlignment="1">
      <alignment horizontal="right" vertical="center" wrapText="1"/>
    </xf>
    <xf numFmtId="0" fontId="28" fillId="0" borderId="0" xfId="0" applyFont="1"/>
    <xf numFmtId="37" fontId="11" fillId="0" borderId="0" xfId="1" applyNumberFormat="1" applyFont="1" applyFill="1" applyBorder="1" applyAlignment="1">
      <alignment wrapText="1"/>
    </xf>
    <xf numFmtId="37" fontId="11" fillId="0" borderId="2" xfId="2" applyNumberFormat="1" applyFont="1" applyBorder="1" applyAlignment="1">
      <alignment horizontal="right" vertical="center"/>
    </xf>
    <xf numFmtId="37" fontId="11" fillId="0" borderId="6" xfId="2" applyNumberFormat="1" applyFont="1" applyBorder="1" applyAlignment="1">
      <alignment horizontal="right" vertical="center"/>
    </xf>
    <xf numFmtId="39" fontId="6" fillId="0" borderId="3" xfId="2" applyNumberFormat="1" applyFont="1" applyBorder="1" applyAlignment="1">
      <alignment horizontal="right" vertical="center"/>
    </xf>
    <xf numFmtId="39" fontId="6" fillId="0" borderId="4" xfId="2" applyNumberFormat="1" applyFont="1" applyBorder="1" applyAlignment="1">
      <alignment horizontal="right" vertical="center"/>
    </xf>
    <xf numFmtId="39" fontId="6" fillId="0" borderId="5" xfId="2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top" wrapText="1"/>
    </xf>
    <xf numFmtId="39" fontId="0" fillId="0" borderId="3" xfId="0" applyNumberFormat="1" applyBorder="1" applyAlignment="1">
      <alignment wrapText="1"/>
    </xf>
    <xf numFmtId="37" fontId="0" fillId="0" borderId="6" xfId="0" applyNumberFormat="1" applyBorder="1" applyAlignment="1">
      <alignment wrapText="1"/>
    </xf>
    <xf numFmtId="39" fontId="0" fillId="0" borderId="5" xfId="0" applyNumberFormat="1" applyBorder="1" applyAlignment="1">
      <alignment wrapText="1"/>
    </xf>
    <xf numFmtId="37" fontId="0" fillId="0" borderId="7" xfId="0" applyNumberFormat="1" applyBorder="1" applyAlignment="1">
      <alignment wrapText="1"/>
    </xf>
    <xf numFmtId="166" fontId="6" fillId="4" borderId="0" xfId="0" applyNumberFormat="1" applyFont="1" applyFill="1" applyAlignment="1">
      <alignment horizontal="center" vertical="center"/>
    </xf>
    <xf numFmtId="166" fontId="14" fillId="4" borderId="8" xfId="0" applyNumberFormat="1" applyFont="1" applyFill="1" applyBorder="1" applyAlignment="1">
      <alignment horizontal="center" vertical="center"/>
    </xf>
    <xf numFmtId="166" fontId="14" fillId="4" borderId="9" xfId="0" applyNumberFormat="1" applyFont="1" applyFill="1" applyBorder="1" applyAlignment="1">
      <alignment horizontal="center" vertical="center"/>
    </xf>
    <xf numFmtId="166" fontId="14" fillId="4" borderId="6" xfId="0" applyNumberFormat="1" applyFont="1" applyFill="1" applyBorder="1" applyAlignment="1">
      <alignment horizontal="center" vertical="center"/>
    </xf>
    <xf numFmtId="166" fontId="14" fillId="4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0" xfId="0" applyFont="1" applyBorder="1" applyAlignment="1">
      <alignment horizontal="left" indent="1"/>
    </xf>
    <xf numFmtId="37" fontId="27" fillId="0" borderId="10" xfId="0" applyNumberFormat="1" applyFont="1" applyBorder="1" applyAlignment="1">
      <alignment horizontal="right" vertical="top"/>
    </xf>
    <xf numFmtId="0" fontId="3" fillId="0" borderId="0" xfId="0" applyFont="1" applyAlignment="1">
      <alignment horizontal="left"/>
    </xf>
    <xf numFmtId="37" fontId="27" fillId="0" borderId="0" xfId="0" applyNumberFormat="1" applyFont="1" applyAlignment="1">
      <alignment horizontal="right" vertical="top"/>
    </xf>
    <xf numFmtId="44" fontId="11" fillId="0" borderId="0" xfId="3" applyFont="1" applyAlignment="1">
      <alignment horizontal="right" vertical="top"/>
    </xf>
    <xf numFmtId="0" fontId="3" fillId="0" borderId="2" xfId="0" applyFont="1" applyBorder="1"/>
    <xf numFmtId="37" fontId="5" fillId="0" borderId="1" xfId="0" applyNumberFormat="1" applyFont="1" applyBorder="1" applyAlignment="1">
      <alignment horizontal="right" vertical="top"/>
    </xf>
    <xf numFmtId="0" fontId="3" fillId="0" borderId="10" xfId="0" applyFont="1" applyBorder="1" applyAlignment="1">
      <alignment horizontal="left" indent="2"/>
    </xf>
    <xf numFmtId="0" fontId="0" fillId="0" borderId="2" xfId="0" applyBorder="1" applyAlignment="1">
      <alignment wrapText="1"/>
    </xf>
    <xf numFmtId="37" fontId="11" fillId="0" borderId="2" xfId="0" applyNumberFormat="1" applyFont="1" applyBorder="1" applyAlignment="1">
      <alignment horizontal="right" vertical="top"/>
    </xf>
    <xf numFmtId="37" fontId="5" fillId="0" borderId="2" xfId="1" applyNumberFormat="1" applyFont="1" applyBorder="1" applyAlignment="1">
      <alignment wrapText="1"/>
    </xf>
    <xf numFmtId="37" fontId="5" fillId="0" borderId="0" xfId="0" applyNumberFormat="1" applyFont="1" applyAlignment="1">
      <alignment horizontal="right" vertical="top"/>
    </xf>
    <xf numFmtId="37" fontId="12" fillId="0" borderId="1" xfId="0" applyNumberFormat="1" applyFont="1" applyBorder="1" applyAlignment="1">
      <alignment wrapText="1"/>
    </xf>
    <xf numFmtId="43" fontId="29" fillId="0" borderId="0" xfId="0" applyNumberFormat="1" applyFont="1" applyAlignment="1">
      <alignment vertical="top"/>
    </xf>
    <xf numFmtId="44" fontId="6" fillId="0" borderId="0" xfId="3" applyFont="1" applyBorder="1" applyAlignment="1">
      <alignment horizontal="right" vertical="top"/>
    </xf>
    <xf numFmtId="37" fontId="14" fillId="0" borderId="2" xfId="0" applyNumberFormat="1" applyFont="1" applyBorder="1" applyAlignment="1">
      <alignment wrapText="1"/>
    </xf>
    <xf numFmtId="37" fontId="14" fillId="0" borderId="1" xfId="0" applyNumberFormat="1" applyFont="1" applyBorder="1" applyAlignment="1">
      <alignment wrapText="1"/>
    </xf>
    <xf numFmtId="37" fontId="14" fillId="0" borderId="10" xfId="0" applyNumberFormat="1" applyFont="1" applyBorder="1" applyAlignment="1">
      <alignment wrapText="1"/>
    </xf>
    <xf numFmtId="44" fontId="12" fillId="0" borderId="0" xfId="3" applyFont="1" applyAlignment="1">
      <alignment wrapText="1"/>
    </xf>
    <xf numFmtId="37" fontId="19" fillId="0" borderId="7" xfId="2" applyNumberFormat="1" applyFont="1" applyBorder="1" applyAlignment="1">
      <alignment horizontal="right" vertical="center"/>
    </xf>
    <xf numFmtId="37" fontId="5" fillId="0" borderId="10" xfId="0" applyNumberFormat="1" applyFont="1" applyBorder="1" applyAlignment="1">
      <alignment horizontal="right" vertical="top"/>
    </xf>
    <xf numFmtId="0" fontId="8" fillId="2" borderId="0" xfId="0" applyFont="1" applyFill="1" applyAlignment="1">
      <alignment horizontal="center" vertic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lix\Downloads\Rigetti%20Computing%20Financials.xlsx" TargetMode="External"/><Relationship Id="rId1" Type="http://schemas.openxmlformats.org/officeDocument/2006/relationships/externalLinkPath" Target="Rigetti%20Computing%20Finan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rm Background"/>
      <sheetName val="3-Statement Model "/>
      <sheetName val="EBITDA &amp; FCF Analysis"/>
      <sheetName val="DCF"/>
      <sheetName val="Peer Comps "/>
    </sheetNames>
    <sheetDataSet>
      <sheetData sheetId="0"/>
      <sheetData sheetId="1">
        <row r="101">
          <cell r="B101" t="str">
            <v>Depreciation and amortization</v>
          </cell>
        </row>
        <row r="102">
          <cell r="B102" t="str">
            <v>Stock-based compensation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A626-74C5-43CB-8662-EA07C3771C17}">
  <dimension ref="A1"/>
  <sheetViews>
    <sheetView showGridLines="0" zoomScale="145" zoomScaleNormal="145"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19A9-859E-45EB-AC60-BF3EE31E83E5}">
  <dimension ref="A1:Y177"/>
  <sheetViews>
    <sheetView showGridLines="0" tabSelected="1" zoomScale="130" zoomScaleNormal="130" workbookViewId="0">
      <selection activeCell="E15" sqref="E11:E15"/>
    </sheetView>
  </sheetViews>
  <sheetFormatPr defaultRowHeight="15" outlineLevelCol="1" x14ac:dyDescent="0.25"/>
  <cols>
    <col min="1" max="1" width="2.42578125" style="6" customWidth="1"/>
    <col min="2" max="2" width="60" style="6" customWidth="1"/>
    <col min="3" max="7" width="12" style="6" bestFit="1" customWidth="1"/>
    <col min="8" max="8" width="3.140625" style="6" customWidth="1"/>
    <col min="9" max="12" width="13.5703125" style="6" customWidth="1" outlineLevel="1"/>
    <col min="13" max="14" width="13.5703125" style="6" customWidth="1"/>
    <col min="15" max="15" width="13" style="6" customWidth="1"/>
    <col min="16" max="16" width="13.5703125" style="6" customWidth="1"/>
    <col min="17" max="17" width="13" style="6" bestFit="1" customWidth="1"/>
    <col min="18" max="18" width="13.5703125" style="6" bestFit="1" customWidth="1"/>
    <col min="19" max="20" width="11.140625" style="6" bestFit="1" customWidth="1"/>
    <col min="21" max="21" width="3.140625" style="6" customWidth="1"/>
    <col min="22" max="22" width="11.85546875" style="6" bestFit="1" customWidth="1"/>
    <col min="23" max="23" width="11.7109375" style="6" bestFit="1" customWidth="1"/>
    <col min="24" max="24" width="1.42578125" style="6" customWidth="1"/>
    <col min="25" max="25" width="11.42578125" style="6" bestFit="1" customWidth="1"/>
    <col min="26" max="26" width="1.5703125" style="6" customWidth="1"/>
    <col min="27" max="16384" width="9.140625" style="6"/>
  </cols>
  <sheetData>
    <row r="1" spans="1:25" ht="6" customHeight="1" x14ac:dyDescent="0.25">
      <c r="A1" s="6" t="s">
        <v>13</v>
      </c>
    </row>
    <row r="2" spans="1:25" x14ac:dyDescent="0.25">
      <c r="B2" s="7" t="s">
        <v>109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B3" s="9" t="s">
        <v>14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5.25" customHeight="1" x14ac:dyDescent="0.25">
      <c r="B4" s="10"/>
    </row>
    <row r="5" spans="1:25" ht="15.75" thickBot="1" x14ac:dyDescent="0.3">
      <c r="B5" s="11"/>
      <c r="C5" s="11" t="s">
        <v>4</v>
      </c>
      <c r="D5" s="11"/>
      <c r="E5" s="11"/>
      <c r="F5" s="11"/>
      <c r="G5" s="11"/>
      <c r="I5" s="11" t="s">
        <v>5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V5" s="11" t="s">
        <v>6</v>
      </c>
      <c r="W5" s="11"/>
      <c r="X5" s="12"/>
      <c r="Y5" s="11" t="s">
        <v>15</v>
      </c>
    </row>
    <row r="6" spans="1:25" ht="4.5" customHeight="1" x14ac:dyDescent="0.25"/>
    <row r="7" spans="1:25" x14ac:dyDescent="0.25">
      <c r="A7" s="6" t="s">
        <v>16</v>
      </c>
      <c r="B7" s="7" t="s">
        <v>17</v>
      </c>
      <c r="C7" s="133">
        <v>2019</v>
      </c>
      <c r="D7" s="133">
        <v>2020</v>
      </c>
      <c r="E7" s="133" t="s">
        <v>106</v>
      </c>
      <c r="F7" s="133" t="s">
        <v>107</v>
      </c>
      <c r="G7" s="133" t="s">
        <v>108</v>
      </c>
      <c r="I7" s="133" t="s">
        <v>59</v>
      </c>
      <c r="J7" s="133" t="s">
        <v>60</v>
      </c>
      <c r="K7" s="133" t="s">
        <v>61</v>
      </c>
      <c r="L7" s="133" t="s">
        <v>62</v>
      </c>
      <c r="M7" s="133" t="s">
        <v>63</v>
      </c>
      <c r="N7" s="133" t="s">
        <v>64</v>
      </c>
      <c r="O7" s="133" t="s">
        <v>65</v>
      </c>
      <c r="P7" s="133" t="s">
        <v>66</v>
      </c>
      <c r="Q7" s="133" t="s">
        <v>67</v>
      </c>
      <c r="R7" s="133" t="s">
        <v>68</v>
      </c>
      <c r="S7" s="133" t="s">
        <v>69</v>
      </c>
      <c r="T7" s="133" t="s">
        <v>103</v>
      </c>
      <c r="U7" s="150"/>
      <c r="V7" s="13" t="str">
        <f>O7</f>
        <v>3Q23</v>
      </c>
      <c r="W7" s="13" t="str">
        <f>S7</f>
        <v>3Q24</v>
      </c>
      <c r="X7" s="14"/>
      <c r="Y7" s="185" t="s">
        <v>21</v>
      </c>
    </row>
    <row r="8" spans="1:25" x14ac:dyDescent="0.25">
      <c r="B8" s="9" t="s">
        <v>14</v>
      </c>
      <c r="C8" s="134">
        <v>43827</v>
      </c>
      <c r="D8" s="134">
        <v>44198</v>
      </c>
      <c r="E8" s="134">
        <v>44562</v>
      </c>
      <c r="F8" s="134"/>
      <c r="G8" s="134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51"/>
      <c r="V8" s="16">
        <f>O8</f>
        <v>0</v>
      </c>
      <c r="W8" s="16">
        <f>S8</f>
        <v>0</v>
      </c>
      <c r="X8" s="17"/>
      <c r="Y8" s="185"/>
    </row>
    <row r="9" spans="1:25" ht="3.75" customHeight="1" x14ac:dyDescent="0.25">
      <c r="B9" s="18"/>
      <c r="C9" s="17"/>
      <c r="D9" s="17"/>
      <c r="E9" s="17"/>
      <c r="F9" s="17"/>
      <c r="G9" s="17"/>
      <c r="I9" s="19"/>
      <c r="J9" s="19"/>
      <c r="K9" s="19"/>
      <c r="L9" s="19"/>
      <c r="M9" s="19"/>
      <c r="N9" s="19"/>
      <c r="O9" s="19"/>
      <c r="P9" s="19"/>
      <c r="Q9" s="19"/>
      <c r="R9" s="19"/>
      <c r="V9" s="19"/>
      <c r="W9" s="19"/>
      <c r="X9" s="19"/>
    </row>
    <row r="10" spans="1:25" x14ac:dyDescent="0.25">
      <c r="B10" s="38" t="s">
        <v>7</v>
      </c>
      <c r="C10" s="39">
        <v>9709003</v>
      </c>
      <c r="D10" s="39">
        <v>10106321</v>
      </c>
      <c r="E10" s="39">
        <v>10997989</v>
      </c>
      <c r="F10" s="39">
        <v>11154722</v>
      </c>
      <c r="G10" s="39">
        <v>11287607</v>
      </c>
      <c r="H10" s="23"/>
      <c r="I10" s="39">
        <f>SUM(I11:I14)</f>
        <v>0</v>
      </c>
      <c r="J10" s="39">
        <f>SUM(J11:J14)</f>
        <v>0</v>
      </c>
      <c r="K10" s="39">
        <f>SUM(K11:K14)</f>
        <v>0</v>
      </c>
      <c r="L10" s="1">
        <f t="shared" ref="L10:L15" si="0">SUM(E10-SUM(I10:K10))</f>
        <v>10997989</v>
      </c>
      <c r="M10" s="39">
        <f>SUM(M11:M14)</f>
        <v>0</v>
      </c>
      <c r="N10" s="39">
        <f>SUM(N11:N14)</f>
        <v>0</v>
      </c>
      <c r="O10" s="39">
        <f>SUM(O11:O14)</f>
        <v>0</v>
      </c>
      <c r="P10" s="1">
        <f t="shared" ref="P10:P15" si="1">SUM(F10-SUM(M10:O10))</f>
        <v>11154722</v>
      </c>
      <c r="Q10" s="39">
        <f>SUM(Q11:Q14)</f>
        <v>0</v>
      </c>
      <c r="R10" s="39">
        <f>SUM(R11:R14)</f>
        <v>0</v>
      </c>
      <c r="S10" s="39">
        <f>SUM(S11:S14)</f>
        <v>0</v>
      </c>
      <c r="T10" s="1">
        <f>SUM(G10-SUM(Q10:S10))</f>
        <v>11287607</v>
      </c>
      <c r="V10" s="23">
        <f t="shared" ref="V10:V15" si="2">SUM(M10:P10)</f>
        <v>11154722</v>
      </c>
      <c r="W10" s="23">
        <f t="shared" ref="W10:W15" si="3">SUM(Q10:T10)</f>
        <v>11287607</v>
      </c>
      <c r="X10" s="24"/>
      <c r="Y10" s="25">
        <f>SUM(W10/V10)-1</f>
        <v>1.1912892136621611E-2</v>
      </c>
    </row>
    <row r="11" spans="1:25" x14ac:dyDescent="0.25">
      <c r="B11" s="26" t="s">
        <v>110</v>
      </c>
      <c r="C11" s="20">
        <f>0.67*C10</f>
        <v>6505032.0100000007</v>
      </c>
      <c r="D11" s="20">
        <f>0.66*D10</f>
        <v>6670171.8600000003</v>
      </c>
      <c r="E11" s="20">
        <f>0.67*E10</f>
        <v>7368652.6300000008</v>
      </c>
      <c r="F11" s="20">
        <f>0.66*F10</f>
        <v>7362116.5200000005</v>
      </c>
      <c r="G11" s="20">
        <f>0.65*G10</f>
        <v>7336944.5499999998</v>
      </c>
      <c r="H11" s="23"/>
      <c r="I11" s="22"/>
      <c r="J11" s="22"/>
      <c r="K11" s="22"/>
      <c r="L11" s="1">
        <f t="shared" si="0"/>
        <v>7368652.6300000008</v>
      </c>
      <c r="M11" s="22"/>
      <c r="N11" s="22"/>
      <c r="O11" s="22"/>
      <c r="P11" s="1">
        <f t="shared" si="1"/>
        <v>7362116.5200000005</v>
      </c>
      <c r="Q11" s="22"/>
      <c r="R11" s="22"/>
      <c r="S11" s="22"/>
      <c r="T11" s="1">
        <f>SUM(G11-SUM(Q11:S11))</f>
        <v>7336944.5499999998</v>
      </c>
      <c r="V11" s="23">
        <f t="shared" si="2"/>
        <v>7362116.5200000005</v>
      </c>
      <c r="W11" s="23">
        <f t="shared" si="3"/>
        <v>7336944.5499999998</v>
      </c>
      <c r="X11" s="24"/>
      <c r="Y11" s="25">
        <f>SUM(W11/V11)-1</f>
        <v>-3.4191213806000764E-3</v>
      </c>
    </row>
    <row r="12" spans="1:25" x14ac:dyDescent="0.25">
      <c r="B12" s="26" t="s">
        <v>111</v>
      </c>
      <c r="C12" s="20">
        <f>0.21*C10</f>
        <v>2038890.63</v>
      </c>
      <c r="D12" s="20">
        <f>0.21*D10</f>
        <v>2122327.41</v>
      </c>
      <c r="E12" s="20">
        <f>0.2*E10</f>
        <v>2199597.8000000003</v>
      </c>
      <c r="F12" s="20">
        <f>0.2*F10</f>
        <v>2230944.4</v>
      </c>
      <c r="G12" s="20">
        <f>0.19*G10</f>
        <v>2144645.33</v>
      </c>
      <c r="H12" s="23"/>
      <c r="I12" s="22"/>
      <c r="J12" s="22"/>
      <c r="K12" s="22"/>
      <c r="L12" s="1">
        <f t="shared" si="0"/>
        <v>2199597.8000000003</v>
      </c>
      <c r="M12" s="22"/>
      <c r="N12" s="22"/>
      <c r="O12" s="22"/>
      <c r="P12" s="1">
        <f t="shared" si="1"/>
        <v>2230944.4</v>
      </c>
      <c r="Q12" s="22"/>
      <c r="R12" s="22"/>
      <c r="S12" s="22"/>
      <c r="T12" s="1"/>
      <c r="V12" s="23"/>
      <c r="W12" s="23"/>
      <c r="X12" s="24"/>
      <c r="Y12" s="25"/>
    </row>
    <row r="13" spans="1:25" x14ac:dyDescent="0.25">
      <c r="B13" s="26" t="s">
        <v>112</v>
      </c>
      <c r="C13" s="20">
        <f>0.11*C10</f>
        <v>1067990.33</v>
      </c>
      <c r="D13" s="20">
        <f>0.12*D10</f>
        <v>1212758.52</v>
      </c>
      <c r="E13" s="20">
        <f>0.12*E10</f>
        <v>1319758.68</v>
      </c>
      <c r="F13" s="20">
        <f>0.13*F10</f>
        <v>1450113.86</v>
      </c>
      <c r="G13" s="20">
        <f>0.15*G10</f>
        <v>1693141.05</v>
      </c>
      <c r="H13" s="23"/>
      <c r="I13" s="22"/>
      <c r="J13" s="22"/>
      <c r="K13" s="22"/>
      <c r="L13" s="1">
        <f t="shared" si="0"/>
        <v>1319758.68</v>
      </c>
      <c r="M13" s="22"/>
      <c r="N13" s="22"/>
      <c r="O13" s="22"/>
      <c r="P13" s="1">
        <f t="shared" si="1"/>
        <v>1450113.86</v>
      </c>
      <c r="Q13" s="22"/>
      <c r="R13" s="22"/>
      <c r="S13" s="22"/>
      <c r="T13" s="1"/>
      <c r="V13" s="23"/>
      <c r="W13" s="23"/>
      <c r="X13" s="24"/>
      <c r="Y13" s="25"/>
    </row>
    <row r="14" spans="1:25" x14ac:dyDescent="0.25">
      <c r="B14" s="26" t="s">
        <v>113</v>
      </c>
      <c r="C14" s="20">
        <f>0.01*C10</f>
        <v>97090.03</v>
      </c>
      <c r="D14" s="20">
        <f>0.01*D10</f>
        <v>101063.21</v>
      </c>
      <c r="E14" s="20">
        <f>0.01*E10</f>
        <v>109979.89</v>
      </c>
      <c r="F14" s="20">
        <f>0.01*F10</f>
        <v>111547.22</v>
      </c>
      <c r="G14" s="20">
        <f>0.01*G10</f>
        <v>112876.07</v>
      </c>
      <c r="H14" s="23"/>
      <c r="I14" s="22"/>
      <c r="J14" s="22"/>
      <c r="K14" s="22"/>
      <c r="L14" s="1">
        <f t="shared" si="0"/>
        <v>109979.89</v>
      </c>
      <c r="M14" s="22"/>
      <c r="N14" s="22"/>
      <c r="O14" s="22"/>
      <c r="P14" s="1">
        <f t="shared" si="1"/>
        <v>111547.22</v>
      </c>
      <c r="Q14" s="22"/>
      <c r="R14" s="22"/>
      <c r="S14" s="22"/>
      <c r="T14" s="1">
        <f>SUM(G14-SUM(Q14:S14))</f>
        <v>112876.07</v>
      </c>
      <c r="V14" s="23">
        <f t="shared" si="2"/>
        <v>111547.22</v>
      </c>
      <c r="W14" s="23">
        <f t="shared" si="3"/>
        <v>112876.07</v>
      </c>
      <c r="X14" s="24"/>
      <c r="Y14" s="25">
        <f>SUM(W14/V14)-1</f>
        <v>1.1912892136621611E-2</v>
      </c>
    </row>
    <row r="15" spans="1:25" x14ac:dyDescent="0.25">
      <c r="B15" s="152" t="s">
        <v>8</v>
      </c>
      <c r="C15" s="39">
        <v>-5454257</v>
      </c>
      <c r="D15" s="39">
        <v>-5624707</v>
      </c>
      <c r="E15" s="39">
        <v>-6074039</v>
      </c>
      <c r="F15" s="39">
        <v>-6222487</v>
      </c>
      <c r="G15" s="39">
        <v>-6764105</v>
      </c>
      <c r="H15" s="23"/>
      <c r="I15" s="39"/>
      <c r="J15" s="39"/>
      <c r="K15" s="39"/>
      <c r="L15" s="1">
        <f t="shared" si="0"/>
        <v>-6074039</v>
      </c>
      <c r="M15" s="39"/>
      <c r="N15" s="39"/>
      <c r="O15" s="39"/>
      <c r="P15" s="1">
        <f t="shared" si="1"/>
        <v>-6222487</v>
      </c>
      <c r="Q15" s="39"/>
      <c r="R15" s="39"/>
      <c r="S15" s="39"/>
      <c r="T15" s="1"/>
      <c r="V15" s="23">
        <f t="shared" si="2"/>
        <v>-6222487</v>
      </c>
      <c r="W15" s="23">
        <f t="shared" si="3"/>
        <v>0</v>
      </c>
      <c r="X15" s="23"/>
      <c r="Y15" s="25">
        <f>SUM(W15/V15)-1</f>
        <v>-1</v>
      </c>
    </row>
    <row r="16" spans="1:25" x14ac:dyDescent="0.25">
      <c r="B16" s="27" t="s">
        <v>22</v>
      </c>
      <c r="C16" s="28">
        <f>SUM(C10+C15)</f>
        <v>4254746</v>
      </c>
      <c r="D16" s="28">
        <f>SUM(D10+D15)</f>
        <v>4481614</v>
      </c>
      <c r="E16" s="28">
        <f>SUM(E10+E15)</f>
        <v>4923950</v>
      </c>
      <c r="F16" s="28">
        <f>SUM(F10+F15)</f>
        <v>4932235</v>
      </c>
      <c r="G16" s="28">
        <f>SUM(G10+G15)</f>
        <v>4523502</v>
      </c>
      <c r="H16" s="21"/>
      <c r="I16" s="28">
        <f t="shared" ref="I16:T16" si="4">SUM(I10+I15)</f>
        <v>0</v>
      </c>
      <c r="J16" s="28">
        <f t="shared" si="4"/>
        <v>0</v>
      </c>
      <c r="K16" s="28">
        <f t="shared" si="4"/>
        <v>0</v>
      </c>
      <c r="L16" s="28">
        <f t="shared" si="4"/>
        <v>4923950</v>
      </c>
      <c r="M16" s="28">
        <f t="shared" si="4"/>
        <v>0</v>
      </c>
      <c r="N16" s="28">
        <f t="shared" si="4"/>
        <v>0</v>
      </c>
      <c r="O16" s="28">
        <f t="shared" si="4"/>
        <v>0</v>
      </c>
      <c r="P16" s="28">
        <f t="shared" si="4"/>
        <v>4932235</v>
      </c>
      <c r="Q16" s="28">
        <f t="shared" si="4"/>
        <v>0</v>
      </c>
      <c r="R16" s="28">
        <f t="shared" si="4"/>
        <v>0</v>
      </c>
      <c r="S16" s="28">
        <f t="shared" si="4"/>
        <v>0</v>
      </c>
      <c r="T16" s="28">
        <f t="shared" si="4"/>
        <v>11287607</v>
      </c>
      <c r="V16" s="28">
        <f>SUM(V10+V15)</f>
        <v>4932235</v>
      </c>
      <c r="W16" s="28">
        <f>SUM(W10+W15)</f>
        <v>11287607</v>
      </c>
      <c r="X16" s="29"/>
      <c r="Y16" s="30">
        <f>SUM(W16/V16)-1</f>
        <v>1.2885379549027975</v>
      </c>
    </row>
    <row r="17" spans="2:25" x14ac:dyDescent="0.25">
      <c r="B17" s="31" t="s">
        <v>23</v>
      </c>
      <c r="C17" s="32"/>
      <c r="D17" s="33">
        <f>D16/C16-1</f>
        <v>5.3321161827286412E-2</v>
      </c>
      <c r="E17" s="33">
        <f>E16/D16-1</f>
        <v>9.8700155792087463E-2</v>
      </c>
      <c r="F17" s="33">
        <f>F16/E16-1</f>
        <v>1.6825922277845518E-3</v>
      </c>
      <c r="G17" s="33">
        <f>G16/F16-1</f>
        <v>-8.2869733498099785E-2</v>
      </c>
      <c r="H17" s="33"/>
      <c r="I17" s="33"/>
      <c r="J17" s="33" t="e">
        <f t="shared" ref="J17:T17" si="5">J16/I16-1</f>
        <v>#DIV/0!</v>
      </c>
      <c r="K17" s="33" t="e">
        <f t="shared" si="5"/>
        <v>#DIV/0!</v>
      </c>
      <c r="L17" s="33" t="e">
        <f t="shared" si="5"/>
        <v>#DIV/0!</v>
      </c>
      <c r="M17" s="33">
        <f t="shared" si="5"/>
        <v>-1</v>
      </c>
      <c r="N17" s="33" t="e">
        <f t="shared" si="5"/>
        <v>#DIV/0!</v>
      </c>
      <c r="O17" s="33" t="e">
        <f t="shared" si="5"/>
        <v>#DIV/0!</v>
      </c>
      <c r="P17" s="33" t="e">
        <f>P16/O16-1</f>
        <v>#DIV/0!</v>
      </c>
      <c r="Q17" s="33">
        <f t="shared" si="5"/>
        <v>-1</v>
      </c>
      <c r="R17" s="33" t="e">
        <f t="shared" si="5"/>
        <v>#DIV/0!</v>
      </c>
      <c r="S17" s="33" t="e">
        <f t="shared" si="5"/>
        <v>#DIV/0!</v>
      </c>
      <c r="T17" s="33" t="e">
        <f t="shared" si="5"/>
        <v>#DIV/0!</v>
      </c>
      <c r="W17" s="33">
        <f>W16/V16-1</f>
        <v>1.2885379549027975</v>
      </c>
      <c r="X17" s="29"/>
      <c r="Y17" s="34"/>
    </row>
    <row r="18" spans="2:25" x14ac:dyDescent="0.25">
      <c r="B18" s="31" t="s">
        <v>24</v>
      </c>
      <c r="C18" s="33">
        <f>SUM(C16/C10)</f>
        <v>0.43822687046239456</v>
      </c>
      <c r="D18" s="33">
        <f>SUM(D16/D10)</f>
        <v>0.44344663107376064</v>
      </c>
      <c r="E18" s="33">
        <f>SUM(E16/E10)</f>
        <v>0.44771366838064669</v>
      </c>
      <c r="F18" s="33">
        <f>SUM(F16/F10)</f>
        <v>0.44216565863317797</v>
      </c>
      <c r="G18" s="33">
        <f>SUM(G16/G10)</f>
        <v>0.40074942368209665</v>
      </c>
      <c r="H18" s="33"/>
      <c r="I18" s="33" t="e">
        <f t="shared" ref="I18:T18" si="6">SUM(I16/I10)</f>
        <v>#DIV/0!</v>
      </c>
      <c r="J18" s="33" t="e">
        <f t="shared" si="6"/>
        <v>#DIV/0!</v>
      </c>
      <c r="K18" s="33" t="e">
        <f t="shared" si="6"/>
        <v>#DIV/0!</v>
      </c>
      <c r="L18" s="33">
        <f t="shared" si="6"/>
        <v>0.44771366838064669</v>
      </c>
      <c r="M18" s="33" t="e">
        <f t="shared" si="6"/>
        <v>#DIV/0!</v>
      </c>
      <c r="N18" s="33" t="e">
        <f t="shared" si="6"/>
        <v>#DIV/0!</v>
      </c>
      <c r="O18" s="33" t="e">
        <f t="shared" si="6"/>
        <v>#DIV/0!</v>
      </c>
      <c r="P18" s="33">
        <f t="shared" si="6"/>
        <v>0.44216565863317797</v>
      </c>
      <c r="Q18" s="33" t="e">
        <f t="shared" si="6"/>
        <v>#DIV/0!</v>
      </c>
      <c r="R18" s="33" t="e">
        <f t="shared" si="6"/>
        <v>#DIV/0!</v>
      </c>
      <c r="S18" s="33" t="e">
        <f t="shared" si="6"/>
        <v>#DIV/0!</v>
      </c>
      <c r="T18" s="33">
        <f t="shared" si="6"/>
        <v>1</v>
      </c>
      <c r="V18" s="33">
        <f>SUM(V16/V10)</f>
        <v>0.44216565863317797</v>
      </c>
      <c r="W18" s="33">
        <f>SUM(W16/W10)</f>
        <v>1</v>
      </c>
      <c r="X18" s="29"/>
      <c r="Y18" s="25">
        <f>SUM(W18/V18)-1</f>
        <v>1.2615958079856293</v>
      </c>
    </row>
    <row r="19" spans="2:25" ht="2.25" customHeight="1" x14ac:dyDescent="0.25">
      <c r="B19" s="35" t="s">
        <v>25</v>
      </c>
      <c r="C19" s="32">
        <v>49</v>
      </c>
      <c r="D19" s="32">
        <v>49</v>
      </c>
      <c r="E19" s="32">
        <v>49</v>
      </c>
      <c r="F19" s="32">
        <v>2777</v>
      </c>
      <c r="G19" s="32">
        <v>7833</v>
      </c>
      <c r="I19" s="32"/>
      <c r="J19" s="32"/>
      <c r="K19" s="32"/>
      <c r="L19" s="32"/>
      <c r="M19" s="32">
        <v>-28777</v>
      </c>
      <c r="N19" s="32">
        <v>-27879</v>
      </c>
      <c r="O19" s="32"/>
      <c r="P19" s="32">
        <v>-19934</v>
      </c>
      <c r="Q19" s="32">
        <v>-61402</v>
      </c>
      <c r="R19" s="32"/>
      <c r="V19" s="36"/>
      <c r="W19" s="36"/>
      <c r="X19" s="36"/>
      <c r="Y19" s="37"/>
    </row>
    <row r="20" spans="2:25" x14ac:dyDescent="0.25">
      <c r="B20" s="38" t="s">
        <v>70</v>
      </c>
      <c r="C20" s="20"/>
      <c r="D20" s="20"/>
      <c r="E20" s="20"/>
      <c r="F20" s="20"/>
      <c r="G20" s="20"/>
      <c r="I20" s="20"/>
      <c r="J20" s="20"/>
      <c r="K20" s="39"/>
      <c r="L20" s="20"/>
      <c r="M20" s="20"/>
      <c r="N20" s="20"/>
      <c r="O20" s="39"/>
      <c r="P20" s="20"/>
      <c r="Q20" s="20"/>
      <c r="R20" s="20"/>
      <c r="V20" s="23"/>
      <c r="W20" s="23"/>
      <c r="X20" s="23"/>
      <c r="Y20" s="40"/>
    </row>
    <row r="21" spans="2:25" x14ac:dyDescent="0.25">
      <c r="B21" s="26" t="s">
        <v>114</v>
      </c>
      <c r="C21" s="140">
        <v>-3577566</v>
      </c>
      <c r="D21" s="140"/>
      <c r="E21" s="140">
        <v>-4101585</v>
      </c>
      <c r="F21" s="140">
        <v>-4261982</v>
      </c>
      <c r="G21" s="140">
        <v>-4409125</v>
      </c>
      <c r="H21" s="141"/>
      <c r="I21" s="140"/>
      <c r="J21" s="140"/>
      <c r="K21" s="140"/>
      <c r="L21" s="1">
        <f>SUM(E21-SUM(I21:K21))</f>
        <v>-4101585</v>
      </c>
      <c r="M21" s="140"/>
      <c r="N21" s="140"/>
      <c r="O21" s="140"/>
      <c r="P21" s="1">
        <f>SUM(F21-SUM(M21:O21))</f>
        <v>-4261982</v>
      </c>
      <c r="Q21" s="140"/>
      <c r="R21" s="140"/>
      <c r="S21" s="140"/>
      <c r="T21" s="1">
        <f>SUM(G21-SUM(Q21:S21))</f>
        <v>-4409125</v>
      </c>
      <c r="V21" s="23">
        <f>SUM(M21:P21)</f>
        <v>-4261982</v>
      </c>
      <c r="W21" s="23">
        <f>SUM(Q21:T21)</f>
        <v>-4409125</v>
      </c>
      <c r="X21" s="23"/>
      <c r="Y21" s="25">
        <f>SUM(W21/V21)-1</f>
        <v>3.4524547499262148E-2</v>
      </c>
    </row>
    <row r="22" spans="2:25" x14ac:dyDescent="0.25">
      <c r="B22" s="41" t="s">
        <v>27</v>
      </c>
      <c r="C22" s="28">
        <f>SUM(C21:C21)+C16</f>
        <v>677180</v>
      </c>
      <c r="D22" s="28">
        <f>SUM(D21:D21)+D16</f>
        <v>4481614</v>
      </c>
      <c r="E22" s="28">
        <f>SUM(E21:E21)+E16</f>
        <v>822365</v>
      </c>
      <c r="F22" s="28">
        <f>SUM(F21:F21)+F16</f>
        <v>670253</v>
      </c>
      <c r="G22" s="28">
        <f>SUM(G21:G21)+G16</f>
        <v>114377</v>
      </c>
      <c r="I22" s="28">
        <f t="shared" ref="I22:T22" si="7">SUM(I16+SUM(I21:I21))</f>
        <v>0</v>
      </c>
      <c r="J22" s="28">
        <f t="shared" si="7"/>
        <v>0</v>
      </c>
      <c r="K22" s="28">
        <f t="shared" si="7"/>
        <v>0</v>
      </c>
      <c r="L22" s="28">
        <f t="shared" si="7"/>
        <v>822365</v>
      </c>
      <c r="M22" s="28">
        <f t="shared" si="7"/>
        <v>0</v>
      </c>
      <c r="N22" s="28">
        <f t="shared" si="7"/>
        <v>0</v>
      </c>
      <c r="O22" s="28">
        <f t="shared" si="7"/>
        <v>0</v>
      </c>
      <c r="P22" s="28">
        <f t="shared" si="7"/>
        <v>670253</v>
      </c>
      <c r="Q22" s="28">
        <f t="shared" si="7"/>
        <v>0</v>
      </c>
      <c r="R22" s="28">
        <f t="shared" si="7"/>
        <v>0</v>
      </c>
      <c r="S22" s="28">
        <f t="shared" si="7"/>
        <v>0</v>
      </c>
      <c r="T22" s="28">
        <f t="shared" si="7"/>
        <v>6878482</v>
      </c>
      <c r="V22" s="28">
        <f>SUM(V16+SUM(V21:V21))</f>
        <v>670253</v>
      </c>
      <c r="W22" s="28">
        <f>SUM(W16+SUM(W21:W21))</f>
        <v>6878482</v>
      </c>
      <c r="X22" s="29"/>
      <c r="Y22" s="30">
        <f>SUM(W22/V22)-1</f>
        <v>9.2625157962739451</v>
      </c>
    </row>
    <row r="23" spans="2:25" x14ac:dyDescent="0.25">
      <c r="B23" s="31" t="s">
        <v>23</v>
      </c>
      <c r="C23" s="42"/>
      <c r="D23" s="33">
        <f>D22/C22-1</f>
        <v>5.6180542839422314</v>
      </c>
      <c r="E23" s="33">
        <f>E22/D22-1</f>
        <v>-0.81650249218250393</v>
      </c>
      <c r="F23" s="33">
        <f>F22/E22-1</f>
        <v>-0.18496896147087971</v>
      </c>
      <c r="G23" s="33">
        <f>G22/F22-1</f>
        <v>-0.82935249823574086</v>
      </c>
      <c r="H23" s="33"/>
      <c r="I23" s="33"/>
      <c r="J23" s="33" t="e">
        <f t="shared" ref="J23:T23" si="8">J22/I22-1</f>
        <v>#DIV/0!</v>
      </c>
      <c r="K23" s="33" t="e">
        <f t="shared" si="8"/>
        <v>#DIV/0!</v>
      </c>
      <c r="L23" s="33" t="e">
        <f t="shared" si="8"/>
        <v>#DIV/0!</v>
      </c>
      <c r="M23" s="33">
        <f t="shared" si="8"/>
        <v>-1</v>
      </c>
      <c r="N23" s="33" t="e">
        <f t="shared" si="8"/>
        <v>#DIV/0!</v>
      </c>
      <c r="O23" s="33" t="e">
        <f t="shared" si="8"/>
        <v>#DIV/0!</v>
      </c>
      <c r="P23" s="33" t="e">
        <f t="shared" si="8"/>
        <v>#DIV/0!</v>
      </c>
      <c r="Q23" s="33">
        <f t="shared" si="8"/>
        <v>-1</v>
      </c>
      <c r="R23" s="33" t="e">
        <f t="shared" si="8"/>
        <v>#DIV/0!</v>
      </c>
      <c r="S23" s="33" t="e">
        <f t="shared" si="8"/>
        <v>#DIV/0!</v>
      </c>
      <c r="T23" s="33" t="e">
        <f t="shared" si="8"/>
        <v>#DIV/0!</v>
      </c>
      <c r="W23" s="33">
        <f>W22/V22-1</f>
        <v>9.2625157962739451</v>
      </c>
      <c r="X23" s="43"/>
      <c r="Y23" s="40"/>
    </row>
    <row r="24" spans="2:25" x14ac:dyDescent="0.25">
      <c r="B24" s="31" t="s">
        <v>28</v>
      </c>
      <c r="C24" s="33">
        <f>SUM(C22/C10)</f>
        <v>6.974763526182863E-2</v>
      </c>
      <c r="D24" s="33">
        <f>SUM(D22/D10)</f>
        <v>0.44344663107376064</v>
      </c>
      <c r="E24" s="33">
        <f>SUM(E22/E10)</f>
        <v>7.4774124614963702E-2</v>
      </c>
      <c r="F24" s="33">
        <f>SUM(F22/F10)</f>
        <v>6.0086930001482783E-2</v>
      </c>
      <c r="G24" s="33">
        <f>SUM(G22/G10)</f>
        <v>1.0132971496970084E-2</v>
      </c>
      <c r="H24" s="33"/>
      <c r="I24" s="33" t="e">
        <f t="shared" ref="I24:T24" si="9">SUM(I22/I10)</f>
        <v>#DIV/0!</v>
      </c>
      <c r="J24" s="33" t="e">
        <f t="shared" si="9"/>
        <v>#DIV/0!</v>
      </c>
      <c r="K24" s="33" t="e">
        <f t="shared" si="9"/>
        <v>#DIV/0!</v>
      </c>
      <c r="L24" s="33">
        <f t="shared" si="9"/>
        <v>7.4774124614963702E-2</v>
      </c>
      <c r="M24" s="33" t="e">
        <f t="shared" si="9"/>
        <v>#DIV/0!</v>
      </c>
      <c r="N24" s="33" t="e">
        <f t="shared" si="9"/>
        <v>#DIV/0!</v>
      </c>
      <c r="O24" s="33" t="e">
        <f t="shared" si="9"/>
        <v>#DIV/0!</v>
      </c>
      <c r="P24" s="33">
        <f t="shared" si="9"/>
        <v>6.0086930001482783E-2</v>
      </c>
      <c r="Q24" s="33" t="e">
        <f t="shared" si="9"/>
        <v>#DIV/0!</v>
      </c>
      <c r="R24" s="33" t="e">
        <f t="shared" si="9"/>
        <v>#DIV/0!</v>
      </c>
      <c r="S24" s="33" t="e">
        <f t="shared" si="9"/>
        <v>#DIV/0!</v>
      </c>
      <c r="T24" s="33">
        <f t="shared" si="9"/>
        <v>0.60938354781487347</v>
      </c>
      <c r="V24" s="33">
        <f>SUM(V22/V10)</f>
        <v>6.0086930001482783E-2</v>
      </c>
      <c r="W24" s="33">
        <f>SUM(W22/W10)</f>
        <v>0.60938354781487347</v>
      </c>
      <c r="X24" s="43"/>
      <c r="Y24" s="25">
        <f>SUM(W24/V24)-1</f>
        <v>9.1416988320061545</v>
      </c>
    </row>
    <row r="25" spans="2:25" ht="2.25" customHeight="1" x14ac:dyDescent="0.25">
      <c r="B25" s="35" t="s">
        <v>25</v>
      </c>
      <c r="C25" s="32">
        <v>49</v>
      </c>
      <c r="D25" s="32">
        <v>49</v>
      </c>
      <c r="E25" s="32">
        <v>49</v>
      </c>
      <c r="F25" s="32">
        <v>2777</v>
      </c>
      <c r="G25" s="32">
        <v>7833</v>
      </c>
      <c r="I25" s="32"/>
      <c r="J25" s="32"/>
      <c r="K25" s="32"/>
      <c r="L25" s="32"/>
      <c r="M25" s="32">
        <v>-28777</v>
      </c>
      <c r="N25" s="32">
        <v>-27879</v>
      </c>
      <c r="O25" s="32"/>
      <c r="P25" s="32">
        <v>-19934</v>
      </c>
      <c r="Q25" s="32">
        <v>-61402</v>
      </c>
      <c r="R25" s="32"/>
      <c r="S25" s="32"/>
      <c r="T25" s="32"/>
      <c r="V25" s="36"/>
      <c r="W25" s="36"/>
      <c r="X25" s="36"/>
      <c r="Y25" s="37"/>
    </row>
    <row r="26" spans="2:25" x14ac:dyDescent="0.25">
      <c r="B26" s="38" t="s">
        <v>9</v>
      </c>
      <c r="C26" s="42"/>
      <c r="D26" s="42"/>
      <c r="E26" s="42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W26" s="33"/>
      <c r="X26" s="43"/>
      <c r="Y26" s="40"/>
    </row>
    <row r="27" spans="2:25" x14ac:dyDescent="0.25">
      <c r="B27" s="26" t="s">
        <v>75</v>
      </c>
      <c r="C27" s="140">
        <v>-39898</v>
      </c>
      <c r="D27" s="140"/>
      <c r="E27" s="140">
        <v>-37791</v>
      </c>
      <c r="F27" s="140">
        <v>-51060</v>
      </c>
      <c r="G27" s="140">
        <v>-88055</v>
      </c>
      <c r="H27" s="4"/>
      <c r="I27" s="140"/>
      <c r="J27" s="140"/>
      <c r="K27" s="140"/>
      <c r="L27" s="1">
        <f>SUM(E27-SUM(I27:K27))</f>
        <v>-37791</v>
      </c>
      <c r="M27" s="140"/>
      <c r="N27" s="140"/>
      <c r="O27" s="140"/>
      <c r="P27" s="1">
        <f>SUM(F27-SUM(M27:O27))</f>
        <v>-51060</v>
      </c>
      <c r="Q27" s="140"/>
      <c r="R27" s="140"/>
      <c r="S27" s="140"/>
      <c r="T27" s="1">
        <f>SUM(G27-SUM(Q27:S27))</f>
        <v>-88055</v>
      </c>
      <c r="V27" s="23">
        <f>SUM(M27:P27)</f>
        <v>-51060</v>
      </c>
      <c r="W27" s="23">
        <f>SUM(Q27:T27)</f>
        <v>-88055</v>
      </c>
      <c r="X27" s="43"/>
      <c r="Y27" s="25">
        <f t="shared" ref="Y27:Y32" si="10">SUM(W27/V27)-1</f>
        <v>0.72453975714845287</v>
      </c>
    </row>
    <row r="28" spans="2:25" x14ac:dyDescent="0.25">
      <c r="B28" s="26" t="s">
        <v>115</v>
      </c>
      <c r="C28" s="140">
        <v>0</v>
      </c>
      <c r="D28" s="140"/>
      <c r="E28" s="140">
        <v>0</v>
      </c>
      <c r="F28" s="140">
        <v>-7408</v>
      </c>
      <c r="G28" s="140">
        <v>0</v>
      </c>
      <c r="H28" s="4"/>
      <c r="I28" s="140"/>
      <c r="J28" s="140"/>
      <c r="K28" s="140"/>
      <c r="L28" s="1">
        <f>SUM(E28-SUM(I28:K28))</f>
        <v>0</v>
      </c>
      <c r="M28" s="140"/>
      <c r="N28" s="140"/>
      <c r="O28" s="140"/>
      <c r="P28" s="1">
        <f>SUM(F28-SUM(M28:O28))</f>
        <v>-7408</v>
      </c>
      <c r="Q28" s="140"/>
      <c r="R28" s="140"/>
      <c r="S28" s="140"/>
      <c r="T28" s="1">
        <f>SUM(G28-SUM(Q28:S28))</f>
        <v>0</v>
      </c>
      <c r="V28" s="23">
        <f>SUM(M28:P28)</f>
        <v>-7408</v>
      </c>
      <c r="W28" s="23">
        <f>SUM(Q28:T28)</f>
        <v>0</v>
      </c>
      <c r="X28" s="43"/>
      <c r="Y28" s="25">
        <f t="shared" si="10"/>
        <v>-1</v>
      </c>
    </row>
    <row r="29" spans="2:25" x14ac:dyDescent="0.25">
      <c r="B29" s="26" t="s">
        <v>9</v>
      </c>
      <c r="C29" s="140">
        <v>464</v>
      </c>
      <c r="D29" s="140"/>
      <c r="E29" s="140">
        <v>-2081</v>
      </c>
      <c r="F29" s="140">
        <v>-7423</v>
      </c>
      <c r="G29" s="140">
        <v>5525</v>
      </c>
      <c r="H29" s="4"/>
      <c r="I29" s="140"/>
      <c r="J29" s="140"/>
      <c r="K29" s="140"/>
      <c r="L29" s="1">
        <f>SUM(E29-SUM(I29:K29))</f>
        <v>-2081</v>
      </c>
      <c r="M29" s="140"/>
      <c r="N29" s="140"/>
      <c r="O29" s="140"/>
      <c r="P29" s="1">
        <f>SUM(F29-SUM(M29:O29))</f>
        <v>-7423</v>
      </c>
      <c r="Q29" s="140"/>
      <c r="R29" s="140"/>
      <c r="S29" s="140"/>
      <c r="T29" s="1">
        <f>SUM(G29-SUM(Q29:S29))</f>
        <v>5525</v>
      </c>
      <c r="V29" s="23">
        <f>SUM(M29:P29)</f>
        <v>-7423</v>
      </c>
      <c r="W29" s="23">
        <f>SUM(Q29:T29)</f>
        <v>5525</v>
      </c>
      <c r="X29" s="43"/>
      <c r="Y29" s="25">
        <f t="shared" si="10"/>
        <v>-1.7443082311733802</v>
      </c>
    </row>
    <row r="30" spans="2:25" x14ac:dyDescent="0.25">
      <c r="B30" s="41" t="s">
        <v>117</v>
      </c>
      <c r="C30" s="139">
        <f>SUM(C27:C29)+C22</f>
        <v>637746</v>
      </c>
      <c r="D30" s="139">
        <f>SUM(D27:D29)+D22</f>
        <v>4481614</v>
      </c>
      <c r="E30" s="139">
        <f>SUM(E27:E29)+E22</f>
        <v>782493</v>
      </c>
      <c r="F30" s="139">
        <f>SUM(F27:F29)+F22</f>
        <v>604362</v>
      </c>
      <c r="G30" s="139">
        <f>SUM(G27:G29)+G22</f>
        <v>31847</v>
      </c>
      <c r="H30" s="142"/>
      <c r="I30" s="139">
        <f t="shared" ref="I30:T30" si="11">SUM(I27:I29)+I22</f>
        <v>0</v>
      </c>
      <c r="J30" s="139">
        <f t="shared" si="11"/>
        <v>0</v>
      </c>
      <c r="K30" s="139">
        <f t="shared" si="11"/>
        <v>0</v>
      </c>
      <c r="L30" s="139">
        <f t="shared" si="11"/>
        <v>782493</v>
      </c>
      <c r="M30" s="139">
        <f t="shared" si="11"/>
        <v>0</v>
      </c>
      <c r="N30" s="139">
        <f t="shared" si="11"/>
        <v>0</v>
      </c>
      <c r="O30" s="139">
        <f t="shared" si="11"/>
        <v>0</v>
      </c>
      <c r="P30" s="139">
        <f t="shared" si="11"/>
        <v>604362</v>
      </c>
      <c r="Q30" s="139">
        <f t="shared" si="11"/>
        <v>0</v>
      </c>
      <c r="R30" s="139">
        <f t="shared" si="11"/>
        <v>0</v>
      </c>
      <c r="S30" s="139">
        <f t="shared" si="11"/>
        <v>0</v>
      </c>
      <c r="T30" s="139">
        <f t="shared" si="11"/>
        <v>6795952</v>
      </c>
      <c r="V30" s="139">
        <f>SUM(V27:V29)+V22</f>
        <v>604362</v>
      </c>
      <c r="W30" s="139">
        <f>SUM(W27:W29)+W22</f>
        <v>6795952</v>
      </c>
      <c r="X30" s="43"/>
      <c r="Y30" s="30">
        <f t="shared" si="10"/>
        <v>10.244836703829824</v>
      </c>
    </row>
    <row r="31" spans="2:25" x14ac:dyDescent="0.25">
      <c r="B31" s="44" t="s">
        <v>116</v>
      </c>
      <c r="C31" s="140">
        <v>-150850</v>
      </c>
      <c r="D31" s="140"/>
      <c r="E31" s="140">
        <v>-185878</v>
      </c>
      <c r="F31" s="140">
        <v>-139960</v>
      </c>
      <c r="G31" s="140">
        <v>-2112</v>
      </c>
      <c r="H31" s="143"/>
      <c r="I31" s="140"/>
      <c r="J31" s="140"/>
      <c r="K31" s="140"/>
      <c r="L31" s="1">
        <f>SUM(E31-SUM(I31:K31))</f>
        <v>-185878</v>
      </c>
      <c r="M31" s="140"/>
      <c r="N31" s="140"/>
      <c r="O31" s="140"/>
      <c r="P31" s="1">
        <f>SUM(F31-SUM(M31:O31))</f>
        <v>-139960</v>
      </c>
      <c r="Q31" s="140"/>
      <c r="R31" s="140"/>
      <c r="S31" s="140"/>
      <c r="T31" s="1">
        <f>SUM(G31-SUM(Q31:S31))</f>
        <v>-2112</v>
      </c>
      <c r="V31" s="23">
        <f>SUM(M31:P31)</f>
        <v>-139960</v>
      </c>
      <c r="W31" s="23">
        <f>SUM(Q31:T31)</f>
        <v>-2112</v>
      </c>
      <c r="X31" s="43"/>
      <c r="Y31" s="25">
        <f t="shared" si="10"/>
        <v>-0.98490997427836524</v>
      </c>
    </row>
    <row r="32" spans="2:25" x14ac:dyDescent="0.25">
      <c r="B32" s="41" t="s">
        <v>29</v>
      </c>
      <c r="C32" s="139">
        <f>SUM(C31+C30)</f>
        <v>486896</v>
      </c>
      <c r="D32" s="139">
        <f>SUM(D31+D30)</f>
        <v>4481614</v>
      </c>
      <c r="E32" s="139">
        <f>SUM(E31+E30)</f>
        <v>596615</v>
      </c>
      <c r="F32" s="139">
        <f>SUM(F31+F30)</f>
        <v>464402</v>
      </c>
      <c r="G32" s="139">
        <f>SUM(G31+G30)</f>
        <v>29735</v>
      </c>
      <c r="H32" s="5"/>
      <c r="I32" s="139">
        <f t="shared" ref="I32:T32" si="12">SUM(I31+I30)</f>
        <v>0</v>
      </c>
      <c r="J32" s="139">
        <f t="shared" si="12"/>
        <v>0</v>
      </c>
      <c r="K32" s="139">
        <f t="shared" si="12"/>
        <v>0</v>
      </c>
      <c r="L32" s="139">
        <f t="shared" si="12"/>
        <v>596615</v>
      </c>
      <c r="M32" s="139">
        <f t="shared" si="12"/>
        <v>0</v>
      </c>
      <c r="N32" s="139">
        <f t="shared" si="12"/>
        <v>0</v>
      </c>
      <c r="O32" s="139">
        <f t="shared" si="12"/>
        <v>0</v>
      </c>
      <c r="P32" s="139">
        <f t="shared" si="12"/>
        <v>464402</v>
      </c>
      <c r="Q32" s="139">
        <f t="shared" si="12"/>
        <v>0</v>
      </c>
      <c r="R32" s="139">
        <f t="shared" si="12"/>
        <v>0</v>
      </c>
      <c r="S32" s="139">
        <f t="shared" si="12"/>
        <v>0</v>
      </c>
      <c r="T32" s="139">
        <f t="shared" si="12"/>
        <v>6793840</v>
      </c>
      <c r="U32" s="21"/>
      <c r="V32" s="139" t="e">
        <f>#REF!+#REF!</f>
        <v>#REF!</v>
      </c>
      <c r="W32" s="139" t="e">
        <f>#REF!+#REF!</f>
        <v>#REF!</v>
      </c>
      <c r="X32" s="45">
        <f>SUM(X31-X30)</f>
        <v>0</v>
      </c>
      <c r="Y32" s="30" t="e">
        <f t="shared" si="10"/>
        <v>#REF!</v>
      </c>
    </row>
    <row r="33" spans="1:25" x14ac:dyDescent="0.25">
      <c r="B33" s="31" t="s">
        <v>23</v>
      </c>
      <c r="C33" s="42"/>
      <c r="D33" s="33">
        <f>D32/C32-1</f>
        <v>8.2044584469784105</v>
      </c>
      <c r="E33" s="33">
        <f>E32/D32-1</f>
        <v>-0.86687496959800647</v>
      </c>
      <c r="F33" s="33">
        <f>F32/E32-1</f>
        <v>-0.22160522279862227</v>
      </c>
      <c r="G33" s="33">
        <f>G32/F32-1</f>
        <v>-0.93597142131170841</v>
      </c>
      <c r="H33" s="33"/>
      <c r="I33" s="33"/>
      <c r="J33" s="33" t="e">
        <f t="shared" ref="J33:T33" si="13">J32/I32-1</f>
        <v>#DIV/0!</v>
      </c>
      <c r="K33" s="33" t="e">
        <f t="shared" si="13"/>
        <v>#DIV/0!</v>
      </c>
      <c r="L33" s="33" t="e">
        <f t="shared" si="13"/>
        <v>#DIV/0!</v>
      </c>
      <c r="M33" s="33">
        <f t="shared" si="13"/>
        <v>-1</v>
      </c>
      <c r="N33" s="33" t="e">
        <f t="shared" si="13"/>
        <v>#DIV/0!</v>
      </c>
      <c r="O33" s="33" t="e">
        <f t="shared" si="13"/>
        <v>#DIV/0!</v>
      </c>
      <c r="P33" s="33" t="e">
        <f t="shared" si="13"/>
        <v>#DIV/0!</v>
      </c>
      <c r="Q33" s="33">
        <f t="shared" si="13"/>
        <v>-1</v>
      </c>
      <c r="R33" s="33" t="e">
        <f t="shared" si="13"/>
        <v>#DIV/0!</v>
      </c>
      <c r="S33" s="33" t="e">
        <f t="shared" si="13"/>
        <v>#DIV/0!</v>
      </c>
      <c r="T33" s="33" t="e">
        <f t="shared" si="13"/>
        <v>#DIV/0!</v>
      </c>
      <c r="W33" s="33" t="e">
        <f>W32/V32-1</f>
        <v>#REF!</v>
      </c>
      <c r="X33" s="3"/>
      <c r="Y33" s="34"/>
    </row>
    <row r="34" spans="1:25" x14ac:dyDescent="0.25">
      <c r="B34" s="31" t="s">
        <v>30</v>
      </c>
      <c r="C34" s="33">
        <f>SUM(C32/C10)</f>
        <v>5.0148918483185145E-2</v>
      </c>
      <c r="D34" s="33">
        <f>SUM(D32/D10)</f>
        <v>0.44344663107376064</v>
      </c>
      <c r="E34" s="33">
        <f>SUM(E32/E10)</f>
        <v>5.4247644728504456E-2</v>
      </c>
      <c r="F34" s="33">
        <f>SUM(F32/F10)</f>
        <v>4.1632772201763521E-2</v>
      </c>
      <c r="G34" s="33">
        <f>SUM(G32/G10)</f>
        <v>2.6343050391460297E-3</v>
      </c>
      <c r="H34" s="33"/>
      <c r="I34" s="33" t="e">
        <f t="shared" ref="I34:T34" si="14">SUM(I32/I10)</f>
        <v>#DIV/0!</v>
      </c>
      <c r="J34" s="33" t="e">
        <f t="shared" si="14"/>
        <v>#DIV/0!</v>
      </c>
      <c r="K34" s="33" t="e">
        <f t="shared" si="14"/>
        <v>#DIV/0!</v>
      </c>
      <c r="L34" s="33">
        <f t="shared" si="14"/>
        <v>5.4247644728504456E-2</v>
      </c>
      <c r="M34" s="33" t="e">
        <f t="shared" si="14"/>
        <v>#DIV/0!</v>
      </c>
      <c r="N34" s="33" t="e">
        <f t="shared" si="14"/>
        <v>#DIV/0!</v>
      </c>
      <c r="O34" s="33" t="e">
        <f t="shared" si="14"/>
        <v>#DIV/0!</v>
      </c>
      <c r="P34" s="33">
        <f t="shared" si="14"/>
        <v>4.1632772201763521E-2</v>
      </c>
      <c r="Q34" s="33" t="e">
        <f t="shared" si="14"/>
        <v>#DIV/0!</v>
      </c>
      <c r="R34" s="33" t="e">
        <f t="shared" si="14"/>
        <v>#DIV/0!</v>
      </c>
      <c r="S34" s="33" t="e">
        <f t="shared" si="14"/>
        <v>#DIV/0!</v>
      </c>
      <c r="T34" s="33">
        <f t="shared" si="14"/>
        <v>0.60188488135704943</v>
      </c>
      <c r="V34" s="33" t="e">
        <f>SUM(V32/V10)</f>
        <v>#REF!</v>
      </c>
      <c r="W34" s="33" t="e">
        <f>SUM(W32/W10)</f>
        <v>#REF!</v>
      </c>
      <c r="X34" s="43"/>
      <c r="Y34" s="25" t="e">
        <f>SUM(W34/V34)-1</f>
        <v>#REF!</v>
      </c>
    </row>
    <row r="35" spans="1:25" ht="15.75" thickBot="1" x14ac:dyDescent="0.3">
      <c r="B35" s="31"/>
      <c r="C35" s="42"/>
      <c r="D35" s="42"/>
      <c r="E35" s="42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W35" s="33"/>
      <c r="X35" s="43"/>
      <c r="Y35" s="40"/>
    </row>
    <row r="36" spans="1:25" x14ac:dyDescent="0.25">
      <c r="B36" s="46" t="s">
        <v>72</v>
      </c>
      <c r="C36" s="148">
        <f>SUM(C32/C37)</f>
        <v>6.8417902058596223</v>
      </c>
      <c r="D36" s="148" t="e">
        <f>SUM(D32/D37)</f>
        <v>#DIV/0!</v>
      </c>
      <c r="E36" s="148">
        <f>SUM(E32/E37)</f>
        <v>9.2485544652684126</v>
      </c>
      <c r="F36" s="148">
        <f>SUM(F32/F37)</f>
        <v>7.6486321787967126</v>
      </c>
      <c r="G36" s="149">
        <f>SUM(G32/G37)</f>
        <v>0.49884243725674404</v>
      </c>
      <c r="H36" s="47"/>
      <c r="I36" s="147" t="e">
        <f>SUM(I32/I37)</f>
        <v>#DIV/0!</v>
      </c>
      <c r="J36" s="148" t="e">
        <f t="shared" ref="J36:S36" si="15">SUM(J32/J37)</f>
        <v>#DIV/0!</v>
      </c>
      <c r="K36" s="148" t="e">
        <f t="shared" si="15"/>
        <v>#DIV/0!</v>
      </c>
      <c r="L36" s="148">
        <f t="shared" si="15"/>
        <v>9.8261607128151915</v>
      </c>
      <c r="M36" s="148" t="e">
        <f t="shared" si="15"/>
        <v>#DIV/0!</v>
      </c>
      <c r="N36" s="148" t="e">
        <f t="shared" si="15"/>
        <v>#DIV/0!</v>
      </c>
      <c r="O36" s="148" t="e">
        <f t="shared" si="15"/>
        <v>#DIV/0!</v>
      </c>
      <c r="P36" s="148">
        <f t="shared" si="15"/>
        <v>7.6486321787967126</v>
      </c>
      <c r="Q36" s="148" t="e">
        <f t="shared" si="15"/>
        <v>#DIV/0!</v>
      </c>
      <c r="R36" s="148" t="e">
        <f t="shared" si="15"/>
        <v>#DIV/0!</v>
      </c>
      <c r="S36" s="148" t="e">
        <f t="shared" si="15"/>
        <v>#DIV/0!</v>
      </c>
      <c r="T36" s="149">
        <f>SUM(T32/T37)</f>
        <v>113.97530532814388</v>
      </c>
      <c r="V36" s="153" t="e">
        <f>O36</f>
        <v>#DIV/0!</v>
      </c>
      <c r="W36" s="155" t="e">
        <f>S36</f>
        <v>#DIV/0!</v>
      </c>
      <c r="X36" s="43"/>
      <c r="Y36" s="30" t="e">
        <f>SUM(W36/V36)-1</f>
        <v>#DIV/0!</v>
      </c>
    </row>
    <row r="37" spans="1:25" ht="15.75" thickBot="1" x14ac:dyDescent="0.3">
      <c r="B37" s="48" t="s">
        <v>71</v>
      </c>
      <c r="C37" s="49">
        <v>71165</v>
      </c>
      <c r="D37" s="49"/>
      <c r="E37" s="49">
        <v>64509</v>
      </c>
      <c r="F37" s="50">
        <v>60717</v>
      </c>
      <c r="G37" s="51">
        <v>59608</v>
      </c>
      <c r="H37" s="47"/>
      <c r="I37" s="146"/>
      <c r="J37" s="145"/>
      <c r="K37" s="145"/>
      <c r="L37" s="52">
        <f>F37</f>
        <v>60717</v>
      </c>
      <c r="M37" s="145"/>
      <c r="N37" s="145"/>
      <c r="O37" s="145"/>
      <c r="P37" s="52">
        <f>F37</f>
        <v>60717</v>
      </c>
      <c r="Q37" s="145"/>
      <c r="R37" s="145"/>
      <c r="S37" s="145"/>
      <c r="T37" s="183">
        <f>G37</f>
        <v>59608</v>
      </c>
      <c r="V37" s="154">
        <f>O37</f>
        <v>0</v>
      </c>
      <c r="W37" s="156">
        <f>S37</f>
        <v>0</v>
      </c>
      <c r="X37" s="43"/>
      <c r="Y37" s="40"/>
    </row>
    <row r="38" spans="1:25" x14ac:dyDescent="0.25">
      <c r="B38" s="31"/>
      <c r="C38" s="42"/>
      <c r="D38" s="42"/>
      <c r="E38" s="4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W38" s="33"/>
      <c r="X38" s="43"/>
      <c r="Y38" s="40"/>
    </row>
    <row r="39" spans="1:25" x14ac:dyDescent="0.25">
      <c r="A39" s="6" t="s">
        <v>16</v>
      </c>
      <c r="B39" s="7" t="s">
        <v>31</v>
      </c>
      <c r="C39" s="53"/>
      <c r="D39" s="53"/>
      <c r="E39" s="53"/>
      <c r="F39" s="53"/>
      <c r="G39" s="53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5">
      <c r="B40" s="9" t="s">
        <v>14</v>
      </c>
      <c r="C40" s="54"/>
      <c r="D40" s="54"/>
      <c r="E40" s="54"/>
      <c r="F40" s="54"/>
      <c r="G40" s="54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3.75" customHeight="1" x14ac:dyDescent="0.25">
      <c r="B41" s="55"/>
      <c r="C41" s="56"/>
      <c r="D41" s="56"/>
      <c r="E41" s="56"/>
      <c r="F41" s="56"/>
      <c r="G41" s="56"/>
    </row>
    <row r="42" spans="1:25" x14ac:dyDescent="0.25">
      <c r="B42" s="38" t="s">
        <v>32</v>
      </c>
      <c r="F42" s="20"/>
      <c r="G42" s="20"/>
    </row>
    <row r="43" spans="1:25" x14ac:dyDescent="0.25">
      <c r="B43" s="26" t="s">
        <v>0</v>
      </c>
      <c r="C43" s="72">
        <v>418665</v>
      </c>
      <c r="D43" s="72"/>
      <c r="E43" s="72"/>
      <c r="F43" s="72">
        <v>270805</v>
      </c>
      <c r="G43" s="20">
        <v>503471</v>
      </c>
      <c r="I43" s="22"/>
      <c r="J43" s="22"/>
      <c r="K43" s="22"/>
      <c r="L43" s="136">
        <f>E43</f>
        <v>0</v>
      </c>
      <c r="M43" s="22"/>
      <c r="N43" s="22"/>
      <c r="O43" s="22"/>
      <c r="P43" s="136">
        <f>F43</f>
        <v>270805</v>
      </c>
      <c r="Q43" s="22"/>
      <c r="R43" s="22"/>
      <c r="S43" s="22"/>
      <c r="T43" s="136">
        <f>G43</f>
        <v>503471</v>
      </c>
      <c r="V43" s="23">
        <f>SUM(M43:P43)</f>
        <v>270805</v>
      </c>
      <c r="W43" s="23">
        <f>SUM(Q43:T43)</f>
        <v>503471</v>
      </c>
      <c r="X43" s="23"/>
      <c r="Y43" s="25">
        <f t="shared" ref="Y43:Y55" si="16">SUM(W43/V43)-1</f>
        <v>0.85916434334668867</v>
      </c>
    </row>
    <row r="44" spans="1:25" x14ac:dyDescent="0.25">
      <c r="B44" s="26" t="s">
        <v>118</v>
      </c>
      <c r="C44" s="72">
        <v>689469</v>
      </c>
      <c r="D44" s="72"/>
      <c r="E44" s="72"/>
      <c r="F44" s="72">
        <v>684048</v>
      </c>
      <c r="G44" s="20">
        <v>800141</v>
      </c>
      <c r="I44" s="22"/>
      <c r="J44" s="22"/>
      <c r="K44" s="22"/>
      <c r="L44" s="136">
        <f>E44</f>
        <v>0</v>
      </c>
      <c r="M44" s="22"/>
      <c r="N44" s="22"/>
      <c r="O44" s="22"/>
      <c r="P44" s="136">
        <f>F44</f>
        <v>684048</v>
      </c>
      <c r="Q44" s="22"/>
      <c r="R44" s="22"/>
      <c r="S44" s="22"/>
      <c r="T44" s="136">
        <f>G44</f>
        <v>800141</v>
      </c>
      <c r="V44" s="23">
        <f>SUM(M44:P44)</f>
        <v>684048</v>
      </c>
      <c r="W44" s="23">
        <f>SUM(Q44:T44)</f>
        <v>800141</v>
      </c>
      <c r="X44" s="23"/>
      <c r="Y44" s="25">
        <f t="shared" si="16"/>
        <v>0.1697146983837392</v>
      </c>
    </row>
    <row r="45" spans="1:25" x14ac:dyDescent="0.25">
      <c r="B45" s="26" t="s">
        <v>119</v>
      </c>
      <c r="C45" s="72">
        <v>4432168</v>
      </c>
      <c r="D45" s="72"/>
      <c r="E45" s="72"/>
      <c r="F45" s="72">
        <v>4896269</v>
      </c>
      <c r="G45" s="20">
        <v>4857702</v>
      </c>
      <c r="I45" s="22"/>
      <c r="J45" s="22"/>
      <c r="K45" s="22"/>
      <c r="L45" s="136">
        <f>E45</f>
        <v>0</v>
      </c>
      <c r="M45" s="22"/>
      <c r="N45" s="22"/>
      <c r="O45" s="22"/>
      <c r="P45" s="136">
        <f>F45</f>
        <v>4896269</v>
      </c>
      <c r="Q45" s="22"/>
      <c r="R45" s="22"/>
      <c r="S45" s="22"/>
      <c r="T45" s="136">
        <f>G45</f>
        <v>4857702</v>
      </c>
      <c r="V45" s="23">
        <f>SUM(M45:P45)</f>
        <v>4896269</v>
      </c>
      <c r="W45" s="23">
        <f>SUM(Q45:T45)</f>
        <v>4857702</v>
      </c>
      <c r="X45" s="23"/>
      <c r="Y45" s="25"/>
    </row>
    <row r="46" spans="1:25" x14ac:dyDescent="0.25">
      <c r="B46" s="26" t="s">
        <v>77</v>
      </c>
      <c r="C46" s="72">
        <v>155241</v>
      </c>
      <c r="D46" s="72"/>
      <c r="E46" s="72"/>
      <c r="F46" s="72">
        <v>163695</v>
      </c>
      <c r="G46" s="20">
        <v>215707</v>
      </c>
      <c r="I46" s="22"/>
      <c r="J46" s="22"/>
      <c r="K46" s="22"/>
      <c r="L46" s="136">
        <f>E46</f>
        <v>0</v>
      </c>
      <c r="M46" s="22"/>
      <c r="N46" s="22"/>
      <c r="O46" s="22"/>
      <c r="P46" s="136">
        <f>F46</f>
        <v>163695</v>
      </c>
      <c r="Q46" s="22"/>
      <c r="R46" s="22"/>
      <c r="S46" s="22"/>
      <c r="T46" s="136">
        <f>G46</f>
        <v>215707</v>
      </c>
      <c r="V46" s="23">
        <f>SUM(M46:P46)</f>
        <v>163695</v>
      </c>
      <c r="W46" s="23">
        <f>SUM(Q46:T46)</f>
        <v>215707</v>
      </c>
      <c r="X46" s="23"/>
      <c r="Y46" s="25"/>
    </row>
    <row r="47" spans="1:25" x14ac:dyDescent="0.25">
      <c r="B47" s="41" t="s">
        <v>1</v>
      </c>
      <c r="C47" s="57">
        <f>SUM(C43:C46)</f>
        <v>5695543</v>
      </c>
      <c r="D47" s="57">
        <f>SUM(D43:D46)</f>
        <v>0</v>
      </c>
      <c r="E47" s="57">
        <f>SUM(E43:E46)</f>
        <v>0</v>
      </c>
      <c r="F47" s="57">
        <f>SUM(F43:F46)</f>
        <v>6014817</v>
      </c>
      <c r="G47" s="57">
        <f>SUM(G43:G46)</f>
        <v>6377021</v>
      </c>
      <c r="I47" s="57">
        <f t="shared" ref="I47:T47" si="17">SUM(I43:I46)</f>
        <v>0</v>
      </c>
      <c r="J47" s="57">
        <f t="shared" si="17"/>
        <v>0</v>
      </c>
      <c r="K47" s="57">
        <f t="shared" si="17"/>
        <v>0</v>
      </c>
      <c r="L47" s="57">
        <f t="shared" si="17"/>
        <v>0</v>
      </c>
      <c r="M47" s="57">
        <f t="shared" si="17"/>
        <v>0</v>
      </c>
      <c r="N47" s="57">
        <f t="shared" si="17"/>
        <v>0</v>
      </c>
      <c r="O47" s="57">
        <f t="shared" si="17"/>
        <v>0</v>
      </c>
      <c r="P47" s="57">
        <f t="shared" si="17"/>
        <v>6014817</v>
      </c>
      <c r="Q47" s="57">
        <f t="shared" si="17"/>
        <v>0</v>
      </c>
      <c r="R47" s="57">
        <f t="shared" si="17"/>
        <v>0</v>
      </c>
      <c r="S47" s="57">
        <f t="shared" si="17"/>
        <v>0</v>
      </c>
      <c r="T47" s="57">
        <f t="shared" si="17"/>
        <v>6377021</v>
      </c>
      <c r="V47" s="57">
        <f>SUM(V43:V46)</f>
        <v>6014817</v>
      </c>
      <c r="W47" s="57">
        <f>SUM(W43:W46)</f>
        <v>6377021</v>
      </c>
      <c r="X47" s="29"/>
      <c r="Y47" s="30">
        <f t="shared" si="16"/>
        <v>6.0218623442741537E-2</v>
      </c>
    </row>
    <row r="48" spans="1:25" ht="15.75" x14ac:dyDescent="0.25">
      <c r="B48" s="38"/>
      <c r="C48" s="58"/>
      <c r="D48" s="58"/>
      <c r="E48" s="58"/>
      <c r="F48" s="59"/>
      <c r="G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V48" s="29"/>
      <c r="W48" s="29"/>
      <c r="X48" s="29"/>
      <c r="Y48" s="34"/>
    </row>
    <row r="49" spans="2:25" ht="15.75" x14ac:dyDescent="0.25">
      <c r="B49" s="38" t="s">
        <v>33</v>
      </c>
      <c r="C49" s="58"/>
      <c r="D49" s="58"/>
      <c r="E49" s="58"/>
      <c r="F49" s="59"/>
      <c r="G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V49" s="29"/>
      <c r="W49" s="29"/>
      <c r="X49" s="29"/>
      <c r="Y49" s="34"/>
    </row>
    <row r="50" spans="2:25" x14ac:dyDescent="0.25">
      <c r="B50" s="26" t="s">
        <v>120</v>
      </c>
      <c r="C50" s="72">
        <v>1433213</v>
      </c>
      <c r="D50" s="72"/>
      <c r="E50" s="72"/>
      <c r="F50" s="72">
        <v>1690139</v>
      </c>
      <c r="G50" s="61">
        <v>1648546</v>
      </c>
      <c r="I50" s="22"/>
      <c r="J50" s="22"/>
      <c r="K50" s="22"/>
      <c r="L50" s="136">
        <f>E50</f>
        <v>0</v>
      </c>
      <c r="M50" s="22"/>
      <c r="N50" s="22"/>
      <c r="O50" s="22"/>
      <c r="P50" s="136">
        <f>F50</f>
        <v>1690139</v>
      </c>
      <c r="Q50" s="22"/>
      <c r="R50" s="22"/>
      <c r="S50" s="22"/>
      <c r="T50" s="136">
        <f>G50</f>
        <v>1648546</v>
      </c>
      <c r="V50" s="23">
        <f>SUM(M50:P50)</f>
        <v>1690139</v>
      </c>
      <c r="W50" s="23">
        <f>SUM(Q50:T50)</f>
        <v>1648546</v>
      </c>
      <c r="X50" s="23"/>
      <c r="Y50" s="25">
        <f t="shared" si="16"/>
        <v>-2.4609218531730259E-2</v>
      </c>
    </row>
    <row r="51" spans="2:25" x14ac:dyDescent="0.25">
      <c r="B51" s="26" t="s">
        <v>121</v>
      </c>
      <c r="C51" s="72">
        <v>2365325</v>
      </c>
      <c r="D51" s="72"/>
      <c r="E51" s="72"/>
      <c r="F51" s="72">
        <v>2607690</v>
      </c>
      <c r="G51" s="61">
        <v>2578776</v>
      </c>
      <c r="I51" s="22"/>
      <c r="J51" s="22"/>
      <c r="K51" s="22"/>
      <c r="L51" s="136">
        <f>E51</f>
        <v>0</v>
      </c>
      <c r="M51" s="22"/>
      <c r="N51" s="22"/>
      <c r="O51" s="22"/>
      <c r="P51" s="136">
        <f>F51</f>
        <v>2607690</v>
      </c>
      <c r="Q51" s="22"/>
      <c r="R51" s="22"/>
      <c r="S51" s="22"/>
      <c r="T51" s="136">
        <f>G51</f>
        <v>2578776</v>
      </c>
      <c r="V51" s="23">
        <f>SUM(L51:O51)</f>
        <v>0</v>
      </c>
      <c r="W51" s="23">
        <f>SUM(P51:S51)</f>
        <v>2607690</v>
      </c>
      <c r="X51" s="23"/>
      <c r="Y51" s="25" t="e">
        <f t="shared" si="16"/>
        <v>#DIV/0!</v>
      </c>
    </row>
    <row r="52" spans="2:25" x14ac:dyDescent="0.25">
      <c r="B52" s="26" t="s">
        <v>78</v>
      </c>
      <c r="C52" s="72">
        <v>992240</v>
      </c>
      <c r="D52" s="72"/>
      <c r="E52" s="72"/>
      <c r="F52" s="72">
        <v>990471</v>
      </c>
      <c r="G52" s="61">
        <v>991743</v>
      </c>
      <c r="I52" s="22"/>
      <c r="J52" s="22"/>
      <c r="K52" s="22"/>
      <c r="L52" s="136">
        <f>E52</f>
        <v>0</v>
      </c>
      <c r="M52" s="22"/>
      <c r="N52" s="22"/>
      <c r="O52" s="22"/>
      <c r="P52" s="136">
        <f>F52</f>
        <v>990471</v>
      </c>
      <c r="Q52" s="22"/>
      <c r="R52" s="22"/>
      <c r="S52" s="22"/>
      <c r="T52" s="136">
        <f>G52</f>
        <v>991743</v>
      </c>
      <c r="V52" s="23"/>
      <c r="W52" s="23"/>
      <c r="X52" s="23"/>
      <c r="Y52" s="25"/>
    </row>
    <row r="53" spans="2:25" x14ac:dyDescent="0.25">
      <c r="B53" s="26" t="s">
        <v>79</v>
      </c>
      <c r="C53" s="72">
        <v>709756</v>
      </c>
      <c r="D53" s="72"/>
      <c r="E53" s="72"/>
      <c r="F53" s="72">
        <v>620901</v>
      </c>
      <c r="G53" s="61">
        <v>593341</v>
      </c>
      <c r="I53" s="22"/>
      <c r="J53" s="22"/>
      <c r="K53" s="22"/>
      <c r="L53" s="136">
        <f>E53</f>
        <v>0</v>
      </c>
      <c r="M53" s="22"/>
      <c r="N53" s="22"/>
      <c r="O53" s="22"/>
      <c r="P53" s="136">
        <f>F53</f>
        <v>620901</v>
      </c>
      <c r="Q53" s="22"/>
      <c r="R53" s="22"/>
      <c r="S53" s="22"/>
      <c r="T53" s="136">
        <f>G53</f>
        <v>593341</v>
      </c>
      <c r="V53" s="23">
        <f>SUM(L53:O53)</f>
        <v>0</v>
      </c>
      <c r="W53" s="23">
        <f>SUM(P53:S53)</f>
        <v>620901</v>
      </c>
      <c r="X53" s="23"/>
      <c r="Y53" s="25" t="e">
        <f t="shared" si="16"/>
        <v>#DIV/0!</v>
      </c>
    </row>
    <row r="54" spans="2:25" x14ac:dyDescent="0.25">
      <c r="B54" s="26" t="s">
        <v>80</v>
      </c>
      <c r="C54" s="72">
        <v>52448</v>
      </c>
      <c r="D54" s="72"/>
      <c r="E54" s="72"/>
      <c r="F54" s="72">
        <v>62429</v>
      </c>
      <c r="G54" s="61">
        <v>86899</v>
      </c>
      <c r="I54" s="22"/>
      <c r="J54" s="22"/>
      <c r="K54" s="22"/>
      <c r="L54" s="136">
        <f>E54</f>
        <v>0</v>
      </c>
      <c r="M54" s="22"/>
      <c r="N54" s="22"/>
      <c r="O54" s="22"/>
      <c r="P54" s="136">
        <f>F54</f>
        <v>62429</v>
      </c>
      <c r="Q54" s="22"/>
      <c r="R54" s="22"/>
      <c r="S54" s="22"/>
      <c r="T54" s="136">
        <f>G54</f>
        <v>86899</v>
      </c>
      <c r="V54" s="23">
        <f>SUM(L54:O54)</f>
        <v>0</v>
      </c>
      <c r="W54" s="23">
        <f>SUM(P54:S54)</f>
        <v>62429</v>
      </c>
      <c r="X54" s="23"/>
      <c r="Y54" s="25" t="e">
        <f t="shared" si="16"/>
        <v>#DIV/0!</v>
      </c>
    </row>
    <row r="55" spans="2:25" x14ac:dyDescent="0.25">
      <c r="B55" s="41" t="s">
        <v>2</v>
      </c>
      <c r="C55" s="62">
        <f>SUM(C50:C54)+C47</f>
        <v>11248525</v>
      </c>
      <c r="D55" s="62">
        <f>SUM(D50:D54)+D47</f>
        <v>0</v>
      </c>
      <c r="E55" s="62">
        <f>SUM(E50:E54)+E47</f>
        <v>0</v>
      </c>
      <c r="F55" s="62">
        <f>SUM(F50:F54)+F47</f>
        <v>11986447</v>
      </c>
      <c r="G55" s="62">
        <f>SUM(G50:G54)+G47</f>
        <v>12276326</v>
      </c>
      <c r="I55" s="62">
        <f t="shared" ref="I55:T55" si="18">SUM(I50:I54)+I47</f>
        <v>0</v>
      </c>
      <c r="J55" s="62">
        <f t="shared" si="18"/>
        <v>0</v>
      </c>
      <c r="K55" s="62">
        <f t="shared" si="18"/>
        <v>0</v>
      </c>
      <c r="L55" s="62">
        <f t="shared" si="18"/>
        <v>0</v>
      </c>
      <c r="M55" s="62">
        <f t="shared" si="18"/>
        <v>0</v>
      </c>
      <c r="N55" s="62">
        <f t="shared" si="18"/>
        <v>0</v>
      </c>
      <c r="O55" s="62">
        <f t="shared" si="18"/>
        <v>0</v>
      </c>
      <c r="P55" s="62">
        <f t="shared" si="18"/>
        <v>11986447</v>
      </c>
      <c r="Q55" s="62">
        <f t="shared" si="18"/>
        <v>0</v>
      </c>
      <c r="R55" s="62">
        <f t="shared" si="18"/>
        <v>0</v>
      </c>
      <c r="S55" s="62">
        <f t="shared" si="18"/>
        <v>0</v>
      </c>
      <c r="T55" s="62">
        <f t="shared" si="18"/>
        <v>12276326</v>
      </c>
      <c r="V55" s="62">
        <f>SUM(V50:V54)+V47</f>
        <v>7704956</v>
      </c>
      <c r="W55" s="62">
        <f>SUM(W50:W54)+W47</f>
        <v>11316587</v>
      </c>
      <c r="X55" s="29"/>
      <c r="Y55" s="30">
        <f t="shared" si="16"/>
        <v>0.46874128807484428</v>
      </c>
    </row>
    <row r="56" spans="2:25" ht="15.75" x14ac:dyDescent="0.25">
      <c r="B56" s="38"/>
      <c r="C56" s="63"/>
      <c r="D56" s="63"/>
      <c r="E56" s="63"/>
      <c r="F56" s="63"/>
      <c r="G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V56" s="29"/>
      <c r="W56" s="29"/>
      <c r="X56" s="29"/>
      <c r="Y56" s="34"/>
    </row>
    <row r="57" spans="2:25" s="65" customFormat="1" ht="15.75" x14ac:dyDescent="0.25">
      <c r="B57" s="38" t="s">
        <v>34</v>
      </c>
      <c r="C57" s="58"/>
      <c r="D57" s="58"/>
      <c r="E57" s="58"/>
      <c r="F57" s="58"/>
      <c r="G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V57" s="64"/>
      <c r="W57" s="64"/>
      <c r="X57" s="64"/>
    </row>
    <row r="58" spans="2:25" x14ac:dyDescent="0.25">
      <c r="B58" s="66" t="s">
        <v>122</v>
      </c>
      <c r="C58" s="72">
        <v>3421987</v>
      </c>
      <c r="D58" s="72"/>
      <c r="E58" s="72"/>
      <c r="F58" s="72">
        <v>4178907</v>
      </c>
      <c r="G58" s="61">
        <v>4177974</v>
      </c>
      <c r="I58" s="22"/>
      <c r="J58" s="22"/>
      <c r="K58" s="22"/>
      <c r="L58" s="136">
        <f>E58</f>
        <v>0</v>
      </c>
      <c r="M58" s="22"/>
      <c r="N58" s="22"/>
      <c r="O58" s="22"/>
      <c r="P58" s="136">
        <f>F58</f>
        <v>4178907</v>
      </c>
      <c r="Q58" s="22"/>
      <c r="R58" s="22"/>
      <c r="S58" s="22"/>
      <c r="T58" s="136">
        <f>G58</f>
        <v>4177974</v>
      </c>
      <c r="V58" s="23">
        <f>SUM(M58:P58)</f>
        <v>4178907</v>
      </c>
      <c r="W58" s="23">
        <f>SUM(Q58:T58)</f>
        <v>4177974</v>
      </c>
      <c r="X58" s="23"/>
      <c r="Y58" s="25">
        <f>SUM(W58/V58)-1</f>
        <v>-2.2326412145567964E-4</v>
      </c>
    </row>
    <row r="59" spans="2:25" x14ac:dyDescent="0.25">
      <c r="B59" s="66" t="s">
        <v>123</v>
      </c>
      <c r="C59" s="72">
        <v>535863</v>
      </c>
      <c r="D59" s="72"/>
      <c r="E59" s="72"/>
      <c r="F59" s="72">
        <v>629464</v>
      </c>
      <c r="G59" s="61">
        <v>671237</v>
      </c>
      <c r="I59" s="22"/>
      <c r="J59" s="22"/>
      <c r="K59" s="22"/>
      <c r="L59" s="136">
        <f>E59</f>
        <v>0</v>
      </c>
      <c r="M59" s="22"/>
      <c r="N59" s="22"/>
      <c r="O59" s="22"/>
      <c r="P59" s="136">
        <f>F59</f>
        <v>629464</v>
      </c>
      <c r="Q59" s="22"/>
      <c r="R59" s="22"/>
      <c r="S59" s="22"/>
      <c r="T59" s="136">
        <f>G59</f>
        <v>671237</v>
      </c>
      <c r="V59" s="23">
        <f>SUM(M59:P59)</f>
        <v>629464</v>
      </c>
      <c r="W59" s="23">
        <f>SUM(Q59:T59)</f>
        <v>671237</v>
      </c>
      <c r="X59" s="23"/>
      <c r="Y59" s="25">
        <f>SUM(W59/V59)-1</f>
        <v>6.6362810263970617E-2</v>
      </c>
    </row>
    <row r="60" spans="2:25" x14ac:dyDescent="0.25">
      <c r="B60" s="66" t="s">
        <v>124</v>
      </c>
      <c r="C60" s="72">
        <v>0</v>
      </c>
      <c r="D60" s="72"/>
      <c r="E60" s="72"/>
      <c r="F60" s="72">
        <v>185000</v>
      </c>
      <c r="G60" s="61">
        <v>0</v>
      </c>
      <c r="I60" s="22"/>
      <c r="J60" s="22"/>
      <c r="K60" s="22"/>
      <c r="L60" s="136">
        <f>E60</f>
        <v>0</v>
      </c>
      <c r="M60" s="22"/>
      <c r="N60" s="22"/>
      <c r="O60" s="22"/>
      <c r="P60" s="136">
        <f>F60</f>
        <v>185000</v>
      </c>
      <c r="Q60" s="22"/>
      <c r="R60" s="22"/>
      <c r="S60" s="22"/>
      <c r="T60" s="136">
        <f>G60</f>
        <v>0</v>
      </c>
      <c r="V60" s="23">
        <f>SUM(M60:P60)</f>
        <v>185000</v>
      </c>
      <c r="W60" s="23">
        <f>SUM(Q60:T60)</f>
        <v>0</v>
      </c>
      <c r="X60" s="23"/>
      <c r="Y60" s="25"/>
    </row>
    <row r="61" spans="2:25" x14ac:dyDescent="0.25">
      <c r="B61" s="66" t="s">
        <v>81</v>
      </c>
      <c r="C61" s="72">
        <v>519852</v>
      </c>
      <c r="D61" s="72"/>
      <c r="E61" s="72"/>
      <c r="F61" s="72">
        <v>427480</v>
      </c>
      <c r="G61" s="61">
        <v>458194</v>
      </c>
      <c r="I61" s="22"/>
      <c r="J61" s="22"/>
      <c r="K61" s="22"/>
      <c r="L61" s="136">
        <f>E61</f>
        <v>0</v>
      </c>
      <c r="M61" s="22"/>
      <c r="N61" s="22"/>
      <c r="O61" s="22"/>
      <c r="P61" s="136">
        <f>F61</f>
        <v>427480</v>
      </c>
      <c r="Q61" s="22"/>
      <c r="R61" s="22"/>
      <c r="S61" s="22"/>
      <c r="T61" s="136">
        <f>G61</f>
        <v>458194</v>
      </c>
      <c r="V61" s="23">
        <f>SUM(M61:P61)</f>
        <v>427480</v>
      </c>
      <c r="W61" s="23">
        <f>SUM(Q61:T61)</f>
        <v>458194</v>
      </c>
      <c r="X61" s="23"/>
      <c r="Y61" s="25">
        <f>SUM(W61/V61)-1</f>
        <v>7.1848975390661485E-2</v>
      </c>
    </row>
    <row r="62" spans="2:25" x14ac:dyDescent="0.25">
      <c r="B62" s="41" t="s">
        <v>3</v>
      </c>
      <c r="C62" s="62">
        <f>SUM(C58:C61)</f>
        <v>4477702</v>
      </c>
      <c r="D62" s="62">
        <f>SUM(D58:D61)</f>
        <v>0</v>
      </c>
      <c r="E62" s="62">
        <f>SUM(E58:E61)</f>
        <v>0</v>
      </c>
      <c r="F62" s="62">
        <f>SUM(F58:F61)</f>
        <v>5420851</v>
      </c>
      <c r="G62" s="62">
        <f>SUM(G58:G61)</f>
        <v>5307405</v>
      </c>
      <c r="I62" s="62">
        <f t="shared" ref="I62:T62" si="19">SUM(I58:I61)</f>
        <v>0</v>
      </c>
      <c r="J62" s="62">
        <f t="shared" si="19"/>
        <v>0</v>
      </c>
      <c r="K62" s="62">
        <f t="shared" si="19"/>
        <v>0</v>
      </c>
      <c r="L62" s="62">
        <f t="shared" si="19"/>
        <v>0</v>
      </c>
      <c r="M62" s="62">
        <f t="shared" si="19"/>
        <v>0</v>
      </c>
      <c r="N62" s="62">
        <f t="shared" si="19"/>
        <v>0</v>
      </c>
      <c r="O62" s="62">
        <f t="shared" si="19"/>
        <v>0</v>
      </c>
      <c r="P62" s="62">
        <f t="shared" si="19"/>
        <v>5420851</v>
      </c>
      <c r="Q62" s="62">
        <f t="shared" si="19"/>
        <v>0</v>
      </c>
      <c r="R62" s="62">
        <f t="shared" si="19"/>
        <v>0</v>
      </c>
      <c r="S62" s="62">
        <f t="shared" si="19"/>
        <v>0</v>
      </c>
      <c r="T62" s="62">
        <f t="shared" si="19"/>
        <v>5307405</v>
      </c>
      <c r="V62" s="62">
        <f>SUM(V58:V61)</f>
        <v>5420851</v>
      </c>
      <c r="W62" s="62">
        <f>SUM(W58:W61)</f>
        <v>5307405</v>
      </c>
      <c r="X62" s="29"/>
      <c r="Y62" s="30">
        <f>SUM(W62/V62)-1</f>
        <v>-2.0927710427753876E-2</v>
      </c>
    </row>
    <row r="63" spans="2:25" ht="15.75" x14ac:dyDescent="0.25">
      <c r="B63" s="38"/>
      <c r="C63" s="63"/>
      <c r="D63" s="63"/>
      <c r="E63" s="63"/>
      <c r="F63" s="67"/>
      <c r="G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V63" s="29"/>
      <c r="W63" s="29"/>
      <c r="X63" s="29"/>
      <c r="Y63" s="34"/>
    </row>
    <row r="64" spans="2:25" ht="15.75" x14ac:dyDescent="0.25">
      <c r="B64" s="38" t="s">
        <v>35</v>
      </c>
      <c r="C64" s="63"/>
      <c r="D64" s="63"/>
      <c r="E64" s="63"/>
      <c r="F64" s="67"/>
      <c r="G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V64" s="29"/>
      <c r="W64" s="29"/>
      <c r="X64" s="29"/>
      <c r="Y64" s="34"/>
    </row>
    <row r="65" spans="2:25" x14ac:dyDescent="0.25">
      <c r="B65" s="26" t="s">
        <v>82</v>
      </c>
      <c r="C65" s="68">
        <v>747320</v>
      </c>
      <c r="D65" s="68"/>
      <c r="E65" s="68"/>
      <c r="F65" s="68">
        <v>1188283</v>
      </c>
      <c r="G65" s="22">
        <v>1786361</v>
      </c>
      <c r="H65" s="69"/>
      <c r="I65" s="22"/>
      <c r="J65" s="22"/>
      <c r="K65" s="22"/>
      <c r="L65" s="136">
        <f>E65</f>
        <v>0</v>
      </c>
      <c r="M65" s="22"/>
      <c r="N65" s="22"/>
      <c r="O65" s="22"/>
      <c r="P65" s="136">
        <f>F65</f>
        <v>1188283</v>
      </c>
      <c r="Q65" s="22"/>
      <c r="R65" s="22"/>
      <c r="S65" s="22"/>
      <c r="T65" s="136">
        <f>G65</f>
        <v>1786361</v>
      </c>
      <c r="V65" s="23">
        <f>SUM(M65:P65)</f>
        <v>1188283</v>
      </c>
      <c r="W65" s="23">
        <f>SUM(Q65:T65)</f>
        <v>1786361</v>
      </c>
      <c r="X65" s="29"/>
      <c r="Y65" s="25">
        <f>SUM(W65/V65)-1</f>
        <v>0.50331276303708794</v>
      </c>
    </row>
    <row r="66" spans="2:25" x14ac:dyDescent="0.25">
      <c r="B66" s="26" t="s">
        <v>125</v>
      </c>
      <c r="C66" s="68">
        <v>2017159</v>
      </c>
      <c r="D66" s="68"/>
      <c r="E66" s="68"/>
      <c r="F66" s="68">
        <v>2278318</v>
      </c>
      <c r="G66" s="22">
        <v>2215766</v>
      </c>
      <c r="H66" s="69"/>
      <c r="I66" s="22"/>
      <c r="J66" s="22"/>
      <c r="K66" s="22"/>
      <c r="L66" s="136">
        <f>E66</f>
        <v>0</v>
      </c>
      <c r="M66" s="22"/>
      <c r="N66" s="22"/>
      <c r="O66" s="22"/>
      <c r="P66" s="136">
        <f>F66</f>
        <v>2278318</v>
      </c>
      <c r="Q66" s="22"/>
      <c r="R66" s="22"/>
      <c r="S66" s="22"/>
      <c r="T66" s="136">
        <f>G66</f>
        <v>2215766</v>
      </c>
      <c r="V66" s="23">
        <f>SUM(M66:P66)</f>
        <v>2278318</v>
      </c>
      <c r="W66" s="23">
        <f>SUM(Q66:T66)</f>
        <v>2215766</v>
      </c>
      <c r="X66" s="29"/>
      <c r="Y66" s="25">
        <f>SUM(W66/V66)-1</f>
        <v>-2.7455342054972132E-2</v>
      </c>
    </row>
    <row r="67" spans="2:25" x14ac:dyDescent="0.25">
      <c r="B67" s="66" t="s">
        <v>126</v>
      </c>
      <c r="C67" s="68">
        <v>334013</v>
      </c>
      <c r="D67" s="68"/>
      <c r="E67" s="68"/>
      <c r="F67" s="68">
        <v>410749</v>
      </c>
      <c r="G67" s="22">
        <v>362542</v>
      </c>
      <c r="H67" s="69"/>
      <c r="I67" s="22"/>
      <c r="J67" s="22"/>
      <c r="K67" s="22"/>
      <c r="L67" s="136">
        <f>E67</f>
        <v>0</v>
      </c>
      <c r="M67" s="22"/>
      <c r="N67" s="22"/>
      <c r="O67" s="22"/>
      <c r="P67" s="136">
        <f>F67</f>
        <v>410749</v>
      </c>
      <c r="Q67" s="22"/>
      <c r="R67" s="22"/>
      <c r="S67" s="22"/>
      <c r="T67" s="136">
        <f>G67</f>
        <v>362542</v>
      </c>
      <c r="V67" s="23">
        <f>SUM(M67:P67)</f>
        <v>410749</v>
      </c>
      <c r="W67" s="23">
        <f>SUM(Q67:T67)</f>
        <v>362542</v>
      </c>
      <c r="X67" s="23"/>
      <c r="Y67" s="25">
        <f>SUM(W67/V67)-1</f>
        <v>-0.11736364543796818</v>
      </c>
    </row>
    <row r="68" spans="2:25" x14ac:dyDescent="0.25">
      <c r="B68" s="66" t="s">
        <v>127</v>
      </c>
      <c r="C68" s="68">
        <v>123250</v>
      </c>
      <c r="D68" s="68"/>
      <c r="E68" s="68"/>
      <c r="F68" s="68">
        <v>89054</v>
      </c>
      <c r="G68" s="22">
        <v>84524</v>
      </c>
      <c r="H68" s="69"/>
      <c r="I68" s="22"/>
      <c r="J68" s="22"/>
      <c r="K68" s="22"/>
      <c r="L68" s="136">
        <f>E68</f>
        <v>0</v>
      </c>
      <c r="M68" s="22"/>
      <c r="N68" s="22"/>
      <c r="O68" s="22"/>
      <c r="P68" s="136">
        <f>F68</f>
        <v>89054</v>
      </c>
      <c r="Q68" s="22"/>
      <c r="R68" s="22"/>
      <c r="S68" s="177"/>
      <c r="T68" s="136">
        <f>G68</f>
        <v>84524</v>
      </c>
      <c r="V68" s="23">
        <f>SUM(M68:P68)</f>
        <v>89054</v>
      </c>
      <c r="W68" s="23">
        <f>SUM(Q68:T68)</f>
        <v>84524</v>
      </c>
      <c r="X68" s="23"/>
      <c r="Y68" s="25">
        <f>SUM(W68/V68)-1</f>
        <v>-5.0868012666472007E-2</v>
      </c>
    </row>
    <row r="69" spans="2:25" x14ac:dyDescent="0.25">
      <c r="B69" s="41" t="s">
        <v>36</v>
      </c>
      <c r="C69" s="57">
        <f>SUM(C65:C68)+C62</f>
        <v>7699444</v>
      </c>
      <c r="D69" s="57">
        <f>SUM(D65:D68)+D62</f>
        <v>0</v>
      </c>
      <c r="E69" s="57">
        <f>SUM(E65:E68)+E62</f>
        <v>0</v>
      </c>
      <c r="F69" s="57">
        <f>SUM(F65:F68)+F62</f>
        <v>9387255</v>
      </c>
      <c r="G69" s="57">
        <f>SUM(G65:G68)+G62</f>
        <v>9756598</v>
      </c>
      <c r="I69" s="57">
        <f t="shared" ref="I69:T69" si="20">SUM(I65:I68)+I62</f>
        <v>0</v>
      </c>
      <c r="J69" s="57">
        <f t="shared" si="20"/>
        <v>0</v>
      </c>
      <c r="K69" s="57">
        <f t="shared" si="20"/>
        <v>0</v>
      </c>
      <c r="L69" s="57">
        <f t="shared" si="20"/>
        <v>0</v>
      </c>
      <c r="M69" s="57">
        <f t="shared" si="20"/>
        <v>0</v>
      </c>
      <c r="N69" s="57">
        <f t="shared" si="20"/>
        <v>0</v>
      </c>
      <c r="O69" s="57">
        <f t="shared" si="20"/>
        <v>0</v>
      </c>
      <c r="P69" s="57">
        <f t="shared" si="20"/>
        <v>9387255</v>
      </c>
      <c r="Q69" s="57">
        <f t="shared" si="20"/>
        <v>0</v>
      </c>
      <c r="R69" s="57">
        <f t="shared" si="20"/>
        <v>0</v>
      </c>
      <c r="S69" s="57">
        <f t="shared" si="20"/>
        <v>0</v>
      </c>
      <c r="T69" s="57">
        <f t="shared" si="20"/>
        <v>9756598</v>
      </c>
      <c r="V69" s="57">
        <f>SUM(V65:V68)+V62</f>
        <v>9387255</v>
      </c>
      <c r="W69" s="57">
        <f>SUM(W65:W68)+W62</f>
        <v>9756598</v>
      </c>
      <c r="X69" s="29"/>
      <c r="Y69" s="30">
        <f>SUM(W69/V69)-1</f>
        <v>3.9345154680468397E-2</v>
      </c>
    </row>
    <row r="70" spans="2:25" ht="15.75" x14ac:dyDescent="0.25">
      <c r="B70" s="38"/>
      <c r="C70" s="58"/>
      <c r="D70" s="58"/>
      <c r="E70" s="58"/>
      <c r="F70" s="59"/>
      <c r="G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V70" s="29"/>
      <c r="W70" s="29"/>
      <c r="X70" s="29"/>
      <c r="Y70" s="34"/>
    </row>
    <row r="71" spans="2:25" x14ac:dyDescent="0.25">
      <c r="B71" s="38" t="s">
        <v>37</v>
      </c>
      <c r="C71" s="21"/>
      <c r="D71" s="21"/>
      <c r="E71" s="21"/>
      <c r="F71" s="70"/>
      <c r="G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2:25" x14ac:dyDescent="0.25">
      <c r="B72" s="66" t="s">
        <v>83</v>
      </c>
      <c r="C72" s="177">
        <v>0</v>
      </c>
      <c r="D72" s="177">
        <v>0</v>
      </c>
      <c r="E72" s="177">
        <v>0</v>
      </c>
      <c r="F72" s="177">
        <v>0</v>
      </c>
      <c r="G72" s="177">
        <v>0</v>
      </c>
      <c r="H72" s="71"/>
      <c r="I72" s="177"/>
      <c r="J72" s="177"/>
      <c r="K72" s="177"/>
      <c r="L72" s="136">
        <f t="shared" ref="L72:L77" si="21">E72</f>
        <v>0</v>
      </c>
      <c r="M72" s="177"/>
      <c r="N72" s="177"/>
      <c r="O72" s="177"/>
      <c r="P72" s="136">
        <f t="shared" ref="P72:P77" si="22">F72</f>
        <v>0</v>
      </c>
      <c r="Q72" s="177"/>
      <c r="R72" s="177"/>
      <c r="S72" s="177"/>
      <c r="T72" s="136">
        <f t="shared" ref="T72:T77" si="23">G72</f>
        <v>0</v>
      </c>
      <c r="V72" s="23">
        <f t="shared" ref="V72:V77" si="24">SUM(M72:P72)</f>
        <v>0</v>
      </c>
      <c r="W72" s="23">
        <f t="shared" ref="W72:W77" si="25">SUM(Q72:T72)</f>
        <v>0</v>
      </c>
      <c r="X72" s="23"/>
      <c r="Y72" s="25" t="e">
        <f>SUM(W72/V72)-1</f>
        <v>#DIV/0!</v>
      </c>
    </row>
    <row r="73" spans="2:25" x14ac:dyDescent="0.25">
      <c r="B73" s="66" t="s">
        <v>128</v>
      </c>
      <c r="C73" s="177">
        <v>8</v>
      </c>
      <c r="D73" s="177"/>
      <c r="E73" s="177"/>
      <c r="F73" s="177">
        <v>8</v>
      </c>
      <c r="G73" s="177">
        <v>8</v>
      </c>
      <c r="H73" s="71"/>
      <c r="I73" s="177"/>
      <c r="J73" s="177"/>
      <c r="K73" s="177"/>
      <c r="L73" s="136"/>
      <c r="M73" s="177"/>
      <c r="N73" s="177"/>
      <c r="O73" s="177"/>
      <c r="P73" s="136"/>
      <c r="Q73" s="177"/>
      <c r="R73" s="177"/>
      <c r="S73" s="177"/>
      <c r="T73" s="136"/>
      <c r="V73" s="23"/>
      <c r="W73" s="23"/>
      <c r="X73" s="23"/>
      <c r="Y73" s="25"/>
    </row>
    <row r="74" spans="2:25" x14ac:dyDescent="0.25">
      <c r="B74" s="66" t="s">
        <v>129</v>
      </c>
      <c r="C74" s="177">
        <v>735183</v>
      </c>
      <c r="D74" s="177"/>
      <c r="E74" s="177"/>
      <c r="F74" s="177">
        <v>897560</v>
      </c>
      <c r="G74" s="177">
        <v>946099</v>
      </c>
      <c r="H74" s="71"/>
      <c r="I74" s="177"/>
      <c r="J74" s="177"/>
      <c r="K74" s="177"/>
      <c r="L74" s="136"/>
      <c r="M74" s="177"/>
      <c r="N74" s="177"/>
      <c r="O74" s="177"/>
      <c r="P74" s="136"/>
      <c r="Q74" s="177"/>
      <c r="R74" s="177"/>
      <c r="S74" s="177"/>
      <c r="T74" s="136"/>
      <c r="V74" s="23"/>
      <c r="W74" s="23"/>
      <c r="X74" s="23"/>
      <c r="Y74" s="25"/>
    </row>
    <row r="75" spans="2:25" x14ac:dyDescent="0.25">
      <c r="B75" s="66" t="s">
        <v>130</v>
      </c>
      <c r="C75" s="61">
        <v>-924389</v>
      </c>
      <c r="D75" s="61"/>
      <c r="E75" s="61"/>
      <c r="F75" s="61">
        <v>-2918768</v>
      </c>
      <c r="G75" s="177">
        <v>-2933286</v>
      </c>
      <c r="H75" s="71"/>
      <c r="I75" s="177"/>
      <c r="J75" s="177"/>
      <c r="K75" s="177"/>
      <c r="L75" s="136">
        <f t="shared" si="21"/>
        <v>0</v>
      </c>
      <c r="M75" s="177"/>
      <c r="N75" s="177"/>
      <c r="O75" s="22"/>
      <c r="P75" s="136">
        <f t="shared" si="22"/>
        <v>-2918768</v>
      </c>
      <c r="Q75" s="177"/>
      <c r="R75" s="22"/>
      <c r="S75" s="177"/>
      <c r="T75" s="136">
        <f t="shared" si="23"/>
        <v>-2933286</v>
      </c>
      <c r="V75" s="23">
        <f t="shared" si="24"/>
        <v>-2918768</v>
      </c>
      <c r="W75" s="23">
        <f t="shared" si="25"/>
        <v>-2933286</v>
      </c>
      <c r="X75" s="23"/>
      <c r="Y75" s="25">
        <f>SUM(W75/V75)-1</f>
        <v>4.9740164343312632E-3</v>
      </c>
    </row>
    <row r="76" spans="2:25" x14ac:dyDescent="0.25">
      <c r="B76" s="66" t="s">
        <v>131</v>
      </c>
      <c r="C76" s="61">
        <v>-34569</v>
      </c>
      <c r="D76" s="61"/>
      <c r="E76" s="61"/>
      <c r="F76" s="61">
        <v>-44695</v>
      </c>
      <c r="G76" s="61">
        <v>-52232</v>
      </c>
      <c r="H76" s="71"/>
      <c r="I76" s="22"/>
      <c r="J76" s="22"/>
      <c r="K76" s="22"/>
      <c r="L76" s="136">
        <f t="shared" si="21"/>
        <v>0</v>
      </c>
      <c r="M76" s="22"/>
      <c r="N76" s="22"/>
      <c r="O76" s="22"/>
      <c r="P76" s="136">
        <f t="shared" si="22"/>
        <v>-44695</v>
      </c>
      <c r="Q76" s="22"/>
      <c r="R76" s="22"/>
      <c r="S76" s="22"/>
      <c r="T76" s="136">
        <f t="shared" si="23"/>
        <v>-52232</v>
      </c>
      <c r="V76" s="23">
        <f t="shared" si="24"/>
        <v>-44695</v>
      </c>
      <c r="W76" s="23">
        <f t="shared" si="25"/>
        <v>-52232</v>
      </c>
      <c r="X76" s="23"/>
      <c r="Y76" s="25">
        <f>SUM(W76/V76)-1</f>
        <v>0.16863183801320059</v>
      </c>
    </row>
    <row r="77" spans="2:25" x14ac:dyDescent="0.25">
      <c r="B77" s="66" t="s">
        <v>85</v>
      </c>
      <c r="C77" s="72">
        <v>3772848</v>
      </c>
      <c r="D77" s="72"/>
      <c r="E77" s="72"/>
      <c r="F77" s="72">
        <v>4665087</v>
      </c>
      <c r="G77" s="73">
        <v>4559139</v>
      </c>
      <c r="H77" s="71"/>
      <c r="I77" s="74"/>
      <c r="J77" s="74"/>
      <c r="K77" s="22"/>
      <c r="L77" s="136">
        <f t="shared" si="21"/>
        <v>0</v>
      </c>
      <c r="M77" s="74"/>
      <c r="N77" s="74"/>
      <c r="O77" s="22"/>
      <c r="P77" s="136">
        <f t="shared" si="22"/>
        <v>4665087</v>
      </c>
      <c r="Q77" s="74"/>
      <c r="R77" s="74"/>
      <c r="S77" s="74"/>
      <c r="T77" s="136">
        <f t="shared" si="23"/>
        <v>4559139</v>
      </c>
      <c r="V77" s="23">
        <f t="shared" si="24"/>
        <v>4665087</v>
      </c>
      <c r="W77" s="23">
        <f t="shared" si="25"/>
        <v>4559139</v>
      </c>
      <c r="X77" s="23"/>
      <c r="Y77" s="25">
        <f>SUM(W77/V77)-1</f>
        <v>-2.2710830473258059E-2</v>
      </c>
    </row>
    <row r="78" spans="2:25" x14ac:dyDescent="0.25">
      <c r="B78" s="41" t="s">
        <v>38</v>
      </c>
      <c r="C78" s="75">
        <f>SUM(C72:C77)</f>
        <v>3549081</v>
      </c>
      <c r="D78" s="75">
        <f>SUM(D72:D77)</f>
        <v>0</v>
      </c>
      <c r="E78" s="75">
        <f>SUM(E72:E77)</f>
        <v>0</v>
      </c>
      <c r="F78" s="75">
        <f>SUM(F72:F77)</f>
        <v>2599192</v>
      </c>
      <c r="G78" s="75">
        <f>SUM(G72:G77)</f>
        <v>2519728</v>
      </c>
      <c r="H78" s="76"/>
      <c r="I78" s="75">
        <f t="shared" ref="I78:T78" si="26">SUM(I72:I77)</f>
        <v>0</v>
      </c>
      <c r="J78" s="75">
        <f t="shared" si="26"/>
        <v>0</v>
      </c>
      <c r="K78" s="75">
        <f t="shared" si="26"/>
        <v>0</v>
      </c>
      <c r="L78" s="75">
        <f t="shared" si="26"/>
        <v>0</v>
      </c>
      <c r="M78" s="75">
        <f t="shared" si="26"/>
        <v>0</v>
      </c>
      <c r="N78" s="75">
        <f t="shared" si="26"/>
        <v>0</v>
      </c>
      <c r="O78" s="75">
        <f t="shared" si="26"/>
        <v>0</v>
      </c>
      <c r="P78" s="75">
        <f t="shared" si="26"/>
        <v>1701624</v>
      </c>
      <c r="Q78" s="75">
        <f t="shared" si="26"/>
        <v>0</v>
      </c>
      <c r="R78" s="75">
        <f t="shared" si="26"/>
        <v>0</v>
      </c>
      <c r="S78" s="75">
        <f t="shared" si="26"/>
        <v>0</v>
      </c>
      <c r="T78" s="75">
        <f t="shared" si="26"/>
        <v>1573621</v>
      </c>
      <c r="V78" s="75">
        <f>SUM(V72:V77)</f>
        <v>1701624</v>
      </c>
      <c r="W78" s="75">
        <f>SUM(W72:W77)</f>
        <v>1573621</v>
      </c>
      <c r="X78" s="29"/>
      <c r="Y78" s="25">
        <f>SUM(W78/V78)-1</f>
        <v>-7.5224021287899068E-2</v>
      </c>
    </row>
    <row r="79" spans="2:25" x14ac:dyDescent="0.25">
      <c r="B79" s="2" t="s">
        <v>39</v>
      </c>
      <c r="C79" s="77">
        <f>SUM(C78+C69)</f>
        <v>11248525</v>
      </c>
      <c r="D79" s="77">
        <f>SUM(D78+D69)</f>
        <v>0</v>
      </c>
      <c r="E79" s="77">
        <f>SUM(E78+E69)</f>
        <v>0</v>
      </c>
      <c r="F79" s="77">
        <f>SUM(F78+F69)</f>
        <v>11986447</v>
      </c>
      <c r="G79" s="77">
        <f>SUM(G78+G69)</f>
        <v>12276326</v>
      </c>
      <c r="H79" s="71"/>
      <c r="I79" s="77">
        <f t="shared" ref="I79:T79" si="27">SUM(I78+I69)</f>
        <v>0</v>
      </c>
      <c r="J79" s="77">
        <f t="shared" si="27"/>
        <v>0</v>
      </c>
      <c r="K79" s="77">
        <f t="shared" si="27"/>
        <v>0</v>
      </c>
      <c r="L79" s="77">
        <f t="shared" si="27"/>
        <v>0</v>
      </c>
      <c r="M79" s="77">
        <f t="shared" si="27"/>
        <v>0</v>
      </c>
      <c r="N79" s="77">
        <f t="shared" si="27"/>
        <v>0</v>
      </c>
      <c r="O79" s="77">
        <f t="shared" si="27"/>
        <v>0</v>
      </c>
      <c r="P79" s="77">
        <f t="shared" si="27"/>
        <v>11088879</v>
      </c>
      <c r="Q79" s="77">
        <f t="shared" si="27"/>
        <v>0</v>
      </c>
      <c r="R79" s="77">
        <f t="shared" si="27"/>
        <v>0</v>
      </c>
      <c r="S79" s="77">
        <f t="shared" si="27"/>
        <v>0</v>
      </c>
      <c r="T79" s="77">
        <f t="shared" si="27"/>
        <v>11330219</v>
      </c>
      <c r="V79" s="77">
        <f>SUM(V78+V69)</f>
        <v>11088879</v>
      </c>
      <c r="W79" s="77">
        <f>SUM(W78+W69)</f>
        <v>11330219</v>
      </c>
      <c r="X79" s="23"/>
      <c r="Y79" s="25">
        <f>SUM(W79/V79)-1</f>
        <v>2.1764147665422229E-2</v>
      </c>
    </row>
    <row r="80" spans="2:25" ht="15.75" thickBot="1" x14ac:dyDescent="0.3">
      <c r="B80" s="2"/>
      <c r="C80" s="77"/>
      <c r="D80" s="77"/>
      <c r="E80" s="77"/>
      <c r="F80" s="77"/>
      <c r="G80" s="77"/>
      <c r="H80" s="7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V80" s="77"/>
      <c r="W80" s="77"/>
      <c r="X80" s="23"/>
      <c r="Y80" s="40"/>
    </row>
    <row r="81" spans="1:25" x14ac:dyDescent="0.25">
      <c r="B81" s="78" t="s">
        <v>40</v>
      </c>
      <c r="C81" s="79"/>
      <c r="D81" s="79"/>
      <c r="E81" s="79"/>
      <c r="F81" s="79"/>
      <c r="G81" s="80"/>
      <c r="H81" s="71"/>
      <c r="I81" s="81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0"/>
      <c r="V81" s="82"/>
      <c r="W81" s="83"/>
      <c r="X81" s="23"/>
      <c r="Y81" s="40"/>
    </row>
    <row r="82" spans="1:25" x14ac:dyDescent="0.25">
      <c r="B82" s="84" t="s">
        <v>41</v>
      </c>
      <c r="C82" s="157" t="e">
        <f>SUM(#REF!+C65/C55)</f>
        <v>#REF!</v>
      </c>
      <c r="D82" s="157" t="e">
        <f>SUM(#REF!+D65/D55)</f>
        <v>#REF!</v>
      </c>
      <c r="E82" s="157" t="e">
        <f>SUM(#REF!+E65/E55)</f>
        <v>#REF!</v>
      </c>
      <c r="F82" s="157" t="e">
        <f>SUM(#REF!+F65/F55)</f>
        <v>#REF!</v>
      </c>
      <c r="G82" s="85" t="e">
        <f>SUM(#REF!+G65/G55)</f>
        <v>#REF!</v>
      </c>
      <c r="H82" s="71"/>
      <c r="I82" s="86" t="e">
        <f>SUM(#REF!+I65/I55)</f>
        <v>#REF!</v>
      </c>
      <c r="J82" s="157" t="e">
        <f>SUM(#REF!+J65/J55)</f>
        <v>#REF!</v>
      </c>
      <c r="K82" s="157" t="e">
        <f>SUM(#REF!+K65/K55)</f>
        <v>#REF!</v>
      </c>
      <c r="L82" s="157" t="e">
        <f>SUM(#REF!+L65/L55)</f>
        <v>#REF!</v>
      </c>
      <c r="M82" s="157" t="e">
        <f>SUM(#REF!+M65/M55)</f>
        <v>#REF!</v>
      </c>
      <c r="N82" s="157" t="e">
        <f>SUM(#REF!+N65/N55)</f>
        <v>#REF!</v>
      </c>
      <c r="O82" s="157" t="e">
        <f>SUM(#REF!+O65/O55)</f>
        <v>#REF!</v>
      </c>
      <c r="P82" s="157" t="e">
        <f>SUM(#REF!+P65/P55)</f>
        <v>#REF!</v>
      </c>
      <c r="Q82" s="157" t="e">
        <f>SUM(#REF!+Q65/Q55)</f>
        <v>#REF!</v>
      </c>
      <c r="R82" s="157" t="e">
        <f>SUM(#REF!+R65/R55)</f>
        <v>#REF!</v>
      </c>
      <c r="S82" s="157" t="e">
        <f>SUM(#REF!+S65/S55)</f>
        <v>#REF!</v>
      </c>
      <c r="T82" s="85" t="e">
        <f>SUM(#REF!+T65/T55)</f>
        <v>#REF!</v>
      </c>
      <c r="V82" s="158" t="e">
        <f>O82</f>
        <v>#REF!</v>
      </c>
      <c r="W82" s="159" t="e">
        <f>S82</f>
        <v>#REF!</v>
      </c>
      <c r="X82" s="23"/>
      <c r="Y82" s="25" t="e">
        <f>SUM(W82/V82)-1</f>
        <v>#REF!</v>
      </c>
    </row>
    <row r="83" spans="1:25" x14ac:dyDescent="0.25">
      <c r="B83" s="84" t="s">
        <v>42</v>
      </c>
      <c r="C83" s="157">
        <f>SUM(C43+C44)/C62</f>
        <v>0.2474782823868136</v>
      </c>
      <c r="D83" s="157" t="e">
        <f>SUM(D43+D44)/D62</f>
        <v>#DIV/0!</v>
      </c>
      <c r="E83" s="157" t="e">
        <f>SUM(E43+E44)/E62</f>
        <v>#DIV/0!</v>
      </c>
      <c r="F83" s="157">
        <f>SUM(F43+F44)/F62</f>
        <v>0.17614448358754003</v>
      </c>
      <c r="G83" s="85">
        <f>SUM(G43+G44)/G62</f>
        <v>0.24562135356167467</v>
      </c>
      <c r="H83" s="71"/>
      <c r="I83" s="86" t="e">
        <f t="shared" ref="I83:T83" si="28">SUM(I43+I44)/I62</f>
        <v>#DIV/0!</v>
      </c>
      <c r="J83" s="157" t="e">
        <f t="shared" si="28"/>
        <v>#DIV/0!</v>
      </c>
      <c r="K83" s="157" t="e">
        <f t="shared" si="28"/>
        <v>#DIV/0!</v>
      </c>
      <c r="L83" s="157" t="e">
        <f t="shared" si="28"/>
        <v>#DIV/0!</v>
      </c>
      <c r="M83" s="157" t="e">
        <f t="shared" si="28"/>
        <v>#DIV/0!</v>
      </c>
      <c r="N83" s="157" t="e">
        <f t="shared" si="28"/>
        <v>#DIV/0!</v>
      </c>
      <c r="O83" s="157" t="e">
        <f t="shared" si="28"/>
        <v>#DIV/0!</v>
      </c>
      <c r="P83" s="157">
        <f t="shared" si="28"/>
        <v>0.17614448358754003</v>
      </c>
      <c r="Q83" s="157" t="e">
        <f t="shared" si="28"/>
        <v>#DIV/0!</v>
      </c>
      <c r="R83" s="157" t="e">
        <f t="shared" si="28"/>
        <v>#DIV/0!</v>
      </c>
      <c r="S83" s="157" t="e">
        <f t="shared" si="28"/>
        <v>#DIV/0!</v>
      </c>
      <c r="T83" s="85">
        <f t="shared" si="28"/>
        <v>0.24562135356167467</v>
      </c>
      <c r="V83" s="158" t="e">
        <f>N83</f>
        <v>#DIV/0!</v>
      </c>
      <c r="W83" s="159" t="e">
        <f>R83</f>
        <v>#DIV/0!</v>
      </c>
      <c r="X83" s="23"/>
      <c r="Y83" s="25" t="e">
        <f>SUM(W83/V83)-1</f>
        <v>#DIV/0!</v>
      </c>
    </row>
    <row r="84" spans="1:25" x14ac:dyDescent="0.25">
      <c r="B84" s="87" t="s">
        <v>43</v>
      </c>
      <c r="C84" s="157">
        <f>SUM(C47/C62)</f>
        <v>1.2719790195953191</v>
      </c>
      <c r="D84" s="157" t="e">
        <f>SUM(D47/D62)</f>
        <v>#DIV/0!</v>
      </c>
      <c r="E84" s="157" t="e">
        <f>SUM(E47/E62)</f>
        <v>#DIV/0!</v>
      </c>
      <c r="F84" s="157">
        <f>SUM(F47/F62)</f>
        <v>1.1095706190780747</v>
      </c>
      <c r="G84" s="85">
        <f>SUM(G47/G62)</f>
        <v>1.2015327641286091</v>
      </c>
      <c r="I84" s="86" t="e">
        <f t="shared" ref="I84:T84" si="29">SUM(I47/I62)</f>
        <v>#DIV/0!</v>
      </c>
      <c r="J84" s="157" t="e">
        <f t="shared" si="29"/>
        <v>#DIV/0!</v>
      </c>
      <c r="K84" s="157" t="e">
        <f t="shared" si="29"/>
        <v>#DIV/0!</v>
      </c>
      <c r="L84" s="157" t="e">
        <f t="shared" si="29"/>
        <v>#DIV/0!</v>
      </c>
      <c r="M84" s="157" t="e">
        <f t="shared" si="29"/>
        <v>#DIV/0!</v>
      </c>
      <c r="N84" s="157" t="e">
        <f t="shared" si="29"/>
        <v>#DIV/0!</v>
      </c>
      <c r="O84" s="157" t="e">
        <f t="shared" si="29"/>
        <v>#DIV/0!</v>
      </c>
      <c r="P84" s="157">
        <f t="shared" si="29"/>
        <v>1.1095706190780747</v>
      </c>
      <c r="Q84" s="157" t="e">
        <f t="shared" si="29"/>
        <v>#DIV/0!</v>
      </c>
      <c r="R84" s="157" t="e">
        <f t="shared" si="29"/>
        <v>#DIV/0!</v>
      </c>
      <c r="S84" s="157" t="e">
        <f t="shared" si="29"/>
        <v>#DIV/0!</v>
      </c>
      <c r="T84" s="85">
        <f t="shared" si="29"/>
        <v>1.2015327641286091</v>
      </c>
      <c r="V84" s="158" t="e">
        <f>N84</f>
        <v>#DIV/0!</v>
      </c>
      <c r="W84" s="159" t="e">
        <f>R84</f>
        <v>#DIV/0!</v>
      </c>
      <c r="Y84" s="25" t="e">
        <f>SUM(W84/V84)-1</f>
        <v>#DIV/0!</v>
      </c>
    </row>
    <row r="85" spans="1:25" ht="15.75" thickBot="1" x14ac:dyDescent="0.3">
      <c r="B85" s="88" t="s">
        <v>44</v>
      </c>
      <c r="C85" s="89">
        <f>SUM(C43+C44)/C62</f>
        <v>0.2474782823868136</v>
      </c>
      <c r="D85" s="89" t="e">
        <f>SUM(D43+D44)/D62</f>
        <v>#DIV/0!</v>
      </c>
      <c r="E85" s="89" t="e">
        <f>SUM(E43+E44)/E62</f>
        <v>#DIV/0!</v>
      </c>
      <c r="F85" s="89">
        <f>SUM(F43+F44)/F62</f>
        <v>0.17614448358754003</v>
      </c>
      <c r="G85" s="90">
        <f>SUM(G43+G44)/G62</f>
        <v>0.24562135356167467</v>
      </c>
      <c r="H85" s="71"/>
      <c r="I85" s="91" t="e">
        <f t="shared" ref="I85:T85" si="30">SUM(I43+I44)/I62</f>
        <v>#DIV/0!</v>
      </c>
      <c r="J85" s="92" t="e">
        <f t="shared" si="30"/>
        <v>#DIV/0!</v>
      </c>
      <c r="K85" s="92" t="e">
        <f t="shared" si="30"/>
        <v>#DIV/0!</v>
      </c>
      <c r="L85" s="92" t="e">
        <f t="shared" si="30"/>
        <v>#DIV/0!</v>
      </c>
      <c r="M85" s="92" t="e">
        <f t="shared" si="30"/>
        <v>#DIV/0!</v>
      </c>
      <c r="N85" s="92" t="e">
        <f t="shared" si="30"/>
        <v>#DIV/0!</v>
      </c>
      <c r="O85" s="92" t="e">
        <f t="shared" si="30"/>
        <v>#DIV/0!</v>
      </c>
      <c r="P85" s="92">
        <f t="shared" si="30"/>
        <v>0.17614448358754003</v>
      </c>
      <c r="Q85" s="92" t="e">
        <f t="shared" si="30"/>
        <v>#DIV/0!</v>
      </c>
      <c r="R85" s="92" t="e">
        <f t="shared" si="30"/>
        <v>#DIV/0!</v>
      </c>
      <c r="S85" s="92" t="e">
        <f t="shared" si="30"/>
        <v>#DIV/0!</v>
      </c>
      <c r="T85" s="93">
        <f t="shared" si="30"/>
        <v>0.24562135356167467</v>
      </c>
      <c r="V85" s="160" t="e">
        <f>N85</f>
        <v>#DIV/0!</v>
      </c>
      <c r="W85" s="161" t="e">
        <f>R85</f>
        <v>#DIV/0!</v>
      </c>
      <c r="X85" s="23"/>
      <c r="Y85" s="25" t="e">
        <f>SUM(W85/V85)-1</f>
        <v>#DIV/0!</v>
      </c>
    </row>
    <row r="86" spans="1:25" x14ac:dyDescent="0.25">
      <c r="B86" s="38"/>
      <c r="C86" s="94"/>
      <c r="D86" s="94"/>
      <c r="E86" s="94"/>
      <c r="F86" s="39"/>
      <c r="G86" s="39"/>
      <c r="H86" s="94"/>
    </row>
    <row r="87" spans="1:25" x14ac:dyDescent="0.25">
      <c r="A87" s="6" t="s">
        <v>16</v>
      </c>
      <c r="B87" s="7" t="s">
        <v>45</v>
      </c>
      <c r="C87" s="13"/>
      <c r="D87" s="13"/>
      <c r="E87" s="13"/>
      <c r="F87" s="13"/>
      <c r="G87" s="13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x14ac:dyDescent="0.25">
      <c r="B88" s="9" t="s">
        <v>14</v>
      </c>
      <c r="C88" s="54"/>
      <c r="D88" s="54"/>
      <c r="E88" s="54"/>
      <c r="F88" s="54"/>
      <c r="G88" s="54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3" customHeight="1" x14ac:dyDescent="0.25">
      <c r="B89" s="10"/>
      <c r="C89" s="56"/>
      <c r="D89" s="56"/>
      <c r="E89" s="56"/>
      <c r="F89" s="56"/>
      <c r="G89" s="56"/>
    </row>
    <row r="90" spans="1:25" ht="15.75" x14ac:dyDescent="0.25">
      <c r="B90" s="95" t="s">
        <v>46</v>
      </c>
      <c r="C90" s="96"/>
      <c r="D90" s="96"/>
      <c r="E90" s="96"/>
      <c r="F90" s="96"/>
      <c r="G90" s="96"/>
    </row>
    <row r="91" spans="1:25" x14ac:dyDescent="0.25">
      <c r="B91" s="97" t="s">
        <v>97</v>
      </c>
      <c r="C91" s="140">
        <f>C32</f>
        <v>486896</v>
      </c>
      <c r="D91" s="140">
        <f>D32</f>
        <v>4481614</v>
      </c>
      <c r="E91" s="140">
        <f>E32</f>
        <v>596615</v>
      </c>
      <c r="F91" s="140">
        <f>F32</f>
        <v>464402</v>
      </c>
      <c r="G91" s="140">
        <f>G32</f>
        <v>29735</v>
      </c>
      <c r="H91" s="4"/>
      <c r="I91" s="140">
        <f>I32</f>
        <v>0</v>
      </c>
      <c r="J91" s="140">
        <f>J32</f>
        <v>0</v>
      </c>
      <c r="K91" s="140">
        <f>K32</f>
        <v>0</v>
      </c>
      <c r="L91" s="1">
        <f>L32</f>
        <v>596615</v>
      </c>
      <c r="M91" s="1">
        <f t="shared" ref="M91:T91" si="31">M32</f>
        <v>0</v>
      </c>
      <c r="N91" s="1">
        <f t="shared" si="31"/>
        <v>0</v>
      </c>
      <c r="O91" s="1">
        <f t="shared" si="31"/>
        <v>0</v>
      </c>
      <c r="P91" s="1">
        <f t="shared" si="31"/>
        <v>464402</v>
      </c>
      <c r="Q91" s="1">
        <f t="shared" si="31"/>
        <v>0</v>
      </c>
      <c r="R91" s="1">
        <f t="shared" si="31"/>
        <v>0</v>
      </c>
      <c r="S91" s="1">
        <f t="shared" si="31"/>
        <v>0</v>
      </c>
      <c r="T91" s="1">
        <f t="shared" si="31"/>
        <v>6793840</v>
      </c>
      <c r="U91" s="36"/>
      <c r="V91" s="23">
        <f>SUM(M91:P91)</f>
        <v>464402</v>
      </c>
      <c r="W91" s="23">
        <f>SUM(Q91:T91)</f>
        <v>6793840</v>
      </c>
      <c r="X91" s="23"/>
      <c r="Y91" s="30">
        <f>SUM(W91/V91)-1</f>
        <v>13.6292220963734</v>
      </c>
    </row>
    <row r="92" spans="1:25" x14ac:dyDescent="0.25">
      <c r="C92" s="98"/>
      <c r="D92" s="98"/>
      <c r="E92" s="98"/>
      <c r="F92" s="98"/>
      <c r="G92" s="98"/>
      <c r="H92" s="23"/>
      <c r="I92" s="98"/>
      <c r="J92" s="99"/>
      <c r="K92" s="100"/>
      <c r="L92" s="98"/>
      <c r="M92" s="98"/>
      <c r="N92" s="99"/>
      <c r="O92" s="99"/>
      <c r="P92" s="99"/>
      <c r="Q92" s="98"/>
      <c r="R92" s="100"/>
      <c r="S92" s="1"/>
      <c r="T92" s="99"/>
      <c r="U92" s="36"/>
      <c r="V92" s="23"/>
      <c r="W92" s="23"/>
      <c r="X92" s="23"/>
      <c r="Y92" s="40"/>
    </row>
    <row r="93" spans="1:25" x14ac:dyDescent="0.25">
      <c r="B93" s="3" t="s">
        <v>86</v>
      </c>
      <c r="C93" s="101"/>
      <c r="D93" s="101"/>
      <c r="E93" s="101"/>
      <c r="F93" s="101"/>
      <c r="G93" s="101"/>
      <c r="H93" s="23"/>
      <c r="I93" s="101"/>
      <c r="J93" s="102"/>
      <c r="K93" s="103"/>
      <c r="L93" s="101"/>
      <c r="M93" s="101"/>
      <c r="N93" s="102"/>
      <c r="O93" s="103"/>
      <c r="P93" s="102"/>
      <c r="Q93" s="101"/>
      <c r="R93" s="103"/>
      <c r="S93" s="1"/>
      <c r="T93" s="102"/>
      <c r="U93" s="36"/>
      <c r="V93" s="102"/>
      <c r="W93" s="102"/>
      <c r="X93" s="104"/>
    </row>
    <row r="94" spans="1:25" x14ac:dyDescent="0.25">
      <c r="B94" s="105" t="s">
        <v>132</v>
      </c>
      <c r="C94" s="140"/>
      <c r="D94" s="140"/>
      <c r="E94" s="140">
        <v>259933</v>
      </c>
      <c r="F94" s="140">
        <v>283800</v>
      </c>
      <c r="G94" s="140">
        <v>306454</v>
      </c>
      <c r="H94" s="4"/>
      <c r="I94" s="140"/>
      <c r="J94" s="1"/>
      <c r="K94" s="1"/>
      <c r="L94" s="1">
        <f t="shared" ref="L94:L99" si="32">SUM(E94-SUM(I94:K94))</f>
        <v>259933</v>
      </c>
      <c r="M94" s="140"/>
      <c r="N94" s="1"/>
      <c r="O94" s="1"/>
      <c r="P94" s="1">
        <f t="shared" ref="P94:P99" si="33">SUM(F94-SUM(M94:O94))</f>
        <v>283800</v>
      </c>
      <c r="Q94" s="140"/>
      <c r="R94" s="1"/>
      <c r="S94" s="1"/>
      <c r="T94" s="1">
        <f t="shared" ref="T94:T99" si="34">SUM(G94-SUM(Q94:S94))</f>
        <v>306454</v>
      </c>
      <c r="U94" s="36"/>
      <c r="V94" s="23">
        <f t="shared" ref="V94:V99" si="35">SUM(M94:P94)</f>
        <v>283800</v>
      </c>
      <c r="W94" s="23">
        <f t="shared" ref="W94:W99" si="36">SUM(Q94:T94)</f>
        <v>306454</v>
      </c>
      <c r="X94" s="23"/>
      <c r="Y94" s="25">
        <f t="shared" ref="Y94:Y99" si="37">SUM(W94/V94)-1</f>
        <v>7.9823819591261502E-2</v>
      </c>
    </row>
    <row r="95" spans="1:25" x14ac:dyDescent="0.25">
      <c r="B95" s="105" t="s">
        <v>93</v>
      </c>
      <c r="C95" s="140"/>
      <c r="D95" s="140"/>
      <c r="E95" s="140">
        <v>63067</v>
      </c>
      <c r="F95" s="140">
        <v>50978</v>
      </c>
      <c r="G95" s="140">
        <v>45647</v>
      </c>
      <c r="H95" s="4"/>
      <c r="I95" s="140"/>
      <c r="J95" s="1"/>
      <c r="K95" s="1"/>
      <c r="L95" s="1">
        <f t="shared" si="32"/>
        <v>63067</v>
      </c>
      <c r="M95" s="140"/>
      <c r="N95" s="1"/>
      <c r="O95" s="1"/>
      <c r="P95" s="1">
        <f t="shared" si="33"/>
        <v>50978</v>
      </c>
      <c r="Q95" s="140"/>
      <c r="R95" s="1"/>
      <c r="S95" s="1"/>
      <c r="T95" s="1">
        <f t="shared" si="34"/>
        <v>45647</v>
      </c>
      <c r="U95" s="36"/>
      <c r="V95" s="23">
        <f t="shared" si="35"/>
        <v>50978</v>
      </c>
      <c r="W95" s="23">
        <f t="shared" si="36"/>
        <v>45647</v>
      </c>
      <c r="X95" s="23"/>
      <c r="Y95" s="25">
        <f t="shared" si="37"/>
        <v>-0.10457452234297149</v>
      </c>
    </row>
    <row r="96" spans="1:25" x14ac:dyDescent="0.25">
      <c r="B96" s="105" t="s">
        <v>133</v>
      </c>
      <c r="C96" s="140"/>
      <c r="D96" s="140"/>
      <c r="E96" s="140">
        <v>8949</v>
      </c>
      <c r="F96" s="140">
        <v>3581</v>
      </c>
      <c r="G96" s="140">
        <v>857</v>
      </c>
      <c r="H96" s="4"/>
      <c r="I96" s="140"/>
      <c r="J96" s="1"/>
      <c r="K96" s="1"/>
      <c r="L96" s="1">
        <f t="shared" si="32"/>
        <v>8949</v>
      </c>
      <c r="M96" s="140"/>
      <c r="N96" s="1"/>
      <c r="O96" s="1"/>
      <c r="P96" s="1">
        <f t="shared" si="33"/>
        <v>3581</v>
      </c>
      <c r="Q96" s="140"/>
      <c r="R96" s="1"/>
      <c r="S96" s="1"/>
      <c r="T96" s="1">
        <f t="shared" si="34"/>
        <v>857</v>
      </c>
      <c r="U96" s="36"/>
      <c r="V96" s="23">
        <f t="shared" si="35"/>
        <v>3581</v>
      </c>
      <c r="W96" s="23">
        <f t="shared" si="36"/>
        <v>857</v>
      </c>
      <c r="X96" s="23"/>
      <c r="Y96" s="25">
        <f t="shared" si="37"/>
        <v>-0.76068137391790003</v>
      </c>
    </row>
    <row r="97" spans="2:25" x14ac:dyDescent="0.25">
      <c r="B97" s="105" t="s">
        <v>134</v>
      </c>
      <c r="C97" s="140"/>
      <c r="D97" s="140"/>
      <c r="E97" s="140">
        <v>0</v>
      </c>
      <c r="F97" s="140">
        <v>7408</v>
      </c>
      <c r="G97" s="140">
        <v>0</v>
      </c>
      <c r="H97" s="4"/>
      <c r="I97" s="140"/>
      <c r="J97" s="1"/>
      <c r="K97" s="1"/>
      <c r="L97" s="1">
        <f t="shared" si="32"/>
        <v>0</v>
      </c>
      <c r="M97" s="140"/>
      <c r="N97" s="1"/>
      <c r="O97" s="1"/>
      <c r="P97" s="1">
        <f t="shared" si="33"/>
        <v>7408</v>
      </c>
      <c r="Q97" s="140"/>
      <c r="R97" s="1"/>
      <c r="S97" s="1"/>
      <c r="T97" s="1">
        <f t="shared" si="34"/>
        <v>0</v>
      </c>
      <c r="U97" s="36"/>
      <c r="V97" s="23">
        <f t="shared" si="35"/>
        <v>7408</v>
      </c>
      <c r="W97" s="23">
        <f t="shared" si="36"/>
        <v>0</v>
      </c>
      <c r="X97" s="23"/>
      <c r="Y97" s="25">
        <f t="shared" si="37"/>
        <v>-1</v>
      </c>
    </row>
    <row r="98" spans="2:25" x14ac:dyDescent="0.25">
      <c r="B98" s="105" t="s">
        <v>135</v>
      </c>
      <c r="C98" s="140"/>
      <c r="D98" s="140"/>
      <c r="E98" s="140">
        <v>58786</v>
      </c>
      <c r="F98" s="140">
        <v>16528</v>
      </c>
      <c r="G98" s="140">
        <v>-47782</v>
      </c>
      <c r="H98" s="4"/>
      <c r="I98" s="140"/>
      <c r="J98" s="1"/>
      <c r="K98" s="1"/>
      <c r="L98" s="1">
        <f t="shared" si="32"/>
        <v>58786</v>
      </c>
      <c r="M98" s="140"/>
      <c r="N98" s="1"/>
      <c r="O98" s="1"/>
      <c r="P98" s="1">
        <f t="shared" si="33"/>
        <v>16528</v>
      </c>
      <c r="Q98" s="140"/>
      <c r="R98" s="1"/>
      <c r="S98" s="1"/>
      <c r="T98" s="1">
        <f t="shared" si="34"/>
        <v>-47782</v>
      </c>
      <c r="U98" s="36"/>
      <c r="V98" s="23">
        <f t="shared" si="35"/>
        <v>16528</v>
      </c>
      <c r="W98" s="23">
        <f t="shared" si="36"/>
        <v>-47782</v>
      </c>
      <c r="X98" s="23"/>
      <c r="Y98" s="25">
        <f t="shared" si="37"/>
        <v>-3.8909728944820912</v>
      </c>
    </row>
    <row r="99" spans="2:25" x14ac:dyDescent="0.25">
      <c r="B99" s="105" t="s">
        <v>136</v>
      </c>
      <c r="C99" s="140"/>
      <c r="D99" s="140"/>
      <c r="E99" s="140">
        <v>-7985</v>
      </c>
      <c r="F99" s="140">
        <v>2587</v>
      </c>
      <c r="G99" s="140">
        <v>3267</v>
      </c>
      <c r="H99" s="4"/>
      <c r="I99" s="141"/>
      <c r="J99" s="4"/>
      <c r="K99" s="4"/>
      <c r="L99" s="1">
        <f t="shared" si="32"/>
        <v>-7985</v>
      </c>
      <c r="M99" s="140"/>
      <c r="N99" s="4"/>
      <c r="O99" s="4"/>
      <c r="P99" s="1">
        <f t="shared" si="33"/>
        <v>2587</v>
      </c>
      <c r="Q99" s="140"/>
      <c r="R99" s="1"/>
      <c r="S99" s="1"/>
      <c r="T99" s="1">
        <f t="shared" si="34"/>
        <v>3267</v>
      </c>
      <c r="U99" s="36"/>
      <c r="V99" s="23">
        <f t="shared" si="35"/>
        <v>2587</v>
      </c>
      <c r="W99" s="23">
        <f t="shared" si="36"/>
        <v>3267</v>
      </c>
      <c r="X99" s="23"/>
      <c r="Y99" s="25">
        <f t="shared" si="37"/>
        <v>0.26285272516428293</v>
      </c>
    </row>
    <row r="100" spans="2:25" x14ac:dyDescent="0.25">
      <c r="B100"/>
      <c r="C100" s="101"/>
      <c r="D100" s="101"/>
      <c r="E100" s="101"/>
      <c r="F100" s="101"/>
      <c r="G100" s="101"/>
      <c r="H100" s="23"/>
      <c r="I100" s="101"/>
      <c r="J100" s="102"/>
      <c r="K100" s="103"/>
      <c r="L100" s="101"/>
      <c r="M100" s="101"/>
      <c r="N100" s="102"/>
      <c r="O100" s="103"/>
      <c r="P100" s="102"/>
      <c r="Q100" s="101"/>
      <c r="R100" s="103"/>
      <c r="S100" s="1"/>
      <c r="T100" s="102"/>
      <c r="U100" s="36"/>
      <c r="V100" s="23"/>
      <c r="W100" s="23"/>
      <c r="X100" s="23"/>
      <c r="Y100" s="40"/>
    </row>
    <row r="101" spans="2:25" x14ac:dyDescent="0.25">
      <c r="B101" s="3" t="s">
        <v>87</v>
      </c>
      <c r="C101" s="101"/>
      <c r="D101" s="101"/>
      <c r="E101" s="101"/>
      <c r="F101" s="101"/>
      <c r="G101" s="101"/>
      <c r="H101" s="23"/>
      <c r="I101" s="101"/>
      <c r="J101" s="102"/>
      <c r="K101" s="103"/>
      <c r="L101" s="101"/>
      <c r="M101" s="101"/>
      <c r="N101" s="102"/>
      <c r="O101" s="103"/>
      <c r="P101" s="102"/>
      <c r="Q101" s="101"/>
      <c r="R101" s="103"/>
      <c r="S101" s="1"/>
      <c r="T101" s="102"/>
      <c r="U101" s="36"/>
      <c r="V101" s="102"/>
      <c r="W101" s="102"/>
      <c r="X101" s="104"/>
    </row>
    <row r="102" spans="2:25" x14ac:dyDescent="0.25">
      <c r="B102" s="105" t="s">
        <v>118</v>
      </c>
      <c r="C102" s="140"/>
      <c r="D102" s="140"/>
      <c r="E102" s="140">
        <v>-7456</v>
      </c>
      <c r="F102" s="140">
        <v>67147</v>
      </c>
      <c r="G102" s="140">
        <v>-114665</v>
      </c>
      <c r="H102" s="4"/>
      <c r="I102" s="140"/>
      <c r="J102" s="1"/>
      <c r="K102" s="1"/>
      <c r="L102" s="1">
        <f>SUM(E102-SUM(I102:K102))</f>
        <v>-7456</v>
      </c>
      <c r="M102" s="140"/>
      <c r="N102" s="1"/>
      <c r="O102" s="1"/>
      <c r="P102" s="1">
        <f>SUM(F102-SUM(M102:O102))</f>
        <v>67147</v>
      </c>
      <c r="Q102" s="140"/>
      <c r="R102" s="1"/>
      <c r="S102" s="1"/>
      <c r="T102" s="1">
        <f>SUM(G102-SUM(Q102:S102))</f>
        <v>-114665</v>
      </c>
      <c r="U102" s="36"/>
      <c r="V102" s="23">
        <f>SUM(M102:P102)</f>
        <v>67147</v>
      </c>
      <c r="W102" s="23">
        <f>SUM(Q102:T102)</f>
        <v>-114665</v>
      </c>
      <c r="X102" s="104"/>
      <c r="Y102" s="25">
        <f t="shared" ref="Y102:Y107" si="38">SUM(W102/V102)-1</f>
        <v>-2.7076712287965208</v>
      </c>
    </row>
    <row r="103" spans="2:25" x14ac:dyDescent="0.25">
      <c r="B103" s="105" t="s">
        <v>76</v>
      </c>
      <c r="C103" s="140"/>
      <c r="D103" s="140"/>
      <c r="E103" s="140">
        <v>-124139</v>
      </c>
      <c r="F103" s="140">
        <v>-229643</v>
      </c>
      <c r="G103" s="140">
        <v>44821</v>
      </c>
      <c r="H103" s="4"/>
      <c r="I103" s="140"/>
      <c r="J103" s="1"/>
      <c r="K103" s="1"/>
      <c r="L103" s="1">
        <f>SUM(E103-SUM(I103:K103))</f>
        <v>-124139</v>
      </c>
      <c r="M103" s="140"/>
      <c r="N103" s="1"/>
      <c r="O103" s="1"/>
      <c r="P103" s="1">
        <f>SUM(F103-SUM(M103:O103))</f>
        <v>-229643</v>
      </c>
      <c r="Q103" s="140"/>
      <c r="R103" s="1"/>
      <c r="S103" s="1"/>
      <c r="T103" s="1">
        <f>SUM(G103-SUM(Q103:S103))</f>
        <v>44821</v>
      </c>
      <c r="U103" s="36"/>
      <c r="V103" s="23">
        <f>SUM(M103:P103)</f>
        <v>-229643</v>
      </c>
      <c r="W103" s="23">
        <f>SUM(Q103:T103)</f>
        <v>44821</v>
      </c>
      <c r="X103" s="104"/>
      <c r="Y103" s="25">
        <f t="shared" si="38"/>
        <v>-1.1951768614762914</v>
      </c>
    </row>
    <row r="104" spans="2:25" x14ac:dyDescent="0.25">
      <c r="B104" s="105" t="s">
        <v>122</v>
      </c>
      <c r="C104" s="140"/>
      <c r="D104" s="140"/>
      <c r="E104" s="140">
        <v>291042</v>
      </c>
      <c r="F104" s="140">
        <v>227774</v>
      </c>
      <c r="G104" s="140">
        <v>-4645</v>
      </c>
      <c r="H104" s="4"/>
      <c r="I104" s="140"/>
      <c r="J104" s="1"/>
      <c r="K104" s="1"/>
      <c r="L104" s="1">
        <f>SUM(E104-SUM(I104:K104))</f>
        <v>291042</v>
      </c>
      <c r="M104" s="140"/>
      <c r="N104" s="1"/>
      <c r="O104" s="1"/>
      <c r="P104" s="1">
        <f>SUM(F104-SUM(M104:O104))</f>
        <v>227774</v>
      </c>
      <c r="Q104" s="140"/>
      <c r="R104" s="1"/>
      <c r="S104" s="1"/>
      <c r="T104" s="1">
        <f>SUM(G104-SUM(Q104:S104))</f>
        <v>-4645</v>
      </c>
      <c r="U104" s="36"/>
      <c r="V104" s="23">
        <f>SUM(M104:P104)</f>
        <v>227774</v>
      </c>
      <c r="W104" s="23">
        <f>SUM(Q104:T104)</f>
        <v>-4645</v>
      </c>
      <c r="X104" s="104"/>
      <c r="Y104" s="25">
        <f t="shared" si="38"/>
        <v>-1.020393021152546</v>
      </c>
    </row>
    <row r="105" spans="2:25" x14ac:dyDescent="0.25">
      <c r="B105" s="105" t="s">
        <v>123</v>
      </c>
      <c r="C105" s="140"/>
      <c r="D105" s="140"/>
      <c r="E105" s="140">
        <v>102345</v>
      </c>
      <c r="F105" s="140">
        <v>-167723</v>
      </c>
      <c r="G105" s="140">
        <v>115673</v>
      </c>
      <c r="H105" s="4"/>
      <c r="I105" s="140"/>
      <c r="J105" s="1"/>
      <c r="K105" s="1"/>
      <c r="L105" s="1">
        <f>SUM(E105-SUM(I105:K105))</f>
        <v>102345</v>
      </c>
      <c r="M105" s="140"/>
      <c r="N105" s="1"/>
      <c r="O105" s="1"/>
      <c r="P105" s="1">
        <f>SUM(F105-SUM(M105:O105))</f>
        <v>-167723</v>
      </c>
      <c r="Q105" s="140"/>
      <c r="R105" s="1"/>
      <c r="S105" s="1"/>
      <c r="T105" s="1">
        <f>SUM(G105-SUM(Q105:S105))</f>
        <v>115673</v>
      </c>
      <c r="U105" s="36"/>
      <c r="V105" s="23">
        <f>SUM(M105:P105)</f>
        <v>-167723</v>
      </c>
      <c r="W105" s="23">
        <f>SUM(Q105:T105)</f>
        <v>115673</v>
      </c>
      <c r="X105" s="104"/>
      <c r="Y105" s="25">
        <f t="shared" si="38"/>
        <v>-1.6896668912432999</v>
      </c>
    </row>
    <row r="106" spans="2:25" x14ac:dyDescent="0.25">
      <c r="B106" s="105" t="s">
        <v>137</v>
      </c>
      <c r="C106" s="140"/>
      <c r="D106" s="140"/>
      <c r="E106" s="140">
        <v>-134135</v>
      </c>
      <c r="F106" s="140">
        <v>9732</v>
      </c>
      <c r="G106" s="140">
        <v>-91987</v>
      </c>
      <c r="H106" s="4"/>
      <c r="I106" s="141"/>
      <c r="J106" s="1"/>
      <c r="K106" s="1"/>
      <c r="L106" s="1">
        <f>SUM(E106-SUM(I106:K106))</f>
        <v>-134135</v>
      </c>
      <c r="M106" s="140"/>
      <c r="N106" s="1"/>
      <c r="O106" s="1"/>
      <c r="P106" s="1">
        <f>SUM(F106-SUM(M106:O106))</f>
        <v>9732</v>
      </c>
      <c r="Q106" s="140"/>
      <c r="R106" s="1"/>
      <c r="S106" s="1"/>
      <c r="T106" s="1">
        <f>SUM(G106-SUM(Q106:S106))</f>
        <v>-91987</v>
      </c>
      <c r="U106" s="36"/>
      <c r="V106" s="23">
        <f>SUM(M106:P106)</f>
        <v>9732</v>
      </c>
      <c r="W106" s="23">
        <f>SUM(Q106:T106)</f>
        <v>-91987</v>
      </c>
      <c r="X106" s="104"/>
      <c r="Y106" s="25">
        <f t="shared" si="38"/>
        <v>-10.452013974517056</v>
      </c>
    </row>
    <row r="107" spans="2:25" ht="15.75" x14ac:dyDescent="0.25">
      <c r="B107" s="106" t="s">
        <v>10</v>
      </c>
      <c r="C107" s="107">
        <f>SUM(C91:C106)</f>
        <v>486896</v>
      </c>
      <c r="D107" s="107">
        <f>SUM(D91:D106)</f>
        <v>4481614</v>
      </c>
      <c r="E107" s="107">
        <f>SUM(E91:E106)</f>
        <v>1107022</v>
      </c>
      <c r="F107" s="107">
        <f>SUM(F91:F106)</f>
        <v>736571</v>
      </c>
      <c r="G107" s="107">
        <f>SUM(G91:G106)</f>
        <v>287375</v>
      </c>
      <c r="H107" s="36"/>
      <c r="I107" s="107">
        <f t="shared" ref="I107:T107" si="39">SUM(I91:I106)</f>
        <v>0</v>
      </c>
      <c r="J107" s="107">
        <f t="shared" si="39"/>
        <v>0</v>
      </c>
      <c r="K107" s="107">
        <f t="shared" si="39"/>
        <v>0</v>
      </c>
      <c r="L107" s="107">
        <f t="shared" si="39"/>
        <v>1107022</v>
      </c>
      <c r="M107" s="107">
        <f t="shared" si="39"/>
        <v>0</v>
      </c>
      <c r="N107" s="107">
        <f t="shared" si="39"/>
        <v>0</v>
      </c>
      <c r="O107" s="107">
        <f t="shared" si="39"/>
        <v>0</v>
      </c>
      <c r="P107" s="107">
        <f t="shared" si="39"/>
        <v>736571</v>
      </c>
      <c r="Q107" s="107">
        <f t="shared" si="39"/>
        <v>0</v>
      </c>
      <c r="R107" s="107">
        <f t="shared" si="39"/>
        <v>0</v>
      </c>
      <c r="S107" s="107">
        <f t="shared" si="39"/>
        <v>0</v>
      </c>
      <c r="T107" s="107">
        <f t="shared" si="39"/>
        <v>7051480</v>
      </c>
      <c r="U107" s="36"/>
      <c r="V107" s="107">
        <f>SUM(V91:V106)</f>
        <v>736571</v>
      </c>
      <c r="W107" s="107">
        <f>SUM(W91:W106)</f>
        <v>7051480</v>
      </c>
      <c r="X107" s="29"/>
      <c r="Y107" s="30">
        <f t="shared" si="38"/>
        <v>8.5733880372699982</v>
      </c>
    </row>
    <row r="108" spans="2:25" ht="15.75" x14ac:dyDescent="0.25">
      <c r="B108" s="65"/>
      <c r="C108" s="108"/>
      <c r="D108" s="108"/>
      <c r="E108" s="108"/>
      <c r="F108" s="108"/>
      <c r="G108" s="108"/>
      <c r="H108" s="36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36"/>
      <c r="V108" s="29"/>
      <c r="W108" s="29"/>
      <c r="X108" s="29"/>
      <c r="Y108" s="40"/>
    </row>
    <row r="109" spans="2:25" ht="15.75" x14ac:dyDescent="0.25">
      <c r="B109" s="65" t="s">
        <v>47</v>
      </c>
      <c r="C109" s="102"/>
      <c r="D109" s="102"/>
      <c r="E109" s="102"/>
      <c r="F109" s="102"/>
      <c r="G109" s="102"/>
      <c r="H109" s="36"/>
      <c r="I109" s="102"/>
      <c r="J109" s="102"/>
      <c r="K109" s="103"/>
      <c r="L109" s="102"/>
      <c r="M109" s="102"/>
      <c r="N109" s="102"/>
      <c r="O109" s="103"/>
      <c r="P109" s="102"/>
      <c r="Q109" s="102"/>
      <c r="R109" s="102"/>
      <c r="S109" s="102"/>
      <c r="T109" s="102"/>
      <c r="U109" s="36"/>
      <c r="V109" s="102"/>
      <c r="W109" s="102"/>
      <c r="X109" s="104"/>
    </row>
    <row r="110" spans="2:25" x14ac:dyDescent="0.25">
      <c r="B110" s="105" t="s">
        <v>138</v>
      </c>
      <c r="C110" s="140"/>
      <c r="D110" s="140"/>
      <c r="E110" s="140">
        <v>-289639</v>
      </c>
      <c r="F110" s="140">
        <v>-424061</v>
      </c>
      <c r="G110" s="140">
        <v>-242411</v>
      </c>
      <c r="H110" s="4"/>
      <c r="I110" s="140"/>
      <c r="J110" s="1"/>
      <c r="K110" s="1"/>
      <c r="L110" s="1">
        <f>SUM(E110-SUM(I110:K110))</f>
        <v>-289639</v>
      </c>
      <c r="M110" s="140"/>
      <c r="N110" s="1"/>
      <c r="O110" s="1"/>
      <c r="P110" s="1">
        <f>SUM(F110-SUM(M110:O110))</f>
        <v>-424061</v>
      </c>
      <c r="Q110" s="140"/>
      <c r="R110" s="1"/>
      <c r="S110" s="1"/>
      <c r="T110" s="1">
        <f>SUM(G110-SUM(Q110:S110))</f>
        <v>-242411</v>
      </c>
      <c r="U110" s="36"/>
      <c r="V110" s="23">
        <f>SUM(M110:P110)</f>
        <v>-424061</v>
      </c>
      <c r="W110" s="23">
        <f>SUM(Q110:T110)</f>
        <v>-242411</v>
      </c>
      <c r="X110" s="104"/>
      <c r="Y110" s="25">
        <f>SUM(W110/V110)-1</f>
        <v>-0.42835818431782224</v>
      </c>
    </row>
    <row r="111" spans="2:25" x14ac:dyDescent="0.25">
      <c r="B111" s="105" t="s">
        <v>139</v>
      </c>
      <c r="C111" s="140"/>
      <c r="D111" s="140"/>
      <c r="E111" s="140">
        <v>0</v>
      </c>
      <c r="F111" s="140">
        <v>-1900</v>
      </c>
      <c r="G111" s="140">
        <v>0</v>
      </c>
      <c r="H111" s="4"/>
      <c r="I111" s="140"/>
      <c r="J111" s="1"/>
      <c r="K111" s="1"/>
      <c r="L111" s="1">
        <f>SUM(E111-SUM(I111:K111))</f>
        <v>0</v>
      </c>
      <c r="M111" s="140"/>
      <c r="N111" s="1"/>
      <c r="O111" s="1"/>
      <c r="P111" s="1">
        <f>SUM(F111-SUM(M111:O111))</f>
        <v>-1900</v>
      </c>
      <c r="Q111" s="140"/>
      <c r="R111" s="1"/>
      <c r="S111" s="1"/>
      <c r="T111" s="1">
        <f>SUM(G111-SUM(Q111:S111))</f>
        <v>0</v>
      </c>
      <c r="U111" s="36"/>
      <c r="V111" s="23">
        <f>SUM(M111:P111)</f>
        <v>-1900</v>
      </c>
      <c r="W111" s="23">
        <f>SUM(Q111:T111)</f>
        <v>0</v>
      </c>
      <c r="X111" s="104"/>
      <c r="Y111" s="25">
        <f>SUM(W111/V111)-1</f>
        <v>-1</v>
      </c>
    </row>
    <row r="112" spans="2:25" x14ac:dyDescent="0.25">
      <c r="B112" s="105" t="s">
        <v>140</v>
      </c>
      <c r="C112" s="140"/>
      <c r="D112" s="140"/>
      <c r="E112" s="140">
        <v>2325</v>
      </c>
      <c r="F112" s="140">
        <v>1513</v>
      </c>
      <c r="G112" s="140">
        <v>6922</v>
      </c>
      <c r="H112" s="4"/>
      <c r="I112" s="140"/>
      <c r="J112" s="1"/>
      <c r="K112" s="1"/>
      <c r="L112" s="1">
        <f>SUM(E112-SUM(I112:K112))</f>
        <v>2325</v>
      </c>
      <c r="M112" s="140"/>
      <c r="N112" s="1"/>
      <c r="O112" s="1"/>
      <c r="P112" s="1">
        <f>SUM(F112-SUM(M112:O112))</f>
        <v>1513</v>
      </c>
      <c r="Q112" s="140"/>
      <c r="R112" s="1"/>
      <c r="S112" s="1"/>
      <c r="T112" s="1">
        <f>SUM(G112-SUM(Q112:S112))</f>
        <v>6922</v>
      </c>
      <c r="U112" s="36"/>
      <c r="V112" s="23">
        <f>SUM(M112:P112)</f>
        <v>1513</v>
      </c>
      <c r="W112" s="23">
        <f>SUM(Q112:T112)</f>
        <v>6922</v>
      </c>
      <c r="X112" s="104"/>
      <c r="Y112" s="25">
        <f>SUM(W112/V112)-1</f>
        <v>3.5750165234633178</v>
      </c>
    </row>
    <row r="113" spans="2:25" ht="15.75" x14ac:dyDescent="0.25">
      <c r="B113" s="109" t="s">
        <v>11</v>
      </c>
      <c r="C113" s="107">
        <f>SUM(C110:C112)</f>
        <v>0</v>
      </c>
      <c r="D113" s="107">
        <f>SUM(D110:D112)</f>
        <v>0</v>
      </c>
      <c r="E113" s="107">
        <f>SUM(E110:E112)</f>
        <v>-287314</v>
      </c>
      <c r="F113" s="107">
        <f>SUM(F110:F112)</f>
        <v>-424448</v>
      </c>
      <c r="G113" s="107">
        <f>SUM(G110:G112)</f>
        <v>-235489</v>
      </c>
      <c r="H113" s="36"/>
      <c r="I113" s="107">
        <f t="shared" ref="I113:T113" si="40">SUM(I110:I112)</f>
        <v>0</v>
      </c>
      <c r="J113" s="107">
        <f t="shared" si="40"/>
        <v>0</v>
      </c>
      <c r="K113" s="107">
        <f t="shared" si="40"/>
        <v>0</v>
      </c>
      <c r="L113" s="107">
        <f t="shared" si="40"/>
        <v>-287314</v>
      </c>
      <c r="M113" s="107">
        <f t="shared" si="40"/>
        <v>0</v>
      </c>
      <c r="N113" s="107">
        <f t="shared" si="40"/>
        <v>0</v>
      </c>
      <c r="O113" s="107">
        <f t="shared" si="40"/>
        <v>0</v>
      </c>
      <c r="P113" s="107">
        <f t="shared" si="40"/>
        <v>-424448</v>
      </c>
      <c r="Q113" s="107">
        <f t="shared" si="40"/>
        <v>0</v>
      </c>
      <c r="R113" s="107">
        <f t="shared" si="40"/>
        <v>0</v>
      </c>
      <c r="S113" s="107">
        <f t="shared" si="40"/>
        <v>0</v>
      </c>
      <c r="T113" s="107">
        <f t="shared" si="40"/>
        <v>-235489</v>
      </c>
      <c r="U113" s="36"/>
      <c r="V113" s="107">
        <f>SUM(V110:V112)</f>
        <v>-424448</v>
      </c>
      <c r="W113" s="107">
        <f>SUM(W110:W112)</f>
        <v>-235489</v>
      </c>
      <c r="X113" s="29"/>
      <c r="Y113" s="30">
        <f>SUM(W113/V113)-1</f>
        <v>-0.44518763193606758</v>
      </c>
    </row>
    <row r="114" spans="2:25" ht="15.75" x14ac:dyDescent="0.25">
      <c r="B114" s="110"/>
      <c r="C114" s="108"/>
      <c r="D114" s="108"/>
      <c r="E114" s="108"/>
      <c r="F114" s="108"/>
      <c r="G114" s="108"/>
      <c r="H114" s="36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36"/>
      <c r="V114" s="29"/>
      <c r="W114" s="29"/>
      <c r="X114" s="29"/>
      <c r="Y114" s="40"/>
    </row>
    <row r="115" spans="2:25" ht="15.75" x14ac:dyDescent="0.25">
      <c r="B115" s="65" t="s">
        <v>48</v>
      </c>
      <c r="C115" s="111"/>
      <c r="D115" s="111"/>
      <c r="E115" s="111"/>
      <c r="F115" s="111"/>
      <c r="G115" s="111"/>
      <c r="H115" s="36"/>
      <c r="I115" s="111"/>
      <c r="J115" s="111"/>
      <c r="K115" s="111"/>
      <c r="L115" s="111"/>
      <c r="M115" s="111"/>
      <c r="N115" s="111"/>
      <c r="O115" s="111"/>
      <c r="P115" s="112"/>
      <c r="Q115" s="111"/>
      <c r="R115" s="111"/>
      <c r="S115" s="111"/>
      <c r="T115" s="111"/>
      <c r="U115" s="36"/>
      <c r="V115" s="111"/>
      <c r="W115" s="111"/>
      <c r="X115" s="113"/>
    </row>
    <row r="116" spans="2:25" x14ac:dyDescent="0.25">
      <c r="B116" s="105" t="s">
        <v>141</v>
      </c>
      <c r="C116" s="140"/>
      <c r="D116" s="140"/>
      <c r="E116" s="140">
        <v>0</v>
      </c>
      <c r="F116" s="140">
        <v>-201081</v>
      </c>
      <c r="G116" s="140">
        <v>0</v>
      </c>
      <c r="H116" s="4"/>
      <c r="I116" s="141"/>
      <c r="J116" s="1"/>
      <c r="K116" s="1"/>
      <c r="L116" s="1">
        <f t="shared" ref="L116:L122" si="41">SUM(E116-SUM(I116:K116))</f>
        <v>0</v>
      </c>
      <c r="M116" s="140"/>
      <c r="N116" s="1"/>
      <c r="O116" s="1"/>
      <c r="P116" s="1">
        <f t="shared" ref="P116:P122" si="42">SUM(F116-SUM(M116:O116))</f>
        <v>-201081</v>
      </c>
      <c r="Q116" s="140"/>
      <c r="R116" s="1"/>
      <c r="S116" s="1"/>
      <c r="T116" s="1">
        <f t="shared" ref="T116:T122" si="43">SUM(G116-SUM(Q116:S116))</f>
        <v>0</v>
      </c>
      <c r="U116" s="36"/>
      <c r="V116" s="23">
        <f t="shared" ref="V116:V122" si="44">SUM(M116:P116)</f>
        <v>-201081</v>
      </c>
      <c r="W116" s="23">
        <f t="shared" ref="W116:W122" si="45">SUM(Q116:T116)</f>
        <v>0</v>
      </c>
      <c r="X116" s="23"/>
      <c r="Y116" s="25">
        <f t="shared" ref="Y116:Y122" si="46">SUM(W116/V116)-1</f>
        <v>-1</v>
      </c>
    </row>
    <row r="117" spans="2:25" x14ac:dyDescent="0.25">
      <c r="B117" s="105" t="s">
        <v>142</v>
      </c>
      <c r="C117" s="140"/>
      <c r="D117" s="140"/>
      <c r="E117" s="140">
        <v>0</v>
      </c>
      <c r="F117" s="140">
        <v>2035000</v>
      </c>
      <c r="G117" s="140">
        <v>4805000</v>
      </c>
      <c r="H117" s="4"/>
      <c r="I117" s="141"/>
      <c r="J117" s="1"/>
      <c r="K117" s="1"/>
      <c r="L117" s="1">
        <f t="shared" si="41"/>
        <v>0</v>
      </c>
      <c r="M117" s="140"/>
      <c r="N117" s="1"/>
      <c r="O117" s="1"/>
      <c r="P117" s="1">
        <f t="shared" si="42"/>
        <v>2035000</v>
      </c>
      <c r="Q117" s="140"/>
      <c r="R117" s="1"/>
      <c r="S117" s="1"/>
      <c r="T117" s="1">
        <f t="shared" si="43"/>
        <v>4805000</v>
      </c>
      <c r="U117" s="36"/>
      <c r="V117" s="23">
        <f t="shared" si="44"/>
        <v>2035000</v>
      </c>
      <c r="W117" s="23">
        <f t="shared" si="45"/>
        <v>4805000</v>
      </c>
      <c r="X117" s="23"/>
      <c r="Y117" s="25">
        <f t="shared" si="46"/>
        <v>1.361179361179361</v>
      </c>
    </row>
    <row r="118" spans="2:25" x14ac:dyDescent="0.25">
      <c r="B118" s="105" t="s">
        <v>143</v>
      </c>
      <c r="C118" s="140"/>
      <c r="D118" s="140"/>
      <c r="E118" s="140">
        <v>0</v>
      </c>
      <c r="F118" s="140">
        <v>-1850000</v>
      </c>
      <c r="G118" s="140">
        <v>-4990000</v>
      </c>
      <c r="H118" s="4"/>
      <c r="I118" s="141"/>
      <c r="J118" s="1"/>
      <c r="K118" s="1"/>
      <c r="L118" s="1">
        <f t="shared" si="41"/>
        <v>0</v>
      </c>
      <c r="M118" s="140"/>
      <c r="N118" s="1"/>
      <c r="O118" s="1"/>
      <c r="P118" s="1">
        <f t="shared" si="42"/>
        <v>-1850000</v>
      </c>
      <c r="Q118" s="140"/>
      <c r="R118" s="1"/>
      <c r="S118" s="1"/>
      <c r="T118" s="1">
        <f t="shared" si="43"/>
        <v>-4990000</v>
      </c>
      <c r="U118" s="36"/>
      <c r="V118" s="23">
        <f t="shared" si="44"/>
        <v>-1850000</v>
      </c>
      <c r="W118" s="23">
        <f t="shared" si="45"/>
        <v>-4990000</v>
      </c>
      <c r="X118" s="23"/>
      <c r="Y118" s="25">
        <f t="shared" si="46"/>
        <v>1.6972972972972973</v>
      </c>
    </row>
    <row r="119" spans="2:25" x14ac:dyDescent="0.25">
      <c r="B119" s="105" t="s">
        <v>144</v>
      </c>
      <c r="C119" s="140"/>
      <c r="D119" s="140"/>
      <c r="E119" s="140">
        <v>0</v>
      </c>
      <c r="F119" s="140">
        <v>348618</v>
      </c>
      <c r="G119" s="140">
        <v>599571</v>
      </c>
      <c r="H119" s="4"/>
      <c r="I119" s="141"/>
      <c r="J119" s="1"/>
      <c r="K119" s="1"/>
      <c r="L119" s="1">
        <f t="shared" si="41"/>
        <v>0</v>
      </c>
      <c r="M119" s="140"/>
      <c r="N119" s="1"/>
      <c r="O119" s="1"/>
      <c r="P119" s="1">
        <f t="shared" si="42"/>
        <v>348618</v>
      </c>
      <c r="Q119" s="140"/>
      <c r="R119" s="1"/>
      <c r="S119" s="1"/>
      <c r="T119" s="1">
        <f t="shared" si="43"/>
        <v>599571</v>
      </c>
      <c r="U119" s="36"/>
      <c r="V119" s="23">
        <f t="shared" si="44"/>
        <v>348618</v>
      </c>
      <c r="W119" s="23">
        <f t="shared" si="45"/>
        <v>599571</v>
      </c>
      <c r="X119" s="23"/>
      <c r="Y119" s="25">
        <f t="shared" si="46"/>
        <v>0.71985095433970714</v>
      </c>
    </row>
    <row r="120" spans="2:25" x14ac:dyDescent="0.25">
      <c r="B120" s="105" t="s">
        <v>89</v>
      </c>
      <c r="C120" s="140"/>
      <c r="D120" s="140"/>
      <c r="E120" s="140">
        <v>-160925</v>
      </c>
      <c r="F120" s="140">
        <v>-336230</v>
      </c>
      <c r="G120" s="140">
        <v>-209293</v>
      </c>
      <c r="H120" s="4"/>
      <c r="I120" s="141"/>
      <c r="J120" s="1"/>
      <c r="K120" s="1"/>
      <c r="L120" s="1">
        <f t="shared" si="41"/>
        <v>-160925</v>
      </c>
      <c r="M120" s="140"/>
      <c r="N120" s="1"/>
      <c r="O120" s="1"/>
      <c r="P120" s="1">
        <f t="shared" si="42"/>
        <v>-336230</v>
      </c>
      <c r="Q120" s="140"/>
      <c r="R120" s="1"/>
      <c r="S120" s="1"/>
      <c r="T120" s="1">
        <f t="shared" si="43"/>
        <v>-209293</v>
      </c>
      <c r="U120" s="36"/>
      <c r="V120" s="23">
        <f t="shared" si="44"/>
        <v>-336230</v>
      </c>
      <c r="W120" s="23">
        <f t="shared" si="45"/>
        <v>-209293</v>
      </c>
      <c r="X120" s="23"/>
      <c r="Y120" s="25">
        <f t="shared" si="46"/>
        <v>-0.37753026202301998</v>
      </c>
    </row>
    <row r="121" spans="2:25" x14ac:dyDescent="0.25">
      <c r="B121" s="105" t="s">
        <v>145</v>
      </c>
      <c r="C121" s="140"/>
      <c r="D121" s="140"/>
      <c r="E121" s="140">
        <v>-906208</v>
      </c>
      <c r="F121" s="140">
        <v>-618480</v>
      </c>
      <c r="G121" s="140">
        <v>-14518</v>
      </c>
      <c r="H121" s="4"/>
      <c r="I121" s="141"/>
      <c r="J121" s="1"/>
      <c r="K121" s="1"/>
      <c r="L121" s="1">
        <f t="shared" si="41"/>
        <v>-906208</v>
      </c>
      <c r="M121" s="140"/>
      <c r="N121" s="1"/>
      <c r="O121" s="1"/>
      <c r="P121" s="1">
        <f t="shared" si="42"/>
        <v>-618480</v>
      </c>
      <c r="Q121" s="140"/>
      <c r="R121" s="1"/>
      <c r="S121" s="1"/>
      <c r="T121" s="1">
        <f t="shared" si="43"/>
        <v>-14518</v>
      </c>
      <c r="U121" s="36"/>
      <c r="V121" s="23">
        <f t="shared" si="44"/>
        <v>-618480</v>
      </c>
      <c r="W121" s="23">
        <f t="shared" si="45"/>
        <v>-14518</v>
      </c>
      <c r="X121" s="23"/>
      <c r="Y121" s="25">
        <f t="shared" si="46"/>
        <v>-0.97652632259733541</v>
      </c>
    </row>
    <row r="122" spans="2:25" x14ac:dyDescent="0.25">
      <c r="B122" s="105" t="s">
        <v>136</v>
      </c>
      <c r="C122" s="140"/>
      <c r="D122" s="140"/>
      <c r="E122" s="140">
        <v>3021</v>
      </c>
      <c r="F122" s="140">
        <v>1469</v>
      </c>
      <c r="G122" s="140">
        <v>-1493</v>
      </c>
      <c r="H122" s="4"/>
      <c r="I122" s="141"/>
      <c r="J122" s="1"/>
      <c r="K122" s="1"/>
      <c r="L122" s="1">
        <f t="shared" si="41"/>
        <v>3021</v>
      </c>
      <c r="M122" s="140"/>
      <c r="N122" s="1"/>
      <c r="O122" s="1"/>
      <c r="P122" s="1">
        <f t="shared" si="42"/>
        <v>1469</v>
      </c>
      <c r="Q122" s="140"/>
      <c r="R122" s="1"/>
      <c r="S122" s="1"/>
      <c r="T122" s="1">
        <f t="shared" si="43"/>
        <v>-1493</v>
      </c>
      <c r="U122" s="36"/>
      <c r="V122" s="23">
        <f t="shared" si="44"/>
        <v>1469</v>
      </c>
      <c r="W122" s="23">
        <f t="shared" si="45"/>
        <v>-1493</v>
      </c>
      <c r="X122" s="23"/>
      <c r="Y122" s="25">
        <f t="shared" si="46"/>
        <v>-2.0163376446562289</v>
      </c>
    </row>
    <row r="123" spans="2:25" ht="15.75" x14ac:dyDescent="0.25">
      <c r="B123" s="106" t="s">
        <v>12</v>
      </c>
      <c r="C123" s="107">
        <f>SUM(C116:C122)</f>
        <v>0</v>
      </c>
      <c r="D123" s="107">
        <f>SUM(D116:D122)</f>
        <v>0</v>
      </c>
      <c r="E123" s="107">
        <f>SUM(E116:E122)</f>
        <v>-1064112</v>
      </c>
      <c r="F123" s="107">
        <f>SUM(F116:F122)</f>
        <v>-620704</v>
      </c>
      <c r="G123" s="107">
        <f>SUM(G116:G122)</f>
        <v>189267</v>
      </c>
      <c r="H123" s="36"/>
      <c r="I123" s="107">
        <f t="shared" ref="I123:T123" si="47">SUM(I116:I122)</f>
        <v>0</v>
      </c>
      <c r="J123" s="107">
        <f t="shared" si="47"/>
        <v>0</v>
      </c>
      <c r="K123" s="107">
        <f t="shared" si="47"/>
        <v>0</v>
      </c>
      <c r="L123" s="107">
        <f t="shared" si="47"/>
        <v>-1064112</v>
      </c>
      <c r="M123" s="107">
        <f t="shared" si="47"/>
        <v>0</v>
      </c>
      <c r="N123" s="107">
        <f t="shared" si="47"/>
        <v>0</v>
      </c>
      <c r="O123" s="107">
        <f t="shared" si="47"/>
        <v>0</v>
      </c>
      <c r="P123" s="107">
        <f t="shared" si="47"/>
        <v>-620704</v>
      </c>
      <c r="Q123" s="107">
        <f t="shared" si="47"/>
        <v>0</v>
      </c>
      <c r="R123" s="107">
        <f t="shared" si="47"/>
        <v>0</v>
      </c>
      <c r="S123" s="107">
        <f t="shared" si="47"/>
        <v>0</v>
      </c>
      <c r="T123" s="107">
        <f t="shared" si="47"/>
        <v>189267</v>
      </c>
      <c r="U123" s="36"/>
      <c r="V123" s="107">
        <f>SUM(V116:V122)</f>
        <v>-620704</v>
      </c>
      <c r="W123" s="107">
        <f>SUM(W116:W122)</f>
        <v>189267</v>
      </c>
      <c r="X123" s="29"/>
      <c r="Y123" s="30">
        <f>SUM(W123/V123)-1</f>
        <v>-1.3049231195545703</v>
      </c>
    </row>
    <row r="124" spans="2:25" ht="15.75" x14ac:dyDescent="0.25">
      <c r="B124" s="65"/>
      <c r="C124" s="108"/>
      <c r="D124" s="108"/>
      <c r="E124" s="108"/>
      <c r="F124" s="108"/>
      <c r="G124" s="108"/>
      <c r="H124" s="36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36"/>
      <c r="V124" s="29"/>
      <c r="W124" s="29"/>
      <c r="X124" s="29"/>
      <c r="Y124" s="40"/>
    </row>
    <row r="125" spans="2:25" x14ac:dyDescent="0.25">
      <c r="B125" t="s">
        <v>146</v>
      </c>
      <c r="C125" s="140"/>
      <c r="D125" s="140"/>
      <c r="E125" s="140">
        <v>5474</v>
      </c>
      <c r="F125" s="140">
        <v>-8664</v>
      </c>
      <c r="G125" s="140">
        <v>-8487</v>
      </c>
      <c r="H125" s="4"/>
      <c r="I125" s="140"/>
      <c r="J125" s="1"/>
      <c r="K125" s="140"/>
      <c r="L125" s="1">
        <f>SUM(E125-SUM(I125:K125))</f>
        <v>5474</v>
      </c>
      <c r="M125" s="140"/>
      <c r="N125" s="140"/>
      <c r="O125" s="140"/>
      <c r="P125" s="1">
        <f>SUM(F125-SUM(M125:O125))</f>
        <v>-8664</v>
      </c>
      <c r="Q125" s="140"/>
      <c r="R125" s="140"/>
      <c r="S125" s="140"/>
      <c r="T125" s="1">
        <f>SUM(G125-SUM(Q125:S125))</f>
        <v>-8487</v>
      </c>
      <c r="U125" s="23"/>
      <c r="V125" s="23">
        <f>SUM(M125:P125)</f>
        <v>-8664</v>
      </c>
      <c r="W125" s="23">
        <f>SUM(Q125:T125)</f>
        <v>-8487</v>
      </c>
      <c r="X125" s="23"/>
      <c r="Y125" s="40"/>
    </row>
    <row r="126" spans="2:25" x14ac:dyDescent="0.25">
      <c r="B126" t="s">
        <v>147</v>
      </c>
      <c r="C126" s="140"/>
      <c r="D126" s="140"/>
      <c r="E126" s="140">
        <v>-238930</v>
      </c>
      <c r="F126" s="140">
        <v>-317245</v>
      </c>
      <c r="G126" s="140">
        <v>232666</v>
      </c>
      <c r="H126" s="4"/>
      <c r="I126" s="140"/>
      <c r="J126" s="140"/>
      <c r="K126" s="140"/>
      <c r="L126" s="1">
        <f>SUM(E126-SUM(I126:K126))</f>
        <v>-238930</v>
      </c>
      <c r="M126" s="140"/>
      <c r="N126" s="140"/>
      <c r="O126" s="140"/>
      <c r="P126" s="1">
        <f>SUM(F126-SUM(M126:O126))</f>
        <v>-317245</v>
      </c>
      <c r="Q126" s="140"/>
      <c r="R126" s="140"/>
      <c r="S126" s="140"/>
      <c r="T126" s="1">
        <f>SUM(G126-SUM(Q126:S126))</f>
        <v>232666</v>
      </c>
      <c r="U126" s="23"/>
      <c r="V126" s="23"/>
      <c r="W126" s="23"/>
      <c r="X126" s="23"/>
      <c r="Y126" s="40"/>
    </row>
    <row r="127" spans="2:25" x14ac:dyDescent="0.25">
      <c r="B127" t="s">
        <v>148</v>
      </c>
      <c r="C127" s="140"/>
      <c r="D127" s="140"/>
      <c r="E127" s="140">
        <v>826980</v>
      </c>
      <c r="F127" s="140">
        <v>588050</v>
      </c>
      <c r="G127" s="140">
        <v>270805</v>
      </c>
      <c r="H127" s="4"/>
      <c r="I127" s="140"/>
      <c r="J127" s="140"/>
      <c r="K127" s="140"/>
      <c r="L127" s="1">
        <f>SUM(E127-SUM(I127:K127))</f>
        <v>826980</v>
      </c>
      <c r="M127" s="140"/>
      <c r="N127" s="140"/>
      <c r="O127" s="140"/>
      <c r="P127" s="1">
        <f>SUM(F127-SUM(M127:O127))</f>
        <v>588050</v>
      </c>
      <c r="Q127" s="140"/>
      <c r="R127" s="140"/>
      <c r="S127" s="140"/>
      <c r="T127" s="1">
        <f>SUM(G127-SUM(Q127:S127))</f>
        <v>270805</v>
      </c>
      <c r="U127" s="23"/>
      <c r="V127" s="23"/>
      <c r="W127" s="23"/>
      <c r="X127" s="23"/>
      <c r="Y127" s="40"/>
    </row>
    <row r="128" spans="2:25" x14ac:dyDescent="0.25">
      <c r="B128" t="s">
        <v>149</v>
      </c>
      <c r="C128" s="140"/>
      <c r="D128" s="140"/>
      <c r="E128" s="140">
        <v>588050</v>
      </c>
      <c r="F128" s="140">
        <v>270805</v>
      </c>
      <c r="G128" s="140">
        <v>503471</v>
      </c>
      <c r="H128" s="4"/>
      <c r="I128" s="140"/>
      <c r="J128" s="140"/>
      <c r="K128" s="140"/>
      <c r="L128" s="1">
        <f>SUM(E128-SUM(I128:K128))</f>
        <v>588050</v>
      </c>
      <c r="M128" s="140"/>
      <c r="N128" s="140"/>
      <c r="O128" s="140"/>
      <c r="P128" s="1">
        <f>SUM(F128-SUM(M128:O128))</f>
        <v>270805</v>
      </c>
      <c r="Q128" s="140"/>
      <c r="R128" s="140"/>
      <c r="S128" s="140"/>
      <c r="T128" s="1">
        <f>SUM(G128-SUM(Q128:S128))</f>
        <v>503471</v>
      </c>
      <c r="U128" s="23"/>
      <c r="V128" s="23"/>
      <c r="W128" s="23"/>
      <c r="X128" s="23"/>
      <c r="Y128" s="40"/>
    </row>
    <row r="129" spans="1:25" ht="15.75" thickBot="1" x14ac:dyDescent="0.3">
      <c r="B129"/>
      <c r="C129" s="114"/>
      <c r="D129" s="114"/>
      <c r="E129" s="114"/>
      <c r="F129" s="114"/>
      <c r="G129" s="114"/>
      <c r="H129" s="23"/>
      <c r="I129" s="114"/>
      <c r="J129" s="114"/>
      <c r="K129" s="114"/>
      <c r="L129" s="114"/>
      <c r="M129" s="114"/>
      <c r="N129" s="114"/>
      <c r="O129" s="114"/>
      <c r="P129" s="114"/>
      <c r="Q129" s="144"/>
      <c r="R129" s="114"/>
      <c r="S129" s="114"/>
      <c r="T129" s="114"/>
      <c r="U129" s="36"/>
      <c r="V129" s="23"/>
      <c r="W129" s="23"/>
      <c r="X129" s="23"/>
      <c r="Y129" s="40"/>
    </row>
    <row r="130" spans="1:25" x14ac:dyDescent="0.25">
      <c r="B130" s="115" t="s">
        <v>49</v>
      </c>
      <c r="C130" s="116"/>
      <c r="D130" s="116"/>
      <c r="E130" s="116"/>
      <c r="F130" s="116"/>
      <c r="G130" s="117"/>
      <c r="H130" s="36"/>
      <c r="I130" s="118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20"/>
      <c r="U130" s="36"/>
      <c r="V130" s="118"/>
      <c r="W130" s="120"/>
    </row>
    <row r="131" spans="1:25" x14ac:dyDescent="0.25">
      <c r="B131" s="121" t="s">
        <v>50</v>
      </c>
      <c r="C131" s="122" t="e">
        <f>SUM(C107-#REF!)</f>
        <v>#REF!</v>
      </c>
      <c r="D131" s="122" t="e">
        <f>SUM(D107-#REF!)</f>
        <v>#REF!</v>
      </c>
      <c r="E131" s="122" t="e">
        <f>SUM(E107-#REF!)</f>
        <v>#REF!</v>
      </c>
      <c r="F131" s="122" t="e">
        <f>SUM(F107-#REF!)</f>
        <v>#REF!</v>
      </c>
      <c r="G131" s="123" t="e">
        <f>SUM(G107-#REF!)</f>
        <v>#REF!</v>
      </c>
      <c r="H131" s="36"/>
      <c r="I131" s="124" t="e">
        <f>SUM(I107-#REF!)</f>
        <v>#REF!</v>
      </c>
      <c r="J131" s="122" t="e">
        <f>SUM(J107-#REF!)</f>
        <v>#REF!</v>
      </c>
      <c r="K131" s="122" t="e">
        <f>SUM(K107-#REF!)</f>
        <v>#REF!</v>
      </c>
      <c r="L131" s="122" t="e">
        <f>SUM(L107-#REF!)</f>
        <v>#REF!</v>
      </c>
      <c r="M131" s="122" t="e">
        <f>SUM(M107-#REF!)</f>
        <v>#REF!</v>
      </c>
      <c r="N131" s="122" t="e">
        <f>SUM(N107-#REF!)</f>
        <v>#REF!</v>
      </c>
      <c r="O131" s="122" t="e">
        <f>SUM(O107-#REF!)</f>
        <v>#REF!</v>
      </c>
      <c r="P131" s="122" t="e">
        <f>SUM(P107-#REF!)</f>
        <v>#REF!</v>
      </c>
      <c r="Q131" s="122" t="e">
        <f>SUM(Q107-#REF!)</f>
        <v>#REF!</v>
      </c>
      <c r="R131" s="122" t="e">
        <f>SUM(R107-#REF!)</f>
        <v>#REF!</v>
      </c>
      <c r="S131" s="122" t="e">
        <f>SUM(S107-#REF!)</f>
        <v>#REF!</v>
      </c>
      <c r="T131" s="123" t="e">
        <f>SUM(T107-#REF!)</f>
        <v>#REF!</v>
      </c>
      <c r="U131" s="36"/>
      <c r="V131" s="125" t="e">
        <f>SUM(L131:O131)</f>
        <v>#REF!</v>
      </c>
      <c r="W131" s="126" t="e">
        <f>SUM(P131:S131)</f>
        <v>#REF!</v>
      </c>
      <c r="Y131" s="25" t="e">
        <f>SUM(W131/V131)-1</f>
        <v>#REF!</v>
      </c>
    </row>
    <row r="132" spans="1:25" ht="15.75" thickBot="1" x14ac:dyDescent="0.3">
      <c r="B132" s="127" t="s">
        <v>23</v>
      </c>
      <c r="C132" s="128"/>
      <c r="D132" s="128"/>
      <c r="E132" s="128"/>
      <c r="F132" s="129" t="e">
        <f>F131/E131-1</f>
        <v>#REF!</v>
      </c>
      <c r="G132" s="130" t="e">
        <f>G131/F131-1</f>
        <v>#REF!</v>
      </c>
      <c r="I132" s="131"/>
      <c r="J132" s="129" t="e">
        <f t="shared" ref="J132:T132" si="48">J131/I131-1</f>
        <v>#REF!</v>
      </c>
      <c r="K132" s="129" t="e">
        <f t="shared" si="48"/>
        <v>#REF!</v>
      </c>
      <c r="L132" s="129" t="e">
        <f t="shared" si="48"/>
        <v>#REF!</v>
      </c>
      <c r="M132" s="129" t="e">
        <f t="shared" si="48"/>
        <v>#REF!</v>
      </c>
      <c r="N132" s="129" t="e">
        <f t="shared" si="48"/>
        <v>#REF!</v>
      </c>
      <c r="O132" s="129" t="e">
        <f t="shared" si="48"/>
        <v>#REF!</v>
      </c>
      <c r="P132" s="129" t="e">
        <f t="shared" si="48"/>
        <v>#REF!</v>
      </c>
      <c r="Q132" s="129" t="e">
        <f t="shared" si="48"/>
        <v>#REF!</v>
      </c>
      <c r="R132" s="129" t="e">
        <f t="shared" si="48"/>
        <v>#REF!</v>
      </c>
      <c r="S132" s="129" t="e">
        <f t="shared" si="48"/>
        <v>#REF!</v>
      </c>
      <c r="T132" s="130" t="e">
        <f t="shared" si="48"/>
        <v>#REF!</v>
      </c>
      <c r="V132" s="131"/>
      <c r="W132" s="130" t="e">
        <f>W131/V131-1</f>
        <v>#REF!</v>
      </c>
    </row>
    <row r="133" spans="1:25" x14ac:dyDescent="0.25">
      <c r="C133" s="96"/>
      <c r="D133" s="96"/>
      <c r="E133" s="96"/>
      <c r="F133" s="96"/>
      <c r="G133" s="96"/>
    </row>
    <row r="134" spans="1:25" x14ac:dyDescent="0.25">
      <c r="A134" s="6" t="s">
        <v>16</v>
      </c>
      <c r="B134" s="7" t="s">
        <v>90</v>
      </c>
      <c r="C134" s="53"/>
      <c r="D134" s="53"/>
      <c r="E134" s="53"/>
      <c r="F134" s="53"/>
      <c r="G134" s="53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x14ac:dyDescent="0.25">
      <c r="B135" s="9" t="s">
        <v>14</v>
      </c>
      <c r="C135" s="54"/>
      <c r="D135" s="54"/>
      <c r="E135" s="54"/>
      <c r="F135" s="54"/>
      <c r="G135" s="54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x14ac:dyDescent="0.25">
      <c r="C136" s="96"/>
      <c r="D136" s="96"/>
      <c r="E136" s="96"/>
      <c r="F136" s="96"/>
      <c r="G136" s="96"/>
    </row>
    <row r="137" spans="1:25" ht="15.75" thickBot="1" x14ac:dyDescent="0.3">
      <c r="B137" s="169" t="s">
        <v>102</v>
      </c>
      <c r="C137" s="174">
        <f>C140+C158+C172</f>
        <v>4909</v>
      </c>
      <c r="D137" s="174">
        <f>D140+D158+D172</f>
        <v>6077</v>
      </c>
      <c r="E137" s="174">
        <f>E140+E158+E172</f>
        <v>9950</v>
      </c>
      <c r="F137" s="174">
        <f>F140+F158+F172</f>
        <v>18013</v>
      </c>
      <c r="G137" s="174">
        <f>G140+G158+G172</f>
        <v>21581</v>
      </c>
      <c r="I137" s="174">
        <f t="shared" ref="I137:T137" si="49">I140+I158+I172</f>
        <v>9950</v>
      </c>
      <c r="J137" s="174">
        <f t="shared" si="49"/>
        <v>11333</v>
      </c>
      <c r="K137" s="174">
        <f t="shared" si="49"/>
        <v>13328</v>
      </c>
      <c r="L137" s="174">
        <f t="shared" si="49"/>
        <v>-24661</v>
      </c>
      <c r="M137" s="174">
        <f t="shared" si="49"/>
        <v>18013</v>
      </c>
      <c r="N137" s="174">
        <f t="shared" si="49"/>
        <v>18810</v>
      </c>
      <c r="O137" s="174">
        <f t="shared" si="49"/>
        <v>19698</v>
      </c>
      <c r="P137" s="174">
        <f t="shared" si="49"/>
        <v>-38508</v>
      </c>
      <c r="Q137" s="174">
        <f t="shared" si="49"/>
        <v>21581</v>
      </c>
      <c r="R137" s="174">
        <f t="shared" si="49"/>
        <v>23058</v>
      </c>
      <c r="S137" s="174">
        <f t="shared" si="49"/>
        <v>24469</v>
      </c>
      <c r="T137" s="174">
        <f t="shared" si="49"/>
        <v>-47527</v>
      </c>
      <c r="V137" s="179">
        <f>SUM(M137:P137)</f>
        <v>18013</v>
      </c>
      <c r="W137" s="179">
        <f>SUM(Q137:T137)</f>
        <v>21581</v>
      </c>
      <c r="Y137" s="25">
        <f>SUM(W137/V137)-1</f>
        <v>0.19807916504746581</v>
      </c>
    </row>
    <row r="138" spans="1:25" ht="8.25" customHeight="1" x14ac:dyDescent="0.25">
      <c r="B138" s="3"/>
      <c r="C138" s="101"/>
      <c r="D138" s="101"/>
      <c r="E138" s="101"/>
      <c r="F138" s="101"/>
      <c r="G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</row>
    <row r="139" spans="1:25" x14ac:dyDescent="0.25">
      <c r="B139" s="166" t="s">
        <v>84</v>
      </c>
      <c r="C139" s="140"/>
      <c r="D139" s="140"/>
      <c r="E139" s="140"/>
      <c r="F139" s="140"/>
      <c r="G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</row>
    <row r="140" spans="1:25" x14ac:dyDescent="0.25">
      <c r="B140" s="164" t="s">
        <v>91</v>
      </c>
      <c r="C140" s="165">
        <v>343</v>
      </c>
      <c r="D140" s="165">
        <v>586</v>
      </c>
      <c r="E140" s="165">
        <v>0</v>
      </c>
      <c r="F140" s="165">
        <v>195</v>
      </c>
      <c r="G140" s="165">
        <v>490</v>
      </c>
      <c r="I140" s="165">
        <v>0</v>
      </c>
      <c r="J140" s="165">
        <v>0</v>
      </c>
      <c r="K140" s="165">
        <v>0</v>
      </c>
      <c r="L140" s="184">
        <f t="shared" ref="L140:L145" si="50">SUM(E140-SUM(I140:K140))</f>
        <v>0</v>
      </c>
      <c r="M140" s="165">
        <v>195</v>
      </c>
      <c r="N140" s="165">
        <v>0</v>
      </c>
      <c r="O140" s="165">
        <v>0</v>
      </c>
      <c r="P140" s="184">
        <f t="shared" ref="P140:P145" si="51">SUM(F140-SUM(M140:O140))</f>
        <v>0</v>
      </c>
      <c r="Q140" s="165">
        <v>490</v>
      </c>
      <c r="R140" s="165">
        <v>0</v>
      </c>
      <c r="S140" s="165">
        <v>66</v>
      </c>
      <c r="T140" s="184">
        <f t="shared" ref="T140:T145" si="52">SUM(G140-SUM(Q140:S140))</f>
        <v>-66</v>
      </c>
      <c r="V140" s="181">
        <f t="shared" ref="V140:V146" si="53">SUM(M140:P140)</f>
        <v>195</v>
      </c>
      <c r="W140" s="181">
        <f t="shared" ref="W140:W146" si="54">SUM(Q140:T140)</f>
        <v>490</v>
      </c>
      <c r="Y140" s="25">
        <f t="shared" ref="Y140:Y146" si="55">SUM(W140/V140)-1</f>
        <v>1.5128205128205128</v>
      </c>
    </row>
    <row r="141" spans="1:25" x14ac:dyDescent="0.25">
      <c r="B141" s="105" t="s">
        <v>92</v>
      </c>
      <c r="C141" s="140">
        <v>331</v>
      </c>
      <c r="D141" s="140">
        <v>345</v>
      </c>
      <c r="E141" s="140">
        <v>356</v>
      </c>
      <c r="F141" s="140">
        <v>434</v>
      </c>
      <c r="G141" s="140">
        <v>383</v>
      </c>
      <c r="I141" s="140">
        <v>1</v>
      </c>
      <c r="J141" s="140">
        <v>186</v>
      </c>
      <c r="K141" s="140">
        <v>1</v>
      </c>
      <c r="L141" s="1">
        <f t="shared" si="50"/>
        <v>168</v>
      </c>
      <c r="M141" s="140">
        <v>38</v>
      </c>
      <c r="N141" s="140">
        <v>194</v>
      </c>
      <c r="O141" s="140">
        <v>1</v>
      </c>
      <c r="P141" s="1">
        <f t="shared" si="51"/>
        <v>201</v>
      </c>
      <c r="Q141" s="140">
        <v>1</v>
      </c>
      <c r="R141" s="140">
        <v>193</v>
      </c>
      <c r="S141" s="140">
        <v>1</v>
      </c>
      <c r="T141" s="1">
        <f t="shared" si="52"/>
        <v>188</v>
      </c>
      <c r="V141" s="23">
        <f t="shared" si="53"/>
        <v>434</v>
      </c>
      <c r="W141" s="23">
        <f t="shared" si="54"/>
        <v>383</v>
      </c>
      <c r="Y141" s="25">
        <f t="shared" si="55"/>
        <v>-0.11751152073732718</v>
      </c>
    </row>
    <row r="142" spans="1:25" x14ac:dyDescent="0.25">
      <c r="B142" s="105" t="s">
        <v>88</v>
      </c>
      <c r="C142" s="140">
        <v>-1042</v>
      </c>
      <c r="D142" s="140">
        <v>-1958</v>
      </c>
      <c r="E142" s="140">
        <v>-1514</v>
      </c>
      <c r="F142" s="140">
        <v>-2218</v>
      </c>
      <c r="G142" s="140">
        <v>-2731</v>
      </c>
      <c r="I142" s="140">
        <v>-22</v>
      </c>
      <c r="J142" s="140">
        <v>-640</v>
      </c>
      <c r="K142" s="140">
        <v>-352</v>
      </c>
      <c r="L142" s="1">
        <f t="shared" si="50"/>
        <v>-500</v>
      </c>
      <c r="M142" s="140">
        <v>-591</v>
      </c>
      <c r="N142" s="140">
        <v>-827</v>
      </c>
      <c r="O142" s="140">
        <v>-400</v>
      </c>
      <c r="P142" s="1">
        <f t="shared" si="51"/>
        <v>-400</v>
      </c>
      <c r="Q142" s="140">
        <v>-773</v>
      </c>
      <c r="R142" s="140">
        <v>-731</v>
      </c>
      <c r="S142" s="140">
        <v>-455</v>
      </c>
      <c r="T142" s="1">
        <f t="shared" si="52"/>
        <v>-772</v>
      </c>
      <c r="V142" s="23">
        <f t="shared" si="53"/>
        <v>-2218</v>
      </c>
      <c r="W142" s="23">
        <f t="shared" si="54"/>
        <v>-2731</v>
      </c>
      <c r="Y142" s="25">
        <f t="shared" si="55"/>
        <v>0.23128944995491429</v>
      </c>
    </row>
    <row r="143" spans="1:25" x14ac:dyDescent="0.25">
      <c r="B143" s="105" t="s">
        <v>93</v>
      </c>
      <c r="C143" s="140">
        <v>1301</v>
      </c>
      <c r="D143" s="140">
        <v>1754</v>
      </c>
      <c r="E143" s="140">
        <v>2119</v>
      </c>
      <c r="F143" s="140">
        <v>2600</v>
      </c>
      <c r="G143" s="140">
        <v>2767</v>
      </c>
      <c r="I143" s="140">
        <v>521</v>
      </c>
      <c r="J143" s="140">
        <v>516</v>
      </c>
      <c r="K143" s="140">
        <v>540</v>
      </c>
      <c r="L143" s="1">
        <f t="shared" si="50"/>
        <v>542</v>
      </c>
      <c r="M143" s="140">
        <v>667</v>
      </c>
      <c r="N143" s="140">
        <v>656</v>
      </c>
      <c r="O143" s="140">
        <v>643</v>
      </c>
      <c r="P143" s="1">
        <f t="shared" si="51"/>
        <v>634</v>
      </c>
      <c r="Q143" s="140">
        <v>629</v>
      </c>
      <c r="R143" s="140">
        <v>748</v>
      </c>
      <c r="S143" s="140">
        <v>670</v>
      </c>
      <c r="T143" s="1">
        <f t="shared" si="52"/>
        <v>720</v>
      </c>
      <c r="V143" s="23">
        <f t="shared" si="53"/>
        <v>2600</v>
      </c>
      <c r="W143" s="23">
        <f t="shared" si="54"/>
        <v>2767</v>
      </c>
      <c r="Y143" s="25">
        <f t="shared" si="55"/>
        <v>6.4230769230769313E-2</v>
      </c>
    </row>
    <row r="144" spans="1:25" x14ac:dyDescent="0.25">
      <c r="B144" s="105" t="s">
        <v>94</v>
      </c>
      <c r="C144" s="101">
        <v>-347</v>
      </c>
      <c r="D144" s="101">
        <v>-737</v>
      </c>
      <c r="E144" s="101">
        <v>-766</v>
      </c>
      <c r="F144" s="101">
        <v>-521</v>
      </c>
      <c r="G144" s="101">
        <v>-932</v>
      </c>
      <c r="I144" s="101">
        <v>-500</v>
      </c>
      <c r="J144" s="101">
        <v>-62</v>
      </c>
      <c r="K144" s="101">
        <v>-189</v>
      </c>
      <c r="L144" s="1">
        <f t="shared" si="50"/>
        <v>-15</v>
      </c>
      <c r="M144" s="101">
        <v>-309</v>
      </c>
      <c r="N144" s="101">
        <v>-23</v>
      </c>
      <c r="O144" s="101">
        <v>-167</v>
      </c>
      <c r="P144" s="1">
        <f t="shared" si="51"/>
        <v>-22</v>
      </c>
      <c r="Q144" s="101">
        <v>-370</v>
      </c>
      <c r="R144" s="101">
        <v>-144</v>
      </c>
      <c r="S144" s="101">
        <v>-282</v>
      </c>
      <c r="T144" s="1">
        <f t="shared" si="52"/>
        <v>-136</v>
      </c>
      <c r="V144" s="23">
        <f t="shared" si="53"/>
        <v>-521</v>
      </c>
      <c r="W144" s="23">
        <f t="shared" si="54"/>
        <v>-932</v>
      </c>
      <c r="Y144" s="25">
        <f t="shared" si="55"/>
        <v>0.7888675623800383</v>
      </c>
    </row>
    <row r="145" spans="2:25" x14ac:dyDescent="0.25">
      <c r="B145" s="105" t="s">
        <v>95</v>
      </c>
      <c r="C145" s="140">
        <v>0</v>
      </c>
      <c r="D145" s="140">
        <v>10</v>
      </c>
      <c r="E145" s="140">
        <v>0</v>
      </c>
      <c r="F145" s="140">
        <v>0</v>
      </c>
      <c r="G145" s="140">
        <v>23</v>
      </c>
      <c r="I145" s="140">
        <v>0</v>
      </c>
      <c r="J145" s="140">
        <v>0</v>
      </c>
      <c r="K145" s="140">
        <v>0</v>
      </c>
      <c r="L145" s="1">
        <f t="shared" si="50"/>
        <v>0</v>
      </c>
      <c r="M145" s="140"/>
      <c r="N145" s="140"/>
      <c r="O145" s="140">
        <v>0</v>
      </c>
      <c r="P145" s="1">
        <f t="shared" si="51"/>
        <v>0</v>
      </c>
      <c r="Q145" s="140">
        <v>23</v>
      </c>
      <c r="R145" s="140">
        <v>0</v>
      </c>
      <c r="S145" s="140">
        <v>0</v>
      </c>
      <c r="T145" s="1">
        <f t="shared" si="52"/>
        <v>0</v>
      </c>
      <c r="V145" s="23">
        <f t="shared" si="53"/>
        <v>0</v>
      </c>
      <c r="W145" s="23">
        <f t="shared" si="54"/>
        <v>23</v>
      </c>
      <c r="Y145" s="25" t="e">
        <f t="shared" si="55"/>
        <v>#DIV/0!</v>
      </c>
    </row>
    <row r="146" spans="2:25" x14ac:dyDescent="0.25">
      <c r="B146" s="162" t="s">
        <v>96</v>
      </c>
      <c r="C146" s="170">
        <f>SUM(C140+SUM(C141:C145))</f>
        <v>586</v>
      </c>
      <c r="D146" s="170">
        <f t="shared" ref="D146:I146" si="56">SUM(D140+SUM(D141:D145))</f>
        <v>0</v>
      </c>
      <c r="E146" s="170">
        <f t="shared" si="56"/>
        <v>195</v>
      </c>
      <c r="F146" s="170">
        <f t="shared" si="56"/>
        <v>490</v>
      </c>
      <c r="G146" s="170">
        <f t="shared" si="56"/>
        <v>0</v>
      </c>
      <c r="I146" s="170">
        <f t="shared" si="56"/>
        <v>0</v>
      </c>
      <c r="J146" s="170">
        <f t="shared" ref="J146:T146" si="57">SUM(J140+SUM(J141:J145))</f>
        <v>0</v>
      </c>
      <c r="K146" s="170">
        <f t="shared" si="57"/>
        <v>0</v>
      </c>
      <c r="L146" s="170">
        <f t="shared" si="57"/>
        <v>195</v>
      </c>
      <c r="M146" s="170">
        <f t="shared" si="57"/>
        <v>0</v>
      </c>
      <c r="N146" s="170">
        <f t="shared" si="57"/>
        <v>0</v>
      </c>
      <c r="O146" s="170">
        <f t="shared" si="57"/>
        <v>77</v>
      </c>
      <c r="P146" s="170">
        <f t="shared" si="57"/>
        <v>413</v>
      </c>
      <c r="Q146" s="170">
        <f t="shared" si="57"/>
        <v>0</v>
      </c>
      <c r="R146" s="170">
        <f t="shared" si="57"/>
        <v>66</v>
      </c>
      <c r="S146" s="170">
        <f t="shared" si="57"/>
        <v>0</v>
      </c>
      <c r="T146" s="170">
        <f t="shared" si="57"/>
        <v>-66</v>
      </c>
      <c r="V146" s="180">
        <f t="shared" si="53"/>
        <v>490</v>
      </c>
      <c r="W146" s="180">
        <f t="shared" si="54"/>
        <v>0</v>
      </c>
      <c r="Y146" s="25">
        <f t="shared" si="55"/>
        <v>-1</v>
      </c>
    </row>
    <row r="147" spans="2:25" x14ac:dyDescent="0.25">
      <c r="B147" s="163"/>
      <c r="C147" s="167"/>
      <c r="D147" s="167"/>
      <c r="E147" s="167"/>
      <c r="F147" s="167"/>
      <c r="G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</row>
    <row r="148" spans="2:25" x14ac:dyDescent="0.25">
      <c r="B148" s="166" t="s">
        <v>150</v>
      </c>
      <c r="C148" s="167"/>
      <c r="D148" s="167"/>
      <c r="E148" s="167"/>
      <c r="F148" s="167"/>
      <c r="G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</row>
    <row r="149" spans="2:25" x14ac:dyDescent="0.25">
      <c r="B149" s="164" t="s">
        <v>91</v>
      </c>
      <c r="C149" s="165">
        <v>343</v>
      </c>
      <c r="D149" s="165">
        <v>586</v>
      </c>
      <c r="E149" s="165">
        <v>0</v>
      </c>
      <c r="F149" s="165">
        <v>195</v>
      </c>
      <c r="G149" s="165">
        <v>490</v>
      </c>
      <c r="I149" s="165">
        <v>0</v>
      </c>
      <c r="J149" s="165">
        <v>0</v>
      </c>
      <c r="K149" s="165">
        <v>0</v>
      </c>
      <c r="L149" s="184">
        <f t="shared" ref="L149:L154" si="58">SUM(E149-SUM(I149:K149))</f>
        <v>0</v>
      </c>
      <c r="M149" s="165">
        <v>195</v>
      </c>
      <c r="N149" s="165">
        <v>0</v>
      </c>
      <c r="O149" s="165">
        <v>0</v>
      </c>
      <c r="P149" s="184">
        <f t="shared" ref="P149:P154" si="59">SUM(F149-SUM(M149:O149))</f>
        <v>0</v>
      </c>
      <c r="Q149" s="165">
        <v>490</v>
      </c>
      <c r="R149" s="165">
        <v>0</v>
      </c>
      <c r="S149" s="165">
        <v>66</v>
      </c>
      <c r="T149" s="184">
        <f t="shared" ref="T149:T154" si="60">SUM(G149-SUM(Q149:S149))</f>
        <v>-66</v>
      </c>
      <c r="V149" s="181">
        <f t="shared" ref="V149:V155" si="61">SUM(M149:P149)</f>
        <v>195</v>
      </c>
      <c r="W149" s="181">
        <f t="shared" ref="W149:W155" si="62">SUM(Q149:T149)</f>
        <v>490</v>
      </c>
      <c r="Y149" s="25">
        <f t="shared" ref="Y149:Y155" si="63">SUM(W149/V149)-1</f>
        <v>1.5128205128205128</v>
      </c>
    </row>
    <row r="150" spans="2:25" x14ac:dyDescent="0.25">
      <c r="B150" s="105" t="s">
        <v>92</v>
      </c>
      <c r="C150" s="140">
        <v>331</v>
      </c>
      <c r="D150" s="140">
        <v>345</v>
      </c>
      <c r="E150" s="140">
        <v>356</v>
      </c>
      <c r="F150" s="140">
        <v>434</v>
      </c>
      <c r="G150" s="140">
        <v>383</v>
      </c>
      <c r="I150" s="140">
        <v>1</v>
      </c>
      <c r="J150" s="140">
        <v>186</v>
      </c>
      <c r="K150" s="140">
        <v>1</v>
      </c>
      <c r="L150" s="1">
        <f t="shared" si="58"/>
        <v>168</v>
      </c>
      <c r="M150" s="140">
        <v>38</v>
      </c>
      <c r="N150" s="140">
        <v>194</v>
      </c>
      <c r="O150" s="140">
        <v>1</v>
      </c>
      <c r="P150" s="1">
        <f t="shared" si="59"/>
        <v>201</v>
      </c>
      <c r="Q150" s="140">
        <v>1</v>
      </c>
      <c r="R150" s="140">
        <v>193</v>
      </c>
      <c r="S150" s="140">
        <v>1</v>
      </c>
      <c r="T150" s="1">
        <f t="shared" si="60"/>
        <v>188</v>
      </c>
      <c r="V150" s="23">
        <f t="shared" si="61"/>
        <v>434</v>
      </c>
      <c r="W150" s="23">
        <f t="shared" si="62"/>
        <v>383</v>
      </c>
      <c r="Y150" s="25">
        <f t="shared" si="63"/>
        <v>-0.11751152073732718</v>
      </c>
    </row>
    <row r="151" spans="2:25" x14ac:dyDescent="0.25">
      <c r="B151" s="105" t="s">
        <v>88</v>
      </c>
      <c r="C151" s="140">
        <v>-1042</v>
      </c>
      <c r="D151" s="140">
        <v>-1958</v>
      </c>
      <c r="E151" s="140">
        <v>-1514</v>
      </c>
      <c r="F151" s="140">
        <v>-2218</v>
      </c>
      <c r="G151" s="140">
        <v>-2731</v>
      </c>
      <c r="I151" s="140">
        <v>-22</v>
      </c>
      <c r="J151" s="140">
        <v>-640</v>
      </c>
      <c r="K151" s="140">
        <v>-352</v>
      </c>
      <c r="L151" s="1">
        <f t="shared" si="58"/>
        <v>-500</v>
      </c>
      <c r="M151" s="140">
        <v>-591</v>
      </c>
      <c r="N151" s="140">
        <v>-827</v>
      </c>
      <c r="O151" s="140">
        <v>-400</v>
      </c>
      <c r="P151" s="1">
        <f t="shared" si="59"/>
        <v>-400</v>
      </c>
      <c r="Q151" s="140">
        <v>-773</v>
      </c>
      <c r="R151" s="140">
        <v>-731</v>
      </c>
      <c r="S151" s="140">
        <v>-455</v>
      </c>
      <c r="T151" s="1">
        <f t="shared" si="60"/>
        <v>-772</v>
      </c>
      <c r="V151" s="23">
        <f t="shared" si="61"/>
        <v>-2218</v>
      </c>
      <c r="W151" s="23">
        <f t="shared" si="62"/>
        <v>-2731</v>
      </c>
      <c r="Y151" s="25">
        <f t="shared" si="63"/>
        <v>0.23128944995491429</v>
      </c>
    </row>
    <row r="152" spans="2:25" x14ac:dyDescent="0.25">
      <c r="B152" s="105" t="s">
        <v>93</v>
      </c>
      <c r="C152" s="140">
        <v>1301</v>
      </c>
      <c r="D152" s="140">
        <v>1754</v>
      </c>
      <c r="E152" s="140">
        <v>2119</v>
      </c>
      <c r="F152" s="140">
        <v>2600</v>
      </c>
      <c r="G152" s="140">
        <v>2767</v>
      </c>
      <c r="I152" s="140">
        <v>521</v>
      </c>
      <c r="J152" s="140">
        <v>516</v>
      </c>
      <c r="K152" s="140">
        <v>540</v>
      </c>
      <c r="L152" s="1">
        <f t="shared" si="58"/>
        <v>542</v>
      </c>
      <c r="M152" s="140">
        <v>667</v>
      </c>
      <c r="N152" s="140">
        <v>656</v>
      </c>
      <c r="O152" s="140">
        <v>643</v>
      </c>
      <c r="P152" s="1">
        <f t="shared" si="59"/>
        <v>634</v>
      </c>
      <c r="Q152" s="140">
        <v>629</v>
      </c>
      <c r="R152" s="140">
        <v>748</v>
      </c>
      <c r="S152" s="140">
        <v>670</v>
      </c>
      <c r="T152" s="1">
        <f t="shared" si="60"/>
        <v>720</v>
      </c>
      <c r="V152" s="23">
        <f t="shared" si="61"/>
        <v>2600</v>
      </c>
      <c r="W152" s="23">
        <f t="shared" si="62"/>
        <v>2767</v>
      </c>
      <c r="Y152" s="25">
        <f t="shared" si="63"/>
        <v>6.4230769230769313E-2</v>
      </c>
    </row>
    <row r="153" spans="2:25" x14ac:dyDescent="0.25">
      <c r="B153" s="105" t="s">
        <v>94</v>
      </c>
      <c r="C153" s="101">
        <v>-347</v>
      </c>
      <c r="D153" s="101">
        <v>-737</v>
      </c>
      <c r="E153" s="101">
        <v>-766</v>
      </c>
      <c r="F153" s="101">
        <v>-521</v>
      </c>
      <c r="G153" s="101">
        <v>-932</v>
      </c>
      <c r="I153" s="101">
        <v>-500</v>
      </c>
      <c r="J153" s="101">
        <v>-62</v>
      </c>
      <c r="K153" s="101">
        <v>-189</v>
      </c>
      <c r="L153" s="1">
        <f t="shared" si="58"/>
        <v>-15</v>
      </c>
      <c r="M153" s="101">
        <v>-309</v>
      </c>
      <c r="N153" s="101">
        <v>-23</v>
      </c>
      <c r="O153" s="101">
        <v>-167</v>
      </c>
      <c r="P153" s="1">
        <f t="shared" si="59"/>
        <v>-22</v>
      </c>
      <c r="Q153" s="101">
        <v>-370</v>
      </c>
      <c r="R153" s="101">
        <v>-144</v>
      </c>
      <c r="S153" s="101">
        <v>-282</v>
      </c>
      <c r="T153" s="1">
        <f t="shared" si="60"/>
        <v>-136</v>
      </c>
      <c r="V153" s="23">
        <f t="shared" si="61"/>
        <v>-521</v>
      </c>
      <c r="W153" s="23">
        <f t="shared" si="62"/>
        <v>-932</v>
      </c>
      <c r="Y153" s="25">
        <f t="shared" si="63"/>
        <v>0.7888675623800383</v>
      </c>
    </row>
    <row r="154" spans="2:25" x14ac:dyDescent="0.25">
      <c r="B154" s="105" t="s">
        <v>95</v>
      </c>
      <c r="C154" s="140">
        <v>0</v>
      </c>
      <c r="D154" s="140">
        <v>10</v>
      </c>
      <c r="E154" s="140">
        <v>0</v>
      </c>
      <c r="F154" s="140">
        <v>0</v>
      </c>
      <c r="G154" s="140">
        <v>23</v>
      </c>
      <c r="I154" s="140">
        <v>0</v>
      </c>
      <c r="J154" s="140">
        <v>0</v>
      </c>
      <c r="K154" s="140">
        <v>0</v>
      </c>
      <c r="L154" s="1">
        <f t="shared" si="58"/>
        <v>0</v>
      </c>
      <c r="M154" s="140"/>
      <c r="N154" s="140"/>
      <c r="O154" s="140">
        <v>0</v>
      </c>
      <c r="P154" s="1">
        <f t="shared" si="59"/>
        <v>0</v>
      </c>
      <c r="Q154" s="140">
        <v>23</v>
      </c>
      <c r="R154" s="140">
        <v>0</v>
      </c>
      <c r="S154" s="140">
        <v>0</v>
      </c>
      <c r="T154" s="1">
        <f t="shared" si="60"/>
        <v>0</v>
      </c>
      <c r="V154" s="23">
        <f t="shared" si="61"/>
        <v>0</v>
      </c>
      <c r="W154" s="23">
        <f t="shared" si="62"/>
        <v>23</v>
      </c>
      <c r="Y154" s="25" t="e">
        <f t="shared" si="63"/>
        <v>#DIV/0!</v>
      </c>
    </row>
    <row r="155" spans="2:25" x14ac:dyDescent="0.25">
      <c r="B155" s="162" t="s">
        <v>96</v>
      </c>
      <c r="C155" s="170">
        <f>SUM(C149+SUM(C150:C154))</f>
        <v>586</v>
      </c>
      <c r="D155" s="170">
        <f>SUM(D149+SUM(D150:D154))</f>
        <v>0</v>
      </c>
      <c r="E155" s="170">
        <f>SUM(E149+SUM(E150:E154))</f>
        <v>195</v>
      </c>
      <c r="F155" s="170">
        <f>SUM(F149+SUM(F150:F154))</f>
        <v>490</v>
      </c>
      <c r="G155" s="170">
        <f>SUM(G149+SUM(G150:G154))</f>
        <v>0</v>
      </c>
      <c r="I155" s="170">
        <f t="shared" ref="I155:T155" si="64">SUM(I149+SUM(I150:I154))</f>
        <v>0</v>
      </c>
      <c r="J155" s="170">
        <f t="shared" si="64"/>
        <v>0</v>
      </c>
      <c r="K155" s="170">
        <f t="shared" si="64"/>
        <v>0</v>
      </c>
      <c r="L155" s="170">
        <f t="shared" si="64"/>
        <v>195</v>
      </c>
      <c r="M155" s="170">
        <f t="shared" si="64"/>
        <v>0</v>
      </c>
      <c r="N155" s="170">
        <f t="shared" si="64"/>
        <v>0</v>
      </c>
      <c r="O155" s="170">
        <f t="shared" si="64"/>
        <v>77</v>
      </c>
      <c r="P155" s="170">
        <f t="shared" si="64"/>
        <v>413</v>
      </c>
      <c r="Q155" s="170">
        <f t="shared" si="64"/>
        <v>0</v>
      </c>
      <c r="R155" s="170">
        <f t="shared" si="64"/>
        <v>66</v>
      </c>
      <c r="S155" s="170">
        <f t="shared" si="64"/>
        <v>0</v>
      </c>
      <c r="T155" s="170">
        <f t="shared" si="64"/>
        <v>-66</v>
      </c>
      <c r="V155" s="180">
        <f t="shared" si="61"/>
        <v>490</v>
      </c>
      <c r="W155" s="180">
        <f t="shared" si="62"/>
        <v>0</v>
      </c>
      <c r="Y155" s="25">
        <f t="shared" si="63"/>
        <v>-1</v>
      </c>
    </row>
    <row r="156" spans="2:25" x14ac:dyDescent="0.25">
      <c r="B156" s="163"/>
      <c r="C156" s="167"/>
      <c r="D156" s="167"/>
      <c r="E156" s="167"/>
      <c r="F156" s="167"/>
      <c r="G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</row>
    <row r="157" spans="2:25" x14ac:dyDescent="0.25">
      <c r="B157" s="163" t="s">
        <v>151</v>
      </c>
      <c r="C157" s="140"/>
      <c r="D157" s="140"/>
      <c r="E157" s="140"/>
      <c r="F157" s="140"/>
      <c r="G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</row>
    <row r="158" spans="2:25" x14ac:dyDescent="0.25">
      <c r="B158" s="171" t="s">
        <v>91</v>
      </c>
      <c r="C158" s="165">
        <v>4466</v>
      </c>
      <c r="D158" s="165">
        <v>5284</v>
      </c>
      <c r="E158" s="165">
        <v>9822</v>
      </c>
      <c r="F158" s="165">
        <v>17840</v>
      </c>
      <c r="G158" s="165">
        <v>20733</v>
      </c>
      <c r="I158" s="165">
        <v>9822</v>
      </c>
      <c r="J158" s="165">
        <v>11275</v>
      </c>
      <c r="K158" s="165">
        <v>13113</v>
      </c>
      <c r="L158" s="184">
        <f>SUM(E158-SUM(I158:K158))</f>
        <v>-24388</v>
      </c>
      <c r="M158" s="165">
        <v>17840</v>
      </c>
      <c r="N158" s="165">
        <v>18517</v>
      </c>
      <c r="O158" s="165">
        <v>19280</v>
      </c>
      <c r="P158" s="184">
        <f>SUM(F158-SUM(M158:O158))</f>
        <v>-37797</v>
      </c>
      <c r="Q158" s="165">
        <v>20733</v>
      </c>
      <c r="R158" s="165">
        <v>22565</v>
      </c>
      <c r="S158" s="165">
        <v>23965</v>
      </c>
      <c r="T158" s="184">
        <f>SUM(G158-SUM(Q158:S158))</f>
        <v>-46530</v>
      </c>
      <c r="V158" s="181">
        <f>SUM(M158:P158)</f>
        <v>17840</v>
      </c>
      <c r="W158" s="181">
        <f>SUM(Q158:T158)</f>
        <v>20733</v>
      </c>
    </row>
    <row r="159" spans="2:25" x14ac:dyDescent="0.25">
      <c r="B159" s="105" t="s">
        <v>97</v>
      </c>
      <c r="C159" s="140">
        <v>5198</v>
      </c>
      <c r="D159" s="140">
        <v>9043</v>
      </c>
      <c r="E159" s="140">
        <v>12936</v>
      </c>
      <c r="F159" s="140">
        <v>7232</v>
      </c>
      <c r="G159" s="140">
        <v>10142</v>
      </c>
      <c r="I159" s="140">
        <v>3399</v>
      </c>
      <c r="J159" s="140">
        <v>2934</v>
      </c>
      <c r="K159" s="140">
        <v>3730</v>
      </c>
      <c r="L159" s="1">
        <f>SUM(E159-SUM(I159:K159))</f>
        <v>2873</v>
      </c>
      <c r="M159" s="140">
        <v>2235</v>
      </c>
      <c r="N159" s="140">
        <v>1704</v>
      </c>
      <c r="O159" s="140">
        <v>1803</v>
      </c>
      <c r="P159" s="1">
        <f>SUM(F159-SUM(M159:O159))</f>
        <v>1490</v>
      </c>
      <c r="Q159" s="140">
        <v>2767</v>
      </c>
      <c r="R159" s="140">
        <v>2326</v>
      </c>
      <c r="S159" s="140">
        <v>2129</v>
      </c>
      <c r="T159" s="1">
        <f>SUM(G159-SUM(Q159:S159))</f>
        <v>2920</v>
      </c>
      <c r="V159" s="176">
        <f>SUM(L159:O159)</f>
        <v>8615</v>
      </c>
      <c r="W159" s="176">
        <f>SUM(P159:S159)</f>
        <v>8712</v>
      </c>
      <c r="Y159" s="25">
        <f>SUM(W159/V159)-1</f>
        <v>1.1259431224608152E-2</v>
      </c>
    </row>
    <row r="160" spans="2:25" x14ac:dyDescent="0.25">
      <c r="B160" s="105" t="s">
        <v>88</v>
      </c>
      <c r="C160" s="140">
        <v>-1408</v>
      </c>
      <c r="D160" s="140">
        <v>-1408</v>
      </c>
      <c r="E160" s="140">
        <v>-1615</v>
      </c>
      <c r="F160" s="140">
        <v>-755</v>
      </c>
      <c r="G160" s="140">
        <v>-1394</v>
      </c>
      <c r="I160" s="140">
        <v>-1156</v>
      </c>
      <c r="J160" s="140">
        <v>-311</v>
      </c>
      <c r="K160" s="140">
        <v>-148</v>
      </c>
      <c r="L160" s="1">
        <f>SUM(E160-SUM(I160:K160))</f>
        <v>0</v>
      </c>
      <c r="M160" s="140">
        <v>-679</v>
      </c>
      <c r="N160" s="140">
        <v>-76</v>
      </c>
      <c r="O160" s="140">
        <v>0</v>
      </c>
      <c r="P160" s="1">
        <f>SUM(F160-SUM(M160:O160))</f>
        <v>0</v>
      </c>
      <c r="Q160" s="140">
        <v>-11</v>
      </c>
      <c r="R160" s="140">
        <v>0</v>
      </c>
      <c r="S160" s="140">
        <v>-848</v>
      </c>
      <c r="T160" s="1">
        <f>SUM(G160-SUM(Q160:S160))</f>
        <v>-535</v>
      </c>
      <c r="V160" s="23">
        <f>SUM(L160:O160)</f>
        <v>-755</v>
      </c>
      <c r="W160" s="23">
        <f>SUM(P160:S160)</f>
        <v>-859</v>
      </c>
      <c r="Y160" s="25">
        <f>SUM(W160/V160)-1</f>
        <v>0.13774834437086092</v>
      </c>
    </row>
    <row r="161" spans="2:25" x14ac:dyDescent="0.25">
      <c r="B161" s="105" t="s">
        <v>98</v>
      </c>
      <c r="C161" s="140">
        <v>-2972</v>
      </c>
      <c r="D161" s="140">
        <v>-3097</v>
      </c>
      <c r="E161" s="140">
        <v>-3303</v>
      </c>
      <c r="F161" s="140">
        <v>-3584</v>
      </c>
      <c r="G161" s="140">
        <v>-3794</v>
      </c>
      <c r="I161" s="140">
        <v>-790</v>
      </c>
      <c r="J161" s="140">
        <v>-785</v>
      </c>
      <c r="K161" s="140">
        <v>-865</v>
      </c>
      <c r="L161" s="1">
        <f>SUM(E161-SUM(I161:K161))</f>
        <v>-863</v>
      </c>
      <c r="M161" s="140">
        <v>-879</v>
      </c>
      <c r="N161" s="140">
        <v>-865</v>
      </c>
      <c r="O161" s="140">
        <v>-920</v>
      </c>
      <c r="P161" s="1">
        <f>SUM(F161-SUM(M161:O161))</f>
        <v>-920</v>
      </c>
      <c r="Q161" s="140">
        <v>-924</v>
      </c>
      <c r="R161" s="140">
        <v>-926</v>
      </c>
      <c r="S161" s="140">
        <v>-973</v>
      </c>
      <c r="T161" s="1">
        <f>SUM(G161-SUM(Q161:S161))</f>
        <v>-971</v>
      </c>
      <c r="V161" s="23">
        <f>SUM(L161:O161)</f>
        <v>-3527</v>
      </c>
      <c r="W161" s="23">
        <f>SUM(P161:S161)</f>
        <v>-3743</v>
      </c>
      <c r="Y161" s="25">
        <f>SUM(W161/V161)-1</f>
        <v>6.1241848596540915E-2</v>
      </c>
    </row>
    <row r="162" spans="2:25" x14ac:dyDescent="0.25">
      <c r="B162" s="162" t="s">
        <v>96</v>
      </c>
      <c r="C162" s="170">
        <f>SUM(C159:C161)+C158</f>
        <v>5284</v>
      </c>
      <c r="D162" s="170">
        <f t="shared" ref="D162:I162" si="65">SUM(D159:D161)+D158</f>
        <v>9822</v>
      </c>
      <c r="E162" s="170">
        <f t="shared" si="65"/>
        <v>17840</v>
      </c>
      <c r="F162" s="170">
        <f t="shared" si="65"/>
        <v>20733</v>
      </c>
      <c r="G162" s="170">
        <f t="shared" si="65"/>
        <v>25687</v>
      </c>
      <c r="I162" s="170">
        <f t="shared" si="65"/>
        <v>11275</v>
      </c>
      <c r="J162" s="170">
        <f t="shared" ref="J162:T162" si="66">SUM(J159:J161)+J158</f>
        <v>13113</v>
      </c>
      <c r="K162" s="170">
        <f t="shared" si="66"/>
        <v>15830</v>
      </c>
      <c r="L162" s="170">
        <f t="shared" si="66"/>
        <v>-22378</v>
      </c>
      <c r="M162" s="170">
        <f t="shared" si="66"/>
        <v>18517</v>
      </c>
      <c r="N162" s="170">
        <f t="shared" si="66"/>
        <v>19280</v>
      </c>
      <c r="O162" s="170">
        <f t="shared" si="66"/>
        <v>20163</v>
      </c>
      <c r="P162" s="170">
        <f t="shared" si="66"/>
        <v>-37227</v>
      </c>
      <c r="Q162" s="170">
        <f t="shared" si="66"/>
        <v>22565</v>
      </c>
      <c r="R162" s="170">
        <f t="shared" si="66"/>
        <v>23965</v>
      </c>
      <c r="S162" s="170">
        <f t="shared" si="66"/>
        <v>24273</v>
      </c>
      <c r="T162" s="170">
        <f t="shared" si="66"/>
        <v>-45116</v>
      </c>
      <c r="V162" s="170">
        <f>SUM(V159:V161)+V158</f>
        <v>22173</v>
      </c>
      <c r="W162" s="170">
        <f>SUM(W159:W161)+W158</f>
        <v>24843</v>
      </c>
      <c r="Y162" s="25">
        <f>SUM(W162/V162)-1</f>
        <v>0.12041672304153694</v>
      </c>
    </row>
    <row r="163" spans="2:25" x14ac:dyDescent="0.25">
      <c r="B163" s="163"/>
      <c r="C163" s="175"/>
      <c r="D163" s="175"/>
      <c r="E163" s="175"/>
      <c r="F163" s="175"/>
      <c r="G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V163" s="175"/>
      <c r="W163" s="175"/>
      <c r="Y163" s="25"/>
    </row>
    <row r="164" spans="2:25" x14ac:dyDescent="0.25">
      <c r="B164" s="163" t="s">
        <v>152</v>
      </c>
      <c r="C164" s="175"/>
      <c r="D164" s="175"/>
      <c r="E164" s="175"/>
      <c r="F164" s="175"/>
      <c r="G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V164" s="175"/>
      <c r="W164" s="175"/>
      <c r="Y164" s="25"/>
    </row>
    <row r="165" spans="2:25" x14ac:dyDescent="0.25">
      <c r="B165" s="171" t="s">
        <v>91</v>
      </c>
      <c r="C165" s="165">
        <v>4466</v>
      </c>
      <c r="D165" s="165">
        <v>5284</v>
      </c>
      <c r="E165" s="165">
        <v>9822</v>
      </c>
      <c r="F165" s="165">
        <v>17840</v>
      </c>
      <c r="G165" s="165">
        <v>20733</v>
      </c>
      <c r="I165" s="165">
        <v>9822</v>
      </c>
      <c r="J165" s="165">
        <v>11275</v>
      </c>
      <c r="K165" s="165">
        <v>13113</v>
      </c>
      <c r="L165" s="184">
        <f>SUM(E165-SUM(I165:K165))</f>
        <v>-24388</v>
      </c>
      <c r="M165" s="165">
        <v>17840</v>
      </c>
      <c r="N165" s="165">
        <v>18517</v>
      </c>
      <c r="O165" s="165">
        <v>19280</v>
      </c>
      <c r="P165" s="184">
        <f>SUM(F165-SUM(M165:O165))</f>
        <v>-37797</v>
      </c>
      <c r="Q165" s="165">
        <v>20733</v>
      </c>
      <c r="R165" s="165">
        <v>22565</v>
      </c>
      <c r="S165" s="165">
        <v>23965</v>
      </c>
      <c r="T165" s="184">
        <f>SUM(G165-SUM(Q165:S165))</f>
        <v>-46530</v>
      </c>
      <c r="V165" s="181">
        <f>SUM(M165:P165)</f>
        <v>17840</v>
      </c>
      <c r="W165" s="181">
        <f>SUM(Q165:T165)</f>
        <v>20733</v>
      </c>
    </row>
    <row r="166" spans="2:25" x14ac:dyDescent="0.25">
      <c r="B166" s="105" t="s">
        <v>97</v>
      </c>
      <c r="C166" s="140">
        <v>5198</v>
      </c>
      <c r="D166" s="140">
        <v>9043</v>
      </c>
      <c r="E166" s="140">
        <v>12936</v>
      </c>
      <c r="F166" s="140">
        <v>7232</v>
      </c>
      <c r="G166" s="140">
        <v>10142</v>
      </c>
      <c r="I166" s="140">
        <v>3399</v>
      </c>
      <c r="J166" s="140">
        <v>2934</v>
      </c>
      <c r="K166" s="140">
        <v>3730</v>
      </c>
      <c r="L166" s="1">
        <f>SUM(E166-SUM(I166:K166))</f>
        <v>2873</v>
      </c>
      <c r="M166" s="140">
        <v>2235</v>
      </c>
      <c r="N166" s="140">
        <v>1704</v>
      </c>
      <c r="O166" s="140">
        <v>1803</v>
      </c>
      <c r="P166" s="1">
        <f>SUM(F166-SUM(M166:O166))</f>
        <v>1490</v>
      </c>
      <c r="Q166" s="140">
        <v>2767</v>
      </c>
      <c r="R166" s="140">
        <v>2326</v>
      </c>
      <c r="S166" s="140">
        <v>2129</v>
      </c>
      <c r="T166" s="1">
        <f>SUM(G166-SUM(Q166:S166))</f>
        <v>2920</v>
      </c>
      <c r="V166" s="176">
        <f>SUM(L166:O166)</f>
        <v>8615</v>
      </c>
      <c r="W166" s="176">
        <f>SUM(P166:S166)</f>
        <v>8712</v>
      </c>
      <c r="Y166" s="25">
        <f>SUM(W166/V166)-1</f>
        <v>1.1259431224608152E-2</v>
      </c>
    </row>
    <row r="167" spans="2:25" x14ac:dyDescent="0.25">
      <c r="B167" s="105" t="s">
        <v>88</v>
      </c>
      <c r="C167" s="140">
        <v>-1408</v>
      </c>
      <c r="D167" s="140">
        <v>-1408</v>
      </c>
      <c r="E167" s="140">
        <v>-1615</v>
      </c>
      <c r="F167" s="140">
        <v>-755</v>
      </c>
      <c r="G167" s="140">
        <v>-1394</v>
      </c>
      <c r="I167" s="140">
        <v>-1156</v>
      </c>
      <c r="J167" s="140">
        <v>-311</v>
      </c>
      <c r="K167" s="140">
        <v>-148</v>
      </c>
      <c r="L167" s="1">
        <f>SUM(E167-SUM(I167:K167))</f>
        <v>0</v>
      </c>
      <c r="M167" s="140">
        <v>-679</v>
      </c>
      <c r="N167" s="140">
        <v>-76</v>
      </c>
      <c r="O167" s="140">
        <v>0</v>
      </c>
      <c r="P167" s="1">
        <f>SUM(F167-SUM(M167:O167))</f>
        <v>0</v>
      </c>
      <c r="Q167" s="140">
        <v>-11</v>
      </c>
      <c r="R167" s="140">
        <v>0</v>
      </c>
      <c r="S167" s="140">
        <v>-848</v>
      </c>
      <c r="T167" s="1">
        <f>SUM(G167-SUM(Q167:S167))</f>
        <v>-535</v>
      </c>
      <c r="V167" s="23">
        <f>SUM(L167:O167)</f>
        <v>-755</v>
      </c>
      <c r="W167" s="23">
        <f>SUM(P167:S167)</f>
        <v>-859</v>
      </c>
      <c r="Y167" s="25">
        <f>SUM(W167/V167)-1</f>
        <v>0.13774834437086092</v>
      </c>
    </row>
    <row r="168" spans="2:25" x14ac:dyDescent="0.25">
      <c r="B168" s="105" t="s">
        <v>98</v>
      </c>
      <c r="C168" s="140">
        <v>-2972</v>
      </c>
      <c r="D168" s="140">
        <v>-3097</v>
      </c>
      <c r="E168" s="140">
        <v>-3303</v>
      </c>
      <c r="F168" s="140">
        <v>-3584</v>
      </c>
      <c r="G168" s="140">
        <v>-3794</v>
      </c>
      <c r="I168" s="140">
        <v>-790</v>
      </c>
      <c r="J168" s="140">
        <v>-785</v>
      </c>
      <c r="K168" s="140">
        <v>-865</v>
      </c>
      <c r="L168" s="1">
        <f>SUM(E168-SUM(I168:K168))</f>
        <v>-863</v>
      </c>
      <c r="M168" s="140">
        <v>-879</v>
      </c>
      <c r="N168" s="140">
        <v>-865</v>
      </c>
      <c r="O168" s="140">
        <v>-920</v>
      </c>
      <c r="P168" s="1">
        <f>SUM(F168-SUM(M168:O168))</f>
        <v>-920</v>
      </c>
      <c r="Q168" s="140">
        <v>-924</v>
      </c>
      <c r="R168" s="140">
        <v>-926</v>
      </c>
      <c r="S168" s="140">
        <v>-973</v>
      </c>
      <c r="T168" s="1">
        <f>SUM(G168-SUM(Q168:S168))</f>
        <v>-971</v>
      </c>
      <c r="V168" s="23">
        <f>SUM(L168:O168)</f>
        <v>-3527</v>
      </c>
      <c r="W168" s="23">
        <f>SUM(P168:S168)</f>
        <v>-3743</v>
      </c>
      <c r="Y168" s="25">
        <f>SUM(W168/V168)-1</f>
        <v>6.1241848596540915E-2</v>
      </c>
    </row>
    <row r="169" spans="2:25" x14ac:dyDescent="0.25">
      <c r="B169" s="162" t="s">
        <v>96</v>
      </c>
      <c r="C169" s="170">
        <f>SUM(C166:C168)+C165</f>
        <v>5284</v>
      </c>
      <c r="D169" s="170">
        <f t="shared" ref="D169:G169" si="67">SUM(D166:D168)+D165</f>
        <v>9822</v>
      </c>
      <c r="E169" s="170">
        <f t="shared" si="67"/>
        <v>17840</v>
      </c>
      <c r="F169" s="170">
        <f t="shared" si="67"/>
        <v>20733</v>
      </c>
      <c r="G169" s="170">
        <f t="shared" si="67"/>
        <v>25687</v>
      </c>
      <c r="I169" s="170">
        <f>SUM(I166:I168)+I165</f>
        <v>11275</v>
      </c>
      <c r="J169" s="170">
        <f>SUM(J166:J168)+J165</f>
        <v>13113</v>
      </c>
      <c r="K169" s="170">
        <f t="shared" ref="K169:T169" si="68">SUM(K166:K168)+K165</f>
        <v>15830</v>
      </c>
      <c r="L169" s="170">
        <f t="shared" si="68"/>
        <v>-22378</v>
      </c>
      <c r="M169" s="170">
        <f t="shared" si="68"/>
        <v>18517</v>
      </c>
      <c r="N169" s="170">
        <f t="shared" si="68"/>
        <v>19280</v>
      </c>
      <c r="O169" s="170">
        <f t="shared" si="68"/>
        <v>20163</v>
      </c>
      <c r="P169" s="170">
        <f t="shared" si="68"/>
        <v>-37227</v>
      </c>
      <c r="Q169" s="170">
        <f t="shared" si="68"/>
        <v>22565</v>
      </c>
      <c r="R169" s="170">
        <f t="shared" si="68"/>
        <v>23965</v>
      </c>
      <c r="S169" s="170">
        <f t="shared" si="68"/>
        <v>24273</v>
      </c>
      <c r="T169" s="170">
        <f t="shared" si="68"/>
        <v>-45116</v>
      </c>
      <c r="V169" s="170">
        <f>SUM(V166:V168)+V165</f>
        <v>22173</v>
      </c>
      <c r="W169" s="170">
        <f>SUM(W166:W168)+W165</f>
        <v>24843</v>
      </c>
      <c r="Y169" s="25">
        <f>SUM(W169/V169)-1</f>
        <v>0.12041672304153694</v>
      </c>
    </row>
    <row r="170" spans="2:25" x14ac:dyDescent="0.25">
      <c r="B170" s="163"/>
      <c r="C170" s="175"/>
      <c r="D170" s="175"/>
      <c r="E170" s="175"/>
      <c r="F170" s="175"/>
      <c r="G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V170" s="175"/>
      <c r="W170" s="175"/>
      <c r="Y170" s="25"/>
    </row>
    <row r="171" spans="2:25" x14ac:dyDescent="0.25">
      <c r="B171" s="166" t="s">
        <v>153</v>
      </c>
      <c r="C171" s="140"/>
      <c r="D171" s="140"/>
      <c r="E171" s="140"/>
      <c r="F171" s="140"/>
      <c r="G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</row>
    <row r="172" spans="2:25" x14ac:dyDescent="0.25">
      <c r="B172" s="164" t="s">
        <v>91</v>
      </c>
      <c r="C172" s="165">
        <v>100</v>
      </c>
      <c r="D172" s="165">
        <v>207</v>
      </c>
      <c r="E172" s="165">
        <v>128</v>
      </c>
      <c r="F172" s="165">
        <v>-22</v>
      </c>
      <c r="G172" s="165">
        <v>358</v>
      </c>
      <c r="I172" s="165">
        <v>128</v>
      </c>
      <c r="J172" s="165">
        <v>58</v>
      </c>
      <c r="K172" s="165">
        <v>215</v>
      </c>
      <c r="L172" s="184">
        <f>SUM(E172-SUM(I172:K172))</f>
        <v>-273</v>
      </c>
      <c r="M172" s="165">
        <v>-22</v>
      </c>
      <c r="N172" s="165">
        <v>293</v>
      </c>
      <c r="O172" s="165">
        <v>418</v>
      </c>
      <c r="P172" s="184">
        <f>SUM(F172-SUM(M172:O172))</f>
        <v>-711</v>
      </c>
      <c r="Q172" s="165">
        <v>358</v>
      </c>
      <c r="R172" s="165">
        <v>493</v>
      </c>
      <c r="S172" s="165">
        <v>438</v>
      </c>
      <c r="T172" s="184">
        <f>SUM(G172-SUM(Q172:S172))</f>
        <v>-931</v>
      </c>
      <c r="V172" s="181">
        <f>SUM(L172:O172)</f>
        <v>416</v>
      </c>
      <c r="W172" s="181">
        <f>SUM(P172:S172)</f>
        <v>578</v>
      </c>
      <c r="Y172" s="25">
        <f t="shared" ref="Y172:Y177" si="69">SUM(W172/V172)-1</f>
        <v>0.38942307692307687</v>
      </c>
    </row>
    <row r="173" spans="2:25" x14ac:dyDescent="0.25">
      <c r="B173" s="105" t="s">
        <v>99</v>
      </c>
      <c r="C173" s="140">
        <v>107</v>
      </c>
      <c r="D173" s="140">
        <v>-79</v>
      </c>
      <c r="E173" s="140">
        <v>-150</v>
      </c>
      <c r="F173" s="140">
        <v>380</v>
      </c>
      <c r="G173" s="140">
        <v>229</v>
      </c>
      <c r="I173" s="140">
        <v>-70</v>
      </c>
      <c r="J173" s="140">
        <v>157</v>
      </c>
      <c r="K173" s="140">
        <v>3</v>
      </c>
      <c r="L173" s="1">
        <f>SUM(E173-SUM(I173:K173))</f>
        <v>-240</v>
      </c>
      <c r="M173" s="140">
        <v>315</v>
      </c>
      <c r="N173" s="140">
        <v>125</v>
      </c>
      <c r="O173" s="140">
        <v>12</v>
      </c>
      <c r="P173" s="1">
        <f>SUM(F173-SUM(M173:O173))</f>
        <v>-72</v>
      </c>
      <c r="Q173" s="140">
        <v>135</v>
      </c>
      <c r="R173" s="140">
        <v>-55</v>
      </c>
      <c r="S173" s="140">
        <v>-41</v>
      </c>
      <c r="T173" s="1">
        <f>SUM(G173-SUM(Q173:S173))</f>
        <v>190</v>
      </c>
      <c r="V173" s="23">
        <f>SUM(L173:O173)</f>
        <v>212</v>
      </c>
      <c r="W173" s="23">
        <f>SUM(P173:S173)</f>
        <v>-33</v>
      </c>
      <c r="Y173" s="25">
        <f t="shared" si="69"/>
        <v>-1.1556603773584906</v>
      </c>
    </row>
    <row r="174" spans="2:25" x14ac:dyDescent="0.25">
      <c r="B174" s="162" t="s">
        <v>96</v>
      </c>
      <c r="C174" s="170">
        <f>C173+C172</f>
        <v>207</v>
      </c>
      <c r="D174" s="170">
        <f t="shared" ref="D174:I174" si="70">D173+D172</f>
        <v>128</v>
      </c>
      <c r="E174" s="170">
        <f t="shared" si="70"/>
        <v>-22</v>
      </c>
      <c r="F174" s="170">
        <f t="shared" si="70"/>
        <v>358</v>
      </c>
      <c r="G174" s="170">
        <f t="shared" si="70"/>
        <v>587</v>
      </c>
      <c r="I174" s="170">
        <f t="shared" si="70"/>
        <v>58</v>
      </c>
      <c r="J174" s="170">
        <f t="shared" ref="J174:T174" si="71">J173+J172</f>
        <v>215</v>
      </c>
      <c r="K174" s="170">
        <f t="shared" si="71"/>
        <v>218</v>
      </c>
      <c r="L174" s="170">
        <f t="shared" si="71"/>
        <v>-513</v>
      </c>
      <c r="M174" s="170">
        <f t="shared" si="71"/>
        <v>293</v>
      </c>
      <c r="N174" s="170">
        <f t="shared" si="71"/>
        <v>418</v>
      </c>
      <c r="O174" s="170">
        <f t="shared" si="71"/>
        <v>430</v>
      </c>
      <c r="P174" s="170">
        <f t="shared" si="71"/>
        <v>-783</v>
      </c>
      <c r="Q174" s="170">
        <f t="shared" si="71"/>
        <v>493</v>
      </c>
      <c r="R174" s="170">
        <f t="shared" si="71"/>
        <v>438</v>
      </c>
      <c r="S174" s="170">
        <f t="shared" si="71"/>
        <v>397</v>
      </c>
      <c r="T174" s="170">
        <f t="shared" si="71"/>
        <v>-741</v>
      </c>
      <c r="V174" s="170">
        <f>V173+V172</f>
        <v>628</v>
      </c>
      <c r="W174" s="170">
        <f>W173+W172</f>
        <v>545</v>
      </c>
      <c r="Y174" s="25">
        <f t="shared" si="69"/>
        <v>-0.13216560509554143</v>
      </c>
    </row>
    <row r="175" spans="2:25" ht="7.5" customHeight="1" thickBot="1" x14ac:dyDescent="0.3">
      <c r="B175" s="172"/>
      <c r="C175" s="173"/>
      <c r="D175" s="173"/>
      <c r="E175" s="173"/>
      <c r="F175" s="173"/>
      <c r="G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V175" s="173"/>
      <c r="W175" s="173"/>
      <c r="Y175" s="40"/>
    </row>
    <row r="176" spans="2:25" x14ac:dyDescent="0.25">
      <c r="B176" s="163" t="s">
        <v>100</v>
      </c>
      <c r="C176" s="175">
        <f>+C174+C162+C146</f>
        <v>6077</v>
      </c>
      <c r="D176" s="175">
        <f>+D174+D162+D146</f>
        <v>9950</v>
      </c>
      <c r="E176" s="175">
        <f>+E174+E162+E146</f>
        <v>18013</v>
      </c>
      <c r="F176" s="175">
        <f>+F174+F162+F146</f>
        <v>21581</v>
      </c>
      <c r="G176" s="175">
        <f>+G174+G162+G146</f>
        <v>26274</v>
      </c>
      <c r="I176" s="175">
        <f t="shared" ref="I176:T176" si="72">+I174+I162+I146</f>
        <v>11333</v>
      </c>
      <c r="J176" s="175">
        <f t="shared" si="72"/>
        <v>13328</v>
      </c>
      <c r="K176" s="175">
        <f t="shared" si="72"/>
        <v>16048</v>
      </c>
      <c r="L176" s="175">
        <f t="shared" si="72"/>
        <v>-22696</v>
      </c>
      <c r="M176" s="175">
        <f t="shared" si="72"/>
        <v>18810</v>
      </c>
      <c r="N176" s="175">
        <f t="shared" si="72"/>
        <v>19698</v>
      </c>
      <c r="O176" s="175">
        <f t="shared" si="72"/>
        <v>20670</v>
      </c>
      <c r="P176" s="175">
        <f t="shared" si="72"/>
        <v>-37597</v>
      </c>
      <c r="Q176" s="175">
        <f t="shared" si="72"/>
        <v>23058</v>
      </c>
      <c r="R176" s="175">
        <f t="shared" si="72"/>
        <v>24469</v>
      </c>
      <c r="S176" s="175">
        <f t="shared" si="72"/>
        <v>24670</v>
      </c>
      <c r="T176" s="175">
        <f t="shared" si="72"/>
        <v>-45923</v>
      </c>
      <c r="V176" s="175">
        <f>+V174+V162+V146</f>
        <v>23291</v>
      </c>
      <c r="W176" s="175">
        <f>+W174+W162+W146</f>
        <v>25388</v>
      </c>
      <c r="Y176" s="25">
        <f t="shared" si="69"/>
        <v>9.0034777381821307E-2</v>
      </c>
    </row>
    <row r="177" spans="2:25" x14ac:dyDescent="0.25">
      <c r="B177" s="105" t="s">
        <v>101</v>
      </c>
      <c r="C177" s="168">
        <v>2.54</v>
      </c>
      <c r="D177" s="168">
        <v>2.66</v>
      </c>
      <c r="E177" s="168">
        <v>2.86</v>
      </c>
      <c r="F177" s="168">
        <v>3.1</v>
      </c>
      <c r="G177" s="168">
        <v>3.3</v>
      </c>
      <c r="I177" s="168">
        <v>0.68</v>
      </c>
      <c r="J177" s="168">
        <v>0.68</v>
      </c>
      <c r="K177" s="168">
        <v>0.75</v>
      </c>
      <c r="L177" s="178">
        <f>SUM(E177-SUM(I177:K177))</f>
        <v>0.74999999999999956</v>
      </c>
      <c r="M177" s="168">
        <v>0.75</v>
      </c>
      <c r="N177" s="168">
        <v>0.75</v>
      </c>
      <c r="O177" s="168">
        <v>0.8</v>
      </c>
      <c r="P177" s="178">
        <f>SUM(F177-SUM(M177:O177))</f>
        <v>0.80000000000000027</v>
      </c>
      <c r="Q177" s="168">
        <v>0.8</v>
      </c>
      <c r="R177" s="168">
        <v>0.8</v>
      </c>
      <c r="S177" s="168">
        <v>0.85</v>
      </c>
      <c r="T177" s="178">
        <f>SUM(G177-SUM(Q177:S177))</f>
        <v>0.84999999999999964</v>
      </c>
      <c r="V177" s="182">
        <f>SUM(M177:P177)</f>
        <v>3.1</v>
      </c>
      <c r="W177" s="182">
        <f>SUM(Q177:T177)</f>
        <v>3.3</v>
      </c>
      <c r="Y177" s="25">
        <f t="shared" si="69"/>
        <v>6.4516129032258007E-2</v>
      </c>
    </row>
  </sheetData>
  <mergeCells count="1">
    <mergeCell ref="Y7:Y8"/>
  </mergeCells>
  <conditionalFormatting sqref="C9:R9">
    <cfRule type="timePeriod" dxfId="3" priority="4" timePeriod="lastWeek">
      <formula>AND(TODAY()-ROUNDDOWN(C9,0)&gt;=(WEEKDAY(TODAY())),TODAY()-ROUNDDOWN(C9,0)&lt;(WEEKDAY(TODAY())+7))</formula>
    </cfRule>
  </conditionalFormatting>
  <conditionalFormatting sqref="C8:W8">
    <cfRule type="timePeriod" dxfId="2" priority="1" timePeriod="lastWeek">
      <formula>AND(TODAY()-ROUNDDOWN(C8,0)&gt;=(WEEKDAY(TODAY())),TODAY()-ROUNDDOWN(C8,0)&lt;(WEEKDAY(TODAY())+7))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94F6-74FE-4040-A848-785E57806080}">
  <dimension ref="A2:AB35"/>
  <sheetViews>
    <sheetView showGridLines="0" zoomScaleNormal="100" workbookViewId="0">
      <selection activeCell="A31" sqref="A31"/>
    </sheetView>
  </sheetViews>
  <sheetFormatPr defaultRowHeight="15" x14ac:dyDescent="0.25"/>
  <cols>
    <col min="1" max="1" width="4.5703125" customWidth="1"/>
    <col min="2" max="2" width="60.5703125" bestFit="1" customWidth="1"/>
    <col min="3" max="7" width="12.5703125" bestFit="1" customWidth="1"/>
    <col min="8" max="8" width="1.5703125" customWidth="1"/>
    <col min="9" max="10" width="10.7109375" bestFit="1" customWidth="1"/>
    <col min="11" max="11" width="11.85546875" bestFit="1" customWidth="1"/>
    <col min="12" max="14" width="10.7109375" bestFit="1" customWidth="1"/>
    <col min="15" max="15" width="11.85546875" bestFit="1" customWidth="1"/>
    <col min="16" max="18" width="10.7109375" bestFit="1" customWidth="1"/>
    <col min="19" max="20" width="10.7109375" customWidth="1"/>
    <col min="21" max="21" width="2.140625" customWidth="1"/>
    <col min="22" max="22" width="10.7109375" bestFit="1" customWidth="1"/>
    <col min="23" max="23" width="11.140625" bestFit="1" customWidth="1"/>
    <col min="24" max="24" width="2.28515625" customWidth="1"/>
  </cols>
  <sheetData>
    <row r="2" spans="1:28" x14ac:dyDescent="0.25">
      <c r="A2" s="6"/>
      <c r="B2" s="7" t="s">
        <v>58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6"/>
      <c r="Y2" s="6"/>
      <c r="Z2" s="6"/>
      <c r="AA2" s="6"/>
      <c r="AB2" s="6"/>
    </row>
    <row r="3" spans="1:28" x14ac:dyDescent="0.25">
      <c r="A3" s="6"/>
      <c r="B3" s="9" t="s">
        <v>14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6"/>
      <c r="Y3" s="6"/>
      <c r="Z3" s="6"/>
      <c r="AA3" s="6"/>
      <c r="AB3" s="6"/>
    </row>
    <row r="4" spans="1:28" ht="3" customHeight="1" x14ac:dyDescent="0.25">
      <c r="A4" s="6"/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thickBot="1" x14ac:dyDescent="0.3">
      <c r="A5" s="6"/>
      <c r="B5" s="11"/>
      <c r="C5" s="11"/>
      <c r="D5" s="11"/>
      <c r="E5" s="11" t="s">
        <v>4</v>
      </c>
      <c r="F5" s="11"/>
      <c r="G5" s="11"/>
      <c r="H5" s="6"/>
      <c r="I5" s="11" t="s">
        <v>5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6"/>
      <c r="V5" s="11" t="s">
        <v>6</v>
      </c>
      <c r="W5" s="11"/>
      <c r="X5" s="12"/>
      <c r="Y5" s="11" t="s">
        <v>15</v>
      </c>
      <c r="Z5" s="6"/>
      <c r="AA5" s="6"/>
      <c r="AB5" s="6"/>
    </row>
    <row r="6" spans="1:28" ht="6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6" t="s">
        <v>16</v>
      </c>
      <c r="B7" s="132" t="s">
        <v>105</v>
      </c>
      <c r="C7" s="133" t="s">
        <v>104</v>
      </c>
      <c r="D7" s="133" t="s">
        <v>74</v>
      </c>
      <c r="E7" s="133" t="s">
        <v>18</v>
      </c>
      <c r="F7" s="133" t="s">
        <v>19</v>
      </c>
      <c r="G7" s="133" t="s">
        <v>20</v>
      </c>
      <c r="H7" s="6"/>
      <c r="I7" s="133" t="s">
        <v>59</v>
      </c>
      <c r="J7" s="133" t="s">
        <v>60</v>
      </c>
      <c r="K7" s="133" t="s">
        <v>61</v>
      </c>
      <c r="L7" s="133" t="s">
        <v>62</v>
      </c>
      <c r="M7" s="133" t="s">
        <v>63</v>
      </c>
      <c r="N7" s="133" t="s">
        <v>64</v>
      </c>
      <c r="O7" s="133" t="s">
        <v>65</v>
      </c>
      <c r="P7" s="133" t="s">
        <v>66</v>
      </c>
      <c r="Q7" s="133" t="s">
        <v>67</v>
      </c>
      <c r="R7" s="133" t="s">
        <v>68</v>
      </c>
      <c r="S7" s="133" t="s">
        <v>69</v>
      </c>
      <c r="T7" s="133" t="s">
        <v>103</v>
      </c>
      <c r="U7" s="150"/>
      <c r="V7" s="13" t="str">
        <f>O7</f>
        <v>3Q23</v>
      </c>
      <c r="W7" s="13" t="str">
        <f>T7</f>
        <v>4Q24</v>
      </c>
      <c r="X7" s="14"/>
      <c r="Y7" s="185" t="s">
        <v>21</v>
      </c>
      <c r="Z7" s="6"/>
      <c r="AA7" s="6"/>
      <c r="AB7" s="6"/>
    </row>
    <row r="8" spans="1:28" x14ac:dyDescent="0.25">
      <c r="A8" s="6"/>
      <c r="B8" s="15" t="s">
        <v>73</v>
      </c>
      <c r="C8" s="134">
        <v>43830</v>
      </c>
      <c r="D8" s="134">
        <v>44196</v>
      </c>
      <c r="E8" s="134">
        <v>44561</v>
      </c>
      <c r="F8" s="134">
        <v>44926</v>
      </c>
      <c r="G8" s="134">
        <v>45291</v>
      </c>
      <c r="H8" s="6"/>
      <c r="I8" s="135">
        <v>44651</v>
      </c>
      <c r="J8" s="135">
        <v>44742</v>
      </c>
      <c r="K8" s="135">
        <v>44834</v>
      </c>
      <c r="L8" s="135">
        <v>44926</v>
      </c>
      <c r="M8" s="135">
        <v>45016</v>
      </c>
      <c r="N8" s="135">
        <v>45107</v>
      </c>
      <c r="O8" s="135">
        <v>45199</v>
      </c>
      <c r="P8" s="135">
        <v>45291</v>
      </c>
      <c r="Q8" s="135">
        <v>45382</v>
      </c>
      <c r="R8" s="135">
        <v>45473</v>
      </c>
      <c r="S8" s="135">
        <v>45565</v>
      </c>
      <c r="T8" s="135">
        <v>45657</v>
      </c>
      <c r="U8" s="151"/>
      <c r="V8" s="16">
        <f>O8</f>
        <v>45199</v>
      </c>
      <c r="W8" s="16">
        <f>T8</f>
        <v>45657</v>
      </c>
      <c r="X8" s="17"/>
      <c r="Y8" s="185"/>
      <c r="Z8" s="6"/>
      <c r="AA8" s="6"/>
      <c r="AB8" s="6"/>
    </row>
    <row r="9" spans="1:28" x14ac:dyDescent="0.25">
      <c r="A9" s="6"/>
      <c r="B9" s="2" t="s">
        <v>7</v>
      </c>
      <c r="C9" s="136">
        <f>'Base Financials '!C10</f>
        <v>9709003</v>
      </c>
      <c r="D9" s="136">
        <f>'Base Financials '!D10</f>
        <v>10106321</v>
      </c>
      <c r="E9" s="136">
        <f>'Base Financials '!E10</f>
        <v>10997989</v>
      </c>
      <c r="F9" s="136">
        <f>'Base Financials '!F10</f>
        <v>11154722</v>
      </c>
      <c r="G9" s="136">
        <f>'Base Financials '!G10</f>
        <v>11287607</v>
      </c>
      <c r="H9" s="136">
        <f>'Base Financials '!H10</f>
        <v>0</v>
      </c>
      <c r="I9" s="136">
        <f>'Base Financials '!I10</f>
        <v>0</v>
      </c>
      <c r="J9" s="136">
        <f>'Base Financials '!J10</f>
        <v>0</v>
      </c>
      <c r="K9" s="136">
        <f>'Base Financials '!K10</f>
        <v>0</v>
      </c>
      <c r="L9" s="136">
        <f>'Base Financials '!L10</f>
        <v>10997989</v>
      </c>
      <c r="M9" s="136">
        <f>'Base Financials '!M10</f>
        <v>0</v>
      </c>
      <c r="N9" s="136">
        <f>'Base Financials '!N10</f>
        <v>0</v>
      </c>
      <c r="O9" s="136">
        <f>'Base Financials '!O10</f>
        <v>0</v>
      </c>
      <c r="P9" s="136">
        <f>'Base Financials '!P10</f>
        <v>11154722</v>
      </c>
      <c r="Q9" s="136">
        <f>'Base Financials '!Q10</f>
        <v>0</v>
      </c>
      <c r="R9" s="136">
        <f>'Base Financials '!R10</f>
        <v>0</v>
      </c>
      <c r="S9" s="136">
        <f>'Base Financials '!S10</f>
        <v>0</v>
      </c>
      <c r="T9" s="136">
        <f>'Base Financials '!T10</f>
        <v>11287607</v>
      </c>
      <c r="U9" s="6"/>
      <c r="V9" s="23">
        <f>SUM(M9:P9)</f>
        <v>11154722</v>
      </c>
      <c r="W9" s="23">
        <f>SUM(Q9:T9)</f>
        <v>11287607</v>
      </c>
      <c r="X9" s="17"/>
      <c r="Y9" s="25">
        <f>SUM(W9/V9)-1</f>
        <v>1.1912892136621611E-2</v>
      </c>
      <c r="Z9" s="6"/>
      <c r="AA9" s="6"/>
      <c r="AB9" s="6"/>
    </row>
    <row r="10" spans="1:28" x14ac:dyDescent="0.25">
      <c r="A10" s="6"/>
      <c r="B10" s="2" t="s">
        <v>8</v>
      </c>
      <c r="C10" s="136">
        <f>'Base Financials '!C15</f>
        <v>-5454257</v>
      </c>
      <c r="D10" s="136">
        <f>'Base Financials '!D15</f>
        <v>-5624707</v>
      </c>
      <c r="E10" s="136">
        <f>'Base Financials '!E15</f>
        <v>-6074039</v>
      </c>
      <c r="F10" s="136">
        <f>'Base Financials '!F15</f>
        <v>-6222487</v>
      </c>
      <c r="G10" s="136">
        <f>'Base Financials '!G15</f>
        <v>-6764105</v>
      </c>
      <c r="H10" s="136">
        <f>'Base Financials '!H15</f>
        <v>0</v>
      </c>
      <c r="I10" s="136">
        <f>'Base Financials '!I15</f>
        <v>0</v>
      </c>
      <c r="J10" s="136">
        <f>'Base Financials '!J15</f>
        <v>0</v>
      </c>
      <c r="K10" s="136">
        <f>'Base Financials '!K15</f>
        <v>0</v>
      </c>
      <c r="L10" s="136">
        <f>'Base Financials '!L15</f>
        <v>-6074039</v>
      </c>
      <c r="M10" s="136">
        <f>'Base Financials '!M15</f>
        <v>0</v>
      </c>
      <c r="N10" s="136">
        <f>'Base Financials '!N15</f>
        <v>0</v>
      </c>
      <c r="O10" s="136">
        <f>'Base Financials '!O15</f>
        <v>0</v>
      </c>
      <c r="P10" s="136">
        <f>'Base Financials '!P15</f>
        <v>-6222487</v>
      </c>
      <c r="Q10" s="136">
        <f>'Base Financials '!Q15</f>
        <v>0</v>
      </c>
      <c r="R10" s="136">
        <f>'Base Financials '!R15</f>
        <v>0</v>
      </c>
      <c r="S10" s="136">
        <f>'Base Financials '!S15</f>
        <v>0</v>
      </c>
      <c r="T10" s="136">
        <f>'Base Financials '!T15</f>
        <v>0</v>
      </c>
      <c r="U10" s="6"/>
      <c r="V10" s="23">
        <f>SUM(M10:P10)</f>
        <v>-6222487</v>
      </c>
      <c r="W10" s="23">
        <f>SUM(Q10:T10)</f>
        <v>0</v>
      </c>
      <c r="X10" s="17"/>
      <c r="Y10" s="25">
        <f>SUM(W10/V10)-1</f>
        <v>-1</v>
      </c>
      <c r="Z10" s="6"/>
      <c r="AA10" s="6"/>
      <c r="AB10" s="6"/>
    </row>
    <row r="11" spans="1:28" x14ac:dyDescent="0.25">
      <c r="A11" s="6"/>
      <c r="B11" s="41" t="s">
        <v>22</v>
      </c>
      <c r="C11" s="28">
        <f>SUM(C9:C10)</f>
        <v>4254746</v>
      </c>
      <c r="D11" s="28">
        <f>SUM(D9:D10)</f>
        <v>4481614</v>
      </c>
      <c r="E11" s="28">
        <f>SUM(E9:E10)</f>
        <v>4923950</v>
      </c>
      <c r="F11" s="28">
        <f>SUM(F9:F10)</f>
        <v>4932235</v>
      </c>
      <c r="G11" s="28">
        <f>SUM(G9:G10)</f>
        <v>4523502</v>
      </c>
      <c r="H11" s="21"/>
      <c r="I11" s="28">
        <f t="shared" ref="I11:R11" si="0">SUM(I9:I10)</f>
        <v>0</v>
      </c>
      <c r="J11" s="28">
        <f t="shared" si="0"/>
        <v>0</v>
      </c>
      <c r="K11" s="28">
        <f t="shared" si="0"/>
        <v>0</v>
      </c>
      <c r="L11" s="28">
        <f t="shared" si="0"/>
        <v>4923950</v>
      </c>
      <c r="M11" s="28">
        <f t="shared" si="0"/>
        <v>0</v>
      </c>
      <c r="N11" s="28">
        <f t="shared" si="0"/>
        <v>0</v>
      </c>
      <c r="O11" s="28">
        <f t="shared" si="0"/>
        <v>0</v>
      </c>
      <c r="P11" s="28">
        <f t="shared" si="0"/>
        <v>4932235</v>
      </c>
      <c r="Q11" s="28">
        <f t="shared" si="0"/>
        <v>0</v>
      </c>
      <c r="R11" s="28">
        <f t="shared" si="0"/>
        <v>0</v>
      </c>
      <c r="S11" s="28">
        <f>SUM(S9:S10)</f>
        <v>0</v>
      </c>
      <c r="T11" s="28">
        <f>SUM(T9:T10)</f>
        <v>11287607</v>
      </c>
      <c r="U11" s="6"/>
      <c r="V11" s="28">
        <f>SUM(V9:V10)</f>
        <v>4932235</v>
      </c>
      <c r="W11" s="28">
        <f>SUM(W9:W10)</f>
        <v>11287607</v>
      </c>
      <c r="X11" s="17"/>
      <c r="Y11" s="30">
        <f>SUM(W11/V11)-1</f>
        <v>1.2885379549027975</v>
      </c>
      <c r="Z11" s="6"/>
      <c r="AA11" s="6"/>
      <c r="AB11" s="6"/>
    </row>
    <row r="12" spans="1:28" ht="15.75" x14ac:dyDescent="0.25">
      <c r="A12" s="6"/>
      <c r="B12" s="38"/>
      <c r="C12" s="136"/>
      <c r="D12" s="136"/>
      <c r="E12" s="136"/>
      <c r="F12" s="136"/>
      <c r="G12" s="136"/>
      <c r="H12" s="21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6"/>
      <c r="V12" s="136"/>
      <c r="W12" s="136"/>
      <c r="X12" s="17"/>
      <c r="Y12" s="137"/>
      <c r="Z12" s="6"/>
      <c r="AA12" s="6"/>
      <c r="AB12" s="6"/>
    </row>
    <row r="13" spans="1:28" x14ac:dyDescent="0.25">
      <c r="B13" s="38" t="s">
        <v>26</v>
      </c>
      <c r="C13" s="17"/>
      <c r="D13" s="17"/>
      <c r="E13" s="17"/>
      <c r="F13" s="17"/>
      <c r="G13" s="17"/>
      <c r="H13" s="6"/>
      <c r="I13" s="19"/>
      <c r="J13" s="138"/>
      <c r="K13" s="138"/>
      <c r="L13" s="33"/>
      <c r="M13" s="33"/>
      <c r="N13" s="33"/>
      <c r="O13" s="33"/>
      <c r="P13" s="33"/>
      <c r="Q13" s="33"/>
      <c r="R13" s="33"/>
      <c r="S13" s="33"/>
      <c r="T13" s="33"/>
      <c r="U13" s="6"/>
      <c r="V13" s="19"/>
      <c r="W13" s="19"/>
    </row>
    <row r="14" spans="1:28" x14ac:dyDescent="0.25">
      <c r="B14" s="26" t="e">
        <f>'Base Financials '!#REF!</f>
        <v>#REF!</v>
      </c>
      <c r="C14" s="136" t="e">
        <f>'Base Financials '!#REF!</f>
        <v>#REF!</v>
      </c>
      <c r="D14" s="136" t="e">
        <f>'Base Financials '!#REF!</f>
        <v>#REF!</v>
      </c>
      <c r="E14" s="136" t="e">
        <f>'Base Financials '!#REF!</f>
        <v>#REF!</v>
      </c>
      <c r="F14" s="136" t="e">
        <f>'Base Financials '!#REF!</f>
        <v>#REF!</v>
      </c>
      <c r="G14" s="136" t="e">
        <f>'Base Financials '!#REF!</f>
        <v>#REF!</v>
      </c>
      <c r="H14" s="136" t="e">
        <f>'Base Financials '!#REF!</f>
        <v>#REF!</v>
      </c>
      <c r="I14" s="136" t="e">
        <f>'Base Financials '!#REF!</f>
        <v>#REF!</v>
      </c>
      <c r="J14" s="136" t="e">
        <f>'Base Financials '!#REF!</f>
        <v>#REF!</v>
      </c>
      <c r="K14" s="136" t="e">
        <f>'Base Financials '!#REF!</f>
        <v>#REF!</v>
      </c>
      <c r="L14" s="136" t="e">
        <f>'Base Financials '!#REF!</f>
        <v>#REF!</v>
      </c>
      <c r="M14" s="136" t="e">
        <f>'Base Financials '!#REF!</f>
        <v>#REF!</v>
      </c>
      <c r="N14" s="136" t="e">
        <f>'Base Financials '!#REF!</f>
        <v>#REF!</v>
      </c>
      <c r="O14" s="136" t="e">
        <f>'Base Financials '!#REF!</f>
        <v>#REF!</v>
      </c>
      <c r="P14" s="136" t="e">
        <f>'Base Financials '!#REF!</f>
        <v>#REF!</v>
      </c>
      <c r="Q14" s="136" t="e">
        <f>'Base Financials '!#REF!</f>
        <v>#REF!</v>
      </c>
      <c r="R14" s="136" t="e">
        <f>'Base Financials '!#REF!</f>
        <v>#REF!</v>
      </c>
      <c r="S14" s="136" t="e">
        <f>'Base Financials '!#REF!</f>
        <v>#REF!</v>
      </c>
      <c r="T14" s="136" t="e">
        <f>'Base Financials '!#REF!</f>
        <v>#REF!</v>
      </c>
      <c r="U14" s="6"/>
      <c r="V14" s="23" t="e">
        <f>SUM(M14:P14)</f>
        <v>#REF!</v>
      </c>
      <c r="W14" s="23" t="e">
        <f>SUM(Q14:T14)</f>
        <v>#REF!</v>
      </c>
      <c r="Y14" s="25" t="e">
        <f>SUM(W14/V14)-1</f>
        <v>#REF!</v>
      </c>
    </row>
    <row r="15" spans="1:28" x14ac:dyDescent="0.25">
      <c r="B15" s="26" t="e">
        <f>'Base Financials '!#REF!</f>
        <v>#REF!</v>
      </c>
      <c r="C15" s="136" t="e">
        <f>'Base Financials '!#REF!</f>
        <v>#REF!</v>
      </c>
      <c r="D15" s="136" t="e">
        <f>'Base Financials '!#REF!</f>
        <v>#REF!</v>
      </c>
      <c r="E15" s="136" t="e">
        <f>'Base Financials '!#REF!</f>
        <v>#REF!</v>
      </c>
      <c r="F15" s="136" t="e">
        <f>'Base Financials '!#REF!</f>
        <v>#REF!</v>
      </c>
      <c r="G15" s="136" t="e">
        <f>'Base Financials '!#REF!</f>
        <v>#REF!</v>
      </c>
      <c r="H15" s="136" t="e">
        <f>'Base Financials '!#REF!</f>
        <v>#REF!</v>
      </c>
      <c r="I15" s="136" t="e">
        <f>'Base Financials '!#REF!</f>
        <v>#REF!</v>
      </c>
      <c r="J15" s="136" t="e">
        <f>'Base Financials '!#REF!</f>
        <v>#REF!</v>
      </c>
      <c r="K15" s="136" t="e">
        <f>'Base Financials '!#REF!</f>
        <v>#REF!</v>
      </c>
      <c r="L15" s="136" t="e">
        <f>'Base Financials '!#REF!</f>
        <v>#REF!</v>
      </c>
      <c r="M15" s="136" t="e">
        <f>'Base Financials '!#REF!</f>
        <v>#REF!</v>
      </c>
      <c r="N15" s="136" t="e">
        <f>'Base Financials '!#REF!</f>
        <v>#REF!</v>
      </c>
      <c r="O15" s="136" t="e">
        <f>'Base Financials '!#REF!</f>
        <v>#REF!</v>
      </c>
      <c r="P15" s="136" t="e">
        <f>'Base Financials '!#REF!</f>
        <v>#REF!</v>
      </c>
      <c r="Q15" s="136" t="e">
        <f>'Base Financials '!#REF!</f>
        <v>#REF!</v>
      </c>
      <c r="R15" s="136" t="e">
        <f>'Base Financials '!#REF!</f>
        <v>#REF!</v>
      </c>
      <c r="S15" s="136" t="e">
        <f>'Base Financials '!#REF!</f>
        <v>#REF!</v>
      </c>
      <c r="T15" s="136" t="e">
        <f>'Base Financials '!#REF!</f>
        <v>#REF!</v>
      </c>
      <c r="U15" s="6"/>
      <c r="V15" s="23" t="e">
        <f>SUM(M15:P15)</f>
        <v>#REF!</v>
      </c>
      <c r="W15" s="23" t="e">
        <f>SUM(Q15:T15)</f>
        <v>#REF!</v>
      </c>
      <c r="Y15" s="25" t="e">
        <f>SUM(W15/V15)-1</f>
        <v>#REF!</v>
      </c>
    </row>
    <row r="16" spans="1:28" x14ac:dyDescent="0.25">
      <c r="B16" s="26" t="str">
        <f>'Base Financials '!B21</f>
        <v>Selling, general and administrative expenses</v>
      </c>
      <c r="C16" s="136">
        <f>'Base Financials '!C21</f>
        <v>-3577566</v>
      </c>
      <c r="D16" s="136">
        <f>'Base Financials '!D21</f>
        <v>0</v>
      </c>
      <c r="E16" s="136">
        <f>'Base Financials '!E21</f>
        <v>-4101585</v>
      </c>
      <c r="F16" s="136">
        <f>'Base Financials '!F21</f>
        <v>-4261982</v>
      </c>
      <c r="G16" s="136">
        <f>'Base Financials '!G21</f>
        <v>-4409125</v>
      </c>
      <c r="H16" s="136">
        <f>'Base Financials '!H21</f>
        <v>0</v>
      </c>
      <c r="I16" s="136">
        <f>'Base Financials '!I21</f>
        <v>0</v>
      </c>
      <c r="J16" s="136">
        <f>'Base Financials '!J21</f>
        <v>0</v>
      </c>
      <c r="K16" s="136">
        <f>'Base Financials '!K21</f>
        <v>0</v>
      </c>
      <c r="L16" s="136">
        <f>'Base Financials '!L21</f>
        <v>-4101585</v>
      </c>
      <c r="M16" s="136">
        <f>'Base Financials '!M21</f>
        <v>0</v>
      </c>
      <c r="N16" s="136">
        <f>'Base Financials '!N21</f>
        <v>0</v>
      </c>
      <c r="O16" s="136">
        <f>'Base Financials '!O21</f>
        <v>0</v>
      </c>
      <c r="P16" s="136">
        <f>'Base Financials '!P21</f>
        <v>-4261982</v>
      </c>
      <c r="Q16" s="136">
        <f>'Base Financials '!Q21</f>
        <v>0</v>
      </c>
      <c r="R16" s="136">
        <f>'Base Financials '!R21</f>
        <v>0</v>
      </c>
      <c r="S16" s="136">
        <f>'Base Financials '!S21</f>
        <v>0</v>
      </c>
      <c r="T16" s="136">
        <f>'Base Financials '!T21</f>
        <v>-4409125</v>
      </c>
      <c r="U16" s="6"/>
      <c r="V16" s="23">
        <f>SUM(M16:P16)</f>
        <v>-4261982</v>
      </c>
      <c r="W16" s="23">
        <f>SUM(Q16:T16)</f>
        <v>-4409125</v>
      </c>
      <c r="Y16" s="25">
        <f>SUM(W16/V16)-1</f>
        <v>3.4524547499262148E-2</v>
      </c>
    </row>
    <row r="17" spans="2:25" x14ac:dyDescent="0.25">
      <c r="B17" s="41" t="s">
        <v>27</v>
      </c>
      <c r="C17" s="28" t="e">
        <f>SUM(C11+SUM((C14:C16)))</f>
        <v>#REF!</v>
      </c>
      <c r="D17" s="28" t="e">
        <f>SUM(D11+SUM((D14:D16)))</f>
        <v>#REF!</v>
      </c>
      <c r="E17" s="28" t="e">
        <f>SUM(E11+SUM((E14:E16)))</f>
        <v>#REF!</v>
      </c>
      <c r="F17" s="28" t="e">
        <f>SUM(F11+SUM((F14:F16)))</f>
        <v>#REF!</v>
      </c>
      <c r="G17" s="28" t="e">
        <f>SUM(G11+SUM((G14:G16)))</f>
        <v>#REF!</v>
      </c>
      <c r="H17" s="21"/>
      <c r="I17" s="28" t="e">
        <f t="shared" ref="I17:T17" si="1">SUM(I11+SUM((I14:I16)))</f>
        <v>#REF!</v>
      </c>
      <c r="J17" s="28" t="e">
        <f t="shared" si="1"/>
        <v>#REF!</v>
      </c>
      <c r="K17" s="28" t="e">
        <f t="shared" si="1"/>
        <v>#REF!</v>
      </c>
      <c r="L17" s="28" t="e">
        <f t="shared" si="1"/>
        <v>#REF!</v>
      </c>
      <c r="M17" s="28" t="e">
        <f t="shared" si="1"/>
        <v>#REF!</v>
      </c>
      <c r="N17" s="28" t="e">
        <f t="shared" si="1"/>
        <v>#REF!</v>
      </c>
      <c r="O17" s="28" t="e">
        <f t="shared" si="1"/>
        <v>#REF!</v>
      </c>
      <c r="P17" s="28" t="e">
        <f t="shared" si="1"/>
        <v>#REF!</v>
      </c>
      <c r="Q17" s="28" t="e">
        <f t="shared" si="1"/>
        <v>#REF!</v>
      </c>
      <c r="R17" s="28" t="e">
        <f t="shared" si="1"/>
        <v>#REF!</v>
      </c>
      <c r="S17" s="28" t="e">
        <f t="shared" si="1"/>
        <v>#REF!</v>
      </c>
      <c r="T17" s="28" t="e">
        <f t="shared" si="1"/>
        <v>#REF!</v>
      </c>
      <c r="U17" s="6"/>
      <c r="V17" s="28" t="e">
        <f>SUM(V11+SUM((V14:V16)))</f>
        <v>#REF!</v>
      </c>
      <c r="W17" s="28" t="e">
        <f>SUM(W11+SUM((W14:W16)))</f>
        <v>#REF!</v>
      </c>
      <c r="Y17" s="30" t="e">
        <f>SUM(W17/V17)-1</f>
        <v>#REF!</v>
      </c>
    </row>
    <row r="18" spans="2:25" x14ac:dyDescent="0.25">
      <c r="B18" s="31" t="s">
        <v>23</v>
      </c>
      <c r="C18" s="32"/>
      <c r="D18" s="32"/>
      <c r="E18" s="32"/>
      <c r="F18" s="33" t="e">
        <f>F17/E17-1</f>
        <v>#REF!</v>
      </c>
      <c r="G18" s="33" t="e">
        <f>G17/F17-1</f>
        <v>#REF!</v>
      </c>
      <c r="H18" s="33"/>
      <c r="I18" s="33"/>
      <c r="J18" s="33" t="e">
        <f t="shared" ref="J18:R18" si="2">J17/I17-1</f>
        <v>#REF!</v>
      </c>
      <c r="K18" s="33" t="e">
        <f t="shared" si="2"/>
        <v>#REF!</v>
      </c>
      <c r="L18" s="33" t="e">
        <f t="shared" si="2"/>
        <v>#REF!</v>
      </c>
      <c r="M18" s="33" t="e">
        <f t="shared" si="2"/>
        <v>#REF!</v>
      </c>
      <c r="N18" s="33" t="e">
        <f t="shared" si="2"/>
        <v>#REF!</v>
      </c>
      <c r="O18" s="33" t="e">
        <f t="shared" si="2"/>
        <v>#REF!</v>
      </c>
      <c r="P18" s="33" t="e">
        <f>P17/O17-1</f>
        <v>#REF!</v>
      </c>
      <c r="Q18" s="33" t="e">
        <f t="shared" si="2"/>
        <v>#REF!</v>
      </c>
      <c r="R18" s="33" t="e">
        <f t="shared" si="2"/>
        <v>#REF!</v>
      </c>
      <c r="S18" s="33" t="e">
        <f>S17/Q17-1</f>
        <v>#REF!</v>
      </c>
      <c r="T18" s="33" t="e">
        <f>T17/R17-1</f>
        <v>#REF!</v>
      </c>
      <c r="U18" s="6"/>
      <c r="V18" s="6"/>
      <c r="W18" s="33" t="e">
        <f>W17/V17-1</f>
        <v>#REF!</v>
      </c>
    </row>
    <row r="19" spans="2:25" x14ac:dyDescent="0.25">
      <c r="B19" s="38" t="s">
        <v>9</v>
      </c>
    </row>
    <row r="20" spans="2:25" x14ac:dyDescent="0.25">
      <c r="B20" s="26" t="str">
        <f>'Base Financials '!B27</f>
        <v>Interest expense</v>
      </c>
      <c r="C20" s="136">
        <f>'Base Financials '!C27</f>
        <v>-39898</v>
      </c>
      <c r="D20" s="136">
        <f>'Base Financials '!D27</f>
        <v>0</v>
      </c>
      <c r="E20" s="136">
        <f>'Base Financials '!E27</f>
        <v>-37791</v>
      </c>
      <c r="F20" s="136">
        <f>'Base Financials '!F27</f>
        <v>-51060</v>
      </c>
      <c r="G20" s="136">
        <f>'Base Financials '!G27</f>
        <v>-88055</v>
      </c>
      <c r="H20" s="136">
        <f>'Base Financials '!H27</f>
        <v>0</v>
      </c>
      <c r="I20" s="136">
        <f>'Base Financials '!I27</f>
        <v>0</v>
      </c>
      <c r="J20" s="136">
        <f>'Base Financials '!J27</f>
        <v>0</v>
      </c>
      <c r="K20" s="136">
        <f>'Base Financials '!K27</f>
        <v>0</v>
      </c>
      <c r="L20" s="136">
        <f>'Base Financials '!L27</f>
        <v>-37791</v>
      </c>
      <c r="M20" s="136">
        <f>'Base Financials '!M27</f>
        <v>0</v>
      </c>
      <c r="N20" s="136">
        <f>'Base Financials '!N27</f>
        <v>0</v>
      </c>
      <c r="O20" s="136">
        <f>'Base Financials '!O27</f>
        <v>0</v>
      </c>
      <c r="P20" s="136">
        <f>'Base Financials '!P27</f>
        <v>-51060</v>
      </c>
      <c r="Q20" s="136">
        <f>'Base Financials '!Q27</f>
        <v>0</v>
      </c>
      <c r="R20" s="136">
        <f>'Base Financials '!R27</f>
        <v>0</v>
      </c>
      <c r="S20" s="136">
        <f>'Base Financials '!S27</f>
        <v>0</v>
      </c>
      <c r="T20" s="136">
        <f>'Base Financials '!T27</f>
        <v>-88055</v>
      </c>
      <c r="U20" s="6"/>
      <c r="V20" s="23">
        <f>SUM(M20:P20)</f>
        <v>-51060</v>
      </c>
      <c r="W20" s="23">
        <f>SUM(Q20:T20)</f>
        <v>-88055</v>
      </c>
      <c r="Y20" s="25">
        <f>SUM(W20/V20)-1</f>
        <v>0.72453975714845287</v>
      </c>
    </row>
    <row r="21" spans="2:25" x14ac:dyDescent="0.25">
      <c r="B21" s="26" t="str">
        <f>'Base Financials '!B28</f>
        <v>Loss on early redemptions of senior unsecured notes</v>
      </c>
      <c r="C21" s="136">
        <f>'Base Financials '!C28</f>
        <v>0</v>
      </c>
      <c r="D21" s="136">
        <f>'Base Financials '!D28</f>
        <v>0</v>
      </c>
      <c r="E21" s="136">
        <f>'Base Financials '!E28</f>
        <v>0</v>
      </c>
      <c r="F21" s="136">
        <f>'Base Financials '!F28</f>
        <v>-7408</v>
      </c>
      <c r="G21" s="136">
        <f>'Base Financials '!G28</f>
        <v>0</v>
      </c>
      <c r="H21" s="136">
        <f>'Base Financials '!H28</f>
        <v>0</v>
      </c>
      <c r="I21" s="136">
        <f>'Base Financials '!I28</f>
        <v>0</v>
      </c>
      <c r="J21" s="136">
        <f>'Base Financials '!J28</f>
        <v>0</v>
      </c>
      <c r="K21" s="136">
        <f>'Base Financials '!K28</f>
        <v>0</v>
      </c>
      <c r="L21" s="136">
        <f>'Base Financials '!L28</f>
        <v>0</v>
      </c>
      <c r="M21" s="136">
        <f>'Base Financials '!M28</f>
        <v>0</v>
      </c>
      <c r="N21" s="136">
        <f>'Base Financials '!N28</f>
        <v>0</v>
      </c>
      <c r="O21" s="136">
        <f>'Base Financials '!O28</f>
        <v>0</v>
      </c>
      <c r="P21" s="136">
        <f>'Base Financials '!P28</f>
        <v>-7408</v>
      </c>
      <c r="Q21" s="136">
        <f>'Base Financials '!Q28</f>
        <v>0</v>
      </c>
      <c r="R21" s="136">
        <f>'Base Financials '!R28</f>
        <v>0</v>
      </c>
      <c r="S21" s="136">
        <f>'Base Financials '!S28</f>
        <v>0</v>
      </c>
      <c r="T21" s="136">
        <f>'Base Financials '!T28</f>
        <v>0</v>
      </c>
      <c r="U21" s="6"/>
      <c r="V21" s="23">
        <f>SUM(M21:P21)</f>
        <v>-7408</v>
      </c>
      <c r="W21" s="23">
        <f>SUM(Q21:T21)</f>
        <v>0</v>
      </c>
      <c r="Y21" s="25"/>
    </row>
    <row r="22" spans="2:25" x14ac:dyDescent="0.25">
      <c r="B22" s="26" t="str">
        <f>'Base Financials '!B29</f>
        <v>Other income (expense), net</v>
      </c>
      <c r="C22" s="136">
        <f>'Base Financials '!C29</f>
        <v>464</v>
      </c>
      <c r="D22" s="136">
        <f>'Base Financials '!D29</f>
        <v>0</v>
      </c>
      <c r="E22" s="136">
        <f>'Base Financials '!E29</f>
        <v>-2081</v>
      </c>
      <c r="F22" s="136">
        <f>'Base Financials '!F29</f>
        <v>-7423</v>
      </c>
      <c r="G22" s="136">
        <f>'Base Financials '!G29</f>
        <v>5525</v>
      </c>
      <c r="H22" s="136">
        <f>'Base Financials '!H29</f>
        <v>0</v>
      </c>
      <c r="I22" s="136">
        <f>'Base Financials '!I29</f>
        <v>0</v>
      </c>
      <c r="J22" s="136">
        <f>'Base Financials '!J29</f>
        <v>0</v>
      </c>
      <c r="K22" s="136">
        <f>'Base Financials '!K29</f>
        <v>0</v>
      </c>
      <c r="L22" s="136">
        <f>'Base Financials '!L29</f>
        <v>-2081</v>
      </c>
      <c r="M22" s="136">
        <f>'Base Financials '!M29</f>
        <v>0</v>
      </c>
      <c r="N22" s="136">
        <f>'Base Financials '!N29</f>
        <v>0</v>
      </c>
      <c r="O22" s="136">
        <f>'Base Financials '!O29</f>
        <v>0</v>
      </c>
      <c r="P22" s="136">
        <f>'Base Financials '!P29</f>
        <v>-7423</v>
      </c>
      <c r="Q22" s="136">
        <f>'Base Financials '!Q29</f>
        <v>0</v>
      </c>
      <c r="R22" s="136">
        <f>'Base Financials '!R29</f>
        <v>0</v>
      </c>
      <c r="S22" s="136">
        <f>'Base Financials '!S29</f>
        <v>0</v>
      </c>
      <c r="T22" s="136">
        <f>'Base Financials '!T29</f>
        <v>5525</v>
      </c>
      <c r="U22" s="6"/>
      <c r="V22" s="23">
        <f>SUM(M22:P22)</f>
        <v>-7423</v>
      </c>
      <c r="W22" s="23">
        <f>SUM(Q22:T22)</f>
        <v>5525</v>
      </c>
      <c r="Y22" s="25">
        <f>SUM(W22/V22)-1</f>
        <v>-1.7443082311733802</v>
      </c>
    </row>
    <row r="23" spans="2:25" x14ac:dyDescent="0.25">
      <c r="B23" s="41" t="s">
        <v>51</v>
      </c>
      <c r="C23" s="28" t="e">
        <f>SUM(C17+SUM(C20:C22))</f>
        <v>#REF!</v>
      </c>
      <c r="D23" s="28" t="e">
        <f>SUM(D17+SUM(D20:D22))</f>
        <v>#REF!</v>
      </c>
      <c r="E23" s="28" t="e">
        <f>SUM(E17+SUM(E20:E22))</f>
        <v>#REF!</v>
      </c>
      <c r="F23" s="28" t="e">
        <f>SUM(F17+SUM(F20:F22))</f>
        <v>#REF!</v>
      </c>
      <c r="G23" s="28" t="e">
        <f>SUM(G17+SUM(G20:G22))</f>
        <v>#REF!</v>
      </c>
      <c r="H23" s="6"/>
      <c r="I23" s="28" t="e">
        <f t="shared" ref="I23:T23" si="3">SUM(I17+SUM(I20:I22))</f>
        <v>#REF!</v>
      </c>
      <c r="J23" s="28" t="e">
        <f t="shared" si="3"/>
        <v>#REF!</v>
      </c>
      <c r="K23" s="28" t="e">
        <f t="shared" si="3"/>
        <v>#REF!</v>
      </c>
      <c r="L23" s="28" t="e">
        <f t="shared" si="3"/>
        <v>#REF!</v>
      </c>
      <c r="M23" s="28" t="e">
        <f t="shared" si="3"/>
        <v>#REF!</v>
      </c>
      <c r="N23" s="28" t="e">
        <f t="shared" si="3"/>
        <v>#REF!</v>
      </c>
      <c r="O23" s="28" t="e">
        <f t="shared" si="3"/>
        <v>#REF!</v>
      </c>
      <c r="P23" s="28" t="e">
        <f t="shared" si="3"/>
        <v>#REF!</v>
      </c>
      <c r="Q23" s="28" t="e">
        <f t="shared" si="3"/>
        <v>#REF!</v>
      </c>
      <c r="R23" s="28" t="e">
        <f t="shared" si="3"/>
        <v>#REF!</v>
      </c>
      <c r="S23" s="28" t="e">
        <f>SUM(S17+SUM(S20:S22))</f>
        <v>#REF!</v>
      </c>
      <c r="T23" s="28" t="e">
        <f t="shared" si="3"/>
        <v>#REF!</v>
      </c>
      <c r="U23" s="6"/>
      <c r="V23" s="28" t="e">
        <f>SUM(V17+SUM(V20:V22))</f>
        <v>#REF!</v>
      </c>
      <c r="W23" s="28" t="e">
        <f>SUM(W17+SUM(W20:W22))</f>
        <v>#REF!</v>
      </c>
      <c r="Y23" s="30" t="e">
        <f>SUM(W23/V23)-1</f>
        <v>#REF!</v>
      </c>
    </row>
    <row r="24" spans="2:25" x14ac:dyDescent="0.25">
      <c r="B24" s="31" t="s">
        <v>23</v>
      </c>
      <c r="C24" s="42"/>
      <c r="D24" s="42"/>
      <c r="E24" s="42"/>
      <c r="F24" s="33" t="e">
        <f>F23/E23-1</f>
        <v>#REF!</v>
      </c>
      <c r="G24" s="33" t="e">
        <f>G23/F23-1</f>
        <v>#REF!</v>
      </c>
      <c r="H24" s="33"/>
      <c r="I24" s="33"/>
      <c r="J24" s="33" t="e">
        <f t="shared" ref="J24:R24" si="4">J23/I23-1</f>
        <v>#REF!</v>
      </c>
      <c r="K24" s="33" t="e">
        <f t="shared" si="4"/>
        <v>#REF!</v>
      </c>
      <c r="L24" s="33" t="e">
        <f t="shared" si="4"/>
        <v>#REF!</v>
      </c>
      <c r="M24" s="33" t="e">
        <f t="shared" si="4"/>
        <v>#REF!</v>
      </c>
      <c r="N24" s="33" t="e">
        <f t="shared" si="4"/>
        <v>#REF!</v>
      </c>
      <c r="O24" s="33" t="e">
        <f t="shared" si="4"/>
        <v>#REF!</v>
      </c>
      <c r="P24" s="33" t="e">
        <f t="shared" si="4"/>
        <v>#REF!</v>
      </c>
      <c r="Q24" s="33" t="e">
        <f t="shared" si="4"/>
        <v>#REF!</v>
      </c>
      <c r="R24" s="33" t="e">
        <f t="shared" si="4"/>
        <v>#REF!</v>
      </c>
      <c r="S24" s="33" t="e">
        <f>S23/Q23-1</f>
        <v>#REF!</v>
      </c>
      <c r="T24" s="33" t="e">
        <f>T23/R23-1</f>
        <v>#REF!</v>
      </c>
      <c r="U24" s="6"/>
      <c r="V24" s="6"/>
      <c r="W24" s="33" t="e">
        <f>W23/V23-1</f>
        <v>#REF!</v>
      </c>
    </row>
    <row r="25" spans="2:25" x14ac:dyDescent="0.25">
      <c r="B25" s="3" t="s">
        <v>52</v>
      </c>
      <c r="C25" s="42"/>
      <c r="D25" s="42"/>
      <c r="E25" s="4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6"/>
      <c r="V25" s="6"/>
      <c r="W25" s="33"/>
    </row>
    <row r="26" spans="2:25" x14ac:dyDescent="0.25">
      <c r="B26" s="105" t="str">
        <f>'[1]3-Statement Model '!B101</f>
        <v>Depreciation and amortization</v>
      </c>
      <c r="C26" s="136">
        <f>'Base Financials '!C94</f>
        <v>0</v>
      </c>
      <c r="D26" s="136">
        <f>'Base Financials '!D94</f>
        <v>0</v>
      </c>
      <c r="E26" s="136">
        <f>'Base Financials '!E94</f>
        <v>259933</v>
      </c>
      <c r="F26" s="136">
        <f>'Base Financials '!F94</f>
        <v>283800</v>
      </c>
      <c r="G26" s="136">
        <f>'Base Financials '!G94</f>
        <v>306454</v>
      </c>
      <c r="H26" s="136">
        <f>'Base Financials '!H94</f>
        <v>0</v>
      </c>
      <c r="I26" s="136">
        <f>'Base Financials '!I94</f>
        <v>0</v>
      </c>
      <c r="J26" s="136">
        <f>'Base Financials '!J94</f>
        <v>0</v>
      </c>
      <c r="K26" s="136">
        <f>'Base Financials '!K94</f>
        <v>0</v>
      </c>
      <c r="L26" s="136">
        <f>'Base Financials '!L94</f>
        <v>259933</v>
      </c>
      <c r="M26" s="136">
        <f>'Base Financials '!M94</f>
        <v>0</v>
      </c>
      <c r="N26" s="136">
        <f>'Base Financials '!N94</f>
        <v>0</v>
      </c>
      <c r="O26" s="136">
        <f>'Base Financials '!O94</f>
        <v>0</v>
      </c>
      <c r="P26" s="136">
        <f>'Base Financials '!P94</f>
        <v>283800</v>
      </c>
      <c r="Q26" s="136">
        <f>'Base Financials '!Q94</f>
        <v>0</v>
      </c>
      <c r="R26" s="136">
        <f>'Base Financials '!R94</f>
        <v>0</v>
      </c>
      <c r="S26" s="136">
        <f>'Base Financials '!S94</f>
        <v>0</v>
      </c>
      <c r="T26" s="136">
        <f>'Base Financials '!T94</f>
        <v>306454</v>
      </c>
      <c r="U26" s="6"/>
      <c r="V26" s="23">
        <f>SUM(M26:P26)</f>
        <v>283800</v>
      </c>
      <c r="W26" s="23">
        <f>SUM(Q26:T26)</f>
        <v>306454</v>
      </c>
      <c r="Y26" s="25">
        <f>SUM(W26/V26)-1</f>
        <v>7.9823819591261502E-2</v>
      </c>
    </row>
    <row r="27" spans="2:25" x14ac:dyDescent="0.25">
      <c r="B27" s="45" t="s">
        <v>53</v>
      </c>
      <c r="C27" s="139" t="e">
        <f>SUM(C23+C26)</f>
        <v>#REF!</v>
      </c>
      <c r="D27" s="139" t="e">
        <f>SUM(D23+D26)</f>
        <v>#REF!</v>
      </c>
      <c r="E27" s="139" t="e">
        <f>SUM(E23+E26)</f>
        <v>#REF!</v>
      </c>
      <c r="F27" s="139" t="e">
        <f>SUM(F23+F26)</f>
        <v>#REF!</v>
      </c>
      <c r="G27" s="139" t="e">
        <f>SUM(G23+G26)</f>
        <v>#REF!</v>
      </c>
      <c r="I27" s="139" t="e">
        <f t="shared" ref="I27:S27" si="5">SUM(I23+I26)</f>
        <v>#REF!</v>
      </c>
      <c r="J27" s="139" t="e">
        <f t="shared" si="5"/>
        <v>#REF!</v>
      </c>
      <c r="K27" s="139" t="e">
        <f t="shared" si="5"/>
        <v>#REF!</v>
      </c>
      <c r="L27" s="139" t="e">
        <f t="shared" si="5"/>
        <v>#REF!</v>
      </c>
      <c r="M27" s="139" t="e">
        <f t="shared" si="5"/>
        <v>#REF!</v>
      </c>
      <c r="N27" s="139" t="e">
        <f t="shared" si="5"/>
        <v>#REF!</v>
      </c>
      <c r="O27" s="139" t="e">
        <f t="shared" si="5"/>
        <v>#REF!</v>
      </c>
      <c r="P27" s="139" t="e">
        <f t="shared" si="5"/>
        <v>#REF!</v>
      </c>
      <c r="Q27" s="139" t="e">
        <f t="shared" si="5"/>
        <v>#REF!</v>
      </c>
      <c r="R27" s="139" t="e">
        <f t="shared" si="5"/>
        <v>#REF!</v>
      </c>
      <c r="S27" s="139" t="e">
        <f t="shared" si="5"/>
        <v>#REF!</v>
      </c>
      <c r="T27" s="139" t="e">
        <f>SUM(T23+T26)</f>
        <v>#REF!</v>
      </c>
      <c r="V27" s="139" t="e">
        <f>SUM(V23+V26)</f>
        <v>#REF!</v>
      </c>
      <c r="W27" s="139" t="e">
        <f>SUM(W23+W26)</f>
        <v>#REF!</v>
      </c>
      <c r="Y27" s="30" t="e">
        <f>SUM(W27/V27)-1</f>
        <v>#REF!</v>
      </c>
    </row>
    <row r="28" spans="2:25" x14ac:dyDescent="0.25">
      <c r="B28" s="31" t="s">
        <v>23</v>
      </c>
      <c r="C28" s="42"/>
      <c r="D28" s="42"/>
      <c r="E28" s="42"/>
      <c r="F28" s="33" t="e">
        <f>F27/E27-1</f>
        <v>#REF!</v>
      </c>
      <c r="G28" s="33" t="e">
        <f>G27/F27-1</f>
        <v>#REF!</v>
      </c>
      <c r="H28" s="33"/>
      <c r="I28" s="33"/>
      <c r="J28" s="33" t="e">
        <f t="shared" ref="J28:R28" si="6">J27/I27-1</f>
        <v>#REF!</v>
      </c>
      <c r="K28" s="33" t="e">
        <f t="shared" si="6"/>
        <v>#REF!</v>
      </c>
      <c r="L28" s="33" t="e">
        <f t="shared" si="6"/>
        <v>#REF!</v>
      </c>
      <c r="M28" s="33" t="e">
        <f t="shared" si="6"/>
        <v>#REF!</v>
      </c>
      <c r="N28" s="33" t="e">
        <f t="shared" si="6"/>
        <v>#REF!</v>
      </c>
      <c r="O28" s="33" t="e">
        <f t="shared" si="6"/>
        <v>#REF!</v>
      </c>
      <c r="P28" s="33" t="e">
        <f t="shared" si="6"/>
        <v>#REF!</v>
      </c>
      <c r="Q28" s="33" t="e">
        <f t="shared" si="6"/>
        <v>#REF!</v>
      </c>
      <c r="R28" s="33" t="e">
        <f t="shared" si="6"/>
        <v>#REF!</v>
      </c>
      <c r="S28" s="33" t="e">
        <f>S27/Q27-1</f>
        <v>#REF!</v>
      </c>
      <c r="T28" s="33" t="e">
        <f>T27/R27-1</f>
        <v>#REF!</v>
      </c>
      <c r="U28" s="6"/>
      <c r="V28" s="6"/>
      <c r="W28" s="33" t="e">
        <f>W27/V27-1</f>
        <v>#REF!</v>
      </c>
    </row>
    <row r="29" spans="2:25" x14ac:dyDescent="0.25">
      <c r="B29" s="31" t="s">
        <v>54</v>
      </c>
      <c r="C29" s="33" t="e">
        <f>SUM(C27/C9)</f>
        <v>#REF!</v>
      </c>
      <c r="D29" s="33" t="e">
        <f>SUM(D27/D9)</f>
        <v>#REF!</v>
      </c>
      <c r="E29" s="33" t="e">
        <f>SUM(E27/E9)</f>
        <v>#REF!</v>
      </c>
      <c r="F29" s="33" t="e">
        <f>SUM(F27/F9)</f>
        <v>#REF!</v>
      </c>
      <c r="G29" s="33" t="e">
        <f>SUM(G27/G9)</f>
        <v>#REF!</v>
      </c>
      <c r="H29" s="33"/>
      <c r="I29" s="33" t="e">
        <f t="shared" ref="I29:T29" si="7">SUM(I27/I9)</f>
        <v>#REF!</v>
      </c>
      <c r="J29" s="33" t="e">
        <f t="shared" si="7"/>
        <v>#REF!</v>
      </c>
      <c r="K29" s="33" t="e">
        <f t="shared" si="7"/>
        <v>#REF!</v>
      </c>
      <c r="L29" s="33" t="e">
        <f t="shared" si="7"/>
        <v>#REF!</v>
      </c>
      <c r="M29" s="33" t="e">
        <f t="shared" si="7"/>
        <v>#REF!</v>
      </c>
      <c r="N29" s="33" t="e">
        <f t="shared" si="7"/>
        <v>#REF!</v>
      </c>
      <c r="O29" s="33" t="e">
        <f t="shared" si="7"/>
        <v>#REF!</v>
      </c>
      <c r="P29" s="33" t="e">
        <f t="shared" si="7"/>
        <v>#REF!</v>
      </c>
      <c r="Q29" s="33" t="e">
        <f t="shared" si="7"/>
        <v>#REF!</v>
      </c>
      <c r="R29" s="33" t="e">
        <f t="shared" si="7"/>
        <v>#REF!</v>
      </c>
      <c r="S29" s="33" t="e">
        <f t="shared" si="7"/>
        <v>#REF!</v>
      </c>
      <c r="T29" s="33" t="e">
        <f t="shared" si="7"/>
        <v>#REF!</v>
      </c>
      <c r="U29" s="6"/>
      <c r="V29" s="33" t="e">
        <f>SUM(V27/V9)</f>
        <v>#REF!</v>
      </c>
      <c r="W29" s="33" t="e">
        <f>SUM(W27/W9)</f>
        <v>#REF!</v>
      </c>
    </row>
    <row r="30" spans="2:25" x14ac:dyDescent="0.25">
      <c r="B30" s="3" t="s">
        <v>55</v>
      </c>
      <c r="C30" s="42"/>
      <c r="D30" s="42"/>
      <c r="E30" s="42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6"/>
      <c r="V30" s="6"/>
      <c r="W30" s="33"/>
    </row>
    <row r="31" spans="2:25" x14ac:dyDescent="0.25">
      <c r="B31" s="105" t="str">
        <f>'[1]3-Statement Model '!B102</f>
        <v>Stock-based compensation</v>
      </c>
      <c r="C31" s="136">
        <f>'Base Financials '!C97</f>
        <v>0</v>
      </c>
      <c r="D31" s="136">
        <f>'Base Financials '!D97</f>
        <v>0</v>
      </c>
      <c r="E31" s="136">
        <f>'Base Financials '!E97</f>
        <v>0</v>
      </c>
      <c r="F31" s="136">
        <f>'Base Financials '!F97</f>
        <v>7408</v>
      </c>
      <c r="G31" s="136">
        <f>'Base Financials '!G97</f>
        <v>0</v>
      </c>
      <c r="H31" s="136">
        <f>'Base Financials '!H97</f>
        <v>0</v>
      </c>
      <c r="I31" s="136">
        <f>'Base Financials '!I97</f>
        <v>0</v>
      </c>
      <c r="J31" s="136">
        <f>'Base Financials '!J97</f>
        <v>0</v>
      </c>
      <c r="K31" s="136">
        <f>'Base Financials '!K97</f>
        <v>0</v>
      </c>
      <c r="L31" s="136">
        <f>'Base Financials '!L97</f>
        <v>0</v>
      </c>
      <c r="M31" s="136">
        <f>'Base Financials '!M97</f>
        <v>0</v>
      </c>
      <c r="N31" s="136">
        <f>'Base Financials '!N97</f>
        <v>0</v>
      </c>
      <c r="O31" s="136">
        <f>'Base Financials '!O97</f>
        <v>0</v>
      </c>
      <c r="P31" s="136">
        <f>'Base Financials '!P97</f>
        <v>7408</v>
      </c>
      <c r="Q31" s="136">
        <f>'Base Financials '!Q97</f>
        <v>0</v>
      </c>
      <c r="R31" s="136">
        <f>'Base Financials '!R97</f>
        <v>0</v>
      </c>
      <c r="S31" s="136">
        <f>'Base Financials '!S97</f>
        <v>0</v>
      </c>
      <c r="T31" s="136">
        <f>'Base Financials '!T97</f>
        <v>0</v>
      </c>
      <c r="V31" s="23">
        <f>SUM(M31:P31)</f>
        <v>7408</v>
      </c>
      <c r="W31" s="23">
        <f>SUM(Q31:T31)</f>
        <v>0</v>
      </c>
      <c r="Y31" s="25">
        <f>SUM(W31/V31)-1</f>
        <v>-1</v>
      </c>
    </row>
    <row r="32" spans="2:25" x14ac:dyDescent="0.25">
      <c r="B32" s="45" t="s">
        <v>56</v>
      </c>
      <c r="C32" s="139" t="e">
        <f>SUM(C27+C31)</f>
        <v>#REF!</v>
      </c>
      <c r="D32" s="139" t="e">
        <f>SUM(D27+D31)</f>
        <v>#REF!</v>
      </c>
      <c r="E32" s="139" t="e">
        <f>SUM(E27+E31)</f>
        <v>#REF!</v>
      </c>
      <c r="F32" s="139" t="e">
        <f>SUM(F27+F31)</f>
        <v>#REF!</v>
      </c>
      <c r="G32" s="139" t="e">
        <f>SUM(G27+G31)</f>
        <v>#REF!</v>
      </c>
      <c r="I32" s="139" t="e">
        <f t="shared" ref="I32:S32" si="8">SUM(I27+I31)</f>
        <v>#REF!</v>
      </c>
      <c r="J32" s="139" t="e">
        <f t="shared" si="8"/>
        <v>#REF!</v>
      </c>
      <c r="K32" s="139" t="e">
        <f t="shared" si="8"/>
        <v>#REF!</v>
      </c>
      <c r="L32" s="139" t="e">
        <f t="shared" si="8"/>
        <v>#REF!</v>
      </c>
      <c r="M32" s="139" t="e">
        <f t="shared" si="8"/>
        <v>#REF!</v>
      </c>
      <c r="N32" s="139" t="e">
        <f t="shared" si="8"/>
        <v>#REF!</v>
      </c>
      <c r="O32" s="139" t="e">
        <f t="shared" si="8"/>
        <v>#REF!</v>
      </c>
      <c r="P32" s="139" t="e">
        <f t="shared" si="8"/>
        <v>#REF!</v>
      </c>
      <c r="Q32" s="139" t="e">
        <f t="shared" si="8"/>
        <v>#REF!</v>
      </c>
      <c r="R32" s="139" t="e">
        <f t="shared" si="8"/>
        <v>#REF!</v>
      </c>
      <c r="S32" s="139" t="e">
        <f t="shared" si="8"/>
        <v>#REF!</v>
      </c>
      <c r="T32" s="139" t="e">
        <f>SUM(T27+T31)</f>
        <v>#REF!</v>
      </c>
      <c r="V32" s="139" t="e">
        <f>SUM(V27+V31)</f>
        <v>#REF!</v>
      </c>
      <c r="W32" s="139" t="e">
        <f>SUM(W27+W31)</f>
        <v>#REF!</v>
      </c>
      <c r="Y32" s="30" t="e">
        <f>SUM(W32/V32)-1</f>
        <v>#REF!</v>
      </c>
    </row>
    <row r="33" spans="2:23" x14ac:dyDescent="0.25">
      <c r="B33" s="31" t="s">
        <v>23</v>
      </c>
      <c r="C33" s="42"/>
      <c r="D33" s="42"/>
      <c r="E33" s="42"/>
      <c r="F33" s="33" t="e">
        <f>F32/E32-1</f>
        <v>#REF!</v>
      </c>
      <c r="G33" s="33" t="e">
        <f>G32/F32-1</f>
        <v>#REF!</v>
      </c>
      <c r="H33" s="33"/>
      <c r="I33" s="33"/>
      <c r="J33" s="33" t="e">
        <f t="shared" ref="J33:R33" si="9">J32/I32-1</f>
        <v>#REF!</v>
      </c>
      <c r="K33" s="33" t="e">
        <f t="shared" si="9"/>
        <v>#REF!</v>
      </c>
      <c r="L33" s="33" t="e">
        <f t="shared" si="9"/>
        <v>#REF!</v>
      </c>
      <c r="M33" s="33" t="e">
        <f t="shared" si="9"/>
        <v>#REF!</v>
      </c>
      <c r="N33" s="33" t="e">
        <f t="shared" si="9"/>
        <v>#REF!</v>
      </c>
      <c r="O33" s="33" t="e">
        <f t="shared" si="9"/>
        <v>#REF!</v>
      </c>
      <c r="P33" s="33" t="e">
        <f t="shared" si="9"/>
        <v>#REF!</v>
      </c>
      <c r="Q33" s="33" t="e">
        <f t="shared" si="9"/>
        <v>#REF!</v>
      </c>
      <c r="R33" s="33" t="e">
        <f t="shared" si="9"/>
        <v>#REF!</v>
      </c>
      <c r="S33" s="33" t="e">
        <f>S32/Q32-1</f>
        <v>#REF!</v>
      </c>
      <c r="T33" s="33" t="e">
        <f>T32/R32-1</f>
        <v>#REF!</v>
      </c>
      <c r="U33" s="6"/>
      <c r="V33" s="6"/>
      <c r="W33" s="33" t="e">
        <f>W32/V32-1</f>
        <v>#REF!</v>
      </c>
    </row>
    <row r="34" spans="2:23" x14ac:dyDescent="0.25">
      <c r="B34" s="31" t="s">
        <v>57</v>
      </c>
      <c r="C34" s="33" t="e">
        <f>C32/C9</f>
        <v>#REF!</v>
      </c>
      <c r="D34" s="33" t="e">
        <f>D32/D9</f>
        <v>#REF!</v>
      </c>
      <c r="E34" s="33" t="e">
        <f>E32/E9</f>
        <v>#REF!</v>
      </c>
      <c r="F34" s="33" t="e">
        <f>F32/F9</f>
        <v>#REF!</v>
      </c>
      <c r="G34" s="33" t="e">
        <f>G32/G9</f>
        <v>#REF!</v>
      </c>
      <c r="H34" s="33"/>
      <c r="I34" s="33" t="e">
        <f t="shared" ref="I34:T34" si="10">I32/I9</f>
        <v>#REF!</v>
      </c>
      <c r="J34" s="33" t="e">
        <f t="shared" si="10"/>
        <v>#REF!</v>
      </c>
      <c r="K34" s="33" t="e">
        <f t="shared" si="10"/>
        <v>#REF!</v>
      </c>
      <c r="L34" s="33" t="e">
        <f t="shared" si="10"/>
        <v>#REF!</v>
      </c>
      <c r="M34" s="33" t="e">
        <f t="shared" si="10"/>
        <v>#REF!</v>
      </c>
      <c r="N34" s="33" t="e">
        <f t="shared" si="10"/>
        <v>#REF!</v>
      </c>
      <c r="O34" s="33" t="e">
        <f t="shared" si="10"/>
        <v>#REF!</v>
      </c>
      <c r="P34" s="33" t="e">
        <f t="shared" si="10"/>
        <v>#REF!</v>
      </c>
      <c r="Q34" s="33" t="e">
        <f t="shared" si="10"/>
        <v>#REF!</v>
      </c>
      <c r="R34" s="33" t="e">
        <f t="shared" si="10"/>
        <v>#REF!</v>
      </c>
      <c r="S34" s="33" t="e">
        <f t="shared" si="10"/>
        <v>#REF!</v>
      </c>
      <c r="T34" s="33" t="e">
        <f t="shared" si="10"/>
        <v>#REF!</v>
      </c>
      <c r="V34" s="33" t="e">
        <f>V32/V9</f>
        <v>#REF!</v>
      </c>
      <c r="W34" s="33" t="e">
        <f>W32/W9</f>
        <v>#REF!</v>
      </c>
    </row>
    <row r="35" spans="2:23" x14ac:dyDescent="0.25">
      <c r="B35" s="3"/>
    </row>
  </sheetData>
  <mergeCells count="1">
    <mergeCell ref="Y7:Y8"/>
  </mergeCells>
  <conditionalFormatting sqref="C13:K13 M13:T13">
    <cfRule type="timePeriod" dxfId="1" priority="5" timePeriod="lastWeek">
      <formula>AND(TODAY()-ROUNDDOWN(C13,0)&gt;=(WEEKDAY(TODAY())),TODAY()-ROUNDDOWN(C13,0)&lt;(WEEKDAY(TODAY())+7))</formula>
    </cfRule>
  </conditionalFormatting>
  <conditionalFormatting sqref="C8:W8">
    <cfRule type="timePeriod" dxfId="0" priority="1" timePeriod="lastWeek">
      <formula>AND(TODAY()-ROUNDDOWN(C8,0)&gt;=(WEEKDAY(TODAY())),TODAY()-ROUNDDOWN(C8,0)&lt;(WEEKDAY(TODAY())+7))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background</vt:lpstr>
      <vt:lpstr>Base Financials </vt:lpstr>
      <vt:lpstr>Adjusted EBITDA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Garcia</dc:creator>
  <cp:lastModifiedBy>Felix Garcia</cp:lastModifiedBy>
  <dcterms:created xsi:type="dcterms:W3CDTF">2024-12-28T10:46:35Z</dcterms:created>
  <dcterms:modified xsi:type="dcterms:W3CDTF">2025-02-09T01:19:53Z</dcterms:modified>
</cp:coreProperties>
</file>