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Felix\Downloads\"/>
    </mc:Choice>
  </mc:AlternateContent>
  <xr:revisionPtr revIDLastSave="0" documentId="8_{F5733829-B312-477D-A51A-019712C18E10}" xr6:coauthVersionLast="47" xr6:coauthVersionMax="47" xr10:uidLastSave="{00000000-0000-0000-0000-000000000000}"/>
  <bookViews>
    <workbookView xWindow="-120" yWindow="-120" windowWidth="29040" windowHeight="15720" xr2:uid="{BC9106CE-9107-4097-8948-317996376CB5}"/>
    <workbookView xWindow="-120" yWindow="-120" windowWidth="29040" windowHeight="15720" activeTab="2" xr2:uid="{1AC8C809-9632-46EC-9C17-8E0C415E90BD}"/>
  </bookViews>
  <sheets>
    <sheet name="3-Statement Model " sheetId="4" r:id="rId1"/>
    <sheet name="Sheet1" sheetId="6" r:id="rId2"/>
    <sheet name="Sheet2" sheetId="7" r:id="rId3"/>
    <sheet name="Financial Analysis " sheetId="1" r:id="rId4"/>
    <sheet name="Capital Structure" sheetId="5" r:id="rId5"/>
    <sheet name=" Segment Analysis " sheetId="2" r:id="rId6"/>
    <sheet name="DCF " sheetId="3" r:id="rId7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6" i="4" l="1"/>
  <c r="P26" i="4"/>
  <c r="N26" i="4"/>
  <c r="M26" i="4"/>
  <c r="L26" i="4"/>
  <c r="K26" i="4"/>
  <c r="J26" i="4"/>
  <c r="I26" i="4"/>
  <c r="H26" i="4"/>
  <c r="G26" i="4"/>
  <c r="Q18" i="4"/>
  <c r="Q19" i="4"/>
  <c r="P18" i="4"/>
  <c r="P19" i="4"/>
  <c r="O18" i="4"/>
  <c r="O19" i="4"/>
  <c r="N18" i="4"/>
  <c r="N19" i="4"/>
  <c r="M18" i="4"/>
  <c r="M19" i="4"/>
  <c r="L18" i="4"/>
  <c r="L19" i="4"/>
  <c r="K18" i="4"/>
  <c r="K19" i="4"/>
  <c r="J18" i="4"/>
  <c r="J19" i="4"/>
  <c r="I18" i="4"/>
  <c r="I19" i="4"/>
  <c r="H18" i="4"/>
  <c r="H19" i="4"/>
  <c r="G18" i="4"/>
  <c r="G19" i="4"/>
  <c r="Q13" i="4"/>
  <c r="P13" i="4"/>
  <c r="N13" i="4"/>
  <c r="M13" i="4"/>
  <c r="L13" i="4"/>
  <c r="K13" i="4"/>
  <c r="J13" i="4"/>
  <c r="I13" i="4"/>
  <c r="H13" i="4"/>
  <c r="G13" i="4"/>
  <c r="Q12" i="4"/>
  <c r="P12" i="4"/>
  <c r="N12" i="4"/>
  <c r="M12" i="4"/>
  <c r="L12" i="4"/>
  <c r="K12" i="4"/>
  <c r="J12" i="4"/>
  <c r="I12" i="4"/>
  <c r="H12" i="4"/>
  <c r="G12" i="4"/>
  <c r="E93" i="4"/>
  <c r="D93" i="4"/>
  <c r="C93" i="4"/>
  <c r="E68" i="4"/>
  <c r="E71" i="4"/>
  <c r="D68" i="4"/>
  <c r="D71" i="4"/>
  <c r="E58" i="4"/>
  <c r="E62" i="4"/>
  <c r="D58" i="4"/>
  <c r="D62" i="4"/>
  <c r="E44" i="4"/>
  <c r="E51" i="4"/>
  <c r="D44" i="4"/>
  <c r="D51" i="4"/>
  <c r="E12" i="4"/>
  <c r="E18" i="4"/>
  <c r="E23" i="4"/>
  <c r="E26" i="4"/>
  <c r="D12" i="4"/>
  <c r="D18" i="4"/>
  <c r="D23" i="4"/>
  <c r="D26" i="4"/>
  <c r="C12" i="4"/>
  <c r="C18" i="4"/>
  <c r="C23" i="4"/>
  <c r="C26" i="4"/>
  <c r="F71" i="1"/>
  <c r="E71" i="1"/>
  <c r="D71" i="1"/>
  <c r="F60" i="1"/>
  <c r="E60" i="1"/>
  <c r="D60" i="1"/>
  <c r="F54" i="1"/>
  <c r="E54" i="1"/>
  <c r="D54" i="1"/>
  <c r="D107" i="1"/>
  <c r="D108" i="1"/>
  <c r="D106" i="1"/>
  <c r="E172" i="1"/>
  <c r="F119" i="1"/>
  <c r="F166" i="1"/>
  <c r="F171" i="1"/>
  <c r="D6" i="1"/>
  <c r="D15" i="1"/>
  <c r="D20" i="1"/>
  <c r="E6" i="1"/>
  <c r="E15" i="1"/>
  <c r="E20" i="1"/>
  <c r="F6" i="1"/>
  <c r="F15" i="1"/>
  <c r="F20" i="1"/>
  <c r="D42" i="1"/>
  <c r="E42" i="1"/>
  <c r="F42" i="1"/>
  <c r="E81" i="1"/>
  <c r="F81" i="1"/>
  <c r="E88" i="1"/>
  <c r="F88" i="1"/>
  <c r="E95" i="1"/>
  <c r="F95" i="1"/>
  <c r="E99" i="1"/>
  <c r="F99" i="1"/>
  <c r="E105" i="1"/>
  <c r="F105" i="1"/>
  <c r="D112" i="1"/>
  <c r="E112" i="1"/>
  <c r="F112" i="1"/>
  <c r="D113" i="1"/>
  <c r="E113" i="1"/>
  <c r="F113" i="1"/>
  <c r="F55" i="5"/>
  <c r="R37" i="1"/>
  <c r="R72" i="1"/>
  <c r="Q37" i="1"/>
  <c r="Q72" i="1"/>
  <c r="R26" i="1"/>
  <c r="R30" i="1"/>
  <c r="Q26" i="1"/>
  <c r="Q30" i="1"/>
  <c r="O37" i="1"/>
  <c r="O72" i="1"/>
  <c r="N37" i="1"/>
  <c r="N72" i="1"/>
  <c r="M37" i="1"/>
  <c r="M72" i="1"/>
  <c r="L37" i="1"/>
  <c r="L72" i="1"/>
  <c r="K37" i="1"/>
  <c r="K72" i="1"/>
  <c r="J37" i="1"/>
  <c r="J72" i="1"/>
  <c r="I37" i="1"/>
  <c r="I72" i="1"/>
  <c r="H37" i="1"/>
  <c r="H72" i="1"/>
  <c r="O26" i="1"/>
  <c r="O30" i="1"/>
  <c r="N26" i="1"/>
  <c r="N30" i="1"/>
  <c r="M26" i="1"/>
  <c r="M30" i="1"/>
  <c r="L26" i="1"/>
  <c r="L30" i="1"/>
  <c r="K26" i="1"/>
  <c r="K30" i="1"/>
  <c r="J26" i="1"/>
  <c r="J30" i="1"/>
  <c r="I26" i="1"/>
  <c r="I30" i="1"/>
  <c r="H26" i="1"/>
  <c r="H30" i="1"/>
  <c r="R15" i="1"/>
  <c r="R20" i="1"/>
  <c r="Q15" i="1"/>
  <c r="Q20" i="1"/>
  <c r="I15" i="1"/>
  <c r="I20" i="1"/>
  <c r="J15" i="1"/>
  <c r="J20" i="1"/>
  <c r="K15" i="1"/>
  <c r="K20" i="1"/>
  <c r="L15" i="1"/>
  <c r="L20" i="1"/>
  <c r="M15" i="1"/>
  <c r="M20" i="1"/>
  <c r="N15" i="1"/>
  <c r="N20" i="1"/>
  <c r="O15" i="1"/>
  <c r="O20" i="1"/>
  <c r="H15" i="1"/>
  <c r="H20" i="1"/>
  <c r="F16" i="2"/>
  <c r="E16" i="2"/>
  <c r="F12" i="2"/>
  <c r="F7" i="2"/>
  <c r="E12" i="2"/>
  <c r="F20" i="2"/>
  <c r="E20" i="2"/>
  <c r="F24" i="2"/>
  <c r="E24" i="2"/>
  <c r="F28" i="2"/>
  <c r="E28" i="2"/>
  <c r="F32" i="2"/>
  <c r="E32" i="2"/>
  <c r="F36" i="2"/>
  <c r="E36" i="2"/>
  <c r="G40" i="2"/>
  <c r="F40" i="2"/>
  <c r="E40" i="2"/>
  <c r="D7" i="2"/>
  <c r="D43" i="2"/>
  <c r="E13" i="4"/>
  <c r="E19" i="4"/>
  <c r="C13" i="4"/>
  <c r="D13" i="4"/>
  <c r="C19" i="4"/>
  <c r="D19" i="4"/>
  <c r="E106" i="1"/>
  <c r="E107" i="1"/>
  <c r="E108" i="1"/>
  <c r="F106" i="1"/>
  <c r="F107" i="1"/>
  <c r="F108" i="1"/>
  <c r="F120" i="1"/>
  <c r="F172" i="1"/>
  <c r="F117" i="1"/>
  <c r="E117" i="1"/>
  <c r="D21" i="1"/>
  <c r="D26" i="1"/>
  <c r="E21" i="1"/>
  <c r="E26" i="1"/>
  <c r="F21" i="1"/>
  <c r="F26" i="1"/>
  <c r="F16" i="1"/>
  <c r="E16" i="1"/>
  <c r="F43" i="2"/>
  <c r="F8" i="2"/>
  <c r="E7" i="2"/>
  <c r="F173" i="1"/>
  <c r="F175" i="1"/>
  <c r="F27" i="1"/>
  <c r="F30" i="1"/>
  <c r="E27" i="1"/>
  <c r="E30" i="1"/>
  <c r="D27" i="1"/>
  <c r="D30" i="1"/>
  <c r="E43" i="2"/>
  <c r="E8" i="2"/>
  <c r="E33" i="1"/>
  <c r="E37" i="1"/>
  <c r="E72" i="1"/>
  <c r="E31" i="1"/>
  <c r="D37" i="1"/>
  <c r="D72" i="1"/>
  <c r="D33" i="1"/>
  <c r="F33" i="1"/>
  <c r="F37" i="1"/>
  <c r="F31" i="1"/>
  <c r="E44" i="2"/>
  <c r="F44" i="2"/>
  <c r="F72" i="1"/>
  <c r="F174" i="1"/>
  <c r="D40" i="1"/>
  <c r="E40" i="1"/>
  <c r="E38" i="1"/>
  <c r="F40" i="1"/>
  <c r="F38" i="1"/>
</calcChain>
</file>

<file path=xl/sharedStrings.xml><?xml version="1.0" encoding="utf-8"?>
<sst xmlns="http://schemas.openxmlformats.org/spreadsheetml/2006/main" count="684" uniqueCount="331">
  <si>
    <t>(In Millions)</t>
  </si>
  <si>
    <t>FYE</t>
  </si>
  <si>
    <t>FY2021</t>
  </si>
  <si>
    <t>FY2022</t>
  </si>
  <si>
    <t>FY2023</t>
  </si>
  <si>
    <t>Quarterly</t>
  </si>
  <si>
    <t>1Q24</t>
  </si>
  <si>
    <t>2Q24</t>
  </si>
  <si>
    <t>3Q24</t>
  </si>
  <si>
    <t>4Q24</t>
  </si>
  <si>
    <t>1Q23</t>
  </si>
  <si>
    <t>2Q23</t>
  </si>
  <si>
    <t>3Q23</t>
  </si>
  <si>
    <t>4Q23</t>
  </si>
  <si>
    <t>LTM</t>
  </si>
  <si>
    <t xml:space="preserve">Revenue </t>
  </si>
  <si>
    <t>EBITDA</t>
  </si>
  <si>
    <t>Adjusted EBITDA</t>
  </si>
  <si>
    <t xml:space="preserve">Intel FCF Analysis   </t>
  </si>
  <si>
    <t xml:space="preserve">Desktop  </t>
  </si>
  <si>
    <t>Notebook</t>
  </si>
  <si>
    <t xml:space="preserve">Other </t>
  </si>
  <si>
    <t>Data Center &amp; AI</t>
  </si>
  <si>
    <t xml:space="preserve">Network &amp; Edge </t>
  </si>
  <si>
    <t xml:space="preserve">Mobileye </t>
  </si>
  <si>
    <t>Intel Foundry Services</t>
  </si>
  <si>
    <t xml:space="preserve">All Other </t>
  </si>
  <si>
    <t>Client Computing :</t>
  </si>
  <si>
    <t>Total Revenue</t>
  </si>
  <si>
    <t>Y/Y growth</t>
  </si>
  <si>
    <t>% of Revenue</t>
  </si>
  <si>
    <t>Q/Q growth</t>
  </si>
  <si>
    <t>Cost of Sales</t>
  </si>
  <si>
    <t xml:space="preserve">Gross Profit </t>
  </si>
  <si>
    <t>% Margin</t>
  </si>
  <si>
    <t>Research and development</t>
  </si>
  <si>
    <t>Marketing, general, and administrative</t>
  </si>
  <si>
    <t>Restructuring and other charges</t>
  </si>
  <si>
    <t xml:space="preserve">Depreciation &amp; Amortization </t>
  </si>
  <si>
    <t>Share-based compensation</t>
  </si>
  <si>
    <t>Operating Income (EBIT)</t>
  </si>
  <si>
    <t>Change in NWC</t>
  </si>
  <si>
    <t>Accounts receivable</t>
  </si>
  <si>
    <t>Inventories</t>
  </si>
  <si>
    <t>Accounts payable</t>
  </si>
  <si>
    <t>Accrued compensation and benefits</t>
  </si>
  <si>
    <t>Customer deposits and prepaid supply agreements</t>
  </si>
  <si>
    <t>Income taxes</t>
  </si>
  <si>
    <t>Other assets and liabilities</t>
  </si>
  <si>
    <t>Amortization of intangibles</t>
  </si>
  <si>
    <t>(Gains) losses on equity investments, net</t>
  </si>
  <si>
    <t>(Gains) losses on divestitures</t>
  </si>
  <si>
    <t>Consolidated Statements of Cash Flows - USD ($) $ in Millions</t>
  </si>
  <si>
    <t>Dec. 25, 2021</t>
  </si>
  <si>
    <t>Dec. 31, 2022</t>
  </si>
  <si>
    <t>Dec. 30, 2023</t>
  </si>
  <si>
    <t>Cash and cash equivalents, beginning of period</t>
  </si>
  <si>
    <t>Cash flows provided by (used for) operating activities:</t>
  </si>
  <si>
    <t> </t>
  </si>
  <si>
    <t>Net income</t>
  </si>
  <si>
    <t>Adjustments to reconcile net income to net cash provided by operating activities:</t>
  </si>
  <si>
    <t>Depreciation</t>
  </si>
  <si>
    <t>Changes in assets and liabilities:</t>
  </si>
  <si>
    <t>Net cash provided by operating activities</t>
  </si>
  <si>
    <t>Cash flows provided by (used for) investing activities:</t>
  </si>
  <si>
    <t>Additions to property, plant, and equipment</t>
  </si>
  <si>
    <t>Additions to held for sale NAND property, plant, and equipment</t>
  </si>
  <si>
    <t>Proceeds From Capital Grants</t>
  </si>
  <si>
    <t>Purchase of short-term investments</t>
  </si>
  <si>
    <t>Maturities and sales of short-term investments</t>
  </si>
  <si>
    <t>Purchases of equity investments</t>
  </si>
  <si>
    <t>Sales of equity investments</t>
  </si>
  <si>
    <t>Proceeds from divestitures</t>
  </si>
  <si>
    <t>Other investing</t>
  </si>
  <si>
    <t>Net cash used for investing activities</t>
  </si>
  <si>
    <t>Cash flows provided by (used for) financing activities:</t>
  </si>
  <si>
    <t>Issuance of commercial paper, net of issuance costs</t>
  </si>
  <si>
    <t>Repayment of commercial paper</t>
  </si>
  <si>
    <t>Payments on finance leases</t>
  </si>
  <si>
    <t>Partner contributions</t>
  </si>
  <si>
    <t>Proceeds from sales of subsidiary shares</t>
  </si>
  <si>
    <t>Issuance of long-term debt, net of issuance costs</t>
  </si>
  <si>
    <t>Repayments of Long-term Debt</t>
  </si>
  <si>
    <t>Proceeds from sales of common stock through employee equity incentive plans</t>
  </si>
  <si>
    <t>Repurchase of common stock</t>
  </si>
  <si>
    <t>Payment of dividends to stockholders</t>
  </si>
  <si>
    <t>Other financing</t>
  </si>
  <si>
    <t>Net cash provided by (used for) financing activities</t>
  </si>
  <si>
    <t>Net increase (decrease) in cash and cash equivalents</t>
  </si>
  <si>
    <t>Cash and cash equivalents, end of period</t>
  </si>
  <si>
    <t>Supplemental disclosures:</t>
  </si>
  <si>
    <t>Acquisition of property, plant, and equipment included in accounts payable and accrued liabilities</t>
  </si>
  <si>
    <t>Interest, net of capitalized interest</t>
  </si>
  <si>
    <t>Income taxes, net of refunds</t>
  </si>
  <si>
    <t>Cash-Flows Statement</t>
  </si>
  <si>
    <t>Consolidated Balance Sheets - USD ($) $ in Millions</t>
  </si>
  <si>
    <t>Cash, Cash Equivalents, Restricted Cash and Restricted Cash Equivalents</t>
  </si>
  <si>
    <t>Short-term investments</t>
  </si>
  <si>
    <t>Accounts receivable, net</t>
  </si>
  <si>
    <t>Other current assets</t>
  </si>
  <si>
    <t>Property, plant, and equipment, net</t>
  </si>
  <si>
    <t>Equity investments</t>
  </si>
  <si>
    <t>Goodwill</t>
  </si>
  <si>
    <t>Identified intangible assets, net</t>
  </si>
  <si>
    <t>Other long-term assets</t>
  </si>
  <si>
    <t>Short-term debt</t>
  </si>
  <si>
    <t>Income taxes payable</t>
  </si>
  <si>
    <t>Other accrued liabilities</t>
  </si>
  <si>
    <t>Debt</t>
  </si>
  <si>
    <t>Other long-term liabilities</t>
  </si>
  <si>
    <t>Preferred stock, $0.001 par value, 50 shares authorized; none issued</t>
  </si>
  <si>
    <t>Common stock, $0.001 par value, 10,000 shares authorized; 4,228 shares issued and outstanding (4,137 issued and outstanding in 2022) and capital in excess of par value</t>
  </si>
  <si>
    <t>Accumulated other comprehensive income (loss)</t>
  </si>
  <si>
    <t>Retained earnings</t>
  </si>
  <si>
    <t>Total Intel stockholders' equity</t>
  </si>
  <si>
    <t>Non-controlling interests</t>
  </si>
  <si>
    <t>Total stockholders' equity</t>
  </si>
  <si>
    <t xml:space="preserve">Balance Sheet Statement </t>
  </si>
  <si>
    <t>Consolidated Statements of Income - USD ($) shares in Millions, $ in Millions</t>
  </si>
  <si>
    <t>Net revenue</t>
  </si>
  <si>
    <t>Cost of sales</t>
  </si>
  <si>
    <t>Gross margin</t>
  </si>
  <si>
    <t>Gains (losses) on equity investments, net</t>
  </si>
  <si>
    <t>Interest and other, net</t>
  </si>
  <si>
    <t>Provision for (benefit from) taxes</t>
  </si>
  <si>
    <t>Net loss attributable to non-controlling interest</t>
  </si>
  <si>
    <t>Net income attributable to Intel</t>
  </si>
  <si>
    <t>Earnings per share attributable to Intel—basic</t>
  </si>
  <si>
    <t>Earnings per share attributable to Intel—diluted</t>
  </si>
  <si>
    <t>Weighted average shares of common stock outstanding:</t>
  </si>
  <si>
    <t>Basic (shares)</t>
  </si>
  <si>
    <t>Diluted (shares)</t>
  </si>
  <si>
    <t xml:space="preserve">Income Statement </t>
  </si>
  <si>
    <t>12 Months Ended</t>
  </si>
  <si>
    <t>Total Liabilities</t>
  </si>
  <si>
    <t>X</t>
  </si>
  <si>
    <t xml:space="preserve">Client Computing </t>
  </si>
  <si>
    <t xml:space="preserve">Capital Structure Analysis </t>
  </si>
  <si>
    <t>Current Assets</t>
  </si>
  <si>
    <t>Total Current Liabilities</t>
  </si>
  <si>
    <t>Common stock</t>
  </si>
  <si>
    <t xml:space="preserve">Balance Sheet Analysis </t>
  </si>
  <si>
    <t>Intel (NASDAQ: INTC)</t>
  </si>
  <si>
    <t xml:space="preserve">Free-Cash Flow Analysis </t>
  </si>
  <si>
    <t>Research and Development</t>
  </si>
  <si>
    <t>Marketing, General, and Administrative</t>
  </si>
  <si>
    <t>Restructuring and Other Charges</t>
  </si>
  <si>
    <t>Capex (PP&amp;E)</t>
  </si>
  <si>
    <t xml:space="preserve">Long-Term Assets </t>
  </si>
  <si>
    <t>Long-Term Liabilities</t>
  </si>
  <si>
    <t>Total Stockholders' Equity</t>
  </si>
  <si>
    <t>Effective Interest Rate</t>
  </si>
  <si>
    <t>2.88%, due May 2024</t>
  </si>
  <si>
    <t>2.70%, due June 2024</t>
  </si>
  <si>
    <t>3.40%, due March 2025</t>
  </si>
  <si>
    <t>3.70%, due July 2025</t>
  </si>
  <si>
    <t>4.88%, due February 2026</t>
  </si>
  <si>
    <t>2.60%, due May 2026</t>
  </si>
  <si>
    <t>3.75%, due March 2027</t>
  </si>
  <si>
    <t>3.15%, due May 2027</t>
  </si>
  <si>
    <t>3.75%, due August 2027</t>
  </si>
  <si>
    <t>4.88%, due February 2028</t>
  </si>
  <si>
    <t>1.60%, due August 2028</t>
  </si>
  <si>
    <t>4.00%, due August 2029</t>
  </si>
  <si>
    <t>2.45%, due November 2029</t>
  </si>
  <si>
    <t>5.13%, due February 2030</t>
  </si>
  <si>
    <t>3.90%, due March 2030</t>
  </si>
  <si>
    <t>2.00%, due August 2031</t>
  </si>
  <si>
    <t>4.15%, due August 2032</t>
  </si>
  <si>
    <t>4.00%, due December 2032</t>
  </si>
  <si>
    <t>5.20%, due February 2033</t>
  </si>
  <si>
    <t>4.60%, due March 2040</t>
  </si>
  <si>
    <t>2.80%, due August 2041</t>
  </si>
  <si>
    <t>4.80%, due October 2041</t>
  </si>
  <si>
    <t>4.25%, due December 2042</t>
  </si>
  <si>
    <t>5.63%, due February 2043</t>
  </si>
  <si>
    <t>4.90%, due July 2045</t>
  </si>
  <si>
    <t>4.10%, due May 2046</t>
  </si>
  <si>
    <t>4.10%, due May 2047</t>
  </si>
  <si>
    <t>4.10%, due August 2047</t>
  </si>
  <si>
    <t>3.73%, due December 2047</t>
  </si>
  <si>
    <t>3.25%, due November 2049</t>
  </si>
  <si>
    <t>4.75%, due March 2050</t>
  </si>
  <si>
    <t>3.05%, due August 2051</t>
  </si>
  <si>
    <t>4.90%, due August 2052</t>
  </si>
  <si>
    <t>5.70%, due February 2053</t>
  </si>
  <si>
    <t>3.10%, due February 2060</t>
  </si>
  <si>
    <t>4.95%, due March 2060</t>
  </si>
  <si>
    <t>3.20%, due August 2061</t>
  </si>
  <si>
    <t>5.05%, due August 2062</t>
  </si>
  <si>
    <t>5.90%, due February 2063</t>
  </si>
  <si>
    <t>Amount</t>
  </si>
  <si>
    <t>2.40% - 2.70%, due December 2035 - 2040</t>
  </si>
  <si>
    <t>—%</t>
  </si>
  <si>
    <t>3.80% - 4.10%, due December 2035 - 2040</t>
  </si>
  <si>
    <t>5.00%, due September 2042</t>
  </si>
  <si>
    <t>5.00%, due June 2049</t>
  </si>
  <si>
    <t>5.00%, due September 2052</t>
  </si>
  <si>
    <t xml:space="preserve">Long-Term Debt </t>
  </si>
  <si>
    <t xml:space="preserve">Short-Term Debt </t>
  </si>
  <si>
    <t>Fixed-rate senior notes</t>
  </si>
  <si>
    <t>Oregon and Arizona bonds</t>
  </si>
  <si>
    <t>Total senior notes and other borrowings</t>
  </si>
  <si>
    <t>Oregon and Arizona Bonds</t>
  </si>
  <si>
    <t>Short-Term Debt</t>
  </si>
  <si>
    <t xml:space="preserve">Commercial Paper </t>
  </si>
  <si>
    <t>as of 2023</t>
  </si>
  <si>
    <t xml:space="preserve">Commerical Paper Program </t>
  </si>
  <si>
    <t xml:space="preserve">Current Portion of Long Term Debt </t>
  </si>
  <si>
    <t xml:space="preserve">Equity </t>
  </si>
  <si>
    <t xml:space="preserve">Market Cap </t>
  </si>
  <si>
    <t xml:space="preserve">Liquidity &amp; Leverage Analysis </t>
  </si>
  <si>
    <t>Cash &amp; CE</t>
  </si>
  <si>
    <t xml:space="preserve">ST Investments </t>
  </si>
  <si>
    <t>March'23 364-Day Variable-Rate Unsecured Revolver</t>
  </si>
  <si>
    <t>March'27 Unsecured Variable-Rate Unsecured Revolver</t>
  </si>
  <si>
    <t xml:space="preserve">Total Liquidity </t>
  </si>
  <si>
    <t>Less:</t>
  </si>
  <si>
    <t>Unamortized premium/discount and issuance costs</t>
  </si>
  <si>
    <t>Hedge accounting fair value adjustments</t>
  </si>
  <si>
    <t xml:space="preserve">Adjusted Long-Term Debt </t>
  </si>
  <si>
    <t>Fixed-Rate Senior Notes 24' - 63'</t>
  </si>
  <si>
    <t xml:space="preserve">Total Debt </t>
  </si>
  <si>
    <t>Debt-to-EBITDA</t>
  </si>
  <si>
    <t xml:space="preserve">Debt Coverage </t>
  </si>
  <si>
    <t xml:space="preserve">Debt-to-Assets </t>
  </si>
  <si>
    <t xml:space="preserve">Total Assets </t>
  </si>
  <si>
    <t xml:space="preserve">Total Liabilities </t>
  </si>
  <si>
    <t xml:space="preserve">Total Liabilities + Equity </t>
  </si>
  <si>
    <t xml:space="preserve">Debt Issuances/(Repayment) </t>
  </si>
  <si>
    <t>Equity Proceeds/(Purchases)</t>
  </si>
  <si>
    <t>(Gains) Losses on M&amp;A &amp; Divestitures</t>
  </si>
  <si>
    <t xml:space="preserve">Cost of Equity </t>
  </si>
  <si>
    <t>Cost of Debt</t>
  </si>
  <si>
    <t xml:space="preserve">Beta </t>
  </si>
  <si>
    <t xml:space="preserve">Risk Free Rate </t>
  </si>
  <si>
    <t>Free-Cash Flow</t>
  </si>
  <si>
    <t>Income before taxes (EBT)</t>
  </si>
  <si>
    <t>Total Current Assets</t>
  </si>
  <si>
    <t>Total Assets</t>
  </si>
  <si>
    <t>Dec '14</t>
  </si>
  <si>
    <t>Dec '15</t>
  </si>
  <si>
    <t>Dec '16</t>
  </si>
  <si>
    <t>Dec '17</t>
  </si>
  <si>
    <t>Dec '18</t>
  </si>
  <si>
    <t>Dec '19</t>
  </si>
  <si>
    <t>Dec '20</t>
  </si>
  <si>
    <t>Dec '21</t>
  </si>
  <si>
    <t>Dec '22</t>
  </si>
  <si>
    <t>Dec '23</t>
  </si>
  <si>
    <t>Dec '24 (E)</t>
  </si>
  <si>
    <t>Dec '25 (E)</t>
  </si>
  <si>
    <t>Dec '26 (E)</t>
  </si>
  <si>
    <t>Total Revenues</t>
  </si>
  <si>
    <t>Total Revenues % Chg.</t>
  </si>
  <si>
    <t>Cost of Goods Sold, Total</t>
  </si>
  <si>
    <t>Gross Profit</t>
  </si>
  <si>
    <t>Selling General &amp; Admin Expenses, Total</t>
  </si>
  <si>
    <t>R&amp;D Expenses</t>
  </si>
  <si>
    <t>Depreciation &amp; Amortization</t>
  </si>
  <si>
    <t>—</t>
  </si>
  <si>
    <t>Amortization of Goodwill and Intangible Assets</t>
  </si>
  <si>
    <t>Other Operating Expenses, Total</t>
  </si>
  <si>
    <t>Operating Income</t>
  </si>
  <si>
    <t>Interest Expense, Total</t>
  </si>
  <si>
    <t>Interest And Investment Income</t>
  </si>
  <si>
    <t>Net Interest Expenses</t>
  </si>
  <si>
    <t>Currency Exchange Gains (Loss)</t>
  </si>
  <si>
    <t>Other Non Operating Income (Expenses)</t>
  </si>
  <si>
    <t>EBT, Excl. Unusual Items</t>
  </si>
  <si>
    <t>Restructuring Charges</t>
  </si>
  <si>
    <t>Merger &amp; Related Restructuring Charges</t>
  </si>
  <si>
    <t>Gain (Loss) On Sale Of Investments</t>
  </si>
  <si>
    <t>Gain (Loss) On Sale Of Assets</t>
  </si>
  <si>
    <t>Asset Writedown</t>
  </si>
  <si>
    <t>Insurance Settlements</t>
  </si>
  <si>
    <t>Legal Settlements</t>
  </si>
  <si>
    <t>Other Unusual Items</t>
  </si>
  <si>
    <t>EBT, Incl. Unusual Items</t>
  </si>
  <si>
    <t>Income Tax Expense</t>
  </si>
  <si>
    <t>Earnings From Continuing Operations</t>
  </si>
  <si>
    <t>Minority Interest</t>
  </si>
  <si>
    <t>BUILD UP FREE CASH</t>
  </si>
  <si>
    <t>2021-12-25 (A)</t>
  </si>
  <si>
    <t>2022-12-31 (A)</t>
  </si>
  <si>
    <t>2023-12-30 (A)</t>
  </si>
  <si>
    <t>2024-12-31 (E)</t>
  </si>
  <si>
    <t>2025-12-31 (E)</t>
  </si>
  <si>
    <t>2026-12-31 (E)</t>
  </si>
  <si>
    <t>2027-12-31 (E)</t>
  </si>
  <si>
    <t>2028-12-31 (E)</t>
  </si>
  <si>
    <t>Revenue</t>
  </si>
  <si>
    <t>Revenue % Chg.</t>
  </si>
  <si>
    <t>EBIT</t>
  </si>
  <si>
    <t>EBIT Margin</t>
  </si>
  <si>
    <t>Tax Rate</t>
  </si>
  <si>
    <t>NOPAT</t>
  </si>
  <si>
    <t>NOPAT Margin</t>
  </si>
  <si>
    <t>D&amp;A</t>
  </si>
  <si>
    <t>D&amp;A / Revenue</t>
  </si>
  <si>
    <t>Capex</t>
  </si>
  <si>
    <t>Capex / Revenue</t>
  </si>
  <si>
    <t>Chg. NWC</t>
  </si>
  <si>
    <t>Chg. NWC / Revenue</t>
  </si>
  <si>
    <t>Unlevered FCF (UFCF)</t>
  </si>
  <si>
    <t>UFCF % Chg.</t>
  </si>
  <si>
    <t>PV of UFCF</t>
  </si>
  <si>
    <t>Sum of PV of UFCF</t>
  </si>
  <si>
    <t>After Tax Cost of Debt</t>
  </si>
  <si>
    <t>Risk Free Rate</t>
  </si>
  <si>
    <t>Market Risk Premium</t>
  </si>
  <si>
    <t>Beta</t>
  </si>
  <si>
    <t>Cost of Equity</t>
  </si>
  <si>
    <t>Total Debt</t>
  </si>
  <si>
    <t>Market Cap</t>
  </si>
  <si>
    <t>Total Capital</t>
  </si>
  <si>
    <t>Debt Weighting</t>
  </si>
  <si>
    <t>Equity Weighting</t>
  </si>
  <si>
    <t>WACC</t>
  </si>
  <si>
    <t>Perpetuity</t>
  </si>
  <si>
    <t>Multiple</t>
  </si>
  <si>
    <t>Exit Multiple EV/FCF</t>
  </si>
  <si>
    <t>Terminal Value</t>
  </si>
  <si>
    <t>PV of Terminal Value</t>
  </si>
  <si>
    <t>Cumulative PV of UFCF</t>
  </si>
  <si>
    <t>Net Debt</t>
  </si>
  <si>
    <t>Equity Value</t>
  </si>
  <si>
    <t>Shares Outstanding</t>
  </si>
  <si>
    <t>Implied Share Price</t>
  </si>
  <si>
    <t>Current Share Price</t>
  </si>
  <si>
    <t>Implied Upside / (Downside)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</si>
</sst>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_(&quot;$ &quot;#,##0_);_(&quot;$ &quot;\(#,##0\)"/>
    <numFmt numFmtId="167" formatCode="_(&quot;$ &quot;#,##0.00_);_(&quot;$ &quot;\(#,##0.00\)"/>
    <numFmt numFmtId="168" formatCode="0.00&quot;x&quot;"/>
    <numFmt numFmtId="169" formatCode="0.0%"/>
  </numFmts>
  <fonts count="28" x14ac:knownFonts="1">
    <font>
      <sz val="11"/>
      <color theme="1"/>
      <name val="Tw Cen MT"/>
      <family val="2"/>
      <scheme val="minor"/>
    </font>
    <font>
      <b/>
      <sz val="11"/>
      <color theme="0"/>
      <name val="Tw Cen MT"/>
      <family val="2"/>
      <scheme val="minor"/>
    </font>
    <font>
      <b/>
      <sz val="11"/>
      <color theme="1"/>
      <name val="Tw Cen MT"/>
      <family val="2"/>
      <scheme val="minor"/>
    </font>
    <font>
      <i/>
      <sz val="11"/>
      <color theme="0"/>
      <name val="Tw Cen MT"/>
      <family val="2"/>
      <scheme val="minor"/>
    </font>
    <font>
      <sz val="11"/>
      <color theme="1"/>
      <name val="Tw Cen MT"/>
      <family val="2"/>
      <scheme val="minor"/>
    </font>
    <font>
      <i/>
      <sz val="9"/>
      <color theme="1"/>
      <name val="Tw Cen MT"/>
      <family val="2"/>
      <scheme val="minor"/>
    </font>
    <font>
      <i/>
      <sz val="10"/>
      <color theme="1"/>
      <name val="Tw Cen MT"/>
      <family val="2"/>
      <scheme val="minor"/>
    </font>
    <font>
      <sz val="11"/>
      <name val="Calibri"/>
      <family val="2"/>
    </font>
    <font>
      <i/>
      <sz val="10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</font>
    <font>
      <i/>
      <sz val="11"/>
      <color theme="0"/>
      <name val="Calibri"/>
      <family val="2"/>
    </font>
    <font>
      <i/>
      <sz val="11"/>
      <color theme="1"/>
      <name val="Tw Cen MT"/>
      <family val="2"/>
      <scheme val="minor"/>
    </font>
    <font>
      <i/>
      <sz val="10"/>
      <name val="Tw Cen MT"/>
      <family val="2"/>
      <scheme val="minor"/>
    </font>
    <font>
      <sz val="11"/>
      <name val="Tw Cen MT"/>
      <family val="2"/>
      <scheme val="minor"/>
    </font>
    <font>
      <b/>
      <sz val="11"/>
      <name val="Tw Cen MT"/>
      <family val="2"/>
      <scheme val="minor"/>
    </font>
    <font>
      <b/>
      <sz val="9"/>
      <color rgb="FF262626"/>
      <name val="Arial"/>
      <family val="2"/>
    </font>
    <font>
      <sz val="10"/>
      <color rgb="FF000000"/>
      <name val="Arial"/>
      <family val="2"/>
    </font>
    <font>
      <sz val="9"/>
      <color rgb="FF262626"/>
      <name val="Arial"/>
      <family val="2"/>
    </font>
    <font>
      <sz val="9"/>
      <color rgb="FF0068B5"/>
      <name val="Arial"/>
      <family val="2"/>
    </font>
    <font>
      <sz val="9"/>
      <color rgb="FF000000"/>
      <name val="Arial"/>
      <family val="2"/>
    </font>
    <font>
      <sz val="11"/>
      <color theme="1"/>
      <name val="Times New Roman"/>
      <family val="1"/>
    </font>
    <font>
      <u/>
      <sz val="11"/>
      <color theme="1"/>
      <name val="Tw Cen MT"/>
      <family val="2"/>
      <scheme val="minor"/>
    </font>
    <font>
      <u/>
      <sz val="11"/>
      <name val="Tw Cen MT"/>
      <family val="2"/>
      <scheme val="minor"/>
    </font>
    <font>
      <sz val="11"/>
      <color theme="8"/>
      <name val="Tw Cen MT"/>
      <family val="2"/>
      <scheme val="minor"/>
    </font>
    <font>
      <sz val="11"/>
      <color rgb="FF0000CC"/>
      <name val="Calibri"/>
      <family val="2"/>
    </font>
    <font>
      <sz val="11"/>
      <color rgb="FF0000CC"/>
      <name val="Tw Cen MT"/>
      <family val="2"/>
      <scheme val="minor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09">
    <xf numFmtId="0" fontId="0" fillId="0" borderId="0" xfId="0"/>
    <xf numFmtId="0" fontId="3" fillId="2" borderId="0" xfId="0" applyFont="1" applyFill="1"/>
    <xf numFmtId="0" fontId="2" fillId="0" borderId="1" xfId="0" applyFont="1" applyBorder="1" applyAlignment="1">
      <alignment horizontal="centerContinuous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2" fillId="0" borderId="1" xfId="0" applyFont="1" applyBorder="1"/>
    <xf numFmtId="0" fontId="2" fillId="0" borderId="2" xfId="0" applyFont="1" applyBorder="1"/>
    <xf numFmtId="44" fontId="6" fillId="0" borderId="0" xfId="0" applyNumberFormat="1" applyFont="1"/>
    <xf numFmtId="37" fontId="7" fillId="0" borderId="0" xfId="0" applyNumberFormat="1" applyFont="1" applyAlignment="1">
      <alignment horizontal="right" vertical="top"/>
    </xf>
    <xf numFmtId="164" fontId="2" fillId="0" borderId="0" xfId="0" applyNumberFormat="1" applyFont="1"/>
    <xf numFmtId="37" fontId="8" fillId="0" borderId="0" xfId="0" applyNumberFormat="1" applyFont="1" applyAlignment="1">
      <alignment horizontal="right" vertical="top"/>
    </xf>
    <xf numFmtId="164" fontId="2" fillId="0" borderId="2" xfId="0" applyNumberFormat="1" applyFont="1" applyBorder="1"/>
    <xf numFmtId="0" fontId="5" fillId="0" borderId="0" xfId="0" applyFont="1" applyAlignment="1">
      <alignment horizontal="right"/>
    </xf>
    <xf numFmtId="10" fontId="5" fillId="0" borderId="0" xfId="1" applyNumberFormat="1" applyFont="1" applyAlignment="1">
      <alignment horizontal="right"/>
    </xf>
    <xf numFmtId="0" fontId="2" fillId="0" borderId="0" xfId="0" applyFont="1"/>
    <xf numFmtId="0" fontId="7" fillId="0" borderId="0" xfId="0" applyFont="1" applyAlignment="1">
      <alignment vertical="top" wrapText="1"/>
    </xf>
    <xf numFmtId="0" fontId="2" fillId="0" borderId="3" xfId="0" applyFont="1" applyBorder="1"/>
    <xf numFmtId="164" fontId="2" fillId="0" borderId="3" xfId="0" applyNumberFormat="1" applyFont="1" applyBorder="1"/>
    <xf numFmtId="5" fontId="2" fillId="0" borderId="3" xfId="0" applyNumberFormat="1" applyFont="1" applyBorder="1"/>
    <xf numFmtId="0" fontId="7" fillId="0" borderId="0" xfId="0" applyFont="1" applyAlignment="1">
      <alignment vertical="top"/>
    </xf>
    <xf numFmtId="5" fontId="2" fillId="0" borderId="0" xfId="0" applyNumberFormat="1" applyFont="1"/>
    <xf numFmtId="165" fontId="2" fillId="0" borderId="0" xfId="2" applyNumberFormat="1" applyFont="1"/>
    <xf numFmtId="0" fontId="9" fillId="0" borderId="0" xfId="0" applyFont="1" applyAlignment="1">
      <alignment vertical="top" wrapText="1"/>
    </xf>
    <xf numFmtId="166" fontId="7" fillId="0" borderId="0" xfId="0" applyNumberFormat="1" applyFont="1" applyAlignment="1">
      <alignment horizontal="right" vertical="top"/>
    </xf>
    <xf numFmtId="0" fontId="9" fillId="0" borderId="2" xfId="0" applyFont="1" applyBorder="1" applyAlignment="1">
      <alignment vertical="top" wrapText="1"/>
    </xf>
    <xf numFmtId="37" fontId="9" fillId="0" borderId="2" xfId="0" applyNumberFormat="1" applyFont="1" applyBorder="1" applyAlignment="1">
      <alignment horizontal="right" vertical="top"/>
    </xf>
    <xf numFmtId="165" fontId="0" fillId="0" borderId="0" xfId="2" applyNumberFormat="1" applyFont="1"/>
    <xf numFmtId="164" fontId="9" fillId="0" borderId="2" xfId="0" applyNumberFormat="1" applyFont="1" applyBorder="1" applyAlignment="1">
      <alignment vertical="top" wrapText="1"/>
    </xf>
    <xf numFmtId="164" fontId="9" fillId="0" borderId="2" xfId="0" applyNumberFormat="1" applyFont="1" applyBorder="1" applyAlignment="1">
      <alignment horizontal="right" vertical="top"/>
    </xf>
    <xf numFmtId="167" fontId="7" fillId="0" borderId="0" xfId="0" applyNumberFormat="1" applyFont="1" applyAlignment="1">
      <alignment horizontal="right" vertical="top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165" fontId="2" fillId="0" borderId="2" xfId="2" applyNumberFormat="1" applyFont="1" applyBorder="1"/>
    <xf numFmtId="44" fontId="12" fillId="0" borderId="0" xfId="0" applyNumberFormat="1" applyFont="1"/>
    <xf numFmtId="37" fontId="13" fillId="0" borderId="0" xfId="0" applyNumberFormat="1" applyFont="1" applyAlignment="1">
      <alignment horizontal="right" vertical="top"/>
    </xf>
    <xf numFmtId="37" fontId="14" fillId="0" borderId="0" xfId="0" applyNumberFormat="1" applyFont="1" applyAlignment="1">
      <alignment horizontal="right" vertical="top"/>
    </xf>
    <xf numFmtId="0" fontId="0" fillId="0" borderId="1" xfId="0" applyBorder="1"/>
    <xf numFmtId="37" fontId="14" fillId="0" borderId="1" xfId="0" applyNumberFormat="1" applyFont="1" applyBorder="1" applyAlignment="1">
      <alignment horizontal="right" vertical="top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5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0" fillId="0" borderId="3" xfId="0" applyBorder="1"/>
    <xf numFmtId="37" fontId="9" fillId="0" borderId="3" xfId="0" applyNumberFormat="1" applyFont="1" applyBorder="1" applyAlignment="1">
      <alignment horizontal="right" vertical="top"/>
    </xf>
    <xf numFmtId="0" fontId="9" fillId="0" borderId="3" xfId="0" applyFont="1" applyBorder="1" applyAlignment="1">
      <alignment vertical="top" wrapText="1"/>
    </xf>
    <xf numFmtId="37" fontId="9" fillId="0" borderId="0" xfId="0" applyNumberFormat="1" applyFont="1" applyAlignment="1">
      <alignment horizontal="right" vertical="top"/>
    </xf>
    <xf numFmtId="37" fontId="0" fillId="0" borderId="0" xfId="0" applyNumberFormat="1"/>
    <xf numFmtId="14" fontId="1" fillId="0" borderId="0" xfId="0" applyNumberFormat="1" applyFont="1" applyAlignment="1">
      <alignment horizontal="center"/>
    </xf>
    <xf numFmtId="0" fontId="15" fillId="0" borderId="0" xfId="0" applyFont="1"/>
    <xf numFmtId="37" fontId="0" fillId="0" borderId="3" xfId="0" applyNumberFormat="1" applyBorder="1"/>
    <xf numFmtId="166" fontId="0" fillId="0" borderId="0" xfId="0" applyNumberFormat="1"/>
    <xf numFmtId="0" fontId="18" fillId="0" borderId="0" xfId="0" applyFont="1"/>
    <xf numFmtId="0" fontId="21" fillId="0" borderId="0" xfId="0" applyFont="1" applyAlignment="1">
      <alignment vertical="center"/>
    </xf>
    <xf numFmtId="0" fontId="19" fillId="0" borderId="0" xfId="0" applyFont="1"/>
    <xf numFmtId="0" fontId="21" fillId="0" borderId="0" xfId="0" applyFont="1" applyAlignment="1">
      <alignment horizontal="right"/>
    </xf>
    <xf numFmtId="0" fontId="20" fillId="0" borderId="0" xfId="0" applyFont="1"/>
    <xf numFmtId="0" fontId="20" fillId="0" borderId="5" xfId="0" applyFont="1" applyBorder="1"/>
    <xf numFmtId="0" fontId="20" fillId="0" borderId="4" xfId="0" applyFont="1" applyBorder="1"/>
    <xf numFmtId="0" fontId="1" fillId="2" borderId="0" xfId="0" applyFont="1" applyFill="1" applyAlignment="1">
      <alignment horizontal="centerContinuous"/>
    </xf>
    <xf numFmtId="0" fontId="17" fillId="0" borderId="0" xfId="0" applyFont="1" applyAlignment="1">
      <alignment vertical="top"/>
    </xf>
    <xf numFmtId="0" fontId="16" fillId="0" borderId="0" xfId="0" applyFont="1" applyAlignment="1">
      <alignment vertical="center"/>
    </xf>
    <xf numFmtId="10" fontId="19" fillId="0" borderId="0" xfId="0" applyNumberFormat="1" applyFont="1" applyAlignment="1">
      <alignment horizontal="center"/>
    </xf>
    <xf numFmtId="165" fontId="0" fillId="0" borderId="0" xfId="0" applyNumberFormat="1"/>
    <xf numFmtId="2" fontId="21" fillId="0" borderId="0" xfId="0" applyNumberFormat="1" applyFont="1" applyAlignment="1">
      <alignment vertical="center"/>
    </xf>
    <xf numFmtId="2" fontId="0" fillId="0" borderId="0" xfId="0" applyNumberFormat="1"/>
    <xf numFmtId="0" fontId="21" fillId="0" borderId="4" xfId="0" applyFont="1" applyBorder="1" applyAlignment="1">
      <alignment horizontal="right"/>
    </xf>
    <xf numFmtId="0" fontId="18" fillId="0" borderId="0" xfId="0" applyFont="1" applyAlignment="1">
      <alignment vertical="center"/>
    </xf>
    <xf numFmtId="0" fontId="16" fillId="0" borderId="3" xfId="0" applyFont="1" applyBorder="1"/>
    <xf numFmtId="0" fontId="19" fillId="0" borderId="0" xfId="0" applyFont="1" applyAlignment="1">
      <alignment horizontal="center"/>
    </xf>
    <xf numFmtId="2" fontId="0" fillId="0" borderId="3" xfId="0" applyNumberFormat="1" applyBorder="1"/>
    <xf numFmtId="10" fontId="0" fillId="0" borderId="0" xfId="0" applyNumberFormat="1"/>
    <xf numFmtId="0" fontId="16" fillId="0" borderId="0" xfId="0" applyFont="1" applyAlignment="1">
      <alignment horizontal="center"/>
    </xf>
    <xf numFmtId="0" fontId="22" fillId="0" borderId="0" xfId="0" applyFont="1"/>
    <xf numFmtId="0" fontId="23" fillId="0" borderId="0" xfId="0" applyFont="1" applyAlignment="1">
      <alignment vertical="top" wrapText="1"/>
    </xf>
    <xf numFmtId="165" fontId="24" fillId="0" borderId="0" xfId="2" applyNumberFormat="1" applyFont="1"/>
    <xf numFmtId="165" fontId="2" fillId="0" borderId="3" xfId="0" applyNumberFormat="1" applyFont="1" applyBorder="1"/>
    <xf numFmtId="168" fontId="12" fillId="0" borderId="0" xfId="2" applyNumberFormat="1" applyFont="1"/>
    <xf numFmtId="168" fontId="0" fillId="0" borderId="0" xfId="0" applyNumberFormat="1"/>
    <xf numFmtId="0" fontId="7" fillId="3" borderId="0" xfId="0" applyFont="1" applyFill="1" applyAlignment="1">
      <alignment vertical="top" wrapText="1"/>
    </xf>
    <xf numFmtId="37" fontId="0" fillId="3" borderId="0" xfId="0" applyNumberFormat="1" applyFill="1"/>
    <xf numFmtId="37" fontId="9" fillId="3" borderId="0" xfId="0" applyNumberFormat="1" applyFont="1" applyFill="1" applyAlignment="1">
      <alignment horizontal="right" vertical="top"/>
    </xf>
    <xf numFmtId="37" fontId="12" fillId="3" borderId="0" xfId="0" applyNumberFormat="1" applyFont="1" applyFill="1"/>
    <xf numFmtId="165" fontId="6" fillId="0" borderId="0" xfId="2" applyNumberFormat="1" applyFont="1"/>
    <xf numFmtId="0" fontId="0" fillId="2" borderId="0" xfId="0" applyFill="1"/>
    <xf numFmtId="0" fontId="3" fillId="0" borderId="0" xfId="0" applyFont="1"/>
    <xf numFmtId="14" fontId="3" fillId="2" borderId="0" xfId="0" applyNumberFormat="1" applyFont="1" applyFill="1" applyAlignment="1">
      <alignment horizont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165" fontId="2" fillId="0" borderId="0" xfId="2" applyNumberFormat="1" applyFont="1" applyBorder="1"/>
    <xf numFmtId="166" fontId="25" fillId="0" borderId="0" xfId="0" applyNumberFormat="1" applyFont="1" applyAlignment="1">
      <alignment horizontal="right" vertical="top"/>
    </xf>
    <xf numFmtId="37" fontId="25" fillId="0" borderId="0" xfId="0" applyNumberFormat="1" applyFont="1" applyAlignment="1">
      <alignment horizontal="right" vertical="top"/>
    </xf>
    <xf numFmtId="0" fontId="11" fillId="0" borderId="0" xfId="0" applyFont="1" applyAlignment="1">
      <alignment vertical="center"/>
    </xf>
    <xf numFmtId="14" fontId="3" fillId="0" borderId="0" xfId="0" applyNumberFormat="1" applyFont="1" applyAlignment="1">
      <alignment horizontal="center"/>
    </xf>
    <xf numFmtId="164" fontId="0" fillId="0" borderId="0" xfId="0" applyNumberFormat="1"/>
    <xf numFmtId="164" fontId="9" fillId="0" borderId="0" xfId="0" applyNumberFormat="1" applyFont="1" applyAlignment="1">
      <alignment vertical="top" wrapText="1"/>
    </xf>
    <xf numFmtId="164" fontId="9" fillId="0" borderId="0" xfId="0" applyNumberFormat="1" applyFont="1" applyAlignment="1">
      <alignment horizontal="right" vertical="top"/>
    </xf>
    <xf numFmtId="0" fontId="9" fillId="0" borderId="0" xfId="0" applyFont="1" applyAlignment="1">
      <alignment vertical="top"/>
    </xf>
    <xf numFmtId="169" fontId="5" fillId="0" borderId="0" xfId="1" applyNumberFormat="1" applyFont="1" applyAlignment="1">
      <alignment horizontal="right"/>
    </xf>
    <xf numFmtId="0" fontId="26" fillId="0" borderId="0" xfId="0" applyFont="1"/>
    <xf numFmtId="0" fontId="9" fillId="0" borderId="2" xfId="0" applyFont="1" applyBorder="1" applyAlignment="1">
      <alignment vertical="top"/>
    </xf>
    <xf numFmtId="165" fontId="26" fillId="0" borderId="0" xfId="2" applyNumberFormat="1" applyFont="1"/>
    <xf numFmtId="165" fontId="14" fillId="0" borderId="0" xfId="2" applyNumberFormat="1" applyFont="1"/>
    <xf numFmtId="3" fontId="0" fillId="0" borderId="0" xfId="0" applyNumberFormat="1"/>
    <xf numFmtId="4" fontId="0" fillId="0" borderId="0" xfId="0" applyNumberFormat="1"/>
    <xf numFmtId="9" fontId="0" fillId="0" borderId="0" xfId="0" applyNumberFormat="1"/>
    <xf numFmtId="0" fontId="27" fillId="0" borderId="0" xfId="0" applyFont="1" applyAlignment="1">
      <alignment horizontal="right" vertical="center"/>
    </xf>
  </cellXfs>
  <cellStyles count="3">
    <cellStyle name="Comma" xfId="2" builtinId="3"/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1FA7-7118-4873-8EA5-88D631B8DAAA}">
  <dimension ref="A1:Q127"/>
  <sheetViews>
    <sheetView showGridLines="0" tabSelected="1" zoomScale="115" zoomScaleNormal="115" workbookViewId="0">
      <selection activeCell="C13" sqref="C13"/>
    </sheetView>
    <sheetView showGridLines="0" topLeftCell="A18" zoomScale="115" zoomScaleNormal="115" workbookViewId="1">
      <selection activeCell="C45" sqref="C45"/>
    </sheetView>
  </sheetViews>
  <sheetFormatPr defaultRowHeight="14.25" x14ac:dyDescent="0.2"/>
  <cols>
    <col min="1" max="1" width="2.375" customWidth="1"/>
    <col min="2" max="2" width="26.5" customWidth="1"/>
    <col min="3" max="5" width="15.25" bestFit="1" customWidth="1"/>
    <col min="6" max="6" width="0.625" customWidth="1"/>
    <col min="7" max="7" width="9.875" bestFit="1" customWidth="1"/>
    <col min="15" max="15" width="0.75" customWidth="1"/>
  </cols>
  <sheetData>
    <row r="1" spans="1:17" ht="6" customHeight="1" x14ac:dyDescent="0.2"/>
    <row r="2" spans="1:17" x14ac:dyDescent="0.2">
      <c r="B2" s="5" t="s">
        <v>142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</row>
    <row r="3" spans="1:17" x14ac:dyDescent="0.2">
      <c r="B3" s="1" t="s">
        <v>0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</row>
    <row r="4" spans="1:17" ht="5.25" customHeight="1" x14ac:dyDescent="0.2">
      <c r="B4" s="86"/>
    </row>
    <row r="5" spans="1:17" ht="15" thickBot="1" x14ac:dyDescent="0.25">
      <c r="B5" s="86"/>
      <c r="C5" s="2" t="s">
        <v>1</v>
      </c>
      <c r="D5" s="2"/>
      <c r="E5" s="2"/>
      <c r="G5" s="2" t="s">
        <v>5</v>
      </c>
      <c r="H5" s="2"/>
      <c r="I5" s="2"/>
      <c r="J5" s="2"/>
      <c r="K5" s="2"/>
      <c r="L5" s="2"/>
      <c r="M5" s="2"/>
      <c r="N5" s="2"/>
      <c r="P5" s="2" t="s">
        <v>14</v>
      </c>
      <c r="Q5" s="2"/>
    </row>
    <row r="6" spans="1:17" ht="4.5" customHeight="1" x14ac:dyDescent="0.2"/>
    <row r="7" spans="1:17" x14ac:dyDescent="0.2">
      <c r="A7" t="s">
        <v>135</v>
      </c>
      <c r="B7" s="5" t="s">
        <v>132</v>
      </c>
      <c r="C7" s="3" t="s">
        <v>2</v>
      </c>
      <c r="D7" s="3" t="s">
        <v>3</v>
      </c>
      <c r="E7" s="3" t="s">
        <v>4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6</v>
      </c>
      <c r="L7" s="3" t="s">
        <v>7</v>
      </c>
      <c r="M7" s="3" t="s">
        <v>8</v>
      </c>
      <c r="N7" s="3" t="s">
        <v>9</v>
      </c>
      <c r="P7" s="3" t="s">
        <v>11</v>
      </c>
      <c r="Q7" s="3" t="s">
        <v>7</v>
      </c>
    </row>
    <row r="8" spans="1:17" ht="15" x14ac:dyDescent="0.2">
      <c r="B8" s="32" t="s">
        <v>118</v>
      </c>
      <c r="C8" s="87">
        <v>44195</v>
      </c>
      <c r="D8" s="87">
        <v>44560</v>
      </c>
      <c r="E8" s="87">
        <v>45290</v>
      </c>
      <c r="G8" s="4"/>
      <c r="H8" s="4"/>
      <c r="I8" s="4"/>
      <c r="J8" s="4"/>
      <c r="K8" s="4"/>
      <c r="L8" s="4"/>
      <c r="M8" s="4"/>
      <c r="N8" s="4"/>
      <c r="P8" s="4"/>
      <c r="Q8" s="4"/>
    </row>
    <row r="9" spans="1:17" ht="3.75" customHeight="1" x14ac:dyDescent="0.2">
      <c r="B9" s="94"/>
      <c r="C9" s="95"/>
      <c r="D9" s="95"/>
      <c r="E9" s="95"/>
      <c r="G9" s="49"/>
      <c r="H9" s="49"/>
      <c r="I9" s="49"/>
      <c r="J9" s="49"/>
      <c r="K9" s="49"/>
      <c r="L9" s="49"/>
      <c r="M9" s="49"/>
      <c r="N9" s="49"/>
      <c r="P9" s="49"/>
      <c r="Q9" s="49"/>
    </row>
    <row r="10" spans="1:17" ht="15" x14ac:dyDescent="0.2">
      <c r="B10" s="16" t="s">
        <v>119</v>
      </c>
      <c r="C10" s="92">
        <v>79024</v>
      </c>
      <c r="D10" s="92">
        <v>63054</v>
      </c>
      <c r="E10" s="92">
        <v>54228</v>
      </c>
    </row>
    <row r="11" spans="1:17" ht="15" x14ac:dyDescent="0.2">
      <c r="B11" s="16" t="s">
        <v>120</v>
      </c>
      <c r="C11" s="93">
        <v>35209</v>
      </c>
      <c r="D11" s="93">
        <v>36188</v>
      </c>
      <c r="E11" s="93">
        <v>32517</v>
      </c>
    </row>
    <row r="12" spans="1:17" ht="15" x14ac:dyDescent="0.2">
      <c r="B12" s="28" t="s">
        <v>121</v>
      </c>
      <c r="C12" s="29">
        <f>C10-C11</f>
        <v>43815</v>
      </c>
      <c r="D12" s="29">
        <f t="shared" ref="D12:Q12" si="0">D10-D11</f>
        <v>26866</v>
      </c>
      <c r="E12" s="29">
        <f t="shared" si="0"/>
        <v>21711</v>
      </c>
      <c r="G12" s="29">
        <f t="shared" si="0"/>
        <v>0</v>
      </c>
      <c r="H12" s="29">
        <f t="shared" si="0"/>
        <v>0</v>
      </c>
      <c r="I12" s="29">
        <f t="shared" si="0"/>
        <v>0</v>
      </c>
      <c r="J12" s="29">
        <f t="shared" si="0"/>
        <v>0</v>
      </c>
      <c r="K12" s="29">
        <f t="shared" si="0"/>
        <v>0</v>
      </c>
      <c r="L12" s="29">
        <f t="shared" si="0"/>
        <v>0</v>
      </c>
      <c r="M12" s="29">
        <f t="shared" si="0"/>
        <v>0</v>
      </c>
      <c r="N12" s="29">
        <f t="shared" si="0"/>
        <v>0</v>
      </c>
      <c r="P12" s="29">
        <f t="shared" si="0"/>
        <v>0</v>
      </c>
      <c r="Q12" s="29">
        <f t="shared" si="0"/>
        <v>0</v>
      </c>
    </row>
    <row r="13" spans="1:17" x14ac:dyDescent="0.2">
      <c r="B13" s="13" t="s">
        <v>34</v>
      </c>
      <c r="C13" s="100">
        <f>C12/C10</f>
        <v>0.5544518121077141</v>
      </c>
      <c r="D13" s="100">
        <f>D12/D10</f>
        <v>0.42607923367272499</v>
      </c>
      <c r="E13" s="100">
        <f>E12/E10</f>
        <v>0.40036512502766097</v>
      </c>
      <c r="G13" s="100" t="e">
        <f t="shared" ref="G13:N13" si="1">G12/G10</f>
        <v>#DIV/0!</v>
      </c>
      <c r="H13" s="100" t="e">
        <f t="shared" si="1"/>
        <v>#DIV/0!</v>
      </c>
      <c r="I13" s="100" t="e">
        <f t="shared" si="1"/>
        <v>#DIV/0!</v>
      </c>
      <c r="J13" s="100" t="e">
        <f t="shared" si="1"/>
        <v>#DIV/0!</v>
      </c>
      <c r="K13" s="100" t="e">
        <f t="shared" si="1"/>
        <v>#DIV/0!</v>
      </c>
      <c r="L13" s="100" t="e">
        <f t="shared" si="1"/>
        <v>#DIV/0!</v>
      </c>
      <c r="M13" s="100" t="e">
        <f t="shared" si="1"/>
        <v>#DIV/0!</v>
      </c>
      <c r="N13" s="100" t="e">
        <f t="shared" si="1"/>
        <v>#DIV/0!</v>
      </c>
      <c r="P13" s="100" t="e">
        <f t="shared" ref="P13:Q13" si="2">P12/P10</f>
        <v>#DIV/0!</v>
      </c>
      <c r="Q13" s="100" t="e">
        <f t="shared" si="2"/>
        <v>#DIV/0!</v>
      </c>
    </row>
    <row r="14" spans="1:17" ht="2.25" customHeight="1" x14ac:dyDescent="0.2">
      <c r="B14" s="97"/>
      <c r="C14" s="98"/>
      <c r="D14" s="98"/>
      <c r="E14" s="98"/>
      <c r="G14" s="52"/>
    </row>
    <row r="15" spans="1:17" ht="15" x14ac:dyDescent="0.2">
      <c r="B15" s="16" t="s">
        <v>35</v>
      </c>
      <c r="C15" s="93">
        <v>15190</v>
      </c>
      <c r="D15" s="93">
        <v>17528</v>
      </c>
      <c r="E15" s="93">
        <v>16046</v>
      </c>
    </row>
    <row r="16" spans="1:17" ht="15" x14ac:dyDescent="0.2">
      <c r="B16" s="20" t="s">
        <v>36</v>
      </c>
      <c r="C16" s="93">
        <v>6543</v>
      </c>
      <c r="D16" s="93">
        <v>7002</v>
      </c>
      <c r="E16" s="93">
        <v>5634</v>
      </c>
    </row>
    <row r="17" spans="2:17" ht="15" x14ac:dyDescent="0.2">
      <c r="B17" s="16" t="s">
        <v>37</v>
      </c>
      <c r="C17" s="93">
        <v>2626</v>
      </c>
      <c r="D17" s="93">
        <v>2</v>
      </c>
      <c r="E17" s="93">
        <v>-62</v>
      </c>
    </row>
    <row r="18" spans="2:17" ht="15" x14ac:dyDescent="0.2">
      <c r="B18" s="25" t="s">
        <v>40</v>
      </c>
      <c r="C18" s="29">
        <f>SUM(C12-SUM(C15:C17))</f>
        <v>19456</v>
      </c>
      <c r="D18" s="29">
        <f>SUM(D12-SUM(D15:D17))</f>
        <v>2334</v>
      </c>
      <c r="E18" s="29">
        <f>SUM(E12-SUM(E15:E17))</f>
        <v>93</v>
      </c>
      <c r="G18" s="29">
        <f t="shared" ref="G18:O18" si="3">SUM(G12-SUM(G15:G17))</f>
        <v>0</v>
      </c>
      <c r="H18" s="29">
        <f t="shared" si="3"/>
        <v>0</v>
      </c>
      <c r="I18" s="29">
        <f t="shared" si="3"/>
        <v>0</v>
      </c>
      <c r="J18" s="29">
        <f t="shared" si="3"/>
        <v>0</v>
      </c>
      <c r="K18" s="29">
        <f t="shared" si="3"/>
        <v>0</v>
      </c>
      <c r="L18" s="29">
        <f t="shared" si="3"/>
        <v>0</v>
      </c>
      <c r="M18" s="29">
        <f t="shared" si="3"/>
        <v>0</v>
      </c>
      <c r="N18" s="29">
        <f t="shared" si="3"/>
        <v>0</v>
      </c>
      <c r="O18" s="29">
        <f t="shared" si="3"/>
        <v>0</v>
      </c>
      <c r="P18" s="29">
        <f t="shared" ref="P18" si="4">SUM(P12-SUM(P15:P17))</f>
        <v>0</v>
      </c>
      <c r="Q18" s="29">
        <f t="shared" ref="Q18" si="5">SUM(Q12-SUM(Q15:Q17))</f>
        <v>0</v>
      </c>
    </row>
    <row r="19" spans="2:17" x14ac:dyDescent="0.2">
      <c r="B19" s="13" t="s">
        <v>34</v>
      </c>
      <c r="C19" s="100">
        <f>C18/C10</f>
        <v>0.24620368495646891</v>
      </c>
      <c r="D19" s="100">
        <f t="shared" ref="D19:E19" si="6">D18/D10</f>
        <v>3.7015891140926828E-2</v>
      </c>
      <c r="E19" s="100">
        <f t="shared" si="6"/>
        <v>1.714981190528878E-3</v>
      </c>
      <c r="G19" s="100" t="e">
        <f t="shared" ref="G19:O19" si="7">G18/G10</f>
        <v>#DIV/0!</v>
      </c>
      <c r="H19" s="100" t="e">
        <f t="shared" si="7"/>
        <v>#DIV/0!</v>
      </c>
      <c r="I19" s="100" t="e">
        <f t="shared" si="7"/>
        <v>#DIV/0!</v>
      </c>
      <c r="J19" s="100" t="e">
        <f t="shared" si="7"/>
        <v>#DIV/0!</v>
      </c>
      <c r="K19" s="100" t="e">
        <f t="shared" si="7"/>
        <v>#DIV/0!</v>
      </c>
      <c r="L19" s="100" t="e">
        <f t="shared" si="7"/>
        <v>#DIV/0!</v>
      </c>
      <c r="M19" s="100" t="e">
        <f t="shared" si="7"/>
        <v>#DIV/0!</v>
      </c>
      <c r="N19" s="100" t="e">
        <f t="shared" si="7"/>
        <v>#DIV/0!</v>
      </c>
      <c r="O19" s="100" t="e">
        <f t="shared" si="7"/>
        <v>#DIV/0!</v>
      </c>
      <c r="P19" s="100" t="e">
        <f t="shared" ref="P19:Q19" si="8">P18/P10</f>
        <v>#DIV/0!</v>
      </c>
      <c r="Q19" s="100" t="e">
        <f t="shared" si="8"/>
        <v>#DIV/0!</v>
      </c>
    </row>
    <row r="20" spans="2:17" ht="2.25" customHeight="1" x14ac:dyDescent="0.2">
      <c r="B20" s="23"/>
      <c r="C20" s="98"/>
      <c r="D20" s="98"/>
      <c r="E20" s="98"/>
      <c r="G20" s="96"/>
    </row>
    <row r="21" spans="2:17" ht="15" x14ac:dyDescent="0.2">
      <c r="B21" s="20" t="s">
        <v>122</v>
      </c>
      <c r="C21" s="93">
        <v>2729</v>
      </c>
      <c r="D21" s="93">
        <v>4268</v>
      </c>
      <c r="E21" s="93">
        <v>40</v>
      </c>
    </row>
    <row r="22" spans="2:17" ht="15" x14ac:dyDescent="0.2">
      <c r="B22" s="16" t="s">
        <v>123</v>
      </c>
      <c r="C22" s="93">
        <v>-482</v>
      </c>
      <c r="D22" s="93">
        <v>1166</v>
      </c>
      <c r="E22" s="93">
        <v>629</v>
      </c>
    </row>
    <row r="23" spans="2:17" ht="15" x14ac:dyDescent="0.2">
      <c r="B23" s="25" t="s">
        <v>237</v>
      </c>
      <c r="C23" s="26">
        <f>SUM(C18+SUM(C21:C22))</f>
        <v>21703</v>
      </c>
      <c r="D23" s="26">
        <f t="shared" ref="D23:E23" si="9">SUM(D18+SUM(D21:D22))</f>
        <v>7768</v>
      </c>
      <c r="E23" s="26">
        <f t="shared" si="9"/>
        <v>762</v>
      </c>
      <c r="G23" s="96"/>
    </row>
    <row r="24" spans="2:17" ht="2.25" customHeight="1" x14ac:dyDescent="0.2">
      <c r="B24" s="23"/>
      <c r="C24" s="47"/>
      <c r="D24" s="47"/>
      <c r="E24" s="47"/>
    </row>
    <row r="25" spans="2:17" ht="15" x14ac:dyDescent="0.2">
      <c r="B25" s="20" t="s">
        <v>124</v>
      </c>
      <c r="C25" s="93">
        <v>1835</v>
      </c>
      <c r="D25" s="93">
        <v>-249</v>
      </c>
      <c r="E25" s="93">
        <v>-913</v>
      </c>
    </row>
    <row r="26" spans="2:17" ht="15" x14ac:dyDescent="0.2">
      <c r="B26" s="28" t="s">
        <v>59</v>
      </c>
      <c r="C26" s="29">
        <f>SUM(C23-C25)</f>
        <v>19868</v>
      </c>
      <c r="D26" s="29">
        <f>SUM(D23-D25)</f>
        <v>8017</v>
      </c>
      <c r="E26" s="29">
        <f>SUM(E23-E25)</f>
        <v>1675</v>
      </c>
      <c r="G26" s="29">
        <f t="shared" ref="G26:N26" si="10">SUM(G23-G25)</f>
        <v>0</v>
      </c>
      <c r="H26" s="29">
        <f t="shared" si="10"/>
        <v>0</v>
      </c>
      <c r="I26" s="29">
        <f t="shared" si="10"/>
        <v>0</v>
      </c>
      <c r="J26" s="29">
        <f t="shared" si="10"/>
        <v>0</v>
      </c>
      <c r="K26" s="29">
        <f t="shared" si="10"/>
        <v>0</v>
      </c>
      <c r="L26" s="29">
        <f t="shared" si="10"/>
        <v>0</v>
      </c>
      <c r="M26" s="29">
        <f t="shared" si="10"/>
        <v>0</v>
      </c>
      <c r="N26" s="29">
        <f t="shared" si="10"/>
        <v>0</v>
      </c>
      <c r="P26" s="29">
        <f t="shared" ref="P26" si="11">SUM(P23-P25)</f>
        <v>0</v>
      </c>
      <c r="Q26" s="29">
        <f t="shared" ref="Q26" si="12">SUM(Q23-Q25)</f>
        <v>0</v>
      </c>
    </row>
    <row r="27" spans="2:17" ht="2.25" customHeight="1" x14ac:dyDescent="0.2">
      <c r="B27" s="97"/>
      <c r="C27" s="98"/>
      <c r="D27" s="98"/>
      <c r="E27" s="98"/>
    </row>
    <row r="28" spans="2:17" ht="15" x14ac:dyDescent="0.2">
      <c r="B28" s="20" t="s">
        <v>125</v>
      </c>
      <c r="C28" s="9">
        <v>0</v>
      </c>
      <c r="D28" s="9">
        <v>3</v>
      </c>
      <c r="E28" s="9">
        <v>-14</v>
      </c>
    </row>
    <row r="29" spans="2:17" ht="15" x14ac:dyDescent="0.2">
      <c r="B29" s="20" t="s">
        <v>126</v>
      </c>
      <c r="C29" s="24">
        <v>19868</v>
      </c>
      <c r="D29" s="24">
        <v>8014</v>
      </c>
      <c r="E29" s="24">
        <v>1689</v>
      </c>
    </row>
    <row r="30" spans="2:17" ht="15" x14ac:dyDescent="0.2">
      <c r="B30" s="20" t="s">
        <v>127</v>
      </c>
      <c r="C30" s="30">
        <v>4.8899999999999997</v>
      </c>
      <c r="D30" s="30">
        <v>1.95</v>
      </c>
      <c r="E30" s="30">
        <v>0.4</v>
      </c>
    </row>
    <row r="31" spans="2:17" ht="15" x14ac:dyDescent="0.2">
      <c r="B31" s="20" t="s">
        <v>128</v>
      </c>
      <c r="C31" s="30">
        <v>4.8600000000000003</v>
      </c>
      <c r="D31" s="30">
        <v>1.94</v>
      </c>
      <c r="E31" s="30">
        <v>0.4</v>
      </c>
    </row>
    <row r="32" spans="2:17" ht="15" x14ac:dyDescent="0.2">
      <c r="B32" s="99" t="s">
        <v>129</v>
      </c>
      <c r="C32" s="16" t="s">
        <v>58</v>
      </c>
      <c r="D32" s="16" t="s">
        <v>58</v>
      </c>
      <c r="E32" s="16" t="s">
        <v>58</v>
      </c>
    </row>
    <row r="33" spans="1:7" ht="15" x14ac:dyDescent="0.2">
      <c r="B33" s="20" t="s">
        <v>130</v>
      </c>
      <c r="C33" s="9">
        <v>4059</v>
      </c>
      <c r="D33" s="9">
        <v>4108</v>
      </c>
      <c r="E33" s="9">
        <v>4190</v>
      </c>
    </row>
    <row r="34" spans="1:7" ht="15" x14ac:dyDescent="0.2">
      <c r="B34" s="20" t="s">
        <v>131</v>
      </c>
      <c r="C34" s="9">
        <v>4090</v>
      </c>
      <c r="D34" s="9">
        <v>4123</v>
      </c>
      <c r="E34" s="9">
        <v>4212</v>
      </c>
    </row>
    <row r="36" spans="1:7" ht="15" x14ac:dyDescent="0.2">
      <c r="A36" t="s">
        <v>135</v>
      </c>
      <c r="B36" s="5" t="s">
        <v>117</v>
      </c>
      <c r="C36" s="31" t="s">
        <v>53</v>
      </c>
      <c r="D36" s="31" t="s">
        <v>54</v>
      </c>
      <c r="E36" s="31" t="s">
        <v>55</v>
      </c>
    </row>
    <row r="37" spans="1:7" ht="15" x14ac:dyDescent="0.2">
      <c r="B37" s="90" t="s">
        <v>95</v>
      </c>
      <c r="C37" s="33" t="s">
        <v>133</v>
      </c>
      <c r="D37" s="33" t="s">
        <v>133</v>
      </c>
      <c r="E37" s="33" t="s">
        <v>133</v>
      </c>
    </row>
    <row r="38" spans="1:7" ht="6" customHeight="1" x14ac:dyDescent="0.2">
      <c r="B38" s="88"/>
      <c r="C38" s="89"/>
      <c r="D38" s="89"/>
      <c r="E38" s="89"/>
    </row>
    <row r="39" spans="1:7" ht="15" x14ac:dyDescent="0.2">
      <c r="B39" s="20" t="s">
        <v>96</v>
      </c>
      <c r="D39" s="92">
        <v>11144</v>
      </c>
      <c r="E39" s="92">
        <v>7079</v>
      </c>
      <c r="G39" s="52"/>
    </row>
    <row r="40" spans="1:7" ht="15" x14ac:dyDescent="0.2">
      <c r="B40" s="20" t="s">
        <v>97</v>
      </c>
      <c r="D40" s="93">
        <v>17194</v>
      </c>
      <c r="E40" s="93">
        <v>17955</v>
      </c>
    </row>
    <row r="41" spans="1:7" ht="15" x14ac:dyDescent="0.2">
      <c r="B41" s="20" t="s">
        <v>98</v>
      </c>
      <c r="D41" s="93">
        <v>4133</v>
      </c>
      <c r="E41" s="93">
        <v>3402</v>
      </c>
    </row>
    <row r="42" spans="1:7" ht="15" x14ac:dyDescent="0.2">
      <c r="B42" s="20" t="s">
        <v>43</v>
      </c>
      <c r="D42" s="93">
        <v>13224</v>
      </c>
      <c r="E42" s="93">
        <v>11127</v>
      </c>
    </row>
    <row r="43" spans="1:7" ht="15" x14ac:dyDescent="0.2">
      <c r="B43" s="20" t="s">
        <v>99</v>
      </c>
      <c r="D43" s="93">
        <v>4712</v>
      </c>
      <c r="E43" s="93">
        <v>3706</v>
      </c>
    </row>
    <row r="44" spans="1:7" ht="15" x14ac:dyDescent="0.2">
      <c r="B44" s="25" t="s">
        <v>238</v>
      </c>
      <c r="C44" s="7"/>
      <c r="D44" s="26">
        <f>SUM(D39:D43)</f>
        <v>50407</v>
      </c>
      <c r="E44" s="26">
        <f>SUM(E39:E43)</f>
        <v>43269</v>
      </c>
    </row>
    <row r="45" spans="1:7" ht="4.5" customHeight="1" x14ac:dyDescent="0.2">
      <c r="B45" s="23"/>
      <c r="C45" s="15"/>
      <c r="D45" s="47"/>
      <c r="E45" s="47"/>
    </row>
    <row r="46" spans="1:7" ht="15" x14ac:dyDescent="0.2">
      <c r="B46" s="20" t="s">
        <v>100</v>
      </c>
      <c r="D46" s="93">
        <v>80860</v>
      </c>
      <c r="E46" s="93">
        <v>96647</v>
      </c>
    </row>
    <row r="47" spans="1:7" ht="15" x14ac:dyDescent="0.2">
      <c r="B47" s="16" t="s">
        <v>101</v>
      </c>
      <c r="D47" s="93">
        <v>5912</v>
      </c>
      <c r="E47" s="93">
        <v>5829</v>
      </c>
    </row>
    <row r="48" spans="1:7" ht="15" x14ac:dyDescent="0.2">
      <c r="B48" s="16" t="s">
        <v>102</v>
      </c>
      <c r="D48" s="93">
        <v>27591</v>
      </c>
      <c r="E48" s="93">
        <v>27591</v>
      </c>
    </row>
    <row r="49" spans="2:5" ht="15" x14ac:dyDescent="0.2">
      <c r="B49" s="16" t="s">
        <v>103</v>
      </c>
      <c r="D49" s="93">
        <v>6018</v>
      </c>
      <c r="E49" s="93">
        <v>4589</v>
      </c>
    </row>
    <row r="50" spans="2:5" ht="15" x14ac:dyDescent="0.2">
      <c r="B50" s="16" t="s">
        <v>104</v>
      </c>
      <c r="D50" s="93">
        <v>11315</v>
      </c>
      <c r="E50" s="93">
        <v>13647</v>
      </c>
    </row>
    <row r="51" spans="2:5" ht="15" x14ac:dyDescent="0.2">
      <c r="B51" s="25" t="s">
        <v>239</v>
      </c>
      <c r="C51" s="7"/>
      <c r="D51" s="26">
        <f>SUM(D44+SUM(D46:D50))</f>
        <v>182103</v>
      </c>
      <c r="E51" s="26">
        <f>SUM(E44+SUM(E46:E50))</f>
        <v>191572</v>
      </c>
    </row>
    <row r="52" spans="2:5" ht="1.5" customHeight="1" x14ac:dyDescent="0.2">
      <c r="B52" s="23"/>
      <c r="C52" s="15"/>
      <c r="D52" s="47"/>
      <c r="E52" s="47"/>
    </row>
    <row r="53" spans="2:5" ht="15" x14ac:dyDescent="0.2">
      <c r="B53" s="16" t="s">
        <v>105</v>
      </c>
      <c r="C53" s="101"/>
      <c r="D53" s="93">
        <v>4367</v>
      </c>
      <c r="E53" s="93">
        <v>2288</v>
      </c>
    </row>
    <row r="54" spans="2:5" ht="15" x14ac:dyDescent="0.2">
      <c r="B54" s="16" t="s">
        <v>44</v>
      </c>
      <c r="C54" s="101"/>
      <c r="D54" s="93">
        <v>9595</v>
      </c>
      <c r="E54" s="93">
        <v>8578</v>
      </c>
    </row>
    <row r="55" spans="2:5" ht="15" x14ac:dyDescent="0.2">
      <c r="B55" s="20" t="s">
        <v>45</v>
      </c>
      <c r="C55" s="101"/>
      <c r="D55" s="93">
        <v>4084</v>
      </c>
      <c r="E55" s="93">
        <v>3655</v>
      </c>
    </row>
    <row r="56" spans="2:5" ht="15" x14ac:dyDescent="0.2">
      <c r="B56" s="16" t="s">
        <v>106</v>
      </c>
      <c r="C56" s="101"/>
      <c r="D56" s="93">
        <v>2251</v>
      </c>
      <c r="E56" s="93">
        <v>1107</v>
      </c>
    </row>
    <row r="57" spans="2:5" ht="15" x14ac:dyDescent="0.2">
      <c r="B57" s="16" t="s">
        <v>107</v>
      </c>
      <c r="C57" s="101"/>
      <c r="D57" s="93">
        <v>11858</v>
      </c>
      <c r="E57" s="93">
        <v>12425</v>
      </c>
    </row>
    <row r="58" spans="2:5" ht="15" x14ac:dyDescent="0.2">
      <c r="B58" s="25" t="s">
        <v>139</v>
      </c>
      <c r="C58" s="7"/>
      <c r="D58" s="26">
        <f>SUM(D53:D57)</f>
        <v>32155</v>
      </c>
      <c r="E58" s="26">
        <f>SUM(E53:E57)</f>
        <v>28053</v>
      </c>
    </row>
    <row r="59" spans="2:5" ht="3" customHeight="1" x14ac:dyDescent="0.2">
      <c r="B59" s="23"/>
      <c r="C59" s="15"/>
      <c r="D59" s="47"/>
      <c r="E59" s="47"/>
    </row>
    <row r="60" spans="2:5" ht="15" x14ac:dyDescent="0.2">
      <c r="B60" s="16" t="s">
        <v>108</v>
      </c>
      <c r="C60" s="101"/>
      <c r="D60" s="93">
        <v>37684</v>
      </c>
      <c r="E60" s="93">
        <v>46978</v>
      </c>
    </row>
    <row r="61" spans="2:5" ht="15" x14ac:dyDescent="0.2">
      <c r="B61" s="16" t="s">
        <v>109</v>
      </c>
      <c r="C61" s="101"/>
      <c r="D61" s="93">
        <v>8978</v>
      </c>
      <c r="E61" s="93">
        <v>6576</v>
      </c>
    </row>
    <row r="62" spans="2:5" ht="15" x14ac:dyDescent="0.2">
      <c r="B62" s="25" t="s">
        <v>134</v>
      </c>
      <c r="C62" s="26"/>
      <c r="D62" s="26">
        <f>SUM(D58+SUM(D60:D61))</f>
        <v>78817</v>
      </c>
      <c r="E62" s="26">
        <f>SUM(E58+SUM(E60:E61))</f>
        <v>81607</v>
      </c>
    </row>
    <row r="63" spans="2:5" ht="2.25" customHeight="1" x14ac:dyDescent="0.2">
      <c r="B63" s="23"/>
      <c r="D63" s="16" t="s">
        <v>58</v>
      </c>
      <c r="E63" s="16" t="s">
        <v>58</v>
      </c>
    </row>
    <row r="64" spans="2:5" ht="15" x14ac:dyDescent="0.2">
      <c r="B64" s="20" t="s">
        <v>110</v>
      </c>
      <c r="C64" s="101"/>
      <c r="D64" s="93">
        <v>0</v>
      </c>
      <c r="E64" s="93">
        <v>0</v>
      </c>
    </row>
    <row r="65" spans="1:6" ht="15" x14ac:dyDescent="0.2">
      <c r="B65" s="20" t="s">
        <v>111</v>
      </c>
      <c r="C65" s="101"/>
      <c r="D65" s="93">
        <v>31580</v>
      </c>
      <c r="E65" s="93">
        <v>36649</v>
      </c>
    </row>
    <row r="66" spans="1:6" ht="15" x14ac:dyDescent="0.2">
      <c r="B66" s="20" t="s">
        <v>112</v>
      </c>
      <c r="C66" s="101"/>
      <c r="D66" s="93">
        <v>-562</v>
      </c>
      <c r="E66" s="93">
        <v>-215</v>
      </c>
    </row>
    <row r="67" spans="1:6" ht="15" x14ac:dyDescent="0.2">
      <c r="B67" s="20" t="s">
        <v>113</v>
      </c>
      <c r="C67" s="101"/>
      <c r="D67" s="93">
        <v>70405</v>
      </c>
      <c r="E67" s="93">
        <v>69156</v>
      </c>
    </row>
    <row r="68" spans="1:6" ht="15" x14ac:dyDescent="0.2">
      <c r="B68" s="102" t="s">
        <v>114</v>
      </c>
      <c r="C68" s="7"/>
      <c r="D68" s="26">
        <f>SUM(D64:D67)</f>
        <v>101423</v>
      </c>
      <c r="E68" s="26">
        <f>SUM(E64:E67)</f>
        <v>105590</v>
      </c>
      <c r="F68" s="15"/>
    </row>
    <row r="69" spans="1:6" ht="3" customHeight="1" x14ac:dyDescent="0.2">
      <c r="B69" s="99"/>
      <c r="C69" s="15"/>
      <c r="D69" s="47"/>
      <c r="E69" s="47"/>
      <c r="F69" s="15"/>
    </row>
    <row r="70" spans="1:6" ht="15" x14ac:dyDescent="0.2">
      <c r="B70" s="20" t="s">
        <v>115</v>
      </c>
      <c r="D70" s="93">
        <v>1863</v>
      </c>
      <c r="E70" s="93">
        <v>4375</v>
      </c>
    </row>
    <row r="71" spans="1:6" ht="15" x14ac:dyDescent="0.2">
      <c r="B71" s="25" t="s">
        <v>116</v>
      </c>
      <c r="C71" s="7"/>
      <c r="D71" s="26">
        <f>SUM(D68+D70)</f>
        <v>103286</v>
      </c>
      <c r="E71" s="26">
        <f>SUM(E68+E70)</f>
        <v>109965</v>
      </c>
    </row>
    <row r="73" spans="1:6" x14ac:dyDescent="0.2">
      <c r="A73" t="s">
        <v>135</v>
      </c>
      <c r="B73" s="5" t="s">
        <v>94</v>
      </c>
      <c r="C73" s="5" t="s">
        <v>53</v>
      </c>
      <c r="D73" s="5" t="s">
        <v>54</v>
      </c>
      <c r="E73" s="5" t="s">
        <v>55</v>
      </c>
    </row>
    <row r="74" spans="1:6" ht="15" x14ac:dyDescent="0.2">
      <c r="B74" s="1" t="s">
        <v>52</v>
      </c>
      <c r="C74" s="33" t="s">
        <v>133</v>
      </c>
      <c r="D74" s="33" t="s">
        <v>133</v>
      </c>
      <c r="E74" s="33" t="s">
        <v>133</v>
      </c>
    </row>
    <row r="75" spans="1:6" ht="3" customHeight="1" x14ac:dyDescent="0.2">
      <c r="B75" s="86"/>
      <c r="C75" s="89"/>
      <c r="D75" s="89"/>
      <c r="E75" s="89"/>
    </row>
    <row r="76" spans="1:6" x14ac:dyDescent="0.2">
      <c r="B76" s="15" t="s">
        <v>57</v>
      </c>
      <c r="C76" s="27" t="s">
        <v>58</v>
      </c>
      <c r="D76" s="27" t="s">
        <v>58</v>
      </c>
      <c r="E76" s="27" t="s">
        <v>58</v>
      </c>
    </row>
    <row r="77" spans="1:6" x14ac:dyDescent="0.2">
      <c r="B77" t="s">
        <v>59</v>
      </c>
      <c r="C77" s="103">
        <v>19868</v>
      </c>
      <c r="D77" s="103">
        <v>8017</v>
      </c>
      <c r="E77" s="103">
        <v>1675</v>
      </c>
    </row>
    <row r="78" spans="1:6" x14ac:dyDescent="0.2">
      <c r="B78" t="s">
        <v>60</v>
      </c>
      <c r="C78" s="103" t="s">
        <v>58</v>
      </c>
      <c r="D78" s="103" t="s">
        <v>58</v>
      </c>
      <c r="E78" s="103" t="s">
        <v>58</v>
      </c>
    </row>
    <row r="79" spans="1:6" x14ac:dyDescent="0.2">
      <c r="B79" t="s">
        <v>61</v>
      </c>
      <c r="C79" s="103">
        <v>9953</v>
      </c>
      <c r="D79" s="103">
        <v>11128</v>
      </c>
      <c r="E79" s="103">
        <v>7847</v>
      </c>
    </row>
    <row r="80" spans="1:6" x14ac:dyDescent="0.2">
      <c r="B80" t="s">
        <v>39</v>
      </c>
      <c r="C80" s="103">
        <v>2036</v>
      </c>
      <c r="D80" s="103">
        <v>3128</v>
      </c>
      <c r="E80" s="103">
        <v>3229</v>
      </c>
    </row>
    <row r="81" spans="2:7" x14ac:dyDescent="0.2">
      <c r="B81" t="s">
        <v>37</v>
      </c>
      <c r="C81" s="103">
        <v>2626</v>
      </c>
      <c r="D81" s="103">
        <v>1074</v>
      </c>
      <c r="E81" s="103">
        <v>-424</v>
      </c>
    </row>
    <row r="82" spans="2:7" x14ac:dyDescent="0.2">
      <c r="B82" t="s">
        <v>49</v>
      </c>
      <c r="C82" s="103">
        <v>1839</v>
      </c>
      <c r="D82" s="103">
        <v>1907</v>
      </c>
      <c r="E82" s="103">
        <v>1755</v>
      </c>
    </row>
    <row r="83" spans="2:7" x14ac:dyDescent="0.2">
      <c r="B83" t="s">
        <v>50</v>
      </c>
      <c r="C83" s="103">
        <v>-1458</v>
      </c>
      <c r="D83" s="103">
        <v>-4254</v>
      </c>
      <c r="E83" s="103">
        <v>-42</v>
      </c>
    </row>
    <row r="84" spans="2:7" x14ac:dyDescent="0.2">
      <c r="B84" t="s">
        <v>51</v>
      </c>
      <c r="C84" s="103">
        <v>0</v>
      </c>
      <c r="D84" s="103">
        <v>-1059</v>
      </c>
      <c r="E84" s="103">
        <v>0</v>
      </c>
    </row>
    <row r="85" spans="2:7" x14ac:dyDescent="0.2">
      <c r="B85" s="15" t="s">
        <v>62</v>
      </c>
      <c r="C85" s="103" t="s">
        <v>58</v>
      </c>
      <c r="D85" s="103" t="s">
        <v>58</v>
      </c>
      <c r="E85" s="103" t="s">
        <v>58</v>
      </c>
    </row>
    <row r="86" spans="2:7" x14ac:dyDescent="0.2">
      <c r="B86" t="s">
        <v>42</v>
      </c>
      <c r="C86" s="103">
        <v>-2674</v>
      </c>
      <c r="D86" s="103">
        <v>5327</v>
      </c>
      <c r="E86" s="103">
        <v>731</v>
      </c>
    </row>
    <row r="87" spans="2:7" x14ac:dyDescent="0.2">
      <c r="B87" t="s">
        <v>43</v>
      </c>
      <c r="C87" s="103">
        <v>-2339</v>
      </c>
      <c r="D87" s="103">
        <v>-2436</v>
      </c>
      <c r="E87" s="103">
        <v>2097</v>
      </c>
    </row>
    <row r="88" spans="2:7" x14ac:dyDescent="0.2">
      <c r="B88" t="s">
        <v>44</v>
      </c>
      <c r="C88" s="103">
        <v>1190</v>
      </c>
      <c r="D88" s="103">
        <v>-29</v>
      </c>
      <c r="E88" s="103">
        <v>-801</v>
      </c>
    </row>
    <row r="89" spans="2:7" x14ac:dyDescent="0.2">
      <c r="B89" t="s">
        <v>45</v>
      </c>
      <c r="C89" s="103">
        <v>515</v>
      </c>
      <c r="D89" s="103">
        <v>-1533</v>
      </c>
      <c r="E89" s="103">
        <v>-614</v>
      </c>
    </row>
    <row r="90" spans="2:7" x14ac:dyDescent="0.2">
      <c r="B90" t="s">
        <v>46</v>
      </c>
      <c r="C90" s="103">
        <v>-1583</v>
      </c>
      <c r="D90" s="103">
        <v>-24</v>
      </c>
      <c r="E90" s="103">
        <v>0</v>
      </c>
    </row>
    <row r="91" spans="2:7" x14ac:dyDescent="0.2">
      <c r="B91" t="s">
        <v>47</v>
      </c>
      <c r="C91" s="103">
        <v>-441</v>
      </c>
      <c r="D91" s="103">
        <v>-4535</v>
      </c>
      <c r="E91" s="103">
        <v>-3531</v>
      </c>
    </row>
    <row r="92" spans="2:7" x14ac:dyDescent="0.2">
      <c r="B92" t="s">
        <v>48</v>
      </c>
      <c r="C92" s="103">
        <v>-76</v>
      </c>
      <c r="D92" s="103">
        <v>-1278</v>
      </c>
      <c r="E92" s="103">
        <v>-451</v>
      </c>
    </row>
    <row r="93" spans="2:7" x14ac:dyDescent="0.2">
      <c r="B93" s="7" t="s">
        <v>63</v>
      </c>
      <c r="C93" s="34">
        <f>SUM(C77:C92)</f>
        <v>29456</v>
      </c>
      <c r="D93" s="34">
        <f>SUM(D77:D92)</f>
        <v>15433</v>
      </c>
      <c r="E93" s="34">
        <f>SUM(E77:E92)</f>
        <v>11471</v>
      </c>
      <c r="G93" s="64"/>
    </row>
    <row r="94" spans="2:7" ht="6.75" customHeight="1" x14ac:dyDescent="0.2">
      <c r="B94" s="15"/>
      <c r="C94" s="91"/>
      <c r="D94" s="91"/>
      <c r="E94" s="91"/>
    </row>
    <row r="95" spans="2:7" x14ac:dyDescent="0.2">
      <c r="B95" s="15" t="s">
        <v>64</v>
      </c>
      <c r="C95" s="27" t="s">
        <v>58</v>
      </c>
      <c r="D95" s="27" t="s">
        <v>58</v>
      </c>
      <c r="E95" s="27" t="s">
        <v>58</v>
      </c>
    </row>
    <row r="96" spans="2:7" x14ac:dyDescent="0.2">
      <c r="B96" t="s">
        <v>65</v>
      </c>
      <c r="C96" s="104">
        <v>-18733</v>
      </c>
      <c r="D96" s="104">
        <v>-24844</v>
      </c>
      <c r="E96" s="104">
        <v>-25750</v>
      </c>
    </row>
    <row r="97" spans="2:7" x14ac:dyDescent="0.2">
      <c r="B97" t="s">
        <v>66</v>
      </c>
      <c r="C97" s="104">
        <v>1596</v>
      </c>
      <c r="D97" s="104">
        <v>206</v>
      </c>
      <c r="E97" s="104">
        <v>0</v>
      </c>
    </row>
    <row r="98" spans="2:7" x14ac:dyDescent="0.2">
      <c r="B98" t="s">
        <v>67</v>
      </c>
      <c r="C98" s="104">
        <v>166</v>
      </c>
      <c r="D98" s="104">
        <v>246</v>
      </c>
      <c r="E98" s="104">
        <v>1011</v>
      </c>
    </row>
    <row r="99" spans="2:7" x14ac:dyDescent="0.2">
      <c r="B99" t="s">
        <v>68</v>
      </c>
      <c r="C99" s="104">
        <v>-40554</v>
      </c>
      <c r="D99" s="104">
        <v>-43647</v>
      </c>
      <c r="E99" s="104">
        <v>-44414</v>
      </c>
    </row>
    <row r="100" spans="2:7" x14ac:dyDescent="0.2">
      <c r="B100" t="s">
        <v>69</v>
      </c>
      <c r="C100" s="104">
        <v>35299</v>
      </c>
      <c r="D100" s="104">
        <v>48730</v>
      </c>
      <c r="E100" s="104">
        <v>44077</v>
      </c>
    </row>
    <row r="101" spans="2:7" x14ac:dyDescent="0.2">
      <c r="B101" t="s">
        <v>70</v>
      </c>
      <c r="C101" s="104">
        <v>-613</v>
      </c>
      <c r="D101" s="104">
        <v>-510</v>
      </c>
      <c r="E101" s="104">
        <v>-399</v>
      </c>
    </row>
    <row r="102" spans="2:7" x14ac:dyDescent="0.2">
      <c r="B102" t="s">
        <v>71</v>
      </c>
      <c r="C102" s="104">
        <v>581</v>
      </c>
      <c r="D102" s="104">
        <v>4961</v>
      </c>
      <c r="E102" s="104">
        <v>472</v>
      </c>
    </row>
    <row r="103" spans="2:7" x14ac:dyDescent="0.2">
      <c r="B103" t="s">
        <v>72</v>
      </c>
      <c r="C103" s="104">
        <v>0</v>
      </c>
      <c r="D103" s="104">
        <v>6579</v>
      </c>
      <c r="E103" s="104">
        <v>0</v>
      </c>
    </row>
    <row r="104" spans="2:7" x14ac:dyDescent="0.2">
      <c r="B104" t="s">
        <v>73</v>
      </c>
      <c r="C104" s="104">
        <v>1167</v>
      </c>
      <c r="D104" s="104">
        <v>-1540</v>
      </c>
      <c r="E104" s="104">
        <v>962</v>
      </c>
      <c r="G104" s="64"/>
    </row>
    <row r="105" spans="2:7" x14ac:dyDescent="0.2">
      <c r="B105" s="7" t="s">
        <v>74</v>
      </c>
      <c r="C105" s="34">
        <v>-24283</v>
      </c>
      <c r="D105" s="34">
        <v>-10231</v>
      </c>
      <c r="E105" s="34">
        <v>-24041</v>
      </c>
    </row>
    <row r="106" spans="2:7" ht="5.25" customHeight="1" x14ac:dyDescent="0.2">
      <c r="B106" s="15"/>
      <c r="C106" s="91"/>
      <c r="D106" s="91"/>
      <c r="E106" s="91"/>
    </row>
    <row r="107" spans="2:7" x14ac:dyDescent="0.2">
      <c r="B107" s="15" t="s">
        <v>75</v>
      </c>
      <c r="C107" s="27" t="s">
        <v>58</v>
      </c>
      <c r="D107" s="27" t="s">
        <v>58</v>
      </c>
      <c r="E107" s="27" t="s">
        <v>58</v>
      </c>
    </row>
    <row r="108" spans="2:7" x14ac:dyDescent="0.2">
      <c r="B108" t="s">
        <v>76</v>
      </c>
      <c r="C108" s="27">
        <v>0</v>
      </c>
      <c r="D108" s="27">
        <v>3945</v>
      </c>
      <c r="E108" s="27">
        <v>0</v>
      </c>
    </row>
    <row r="109" spans="2:7" x14ac:dyDescent="0.2">
      <c r="B109" t="s">
        <v>77</v>
      </c>
      <c r="C109" s="27">
        <v>0</v>
      </c>
      <c r="D109" s="27">
        <v>0</v>
      </c>
      <c r="E109" s="27">
        <v>-3944</v>
      </c>
    </row>
    <row r="110" spans="2:7" x14ac:dyDescent="0.2">
      <c r="B110" t="s">
        <v>78</v>
      </c>
      <c r="C110" s="27">
        <v>0</v>
      </c>
      <c r="D110" s="27">
        <v>-345</v>
      </c>
      <c r="E110" s="27">
        <v>-96</v>
      </c>
    </row>
    <row r="111" spans="2:7" x14ac:dyDescent="0.2">
      <c r="B111" t="s">
        <v>79</v>
      </c>
      <c r="C111" s="27">
        <v>0</v>
      </c>
      <c r="D111" s="27">
        <v>874</v>
      </c>
      <c r="E111" s="27">
        <v>1511</v>
      </c>
    </row>
    <row r="112" spans="2:7" x14ac:dyDescent="0.2">
      <c r="B112" t="s">
        <v>80</v>
      </c>
      <c r="C112" s="27">
        <v>0</v>
      </c>
      <c r="D112" s="27">
        <v>1032</v>
      </c>
      <c r="E112" s="27">
        <v>2959</v>
      </c>
    </row>
    <row r="113" spans="2:5" x14ac:dyDescent="0.2">
      <c r="B113" t="s">
        <v>81</v>
      </c>
      <c r="C113" s="27">
        <v>4974</v>
      </c>
      <c r="D113" s="27">
        <v>6548</v>
      </c>
      <c r="E113" s="27">
        <v>11391</v>
      </c>
    </row>
    <row r="114" spans="2:5" x14ac:dyDescent="0.2">
      <c r="B114" t="s">
        <v>82</v>
      </c>
      <c r="C114" s="27">
        <v>-2500</v>
      </c>
      <c r="D114" s="27">
        <v>-4984</v>
      </c>
      <c r="E114" s="27">
        <v>-423</v>
      </c>
    </row>
    <row r="115" spans="2:5" x14ac:dyDescent="0.2">
      <c r="B115" t="s">
        <v>83</v>
      </c>
      <c r="C115" s="27">
        <v>1020</v>
      </c>
      <c r="D115" s="27">
        <v>977</v>
      </c>
      <c r="E115" s="27">
        <v>1042</v>
      </c>
    </row>
    <row r="116" spans="2:5" x14ac:dyDescent="0.2">
      <c r="B116" t="s">
        <v>84</v>
      </c>
      <c r="C116" s="27">
        <v>-2415</v>
      </c>
      <c r="D116" s="27">
        <v>0</v>
      </c>
      <c r="E116" s="27">
        <v>0</v>
      </c>
    </row>
    <row r="117" spans="2:5" x14ac:dyDescent="0.2">
      <c r="B117" t="s">
        <v>85</v>
      </c>
      <c r="C117" s="27">
        <v>-5644</v>
      </c>
      <c r="D117" s="27">
        <v>-5997</v>
      </c>
      <c r="E117" s="27">
        <v>-3088</v>
      </c>
    </row>
    <row r="118" spans="2:5" x14ac:dyDescent="0.2">
      <c r="B118" t="s">
        <v>86</v>
      </c>
      <c r="C118" s="27">
        <v>-1646</v>
      </c>
      <c r="D118" s="27">
        <v>-935</v>
      </c>
      <c r="E118" s="27">
        <v>-847</v>
      </c>
    </row>
    <row r="119" spans="2:5" x14ac:dyDescent="0.2">
      <c r="B119" s="7" t="s">
        <v>87</v>
      </c>
      <c r="C119" s="34">
        <v>-6211</v>
      </c>
      <c r="D119" s="34">
        <v>1115</v>
      </c>
      <c r="E119" s="34">
        <v>8505</v>
      </c>
    </row>
    <row r="120" spans="2:5" ht="3.75" customHeight="1" x14ac:dyDescent="0.2">
      <c r="B120" s="15"/>
      <c r="C120" s="91"/>
      <c r="D120" s="91"/>
      <c r="E120" s="91"/>
    </row>
    <row r="121" spans="2:5" x14ac:dyDescent="0.2">
      <c r="B121" t="s">
        <v>88</v>
      </c>
      <c r="C121" s="27">
        <v>-1038</v>
      </c>
      <c r="D121" s="27">
        <v>6317</v>
      </c>
      <c r="E121" s="27">
        <v>-4065</v>
      </c>
    </row>
    <row r="122" spans="2:5" x14ac:dyDescent="0.2">
      <c r="B122" t="s">
        <v>56</v>
      </c>
      <c r="C122" s="27">
        <v>5865</v>
      </c>
      <c r="D122" s="27">
        <v>4827</v>
      </c>
      <c r="E122" s="27">
        <v>11144</v>
      </c>
    </row>
    <row r="123" spans="2:5" x14ac:dyDescent="0.2">
      <c r="B123" t="s">
        <v>89</v>
      </c>
      <c r="C123" s="27">
        <v>4827</v>
      </c>
      <c r="D123" s="27">
        <v>11144</v>
      </c>
      <c r="E123" s="27">
        <v>7079</v>
      </c>
    </row>
    <row r="124" spans="2:5" x14ac:dyDescent="0.2">
      <c r="B124" t="s">
        <v>90</v>
      </c>
      <c r="C124" s="27" t="s">
        <v>58</v>
      </c>
      <c r="D124" s="27" t="s">
        <v>58</v>
      </c>
      <c r="E124" s="27" t="s">
        <v>58</v>
      </c>
    </row>
    <row r="125" spans="2:5" x14ac:dyDescent="0.2">
      <c r="B125" t="s">
        <v>91</v>
      </c>
      <c r="C125" s="27">
        <v>1619</v>
      </c>
      <c r="D125" s="27">
        <v>5431</v>
      </c>
      <c r="E125" s="27">
        <v>4804</v>
      </c>
    </row>
    <row r="126" spans="2:5" x14ac:dyDescent="0.2">
      <c r="B126" t="s">
        <v>92</v>
      </c>
      <c r="C126" s="27">
        <v>545</v>
      </c>
      <c r="D126" s="27">
        <v>459</v>
      </c>
      <c r="E126" s="27">
        <v>613</v>
      </c>
    </row>
    <row r="127" spans="2:5" x14ac:dyDescent="0.2">
      <c r="B127" t="s">
        <v>93</v>
      </c>
      <c r="C127" s="27">
        <v>2263</v>
      </c>
      <c r="D127" s="27">
        <v>4282</v>
      </c>
      <c r="E127" s="27">
        <v>2621</v>
      </c>
    </row>
  </sheetData>
  <conditionalFormatting sqref="C8:M9">
    <cfRule type="timePeriod" dxfId="2" priority="1" timePeriod="lastWeek">
      <formula>AND(TODAY()-ROUNDDOWN(C8,0)&gt;=(WEEKDAY(TODAY())),TODAY()-ROUNDDOWN(C8,0)&lt;(WEEKDAY(TODAY())+7))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2137-FD90-4A79-997C-88B3BD50C68C}">
  <sheetPr codeName="Sheet1"/>
  <dimension ref="B2:P58"/>
  <sheetViews>
    <sheetView workbookViewId="0"/>
    <sheetView showGridLines="0" topLeftCell="A42" zoomScale="130" zoomScaleNormal="130" workbookViewId="1">
      <selection activeCell="B60" sqref="B60"/>
    </sheetView>
  </sheetViews>
  <sheetFormatPr defaultRowHeight="14.25" x14ac:dyDescent="0.2"/>
  <cols>
    <col min="2" max="2" width="20.625" bestFit="1" customWidth="1"/>
    <col min="3" max="10" width="7.375" bestFit="1" customWidth="1"/>
    <col min="11" max="11" width="7.5" bestFit="1" customWidth="1"/>
    <col min="12" max="12" width="6.25" bestFit="1" customWidth="1"/>
    <col min="13" max="15" width="10.375" bestFit="1" customWidth="1"/>
    <col min="16" max="16" width="8.625" bestFit="1" customWidth="1"/>
  </cols>
  <sheetData>
    <row r="2" spans="2:16" ht="15" x14ac:dyDescent="0.2">
      <c r="B2" s="108" t="s">
        <v>240</v>
      </c>
      <c r="C2" s="108" t="s">
        <v>241</v>
      </c>
      <c r="D2" s="108" t="s">
        <v>242</v>
      </c>
      <c r="E2" s="108" t="s">
        <v>243</v>
      </c>
      <c r="F2" s="108" t="s">
        <v>244</v>
      </c>
      <c r="G2" s="108" t="s">
        <v>245</v>
      </c>
      <c r="H2" s="108" t="s">
        <v>246</v>
      </c>
      <c r="I2" s="108" t="s">
        <v>247</v>
      </c>
      <c r="J2" s="108" t="s">
        <v>248</v>
      </c>
      <c r="K2" s="108" t="s">
        <v>249</v>
      </c>
      <c r="L2" s="108" t="s">
        <v>14</v>
      </c>
      <c r="M2" s="108" t="s">
        <v>250</v>
      </c>
      <c r="N2" s="108" t="s">
        <v>251</v>
      </c>
      <c r="O2" s="108" t="s">
        <v>252</v>
      </c>
    </row>
    <row r="4" spans="2:16" x14ac:dyDescent="0.2">
      <c r="B4" t="s">
        <v>253</v>
      </c>
      <c r="C4" s="105">
        <v>55870</v>
      </c>
      <c r="D4" s="105">
        <v>55355</v>
      </c>
      <c r="E4" s="105">
        <v>59387</v>
      </c>
      <c r="F4" s="105">
        <v>62761</v>
      </c>
      <c r="G4" s="105">
        <v>70848</v>
      </c>
      <c r="H4" s="105">
        <v>71965</v>
      </c>
      <c r="I4" s="105">
        <v>77867</v>
      </c>
      <c r="J4" s="105">
        <v>79024</v>
      </c>
      <c r="K4" s="105">
        <v>63054</v>
      </c>
      <c r="L4" s="105">
        <v>54228</v>
      </c>
      <c r="M4" s="105">
        <v>55121</v>
      </c>
      <c r="N4" s="106">
        <v>52348.4</v>
      </c>
      <c r="O4" s="106">
        <v>56782.3</v>
      </c>
      <c r="P4" s="106">
        <v>61568.1</v>
      </c>
    </row>
    <row r="6" spans="2:16" x14ac:dyDescent="0.2">
      <c r="B6" t="s">
        <v>254</v>
      </c>
      <c r="C6" s="107">
        <v>0.06</v>
      </c>
      <c r="D6" s="72">
        <v>-8.9999999999999993E-3</v>
      </c>
      <c r="E6" s="72">
        <v>7.2999999999999995E-2</v>
      </c>
      <c r="F6" s="72">
        <v>5.7000000000000002E-2</v>
      </c>
      <c r="G6" s="72">
        <v>0.129</v>
      </c>
      <c r="H6" s="72">
        <v>1.6E-2</v>
      </c>
      <c r="I6" s="72">
        <v>8.2000000000000003E-2</v>
      </c>
      <c r="J6" s="72">
        <v>1.4999999999999999E-2</v>
      </c>
      <c r="K6" s="72">
        <v>-0.20200000000000001</v>
      </c>
      <c r="L6" s="107">
        <v>-0.14000000000000001</v>
      </c>
      <c r="M6" s="107">
        <v>0.02</v>
      </c>
      <c r="N6" s="72">
        <v>-3.5000000000000003E-2</v>
      </c>
      <c r="O6" s="72">
        <v>8.5000000000000006E-2</v>
      </c>
      <c r="P6" s="72">
        <v>8.4000000000000005E-2</v>
      </c>
    </row>
    <row r="7" spans="2:16" x14ac:dyDescent="0.2">
      <c r="B7" t="s">
        <v>255</v>
      </c>
      <c r="C7" s="105">
        <v>20261</v>
      </c>
      <c r="D7" s="105">
        <v>20676</v>
      </c>
      <c r="E7" s="105">
        <v>22767</v>
      </c>
      <c r="F7" s="105">
        <v>23663</v>
      </c>
      <c r="G7" s="105">
        <v>27111</v>
      </c>
      <c r="H7" s="105">
        <v>29825</v>
      </c>
      <c r="I7" s="105">
        <v>34255</v>
      </c>
      <c r="J7" s="105">
        <v>35209</v>
      </c>
      <c r="K7" s="105">
        <v>35949</v>
      </c>
      <c r="L7" s="105">
        <v>32517</v>
      </c>
      <c r="M7" s="105">
        <v>32292</v>
      </c>
    </row>
    <row r="9" spans="2:16" x14ac:dyDescent="0.2">
      <c r="B9" t="s">
        <v>256</v>
      </c>
      <c r="C9" s="105">
        <v>35609</v>
      </c>
      <c r="D9" s="105">
        <v>34679</v>
      </c>
      <c r="E9" s="105">
        <v>36620</v>
      </c>
      <c r="F9" s="105">
        <v>39098</v>
      </c>
      <c r="G9" s="105">
        <v>43737</v>
      </c>
      <c r="H9" s="105">
        <v>42140</v>
      </c>
      <c r="I9" s="105">
        <v>43612</v>
      </c>
      <c r="J9" s="105">
        <v>43815</v>
      </c>
      <c r="K9" s="105">
        <v>27105</v>
      </c>
      <c r="L9" s="105">
        <v>21711</v>
      </c>
      <c r="M9" s="105">
        <v>22829</v>
      </c>
    </row>
    <row r="11" spans="2:16" x14ac:dyDescent="0.2">
      <c r="B11" t="s">
        <v>257</v>
      </c>
      <c r="C11" s="105">
        <v>8136</v>
      </c>
      <c r="D11" s="105">
        <v>7930</v>
      </c>
      <c r="E11" s="105">
        <v>8636</v>
      </c>
      <c r="F11" s="105">
        <v>7452</v>
      </c>
      <c r="G11" s="105">
        <v>6950</v>
      </c>
      <c r="H11" s="105">
        <v>6350</v>
      </c>
      <c r="I11" s="105">
        <v>6180</v>
      </c>
      <c r="J11" s="105">
        <v>6543</v>
      </c>
      <c r="K11" s="105">
        <v>7002</v>
      </c>
      <c r="L11" s="105">
        <v>5634</v>
      </c>
      <c r="M11" s="105">
        <v>5842</v>
      </c>
    </row>
    <row r="13" spans="2:16" x14ac:dyDescent="0.2">
      <c r="B13" t="s">
        <v>258</v>
      </c>
      <c r="C13" s="105">
        <v>11537</v>
      </c>
      <c r="D13" s="105">
        <v>12128</v>
      </c>
      <c r="E13" s="105">
        <v>12685</v>
      </c>
      <c r="F13" s="105">
        <v>13035</v>
      </c>
      <c r="G13" s="105">
        <v>13543</v>
      </c>
      <c r="H13" s="105">
        <v>13362</v>
      </c>
      <c r="I13" s="105">
        <v>13556</v>
      </c>
      <c r="J13" s="105">
        <v>15190</v>
      </c>
      <c r="K13" s="105">
        <v>17528</v>
      </c>
      <c r="L13" s="105">
        <v>16046</v>
      </c>
      <c r="M13" s="105">
        <v>16478</v>
      </c>
    </row>
    <row r="15" spans="2:16" x14ac:dyDescent="0.2">
      <c r="B15" t="s">
        <v>259</v>
      </c>
      <c r="C15" t="s">
        <v>260</v>
      </c>
      <c r="D15">
        <v>265</v>
      </c>
      <c r="E15" t="s">
        <v>260</v>
      </c>
      <c r="F15" t="s">
        <v>260</v>
      </c>
      <c r="G15" t="s">
        <v>260</v>
      </c>
      <c r="H15" t="s">
        <v>260</v>
      </c>
      <c r="I15" t="s">
        <v>260</v>
      </c>
      <c r="J15" t="s">
        <v>260</v>
      </c>
      <c r="K15" t="s">
        <v>260</v>
      </c>
      <c r="L15" t="s">
        <v>260</v>
      </c>
      <c r="M15" t="s">
        <v>260</v>
      </c>
    </row>
    <row r="17" spans="2:16" x14ac:dyDescent="0.2">
      <c r="B17" t="s">
        <v>261</v>
      </c>
      <c r="C17">
        <v>294</v>
      </c>
      <c r="D17" t="s">
        <v>260</v>
      </c>
      <c r="E17">
        <v>294</v>
      </c>
      <c r="F17">
        <v>177</v>
      </c>
      <c r="G17" t="s">
        <v>260</v>
      </c>
      <c r="H17" t="s">
        <v>260</v>
      </c>
      <c r="I17" t="s">
        <v>260</v>
      </c>
      <c r="J17" t="s">
        <v>260</v>
      </c>
      <c r="K17" t="s">
        <v>260</v>
      </c>
      <c r="L17" t="s">
        <v>260</v>
      </c>
      <c r="M17" t="s">
        <v>260</v>
      </c>
    </row>
    <row r="19" spans="2:16" x14ac:dyDescent="0.2">
      <c r="B19" t="s">
        <v>262</v>
      </c>
      <c r="C19" s="105">
        <v>19967</v>
      </c>
      <c r="D19" s="105">
        <v>20323</v>
      </c>
      <c r="E19" s="105">
        <v>21615</v>
      </c>
      <c r="F19" s="105">
        <v>20664</v>
      </c>
      <c r="G19" s="105">
        <v>20493</v>
      </c>
      <c r="H19" s="105">
        <v>19712</v>
      </c>
      <c r="I19" s="105">
        <v>19736</v>
      </c>
      <c r="J19" s="105">
        <v>21733</v>
      </c>
      <c r="K19" s="105">
        <v>24530</v>
      </c>
      <c r="L19" s="105">
        <v>21680</v>
      </c>
      <c r="M19" s="105">
        <v>22320</v>
      </c>
    </row>
    <row r="21" spans="2:16" x14ac:dyDescent="0.2">
      <c r="B21" t="s">
        <v>263</v>
      </c>
      <c r="C21" s="105">
        <v>15642</v>
      </c>
      <c r="D21" s="105">
        <v>14356</v>
      </c>
      <c r="E21" s="105">
        <v>15005</v>
      </c>
      <c r="F21" s="105">
        <v>18434</v>
      </c>
      <c r="G21" s="105">
        <v>23244</v>
      </c>
      <c r="H21" s="105">
        <v>22428</v>
      </c>
      <c r="I21" s="105">
        <v>23876</v>
      </c>
      <c r="J21" s="105">
        <v>22082</v>
      </c>
      <c r="K21" s="105">
        <v>2575</v>
      </c>
      <c r="L21">
        <v>31</v>
      </c>
      <c r="M21">
        <v>509</v>
      </c>
      <c r="N21">
        <v>980.4</v>
      </c>
      <c r="O21" s="106">
        <v>5661.1</v>
      </c>
      <c r="P21" s="106">
        <v>9614.1</v>
      </c>
    </row>
    <row r="23" spans="2:16" x14ac:dyDescent="0.2">
      <c r="B23" t="s">
        <v>264</v>
      </c>
      <c r="C23">
        <v>-192</v>
      </c>
      <c r="D23">
        <v>-337</v>
      </c>
      <c r="E23">
        <v>-733</v>
      </c>
      <c r="F23">
        <v>-646</v>
      </c>
      <c r="G23">
        <v>-468</v>
      </c>
      <c r="H23">
        <v>-489</v>
      </c>
      <c r="I23">
        <v>-629</v>
      </c>
      <c r="J23">
        <v>-597</v>
      </c>
      <c r="K23">
        <v>-496</v>
      </c>
      <c r="L23">
        <v>-878</v>
      </c>
      <c r="M23" s="105">
        <v>-1023</v>
      </c>
    </row>
    <row r="25" spans="2:16" x14ac:dyDescent="0.2">
      <c r="B25" t="s">
        <v>265</v>
      </c>
      <c r="C25">
        <v>141</v>
      </c>
      <c r="D25">
        <v>124</v>
      </c>
      <c r="E25">
        <v>222</v>
      </c>
      <c r="F25">
        <v>441</v>
      </c>
      <c r="G25">
        <v>438</v>
      </c>
      <c r="H25">
        <v>483</v>
      </c>
      <c r="I25">
        <v>272</v>
      </c>
      <c r="J25">
        <v>144</v>
      </c>
      <c r="K25">
        <v>589</v>
      </c>
      <c r="L25" s="105">
        <v>1335</v>
      </c>
      <c r="M25" s="105">
        <v>1331</v>
      </c>
    </row>
    <row r="27" spans="2:16" x14ac:dyDescent="0.2">
      <c r="B27" t="s">
        <v>266</v>
      </c>
      <c r="C27">
        <v>-51</v>
      </c>
      <c r="D27">
        <v>-213</v>
      </c>
      <c r="E27">
        <v>-511</v>
      </c>
      <c r="F27">
        <v>-205</v>
      </c>
      <c r="G27">
        <v>-30</v>
      </c>
      <c r="H27">
        <v>-6</v>
      </c>
      <c r="I27">
        <v>-357</v>
      </c>
      <c r="J27">
        <v>-453</v>
      </c>
      <c r="K27">
        <v>93</v>
      </c>
      <c r="L27">
        <v>457</v>
      </c>
      <c r="M27">
        <v>308</v>
      </c>
    </row>
    <row r="29" spans="2:16" x14ac:dyDescent="0.2">
      <c r="B29" t="s">
        <v>267</v>
      </c>
      <c r="C29">
        <v>600</v>
      </c>
      <c r="D29">
        <v>287</v>
      </c>
      <c r="E29">
        <v>392</v>
      </c>
      <c r="F29">
        <v>-547</v>
      </c>
      <c r="G29">
        <v>372</v>
      </c>
      <c r="H29">
        <v>204</v>
      </c>
      <c r="I29">
        <v>-572</v>
      </c>
      <c r="J29">
        <v>677</v>
      </c>
      <c r="K29" s="105">
        <v>1492</v>
      </c>
      <c r="L29">
        <v>106</v>
      </c>
      <c r="M29">
        <v>430</v>
      </c>
    </row>
    <row r="31" spans="2:16" x14ac:dyDescent="0.2">
      <c r="B31" t="s">
        <v>268</v>
      </c>
      <c r="C31">
        <v>-516</v>
      </c>
      <c r="D31">
        <v>-179</v>
      </c>
      <c r="E31">
        <v>-325</v>
      </c>
      <c r="F31">
        <v>16</v>
      </c>
      <c r="G31">
        <v>-713</v>
      </c>
      <c r="H31">
        <v>-404</v>
      </c>
      <c r="I31">
        <v>425</v>
      </c>
      <c r="J31">
        <v>-706</v>
      </c>
      <c r="K31" s="105">
        <v>-1478</v>
      </c>
      <c r="L31">
        <v>66</v>
      </c>
      <c r="M31">
        <v>-249</v>
      </c>
    </row>
    <row r="33" spans="2:13" x14ac:dyDescent="0.2">
      <c r="B33" t="s">
        <v>269</v>
      </c>
      <c r="C33" s="105">
        <v>15675</v>
      </c>
      <c r="D33" s="105">
        <v>14251</v>
      </c>
      <c r="E33" s="105">
        <v>14561</v>
      </c>
      <c r="F33" s="105">
        <v>17698</v>
      </c>
      <c r="G33" s="105">
        <v>22873</v>
      </c>
      <c r="H33" s="105">
        <v>22222</v>
      </c>
      <c r="I33" s="105">
        <v>23372</v>
      </c>
      <c r="J33" s="105">
        <v>21600</v>
      </c>
      <c r="K33" s="105">
        <v>2682</v>
      </c>
      <c r="L33">
        <v>660</v>
      </c>
      <c r="M33">
        <v>998</v>
      </c>
    </row>
    <row r="36" spans="2:13" x14ac:dyDescent="0.2">
      <c r="B36" t="s">
        <v>270</v>
      </c>
      <c r="C36">
        <v>-295</v>
      </c>
      <c r="D36">
        <v>-354</v>
      </c>
      <c r="E36" s="105">
        <v>-1681</v>
      </c>
      <c r="F36">
        <v>-135</v>
      </c>
      <c r="G36">
        <v>72</v>
      </c>
      <c r="H36">
        <v>-393</v>
      </c>
      <c r="I36">
        <v>-124</v>
      </c>
      <c r="J36">
        <v>-286</v>
      </c>
      <c r="K36" s="105">
        <v>-1761</v>
      </c>
      <c r="L36">
        <v>-222</v>
      </c>
      <c r="M36">
        <v>-384</v>
      </c>
    </row>
    <row r="38" spans="2:13" x14ac:dyDescent="0.2">
      <c r="B38" t="s">
        <v>271</v>
      </c>
      <c r="C38" t="s">
        <v>260</v>
      </c>
      <c r="D38" t="s">
        <v>260</v>
      </c>
      <c r="E38">
        <v>-387</v>
      </c>
      <c r="F38" t="s">
        <v>260</v>
      </c>
      <c r="G38" t="s">
        <v>260</v>
      </c>
      <c r="H38" t="s">
        <v>260</v>
      </c>
      <c r="I38" t="s">
        <v>260</v>
      </c>
      <c r="J38" t="s">
        <v>260</v>
      </c>
      <c r="K38" t="s">
        <v>260</v>
      </c>
      <c r="L38" t="s">
        <v>260</v>
      </c>
      <c r="M38" t="s">
        <v>260</v>
      </c>
    </row>
    <row r="40" spans="2:13" x14ac:dyDescent="0.2">
      <c r="B40" t="s">
        <v>272</v>
      </c>
      <c r="C40">
        <v>421</v>
      </c>
      <c r="D40">
        <v>315</v>
      </c>
      <c r="E40">
        <v>506</v>
      </c>
      <c r="F40" s="105">
        <v>2651</v>
      </c>
      <c r="G40">
        <v>-125</v>
      </c>
      <c r="H40" s="105">
        <v>1539</v>
      </c>
      <c r="I40" s="105">
        <v>1904</v>
      </c>
      <c r="J40" s="105">
        <v>2729</v>
      </c>
      <c r="K40" s="105">
        <v>4268</v>
      </c>
      <c r="L40">
        <v>40</v>
      </c>
      <c r="M40">
        <v>-20</v>
      </c>
    </row>
    <row r="42" spans="2:13" x14ac:dyDescent="0.2">
      <c r="B42" t="s">
        <v>273</v>
      </c>
      <c r="C42" t="s">
        <v>260</v>
      </c>
      <c r="D42" t="s">
        <v>260</v>
      </c>
      <c r="E42" t="s">
        <v>260</v>
      </c>
      <c r="F42">
        <v>387</v>
      </c>
      <c r="G42">
        <v>497</v>
      </c>
      <c r="H42">
        <v>690</v>
      </c>
      <c r="I42" t="s">
        <v>260</v>
      </c>
      <c r="J42" t="s">
        <v>260</v>
      </c>
      <c r="K42" s="105">
        <v>1059</v>
      </c>
      <c r="L42" t="s">
        <v>260</v>
      </c>
      <c r="M42" t="s">
        <v>260</v>
      </c>
    </row>
    <row r="44" spans="2:13" x14ac:dyDescent="0.2">
      <c r="B44" t="s">
        <v>274</v>
      </c>
      <c r="C44" t="s">
        <v>260</v>
      </c>
      <c r="D44" t="s">
        <v>260</v>
      </c>
      <c r="E44" t="s">
        <v>260</v>
      </c>
      <c r="F44" t="s">
        <v>260</v>
      </c>
      <c r="G44" t="s">
        <v>260</v>
      </c>
      <c r="H44" t="s">
        <v>260</v>
      </c>
      <c r="I44">
        <v>-7</v>
      </c>
      <c r="J44">
        <v>-49</v>
      </c>
      <c r="K44">
        <v>-151</v>
      </c>
      <c r="L44">
        <v>-45</v>
      </c>
      <c r="M44">
        <v>-229</v>
      </c>
    </row>
    <row r="46" spans="2:13" x14ac:dyDescent="0.2">
      <c r="B46" t="s">
        <v>275</v>
      </c>
      <c r="C46" t="s">
        <v>260</v>
      </c>
      <c r="D46" t="s">
        <v>260</v>
      </c>
      <c r="E46" t="s">
        <v>260</v>
      </c>
      <c r="F46" t="s">
        <v>260</v>
      </c>
      <c r="G46" t="s">
        <v>260</v>
      </c>
      <c r="H46" t="s">
        <v>260</v>
      </c>
      <c r="I46" t="s">
        <v>260</v>
      </c>
      <c r="J46" t="s">
        <v>260</v>
      </c>
      <c r="K46">
        <v>484</v>
      </c>
      <c r="L46" t="s">
        <v>260</v>
      </c>
      <c r="M46" t="s">
        <v>260</v>
      </c>
    </row>
    <row r="48" spans="2:13" x14ac:dyDescent="0.2">
      <c r="B48" t="s">
        <v>276</v>
      </c>
      <c r="C48" t="s">
        <v>260</v>
      </c>
      <c r="D48" t="s">
        <v>260</v>
      </c>
      <c r="E48" t="s">
        <v>260</v>
      </c>
      <c r="F48" t="s">
        <v>260</v>
      </c>
      <c r="G48" t="s">
        <v>260</v>
      </c>
      <c r="H48" t="s">
        <v>260</v>
      </c>
      <c r="I48">
        <v>-67</v>
      </c>
      <c r="J48" s="105">
        <v>-2291</v>
      </c>
      <c r="K48" s="105">
        <v>1187</v>
      </c>
      <c r="L48">
        <v>329</v>
      </c>
      <c r="M48">
        <v>-352</v>
      </c>
    </row>
    <row r="50" spans="2:13" x14ac:dyDescent="0.2">
      <c r="B50" t="s">
        <v>277</v>
      </c>
      <c r="C50" t="s">
        <v>260</v>
      </c>
      <c r="D50" t="s">
        <v>260</v>
      </c>
      <c r="E50">
        <v>-63</v>
      </c>
      <c r="F50">
        <v>-249</v>
      </c>
      <c r="G50" t="s">
        <v>260</v>
      </c>
      <c r="H50" t="s">
        <v>260</v>
      </c>
      <c r="I50" t="s">
        <v>260</v>
      </c>
      <c r="J50" t="s">
        <v>260</v>
      </c>
      <c r="K50" t="s">
        <v>260</v>
      </c>
      <c r="L50" t="s">
        <v>260</v>
      </c>
      <c r="M50" t="s">
        <v>260</v>
      </c>
    </row>
    <row r="52" spans="2:13" x14ac:dyDescent="0.2">
      <c r="B52" t="s">
        <v>278</v>
      </c>
      <c r="C52" s="105">
        <v>15801</v>
      </c>
      <c r="D52" s="105">
        <v>14212</v>
      </c>
      <c r="E52" s="105">
        <v>12936</v>
      </c>
      <c r="F52" s="105">
        <v>20352</v>
      </c>
      <c r="G52" s="105">
        <v>23317</v>
      </c>
      <c r="H52" s="105">
        <v>24058</v>
      </c>
      <c r="I52" s="105">
        <v>25078</v>
      </c>
      <c r="J52" s="105">
        <v>21703</v>
      </c>
      <c r="K52" s="105">
        <v>7768</v>
      </c>
      <c r="L52">
        <v>762</v>
      </c>
      <c r="M52">
        <v>13</v>
      </c>
    </row>
    <row r="54" spans="2:13" x14ac:dyDescent="0.2">
      <c r="B54" t="s">
        <v>279</v>
      </c>
      <c r="C54" s="105">
        <v>4097</v>
      </c>
      <c r="D54" s="105">
        <v>2792</v>
      </c>
      <c r="E54" s="105">
        <v>2620</v>
      </c>
      <c r="F54" s="105">
        <v>10751</v>
      </c>
      <c r="G54" s="105">
        <v>2264</v>
      </c>
      <c r="H54" s="105">
        <v>3010</v>
      </c>
      <c r="I54" s="105">
        <v>4179</v>
      </c>
      <c r="J54" s="105">
        <v>1835</v>
      </c>
      <c r="K54">
        <v>-249</v>
      </c>
      <c r="L54">
        <v>-913</v>
      </c>
      <c r="M54">
        <v>-866</v>
      </c>
    </row>
    <row r="56" spans="2:13" x14ac:dyDescent="0.2">
      <c r="B56" t="s">
        <v>280</v>
      </c>
      <c r="C56" s="105">
        <v>11704</v>
      </c>
      <c r="D56" s="105">
        <v>11420</v>
      </c>
      <c r="E56" s="105">
        <v>10316</v>
      </c>
      <c r="F56" s="105">
        <v>9601</v>
      </c>
      <c r="G56" s="105">
        <v>21053</v>
      </c>
      <c r="H56" s="105">
        <v>21048</v>
      </c>
      <c r="I56" s="105">
        <v>20899</v>
      </c>
      <c r="J56" s="105">
        <v>19868</v>
      </c>
      <c r="K56" s="105">
        <v>8017</v>
      </c>
      <c r="L56" s="105">
        <v>1675</v>
      </c>
      <c r="M56">
        <v>879</v>
      </c>
    </row>
    <row r="58" spans="2:13" x14ac:dyDescent="0.2">
      <c r="B58" t="s">
        <v>281</v>
      </c>
      <c r="C58" t="s">
        <v>260</v>
      </c>
      <c r="D58" t="s">
        <v>260</v>
      </c>
      <c r="E58" t="s">
        <v>260</v>
      </c>
      <c r="F58" t="s">
        <v>260</v>
      </c>
      <c r="G58" t="s">
        <v>260</v>
      </c>
      <c r="H58" t="s">
        <v>260</v>
      </c>
      <c r="I58" t="s">
        <v>260</v>
      </c>
      <c r="J58" t="s">
        <v>260</v>
      </c>
      <c r="K58">
        <v>-3</v>
      </c>
      <c r="L58">
        <v>14</v>
      </c>
      <c r="M58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EC95-111C-4CA1-8A1B-656B69F51A28}">
  <dimension ref="B3:J45"/>
  <sheetViews>
    <sheetView workbookViewId="0"/>
    <sheetView tabSelected="1" workbookViewId="1">
      <selection activeCell="B3" sqref="B3:J45"/>
    </sheetView>
  </sheetViews>
  <sheetFormatPr defaultRowHeight="14.25" x14ac:dyDescent="0.2"/>
  <cols>
    <col min="2" max="2" width="22.5" bestFit="1" customWidth="1"/>
    <col min="3" max="5" width="12.75" bestFit="1" customWidth="1"/>
    <col min="6" max="10" width="12.5" bestFit="1" customWidth="1"/>
  </cols>
  <sheetData>
    <row r="3" spans="2:10" x14ac:dyDescent="0.2">
      <c r="B3" t="s">
        <v>282</v>
      </c>
      <c r="C3" t="s">
        <v>283</v>
      </c>
      <c r="D3" t="s">
        <v>284</v>
      </c>
      <c r="E3" t="s">
        <v>285</v>
      </c>
      <c r="F3" t="s">
        <v>286</v>
      </c>
      <c r="G3" t="s">
        <v>287</v>
      </c>
      <c r="H3" t="s">
        <v>288</v>
      </c>
      <c r="I3" t="s">
        <v>289</v>
      </c>
      <c r="J3" t="s">
        <v>290</v>
      </c>
    </row>
    <row r="4" spans="2:10" x14ac:dyDescent="0.2">
      <c r="B4" t="s">
        <v>291</v>
      </c>
      <c r="C4" s="106">
        <v>79024</v>
      </c>
      <c r="D4" s="106">
        <v>63054</v>
      </c>
      <c r="E4" s="106">
        <v>54228</v>
      </c>
      <c r="F4" s="106">
        <v>52348.4</v>
      </c>
      <c r="G4" s="106">
        <v>56782.3</v>
      </c>
      <c r="H4" s="106">
        <v>61568.1</v>
      </c>
      <c r="I4" s="106">
        <v>61568.1</v>
      </c>
      <c r="J4" s="106">
        <v>61568.1</v>
      </c>
    </row>
    <row r="5" spans="2:10" x14ac:dyDescent="0.2">
      <c r="B5" t="s">
        <v>292</v>
      </c>
      <c r="C5" s="72">
        <v>1.4999999999999999E-2</v>
      </c>
      <c r="D5" s="72">
        <v>-0.20200000000000001</v>
      </c>
      <c r="E5" s="72">
        <v>-0.14000000000000001</v>
      </c>
    </row>
    <row r="6" spans="2:10" x14ac:dyDescent="0.2">
      <c r="B6" t="s">
        <v>293</v>
      </c>
      <c r="C6" s="106">
        <v>22082</v>
      </c>
      <c r="D6" s="106">
        <v>2575</v>
      </c>
      <c r="E6">
        <v>31</v>
      </c>
      <c r="F6">
        <v>980.4</v>
      </c>
      <c r="G6" s="106">
        <v>5661.1</v>
      </c>
      <c r="H6" s="106">
        <v>9614.1</v>
      </c>
      <c r="I6" s="106">
        <v>9614.1</v>
      </c>
      <c r="J6" s="106">
        <v>9614.1</v>
      </c>
    </row>
    <row r="7" spans="2:10" x14ac:dyDescent="0.2">
      <c r="B7" t="s">
        <v>294</v>
      </c>
      <c r="C7" s="72">
        <v>0.27900000000000003</v>
      </c>
      <c r="D7" s="72">
        <v>4.1000000000000002E-2</v>
      </c>
      <c r="E7" s="72">
        <v>1E-3</v>
      </c>
    </row>
    <row r="8" spans="2:10" x14ac:dyDescent="0.2">
      <c r="B8" t="s">
        <v>295</v>
      </c>
      <c r="C8" s="72">
        <v>8.5000000000000006E-2</v>
      </c>
      <c r="D8" s="72">
        <v>-3.2000000000000001E-2</v>
      </c>
      <c r="E8" s="72">
        <v>-1.198</v>
      </c>
    </row>
    <row r="9" spans="2:10" x14ac:dyDescent="0.2">
      <c r="B9" t="s">
        <v>296</v>
      </c>
      <c r="C9" s="106">
        <v>20215</v>
      </c>
      <c r="D9" s="106">
        <v>2657.5</v>
      </c>
      <c r="E9">
        <v>68.099999999999994</v>
      </c>
      <c r="F9">
        <v>853.7</v>
      </c>
      <c r="G9" s="106">
        <v>4919.5</v>
      </c>
      <c r="H9" s="106">
        <v>8361.7999999999993</v>
      </c>
      <c r="I9" s="106">
        <v>8361.7999999999993</v>
      </c>
      <c r="J9" s="106">
        <v>8361.7999999999993</v>
      </c>
    </row>
    <row r="10" spans="2:10" x14ac:dyDescent="0.2">
      <c r="B10" t="s">
        <v>297</v>
      </c>
      <c r="C10" s="72">
        <v>0.25600000000000001</v>
      </c>
      <c r="D10" s="72">
        <v>4.2000000000000003E-2</v>
      </c>
      <c r="E10" s="72">
        <v>1E-3</v>
      </c>
      <c r="F10" s="72">
        <v>1.6E-2</v>
      </c>
      <c r="G10" s="72">
        <v>8.6999999999999994E-2</v>
      </c>
      <c r="H10" s="72">
        <v>0.13600000000000001</v>
      </c>
      <c r="I10" s="72">
        <v>0.13600000000000001</v>
      </c>
      <c r="J10" s="72">
        <v>0.13600000000000001</v>
      </c>
    </row>
    <row r="11" spans="2:10" x14ac:dyDescent="0.2">
      <c r="B11" t="s">
        <v>298</v>
      </c>
      <c r="C11" s="106">
        <v>11792</v>
      </c>
      <c r="D11" s="106">
        <v>13035</v>
      </c>
      <c r="E11" s="106">
        <v>9602</v>
      </c>
      <c r="F11" s="106">
        <v>9667.6</v>
      </c>
      <c r="G11" s="106">
        <v>11128.2</v>
      </c>
      <c r="H11" s="106">
        <v>12421.2</v>
      </c>
      <c r="I11" s="106">
        <v>12421.2</v>
      </c>
      <c r="J11" s="106">
        <v>12421.2</v>
      </c>
    </row>
    <row r="12" spans="2:10" x14ac:dyDescent="0.2">
      <c r="B12" t="s">
        <v>299</v>
      </c>
      <c r="C12" s="72">
        <v>0.14899999999999999</v>
      </c>
      <c r="D12" s="72">
        <v>0.20699999999999999</v>
      </c>
      <c r="E12" s="72">
        <v>0.17699999999999999</v>
      </c>
    </row>
    <row r="13" spans="2:10" x14ac:dyDescent="0.2">
      <c r="B13" t="s">
        <v>300</v>
      </c>
      <c r="C13" s="106">
        <v>-20329</v>
      </c>
      <c r="D13" s="106">
        <v>-25050</v>
      </c>
      <c r="E13" s="106">
        <v>-25750</v>
      </c>
      <c r="F13" s="106">
        <v>-22276.1</v>
      </c>
      <c r="G13" s="106">
        <v>-19873.5</v>
      </c>
      <c r="H13" s="106">
        <v>-20288.5</v>
      </c>
      <c r="I13" s="106">
        <v>-20288.5</v>
      </c>
      <c r="J13" s="106">
        <v>-20288.5</v>
      </c>
    </row>
    <row r="14" spans="2:10" x14ac:dyDescent="0.2">
      <c r="B14" t="s">
        <v>301</v>
      </c>
      <c r="C14" s="72">
        <v>-0.25700000000000001</v>
      </c>
      <c r="D14" s="72">
        <v>-0.39700000000000002</v>
      </c>
      <c r="E14" s="72">
        <v>-0.47499999999999998</v>
      </c>
    </row>
    <row r="15" spans="2:10" x14ac:dyDescent="0.2">
      <c r="B15" t="s">
        <v>302</v>
      </c>
      <c r="C15" s="106">
        <v>-5408</v>
      </c>
      <c r="D15" s="106">
        <v>-4508</v>
      </c>
      <c r="E15" s="106">
        <v>-2569</v>
      </c>
      <c r="F15" s="106">
        <v>-3268.3</v>
      </c>
      <c r="G15" s="106">
        <v>-3545.2</v>
      </c>
      <c r="H15" s="106">
        <v>-3844</v>
      </c>
      <c r="I15" s="106">
        <v>-3844</v>
      </c>
      <c r="J15" s="106">
        <v>-3844</v>
      </c>
    </row>
    <row r="16" spans="2:10" x14ac:dyDescent="0.2">
      <c r="B16" t="s">
        <v>303</v>
      </c>
      <c r="C16" s="72">
        <v>-6.8000000000000005E-2</v>
      </c>
      <c r="D16" s="72">
        <v>-7.0999999999999994E-2</v>
      </c>
      <c r="E16" s="72">
        <v>-4.7E-2</v>
      </c>
    </row>
    <row r="17" spans="2:10" x14ac:dyDescent="0.2">
      <c r="B17" t="s">
        <v>304</v>
      </c>
      <c r="C17" s="106">
        <v>6270</v>
      </c>
      <c r="D17" s="106">
        <v>-13865.5</v>
      </c>
      <c r="E17" s="106">
        <v>-18648.900000000001</v>
      </c>
      <c r="F17" s="106">
        <v>-15023.1</v>
      </c>
      <c r="G17" s="106">
        <v>-7371</v>
      </c>
      <c r="H17" s="106">
        <v>-3349.4</v>
      </c>
      <c r="I17" s="106">
        <v>-3349.4</v>
      </c>
      <c r="J17" s="106">
        <v>-3349.4</v>
      </c>
    </row>
    <row r="18" spans="2:10" x14ac:dyDescent="0.2">
      <c r="B18" t="s">
        <v>305</v>
      </c>
      <c r="C18" s="72">
        <v>-0.68899999999999995</v>
      </c>
      <c r="D18" s="72">
        <v>-3.2109999999999999</v>
      </c>
      <c r="E18" s="72">
        <v>0.34499999999999997</v>
      </c>
      <c r="F18" s="72">
        <v>-0.19400000000000001</v>
      </c>
      <c r="G18" s="72">
        <v>-0.50900000000000001</v>
      </c>
      <c r="H18" s="72">
        <v>-0.54600000000000004</v>
      </c>
      <c r="I18" t="s">
        <v>260</v>
      </c>
      <c r="J18" t="s">
        <v>260</v>
      </c>
    </row>
    <row r="19" spans="2:10" x14ac:dyDescent="0.2">
      <c r="B19" t="s">
        <v>306</v>
      </c>
      <c r="C19" t="s">
        <v>260</v>
      </c>
      <c r="D19" t="s">
        <v>260</v>
      </c>
      <c r="E19" t="s">
        <v>260</v>
      </c>
      <c r="F19" s="106">
        <v>-14087.2</v>
      </c>
      <c r="G19" s="106">
        <v>-6481.2</v>
      </c>
      <c r="H19" s="106">
        <v>-2761.6</v>
      </c>
      <c r="I19" s="106">
        <v>-2589.6</v>
      </c>
      <c r="J19" s="106">
        <v>-2428.1999999999998</v>
      </c>
    </row>
    <row r="20" spans="2:10" x14ac:dyDescent="0.2">
      <c r="B20" t="s">
        <v>307</v>
      </c>
      <c r="C20" t="s">
        <v>260</v>
      </c>
      <c r="D20" t="s">
        <v>260</v>
      </c>
      <c r="E20" t="s">
        <v>260</v>
      </c>
      <c r="F20" s="106">
        <v>-14087.2</v>
      </c>
      <c r="G20" s="106">
        <v>-20568.400000000001</v>
      </c>
      <c r="H20" s="106">
        <v>-23330</v>
      </c>
      <c r="I20" s="106">
        <v>-25919.5</v>
      </c>
      <c r="J20" s="106">
        <v>-28347.8</v>
      </c>
    </row>
    <row r="21" spans="2:10" x14ac:dyDescent="0.2">
      <c r="B21" t="s">
        <v>233</v>
      </c>
    </row>
    <row r="22" spans="2:10" x14ac:dyDescent="0.2">
      <c r="B22" t="s">
        <v>295</v>
      </c>
    </row>
    <row r="23" spans="2:10" x14ac:dyDescent="0.2">
      <c r="B23" t="s">
        <v>308</v>
      </c>
      <c r="C23" s="72">
        <v>2.5999999999999999E-2</v>
      </c>
    </row>
    <row r="24" spans="2:10" x14ac:dyDescent="0.2">
      <c r="B24" t="s">
        <v>309</v>
      </c>
    </row>
    <row r="25" spans="2:10" x14ac:dyDescent="0.2">
      <c r="B25" t="s">
        <v>310</v>
      </c>
    </row>
    <row r="26" spans="2:10" x14ac:dyDescent="0.2">
      <c r="B26" t="s">
        <v>311</v>
      </c>
      <c r="C26">
        <v>1</v>
      </c>
    </row>
    <row r="27" spans="2:10" x14ac:dyDescent="0.2">
      <c r="B27" t="s">
        <v>312</v>
      </c>
      <c r="C27" s="72">
        <v>8.5999999999999993E-2</v>
      </c>
    </row>
    <row r="28" spans="2:10" x14ac:dyDescent="0.2">
      <c r="B28" t="s">
        <v>313</v>
      </c>
      <c r="C28" s="106">
        <v>50283</v>
      </c>
    </row>
    <row r="29" spans="2:10" x14ac:dyDescent="0.2">
      <c r="B29" t="s">
        <v>314</v>
      </c>
      <c r="C29" s="106">
        <v>102281.9</v>
      </c>
    </row>
    <row r="30" spans="2:10" x14ac:dyDescent="0.2">
      <c r="B30" t="s">
        <v>315</v>
      </c>
      <c r="C30" s="106">
        <v>152564.9</v>
      </c>
    </row>
    <row r="31" spans="2:10" x14ac:dyDescent="0.2">
      <c r="B31" t="s">
        <v>316</v>
      </c>
      <c r="C31" s="72">
        <v>0.33</v>
      </c>
    </row>
    <row r="32" spans="2:10" x14ac:dyDescent="0.2">
      <c r="B32" t="s">
        <v>317</v>
      </c>
      <c r="C32" s="72">
        <v>0.67</v>
      </c>
    </row>
    <row r="33" spans="2:3" x14ac:dyDescent="0.2">
      <c r="B33" t="s">
        <v>318</v>
      </c>
      <c r="C33" s="72">
        <v>6.6000000000000003E-2</v>
      </c>
    </row>
    <row r="34" spans="2:3" x14ac:dyDescent="0.2">
      <c r="B34" t="s">
        <v>319</v>
      </c>
    </row>
    <row r="35" spans="2:3" x14ac:dyDescent="0.2">
      <c r="B35" t="s">
        <v>320</v>
      </c>
    </row>
    <row r="36" spans="2:3" x14ac:dyDescent="0.2">
      <c r="B36" t="s">
        <v>321</v>
      </c>
    </row>
    <row r="37" spans="2:3" x14ac:dyDescent="0.2">
      <c r="B37" t="s">
        <v>322</v>
      </c>
      <c r="C37" s="106">
        <v>129996.9</v>
      </c>
    </row>
    <row r="38" spans="2:3" x14ac:dyDescent="0.2">
      <c r="B38" t="s">
        <v>323</v>
      </c>
      <c r="C38" s="106">
        <v>88373.3</v>
      </c>
    </row>
    <row r="39" spans="2:3" x14ac:dyDescent="0.2">
      <c r="B39" t="s">
        <v>324</v>
      </c>
      <c r="C39" s="106">
        <v>-28347.8</v>
      </c>
    </row>
    <row r="40" spans="2:3" x14ac:dyDescent="0.2">
      <c r="B40" t="s">
        <v>325</v>
      </c>
      <c r="C40" s="106">
        <v>22510</v>
      </c>
    </row>
    <row r="41" spans="2:3" x14ac:dyDescent="0.2">
      <c r="B41" t="s">
        <v>326</v>
      </c>
      <c r="C41" s="106">
        <v>37515.599999999999</v>
      </c>
    </row>
    <row r="42" spans="2:3" x14ac:dyDescent="0.2">
      <c r="B42" t="s">
        <v>327</v>
      </c>
      <c r="C42" s="106">
        <v>4276</v>
      </c>
    </row>
    <row r="43" spans="2:3" x14ac:dyDescent="0.2">
      <c r="B43" t="s">
        <v>328</v>
      </c>
      <c r="C43">
        <v>8.8000000000000007</v>
      </c>
    </row>
    <row r="44" spans="2:3" x14ac:dyDescent="0.2">
      <c r="B44" t="s">
        <v>329</v>
      </c>
      <c r="C44">
        <v>23.9</v>
      </c>
    </row>
    <row r="45" spans="2:3" x14ac:dyDescent="0.2">
      <c r="B45" t="s">
        <v>330</v>
      </c>
      <c r="C45" s="72">
        <v>-0.63300000000000001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531C-C3FB-4CEA-B7B8-CE05EFC545CB}">
  <dimension ref="A1:R175"/>
  <sheetViews>
    <sheetView showGridLines="0" zoomScale="115" zoomScaleNormal="115" workbookViewId="0">
      <selection activeCell="E31" sqref="E31"/>
    </sheetView>
    <sheetView showGridLines="0" topLeftCell="A19" zoomScale="115" zoomScaleNormal="115" workbookViewId="1">
      <selection activeCell="F112" sqref="F112"/>
    </sheetView>
  </sheetViews>
  <sheetFormatPr defaultRowHeight="14.25" outlineLevelRow="1" x14ac:dyDescent="0.2"/>
  <cols>
    <col min="1" max="1" width="2.125" customWidth="1"/>
    <col min="2" max="2" width="27.375" customWidth="1"/>
    <col min="3" max="3" width="1.125" customWidth="1"/>
    <col min="4" max="6" width="11.25" customWidth="1"/>
    <col min="7" max="7" width="0.875" customWidth="1"/>
    <col min="8" max="15" width="11.25" customWidth="1"/>
    <col min="16" max="16" width="1" customWidth="1"/>
  </cols>
  <sheetData>
    <row r="1" spans="2:18" ht="15" thickBot="1" x14ac:dyDescent="0.25">
      <c r="D1" s="2" t="s">
        <v>1</v>
      </c>
      <c r="E1" s="2"/>
      <c r="F1" s="2"/>
      <c r="H1" s="2" t="s">
        <v>5</v>
      </c>
      <c r="I1" s="2"/>
      <c r="J1" s="2"/>
      <c r="K1" s="2"/>
      <c r="L1" s="2"/>
      <c r="M1" s="2"/>
      <c r="N1" s="2"/>
      <c r="O1" s="2"/>
      <c r="Q1" s="2" t="s">
        <v>14</v>
      </c>
      <c r="R1" s="2"/>
    </row>
    <row r="2" spans="2:18" ht="6" customHeight="1" x14ac:dyDescent="0.2"/>
    <row r="3" spans="2:18" x14ac:dyDescent="0.2">
      <c r="B3" s="5" t="s">
        <v>142</v>
      </c>
      <c r="D3" s="3" t="s">
        <v>2</v>
      </c>
      <c r="E3" s="3" t="s">
        <v>3</v>
      </c>
      <c r="F3" s="3" t="s">
        <v>4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6</v>
      </c>
      <c r="M3" s="3" t="s">
        <v>7</v>
      </c>
      <c r="N3" s="3" t="s">
        <v>8</v>
      </c>
      <c r="O3" s="3" t="s">
        <v>9</v>
      </c>
      <c r="Q3" s="3" t="s">
        <v>11</v>
      </c>
      <c r="R3" s="3" t="s">
        <v>7</v>
      </c>
    </row>
    <row r="4" spans="2:18" x14ac:dyDescent="0.2">
      <c r="B4" s="1" t="s">
        <v>0</v>
      </c>
      <c r="D4" s="4"/>
      <c r="E4" s="4"/>
      <c r="F4" s="4">
        <v>45290</v>
      </c>
      <c r="H4" s="4"/>
      <c r="I4" s="4"/>
      <c r="J4" s="4"/>
      <c r="K4" s="4"/>
      <c r="L4" s="4"/>
      <c r="M4" s="4"/>
      <c r="N4" s="4"/>
      <c r="O4" s="4"/>
      <c r="Q4" s="4"/>
      <c r="R4" s="4"/>
    </row>
    <row r="5" spans="2:18" x14ac:dyDescent="0.2">
      <c r="B5" s="50" t="s">
        <v>143</v>
      </c>
      <c r="D5" s="49"/>
      <c r="E5" s="49"/>
      <c r="F5" s="49"/>
      <c r="H5" s="49"/>
      <c r="I5" s="49"/>
      <c r="J5" s="49"/>
      <c r="K5" s="49"/>
      <c r="L5" s="49"/>
      <c r="M5" s="49"/>
      <c r="N5" s="49"/>
      <c r="O5" s="49"/>
      <c r="Q5" s="49"/>
      <c r="R5" s="49"/>
    </row>
    <row r="6" spans="2:18" x14ac:dyDescent="0.2">
      <c r="B6" t="s">
        <v>136</v>
      </c>
      <c r="D6" s="10">
        <f>SUM(D7:D9)</f>
        <v>41081</v>
      </c>
      <c r="E6" s="10">
        <f t="shared" ref="E6:F6" si="0">SUM(E7:E9)</f>
        <v>31773</v>
      </c>
      <c r="F6" s="10">
        <f t="shared" si="0"/>
        <v>29258</v>
      </c>
    </row>
    <row r="7" spans="2:18" hidden="1" outlineLevel="1" x14ac:dyDescent="0.2">
      <c r="B7" s="8" t="s">
        <v>19</v>
      </c>
      <c r="D7" s="36">
        <v>12437</v>
      </c>
      <c r="E7" s="36">
        <v>10661</v>
      </c>
      <c r="F7" s="36">
        <v>10166</v>
      </c>
    </row>
    <row r="8" spans="2:18" hidden="1" outlineLevel="1" x14ac:dyDescent="0.2">
      <c r="B8" s="8" t="s">
        <v>20</v>
      </c>
      <c r="D8" s="36">
        <v>25443</v>
      </c>
      <c r="E8" s="36">
        <v>18781</v>
      </c>
      <c r="F8" s="36">
        <v>16990</v>
      </c>
    </row>
    <row r="9" spans="2:18" hidden="1" outlineLevel="1" x14ac:dyDescent="0.2">
      <c r="B9" s="8" t="s">
        <v>21</v>
      </c>
      <c r="D9" s="36">
        <v>3201</v>
      </c>
      <c r="E9" s="36">
        <v>2331</v>
      </c>
      <c r="F9" s="36">
        <v>2102</v>
      </c>
    </row>
    <row r="10" spans="2:18" collapsed="1" x14ac:dyDescent="0.2">
      <c r="B10" t="s">
        <v>22</v>
      </c>
      <c r="D10" s="37">
        <v>22774</v>
      </c>
      <c r="E10" s="37">
        <v>19445</v>
      </c>
      <c r="F10" s="37">
        <v>15521</v>
      </c>
    </row>
    <row r="11" spans="2:18" x14ac:dyDescent="0.2">
      <c r="B11" t="s">
        <v>23</v>
      </c>
      <c r="D11" s="37">
        <v>7665</v>
      </c>
      <c r="E11" s="37">
        <v>8409</v>
      </c>
      <c r="F11" s="37">
        <v>5774</v>
      </c>
    </row>
    <row r="12" spans="2:18" x14ac:dyDescent="0.2">
      <c r="B12" t="s">
        <v>24</v>
      </c>
      <c r="D12" s="37">
        <v>1386</v>
      </c>
      <c r="E12" s="37">
        <v>1869</v>
      </c>
      <c r="F12" s="37">
        <v>2079</v>
      </c>
    </row>
    <row r="13" spans="2:18" x14ac:dyDescent="0.2">
      <c r="B13" t="s">
        <v>25</v>
      </c>
      <c r="D13" s="37">
        <v>347</v>
      </c>
      <c r="E13" s="37">
        <v>469</v>
      </c>
      <c r="F13" s="37">
        <v>952</v>
      </c>
    </row>
    <row r="14" spans="2:18" ht="15" thickBot="1" x14ac:dyDescent="0.25">
      <c r="B14" s="38" t="s">
        <v>26</v>
      </c>
      <c r="D14" s="39">
        <v>5771</v>
      </c>
      <c r="E14" s="39">
        <v>1089</v>
      </c>
      <c r="F14" s="39">
        <v>644</v>
      </c>
    </row>
    <row r="15" spans="2:18" x14ac:dyDescent="0.2">
      <c r="B15" s="15" t="s">
        <v>28</v>
      </c>
      <c r="D15" s="10">
        <f>SUM(D6+D11+D10+D12+D13+D14)</f>
        <v>79024</v>
      </c>
      <c r="E15" s="10">
        <f t="shared" ref="E15:H15" si="1">SUM(E6+E11+E10+E12+E13+E14)</f>
        <v>63054</v>
      </c>
      <c r="F15" s="10">
        <f t="shared" si="1"/>
        <v>54228</v>
      </c>
      <c r="H15" s="18">
        <f t="shared" si="1"/>
        <v>0</v>
      </c>
      <c r="I15" s="18">
        <f t="shared" ref="I15" si="2">SUM(I6+I11+I10+I12+I13+I14)</f>
        <v>0</v>
      </c>
      <c r="J15" s="18">
        <f t="shared" ref="J15" si="3">SUM(J6+J11+J10+J12+J13+J14)</f>
        <v>0</v>
      </c>
      <c r="K15" s="18">
        <f t="shared" ref="K15" si="4">SUM(K6+K11+K10+K12+K13+K14)</f>
        <v>0</v>
      </c>
      <c r="L15" s="18">
        <f t="shared" ref="L15" si="5">SUM(L6+L11+L10+L12+L13+L14)</f>
        <v>0</v>
      </c>
      <c r="M15" s="18">
        <f t="shared" ref="M15" si="6">SUM(M6+M11+M10+M12+M13+M14)</f>
        <v>0</v>
      </c>
      <c r="N15" s="18">
        <f t="shared" ref="N15" si="7">SUM(N6+N11+N10+N12+N13+N14)</f>
        <v>0</v>
      </c>
      <c r="O15" s="18">
        <f t="shared" ref="O15:R15" si="8">SUM(O6+O11+O10+O12+O13+O14)</f>
        <v>0</v>
      </c>
      <c r="Q15" s="18">
        <f t="shared" si="8"/>
        <v>0</v>
      </c>
      <c r="R15" s="18">
        <f t="shared" si="8"/>
        <v>0</v>
      </c>
    </row>
    <row r="16" spans="2:18" x14ac:dyDescent="0.2">
      <c r="B16" s="13" t="s">
        <v>29</v>
      </c>
      <c r="E16" s="14">
        <f t="shared" ref="E16:F16" si="9">SUM(E15/D15)-1</f>
        <v>-0.20209050415063778</v>
      </c>
      <c r="F16" s="14">
        <f t="shared" si="9"/>
        <v>-0.13997525930155108</v>
      </c>
    </row>
    <row r="17" spans="2:18" x14ac:dyDescent="0.2">
      <c r="B17" s="13" t="s">
        <v>31</v>
      </c>
    </row>
    <row r="18" spans="2:18" ht="5.25" customHeight="1" x14ac:dyDescent="0.2"/>
    <row r="19" spans="2:18" ht="15" thickBot="1" x14ac:dyDescent="0.25">
      <c r="B19" s="40" t="s">
        <v>32</v>
      </c>
      <c r="D19" s="37">
        <v>35209</v>
      </c>
      <c r="E19" s="37">
        <v>36188</v>
      </c>
      <c r="F19" s="37">
        <v>32517</v>
      </c>
    </row>
    <row r="20" spans="2:18" x14ac:dyDescent="0.2">
      <c r="B20" s="17" t="s">
        <v>33</v>
      </c>
      <c r="D20" s="18">
        <f>SUM(D15-D19)</f>
        <v>43815</v>
      </c>
      <c r="E20" s="18">
        <f t="shared" ref="E20:F20" si="10">SUM(E15-E19)</f>
        <v>26866</v>
      </c>
      <c r="F20" s="18">
        <f t="shared" si="10"/>
        <v>21711</v>
      </c>
      <c r="H20" s="18">
        <f t="shared" ref="H20" si="11">SUM(H11+H16+H15+H17+H18+H19)</f>
        <v>0</v>
      </c>
      <c r="I20" s="18">
        <f t="shared" ref="I20" si="12">SUM(I11+I16+I15+I17+I18+I19)</f>
        <v>0</v>
      </c>
      <c r="J20" s="18">
        <f t="shared" ref="J20" si="13">SUM(J11+J16+J15+J17+J18+J19)</f>
        <v>0</v>
      </c>
      <c r="K20" s="18">
        <f t="shared" ref="K20" si="14">SUM(K11+K16+K15+K17+K18+K19)</f>
        <v>0</v>
      </c>
      <c r="L20" s="18">
        <f t="shared" ref="L20" si="15">SUM(L11+L16+L15+L17+L18+L19)</f>
        <v>0</v>
      </c>
      <c r="M20" s="18">
        <f t="shared" ref="M20" si="16">SUM(M11+M16+M15+M17+M18+M19)</f>
        <v>0</v>
      </c>
      <c r="N20" s="18">
        <f t="shared" ref="N20" si="17">SUM(N11+N16+N15+N17+N18+N19)</f>
        <v>0</v>
      </c>
      <c r="O20" s="18">
        <f t="shared" ref="O20" si="18">SUM(O11+O16+O15+O17+O18+O19)</f>
        <v>0</v>
      </c>
      <c r="Q20" s="18">
        <f t="shared" ref="Q20" si="19">SUM(Q11+Q16+Q15+Q17+Q18+Q19)</f>
        <v>0</v>
      </c>
      <c r="R20" s="18">
        <f t="shared" ref="R20" si="20">SUM(R11+R16+R15+R17+R18+R19)</f>
        <v>0</v>
      </c>
    </row>
    <row r="21" spans="2:18" x14ac:dyDescent="0.2">
      <c r="B21" s="13" t="s">
        <v>34</v>
      </c>
      <c r="D21" s="14">
        <f>D20/D15</f>
        <v>0.5544518121077141</v>
      </c>
      <c r="E21" s="14">
        <f t="shared" ref="E21:F21" si="21">E20/E15</f>
        <v>0.42607923367272499</v>
      </c>
      <c r="F21" s="14">
        <f t="shared" si="21"/>
        <v>0.40036512502766097</v>
      </c>
    </row>
    <row r="22" spans="2:18" ht="4.5" customHeight="1" x14ac:dyDescent="0.2"/>
    <row r="23" spans="2:18" x14ac:dyDescent="0.2">
      <c r="B23" t="s">
        <v>144</v>
      </c>
      <c r="D23" s="37">
        <v>15190</v>
      </c>
      <c r="E23" s="37">
        <v>17528</v>
      </c>
      <c r="F23" s="37">
        <v>16046</v>
      </c>
    </row>
    <row r="24" spans="2:18" x14ac:dyDescent="0.2">
      <c r="B24" t="s">
        <v>145</v>
      </c>
      <c r="D24" s="37">
        <v>6543</v>
      </c>
      <c r="E24" s="37">
        <v>7002</v>
      </c>
      <c r="F24" s="37">
        <v>5634</v>
      </c>
    </row>
    <row r="25" spans="2:18" ht="15" thickBot="1" x14ac:dyDescent="0.25">
      <c r="B25" t="s">
        <v>146</v>
      </c>
      <c r="D25" s="37">
        <v>2626</v>
      </c>
      <c r="E25" s="37">
        <v>2</v>
      </c>
      <c r="F25" s="37">
        <v>-62</v>
      </c>
    </row>
    <row r="26" spans="2:18" x14ac:dyDescent="0.2">
      <c r="B26" s="17" t="s">
        <v>40</v>
      </c>
      <c r="D26" s="19">
        <f>SUM(D20-SUM(D23:D25))</f>
        <v>19456</v>
      </c>
      <c r="E26" s="19">
        <f t="shared" ref="E26:F26" si="22">SUM(E20-SUM(E23:E25))</f>
        <v>2334</v>
      </c>
      <c r="F26" s="19">
        <f t="shared" si="22"/>
        <v>93</v>
      </c>
      <c r="H26" s="18">
        <f t="shared" ref="H26" si="23">SUM(H17+H22+H21+H23+H24+H25)</f>
        <v>0</v>
      </c>
      <c r="I26" s="18">
        <f t="shared" ref="I26" si="24">SUM(I17+I22+I21+I23+I24+I25)</f>
        <v>0</v>
      </c>
      <c r="J26" s="18">
        <f t="shared" ref="J26" si="25">SUM(J17+J22+J21+J23+J24+J25)</f>
        <v>0</v>
      </c>
      <c r="K26" s="18">
        <f t="shared" ref="K26" si="26">SUM(K17+K22+K21+K23+K24+K25)</f>
        <v>0</v>
      </c>
      <c r="L26" s="18">
        <f t="shared" ref="L26" si="27">SUM(L17+L22+L21+L23+L24+L25)</f>
        <v>0</v>
      </c>
      <c r="M26" s="18">
        <f t="shared" ref="M26" si="28">SUM(M17+M22+M21+M23+M24+M25)</f>
        <v>0</v>
      </c>
      <c r="N26" s="18">
        <f t="shared" ref="N26" si="29">SUM(N17+N22+N21+N23+N24+N25)</f>
        <v>0</v>
      </c>
      <c r="O26" s="18">
        <f t="shared" ref="O26" si="30">SUM(O17+O22+O21+O23+O24+O25)</f>
        <v>0</v>
      </c>
      <c r="Q26" s="18">
        <f t="shared" ref="Q26" si="31">SUM(Q17+Q22+Q21+Q23+Q24+Q25)</f>
        <v>0</v>
      </c>
      <c r="R26" s="18">
        <f t="shared" ref="R26" si="32">SUM(R17+R22+R21+R23+R24+R25)</f>
        <v>0</v>
      </c>
    </row>
    <row r="27" spans="2:18" x14ac:dyDescent="0.2">
      <c r="B27" s="13" t="s">
        <v>34</v>
      </c>
      <c r="D27" s="14">
        <f>D26/D15</f>
        <v>0.24620368495646891</v>
      </c>
      <c r="E27" s="14">
        <f t="shared" ref="E27:F27" si="33">E26/E15</f>
        <v>3.7015891140926828E-2</v>
      </c>
      <c r="F27" s="14">
        <f t="shared" si="33"/>
        <v>1.714981190528878E-3</v>
      </c>
    </row>
    <row r="28" spans="2:18" ht="4.5" customHeight="1" x14ac:dyDescent="0.2"/>
    <row r="29" spans="2:18" ht="15" thickBot="1" x14ac:dyDescent="0.25">
      <c r="B29" t="s">
        <v>38</v>
      </c>
      <c r="D29" s="37">
        <v>9953</v>
      </c>
      <c r="E29" s="37">
        <v>11128</v>
      </c>
      <c r="F29" s="37">
        <v>7847</v>
      </c>
    </row>
    <row r="30" spans="2:18" x14ac:dyDescent="0.2">
      <c r="B30" s="17" t="s">
        <v>16</v>
      </c>
      <c r="D30" s="19">
        <f>SUM(D29+D26)</f>
        <v>29409</v>
      </c>
      <c r="E30" s="19">
        <f t="shared" ref="E30:F30" si="34">SUM(E29+E26)</f>
        <v>13462</v>
      </c>
      <c r="F30" s="19">
        <f t="shared" si="34"/>
        <v>7940</v>
      </c>
      <c r="H30" s="18">
        <f t="shared" ref="H30" si="35">SUM(H21+H26+H25+H27+H28+H29)</f>
        <v>0</v>
      </c>
      <c r="I30" s="18">
        <f t="shared" ref="I30" si="36">SUM(I21+I26+I25+I27+I28+I29)</f>
        <v>0</v>
      </c>
      <c r="J30" s="18">
        <f t="shared" ref="J30" si="37">SUM(J21+J26+J25+J27+J28+J29)</f>
        <v>0</v>
      </c>
      <c r="K30" s="18">
        <f t="shared" ref="K30" si="38">SUM(K21+K26+K25+K27+K28+K29)</f>
        <v>0</v>
      </c>
      <c r="L30" s="18">
        <f t="shared" ref="L30" si="39">SUM(L21+L26+L25+L27+L28+L29)</f>
        <v>0</v>
      </c>
      <c r="M30" s="18">
        <f t="shared" ref="M30" si="40">SUM(M21+M26+M25+M27+M28+M29)</f>
        <v>0</v>
      </c>
      <c r="N30" s="18">
        <f t="shared" ref="N30" si="41">SUM(N21+N26+N25+N27+N28+N29)</f>
        <v>0</v>
      </c>
      <c r="O30" s="18">
        <f t="shared" ref="O30" si="42">SUM(O21+O26+O25+O27+O28+O29)</f>
        <v>0</v>
      </c>
      <c r="Q30" s="18">
        <f t="shared" ref="Q30" si="43">SUM(Q21+Q26+Q25+Q27+Q28+Q29)</f>
        <v>0</v>
      </c>
      <c r="R30" s="18">
        <f t="shared" ref="R30" si="44">SUM(R21+R26+R25+R27+R28+R29)</f>
        <v>0</v>
      </c>
    </row>
    <row r="31" spans="2:18" x14ac:dyDescent="0.2">
      <c r="B31" s="13" t="s">
        <v>29</v>
      </c>
      <c r="D31" s="21"/>
      <c r="E31" s="14">
        <f t="shared" ref="E31" si="45">SUM(E30/D30)-1</f>
        <v>-0.54224897140331185</v>
      </c>
      <c r="F31" s="14">
        <f t="shared" ref="F31" si="46">SUM(F30/E30)-1</f>
        <v>-0.41019165057198037</v>
      </c>
    </row>
    <row r="32" spans="2:18" x14ac:dyDescent="0.2">
      <c r="B32" s="13" t="s">
        <v>31</v>
      </c>
      <c r="D32" s="21"/>
      <c r="E32" s="21"/>
      <c r="F32" s="21"/>
    </row>
    <row r="33" spans="2:18" x14ac:dyDescent="0.2">
      <c r="B33" s="13" t="s">
        <v>34</v>
      </c>
      <c r="D33" s="14">
        <f>SUM(D30/D15)</f>
        <v>0.37215276371735168</v>
      </c>
      <c r="E33" s="14">
        <f t="shared" ref="E33:F33" si="47">SUM(E30/E15)</f>
        <v>0.21349954007675961</v>
      </c>
      <c r="F33" s="14">
        <f t="shared" si="47"/>
        <v>0.1464188242236483</v>
      </c>
    </row>
    <row r="34" spans="2:18" ht="6" customHeight="1" x14ac:dyDescent="0.2"/>
    <row r="35" spans="2:18" x14ac:dyDescent="0.2">
      <c r="B35" s="40" t="s">
        <v>39</v>
      </c>
      <c r="C35" s="37">
        <v>3229</v>
      </c>
      <c r="D35" s="37">
        <v>2036</v>
      </c>
      <c r="E35" s="37">
        <v>3128</v>
      </c>
      <c r="F35" s="37">
        <v>3229</v>
      </c>
    </row>
    <row r="36" spans="2:18" ht="15" thickBot="1" x14ac:dyDescent="0.25">
      <c r="B36" s="41" t="s">
        <v>37</v>
      </c>
      <c r="C36" s="37">
        <v>-424</v>
      </c>
      <c r="D36" s="37">
        <v>2626</v>
      </c>
      <c r="E36" s="37">
        <v>1074</v>
      </c>
      <c r="F36" s="37">
        <v>-424</v>
      </c>
    </row>
    <row r="37" spans="2:18" x14ac:dyDescent="0.2">
      <c r="B37" s="17" t="s">
        <v>17</v>
      </c>
      <c r="D37" s="19">
        <f>SUM(D30+SUM(D35:D36))</f>
        <v>34071</v>
      </c>
      <c r="E37" s="19">
        <f>SUM(E30+SUM(E35:E36))</f>
        <v>17664</v>
      </c>
      <c r="F37" s="19">
        <f>SUM(F30+SUM(F35:F36))</f>
        <v>10745</v>
      </c>
      <c r="H37" s="18">
        <f t="shared" ref="H37:O37" si="48">SUM(H28+H33+H32+H34+H35+H36)</f>
        <v>0</v>
      </c>
      <c r="I37" s="18">
        <f t="shared" si="48"/>
        <v>0</v>
      </c>
      <c r="J37" s="18">
        <f t="shared" si="48"/>
        <v>0</v>
      </c>
      <c r="K37" s="18">
        <f t="shared" si="48"/>
        <v>0</v>
      </c>
      <c r="L37" s="18">
        <f t="shared" si="48"/>
        <v>0</v>
      </c>
      <c r="M37" s="18">
        <f t="shared" si="48"/>
        <v>0</v>
      </c>
      <c r="N37" s="18">
        <f t="shared" si="48"/>
        <v>0</v>
      </c>
      <c r="O37" s="18">
        <f t="shared" si="48"/>
        <v>0</v>
      </c>
      <c r="Q37" s="18">
        <f>SUM(Q28+Q33+Q32+Q34+Q35+Q36)</f>
        <v>0</v>
      </c>
      <c r="R37" s="18">
        <f>SUM(R28+R33+R32+R34+R35+R36)</f>
        <v>0</v>
      </c>
    </row>
    <row r="38" spans="2:18" x14ac:dyDescent="0.2">
      <c r="B38" s="13" t="s">
        <v>29</v>
      </c>
      <c r="E38" s="14">
        <f t="shared" ref="E38" si="49">SUM(E37/D37)-1</f>
        <v>-0.48155322708461745</v>
      </c>
      <c r="F38" s="14">
        <f t="shared" ref="F38" si="50">SUM(F37/E37)-1</f>
        <v>-0.39170063405797106</v>
      </c>
    </row>
    <row r="39" spans="2:18" x14ac:dyDescent="0.2">
      <c r="B39" s="13" t="s">
        <v>31</v>
      </c>
    </row>
    <row r="40" spans="2:18" x14ac:dyDescent="0.2">
      <c r="B40" s="13" t="s">
        <v>34</v>
      </c>
      <c r="D40" s="14">
        <f>SUM(D37/D15)</f>
        <v>0.43114749949382464</v>
      </c>
      <c r="E40" s="14">
        <f>SUM(E37/E15)</f>
        <v>0.280140831668094</v>
      </c>
      <c r="F40" s="14">
        <f>SUM(F37/F15)</f>
        <v>0.19814486980895479</v>
      </c>
    </row>
    <row r="41" spans="2:18" ht="6" customHeight="1" x14ac:dyDescent="0.2">
      <c r="B41" s="13"/>
    </row>
    <row r="42" spans="2:18" x14ac:dyDescent="0.2">
      <c r="B42" t="s">
        <v>41</v>
      </c>
      <c r="D42" s="22">
        <f>SUM(D43:D49)</f>
        <v>-5408</v>
      </c>
      <c r="E42" s="22">
        <f t="shared" ref="E42:F42" si="51">SUM(E43:E49)</f>
        <v>-4508</v>
      </c>
      <c r="F42" s="22">
        <f t="shared" si="51"/>
        <v>-2569</v>
      </c>
    </row>
    <row r="43" spans="2:18" hidden="1" outlineLevel="1" x14ac:dyDescent="0.2">
      <c r="B43" s="35" t="s">
        <v>42</v>
      </c>
      <c r="D43" s="36">
        <v>-2674</v>
      </c>
      <c r="E43" s="36">
        <v>5327</v>
      </c>
      <c r="F43" s="36">
        <v>731</v>
      </c>
    </row>
    <row r="44" spans="2:18" hidden="1" outlineLevel="1" x14ac:dyDescent="0.2">
      <c r="B44" s="35" t="s">
        <v>43</v>
      </c>
      <c r="D44" s="36">
        <v>-2339</v>
      </c>
      <c r="E44" s="36">
        <v>-2436</v>
      </c>
      <c r="F44" s="36">
        <v>2097</v>
      </c>
    </row>
    <row r="45" spans="2:18" hidden="1" outlineLevel="1" x14ac:dyDescent="0.2">
      <c r="B45" s="35" t="s">
        <v>44</v>
      </c>
      <c r="D45" s="36">
        <v>1190</v>
      </c>
      <c r="E45" s="36">
        <v>-29</v>
      </c>
      <c r="F45" s="36">
        <v>-801</v>
      </c>
    </row>
    <row r="46" spans="2:18" hidden="1" outlineLevel="1" x14ac:dyDescent="0.2">
      <c r="B46" s="35" t="s">
        <v>45</v>
      </c>
      <c r="D46" s="36">
        <v>515</v>
      </c>
      <c r="E46" s="36">
        <v>-1533</v>
      </c>
      <c r="F46" s="36">
        <v>-614</v>
      </c>
    </row>
    <row r="47" spans="2:18" hidden="1" outlineLevel="1" x14ac:dyDescent="0.2">
      <c r="B47" s="35" t="s">
        <v>46</v>
      </c>
      <c r="D47" s="36">
        <v>-1583</v>
      </c>
      <c r="E47" s="36">
        <v>-24</v>
      </c>
      <c r="F47" s="36">
        <v>0</v>
      </c>
    </row>
    <row r="48" spans="2:18" hidden="1" outlineLevel="1" x14ac:dyDescent="0.2">
      <c r="B48" s="35" t="s">
        <v>47</v>
      </c>
      <c r="D48" s="36">
        <v>-441</v>
      </c>
      <c r="E48" s="36">
        <v>-4535</v>
      </c>
      <c r="F48" s="36">
        <v>-3531</v>
      </c>
    </row>
    <row r="49" spans="2:6" hidden="1" outlineLevel="1" x14ac:dyDescent="0.2">
      <c r="B49" s="35" t="s">
        <v>48</v>
      </c>
      <c r="D49" s="36">
        <v>-76</v>
      </c>
      <c r="E49" s="36">
        <v>-1278</v>
      </c>
      <c r="F49" s="36">
        <v>-451</v>
      </c>
    </row>
    <row r="50" spans="2:6" collapsed="1" x14ac:dyDescent="0.2">
      <c r="B50" s="40" t="s">
        <v>147</v>
      </c>
      <c r="D50" s="27">
        <v>-18733</v>
      </c>
      <c r="E50" s="27">
        <v>-24844</v>
      </c>
      <c r="F50" s="27">
        <v>-25750</v>
      </c>
    </row>
    <row r="51" spans="2:6" x14ac:dyDescent="0.2">
      <c r="B51" t="s">
        <v>72</v>
      </c>
      <c r="D51" s="27">
        <v>0</v>
      </c>
      <c r="E51" s="27">
        <v>6579</v>
      </c>
      <c r="F51" s="27">
        <v>0</v>
      </c>
    </row>
    <row r="52" spans="2:6" x14ac:dyDescent="0.2">
      <c r="B52" t="s">
        <v>69</v>
      </c>
      <c r="D52" s="27">
        <v>35299</v>
      </c>
      <c r="E52" s="27">
        <v>48730</v>
      </c>
      <c r="F52" s="27">
        <v>44077</v>
      </c>
    </row>
    <row r="53" spans="2:6" x14ac:dyDescent="0.2">
      <c r="B53" t="s">
        <v>67</v>
      </c>
      <c r="D53" s="27">
        <v>166</v>
      </c>
      <c r="E53" s="27">
        <v>246</v>
      </c>
      <c r="F53" s="27">
        <v>1011</v>
      </c>
    </row>
    <row r="54" spans="2:6" x14ac:dyDescent="0.2">
      <c r="B54" t="s">
        <v>231</v>
      </c>
      <c r="D54" s="37">
        <f>D55</f>
        <v>0</v>
      </c>
      <c r="E54" s="37">
        <f t="shared" ref="E54:F54" si="52">E55</f>
        <v>-1059</v>
      </c>
      <c r="F54" s="37">
        <f t="shared" si="52"/>
        <v>0</v>
      </c>
    </row>
    <row r="55" spans="2:6" hidden="1" outlineLevel="1" x14ac:dyDescent="0.2">
      <c r="B55" s="8" t="s">
        <v>51</v>
      </c>
      <c r="D55" s="8">
        <v>0</v>
      </c>
      <c r="E55" s="8">
        <v>-1059</v>
      </c>
      <c r="F55" s="8">
        <v>0</v>
      </c>
    </row>
    <row r="56" spans="2:6" hidden="1" outlineLevel="1" x14ac:dyDescent="0.2">
      <c r="B56" s="8" t="s">
        <v>77</v>
      </c>
      <c r="D56" s="84">
        <v>0</v>
      </c>
      <c r="E56" s="84">
        <v>0</v>
      </c>
      <c r="F56" s="84">
        <v>-3944</v>
      </c>
    </row>
    <row r="57" spans="2:6" hidden="1" outlineLevel="1" x14ac:dyDescent="0.2">
      <c r="B57" s="8" t="s">
        <v>82</v>
      </c>
      <c r="D57" s="84">
        <v>-2500</v>
      </c>
      <c r="E57" s="84">
        <v>-4984</v>
      </c>
      <c r="F57" s="84">
        <v>-423</v>
      </c>
    </row>
    <row r="58" spans="2:6" hidden="1" outlineLevel="1" x14ac:dyDescent="0.2">
      <c r="B58" s="8" t="s">
        <v>81</v>
      </c>
      <c r="D58" s="84">
        <v>4974</v>
      </c>
      <c r="E58" s="84">
        <v>6548</v>
      </c>
      <c r="F58" s="84">
        <v>11391</v>
      </c>
    </row>
    <row r="59" spans="2:6" hidden="1" outlineLevel="1" x14ac:dyDescent="0.2">
      <c r="B59" s="8" t="s">
        <v>76</v>
      </c>
      <c r="D59" s="84">
        <v>0</v>
      </c>
      <c r="E59" s="84">
        <v>3945</v>
      </c>
      <c r="F59" s="84">
        <v>0</v>
      </c>
    </row>
    <row r="60" spans="2:6" collapsed="1" x14ac:dyDescent="0.2">
      <c r="B60" s="40" t="s">
        <v>230</v>
      </c>
      <c r="D60" s="27">
        <f>SUM(D61:D68)</f>
        <v>-49083</v>
      </c>
      <c r="E60" s="27">
        <f t="shared" ref="E60:F60" si="53">SUM(E61:E68)</f>
        <v>-47438</v>
      </c>
      <c r="F60" s="27">
        <f t="shared" si="53"/>
        <v>-43470</v>
      </c>
    </row>
    <row r="61" spans="2:6" hidden="1" outlineLevel="1" x14ac:dyDescent="0.2">
      <c r="B61" s="8" t="s">
        <v>70</v>
      </c>
      <c r="D61" s="84">
        <v>-613</v>
      </c>
      <c r="E61" s="84">
        <v>-510</v>
      </c>
      <c r="F61" s="84">
        <v>-399</v>
      </c>
    </row>
    <row r="62" spans="2:6" hidden="1" outlineLevel="1" x14ac:dyDescent="0.2">
      <c r="B62" s="8" t="s">
        <v>71</v>
      </c>
      <c r="D62" s="84">
        <v>581</v>
      </c>
      <c r="E62" s="84">
        <v>4961</v>
      </c>
      <c r="F62" s="84">
        <v>472</v>
      </c>
    </row>
    <row r="63" spans="2:6" hidden="1" outlineLevel="1" x14ac:dyDescent="0.2">
      <c r="B63" s="8" t="s">
        <v>68</v>
      </c>
      <c r="D63" s="84">
        <v>-40554</v>
      </c>
      <c r="E63" s="84">
        <v>-43647</v>
      </c>
      <c r="F63" s="84">
        <v>-44414</v>
      </c>
    </row>
    <row r="64" spans="2:6" hidden="1" outlineLevel="1" x14ac:dyDescent="0.2">
      <c r="B64" s="8" t="s">
        <v>80</v>
      </c>
      <c r="D64" s="84">
        <v>0</v>
      </c>
      <c r="E64" s="84">
        <v>1032</v>
      </c>
      <c r="F64" s="84">
        <v>2959</v>
      </c>
    </row>
    <row r="65" spans="1:18" hidden="1" outlineLevel="1" x14ac:dyDescent="0.2">
      <c r="B65" s="8" t="s">
        <v>83</v>
      </c>
      <c r="D65" s="84">
        <v>1020</v>
      </c>
      <c r="E65" s="84">
        <v>977</v>
      </c>
      <c r="F65" s="84">
        <v>1042</v>
      </c>
    </row>
    <row r="66" spans="1:18" hidden="1" outlineLevel="1" x14ac:dyDescent="0.2">
      <c r="B66" s="8" t="s">
        <v>84</v>
      </c>
      <c r="D66" s="84">
        <v>-2415</v>
      </c>
      <c r="E66" s="84">
        <v>0</v>
      </c>
      <c r="F66" s="84">
        <v>0</v>
      </c>
    </row>
    <row r="67" spans="1:18" hidden="1" outlineLevel="1" x14ac:dyDescent="0.2">
      <c r="B67" s="8" t="s">
        <v>85</v>
      </c>
      <c r="D67" s="84">
        <v>-5644</v>
      </c>
      <c r="E67" s="84">
        <v>-5997</v>
      </c>
      <c r="F67" s="84">
        <v>-3088</v>
      </c>
    </row>
    <row r="68" spans="1:18" hidden="1" outlineLevel="1" x14ac:dyDescent="0.2">
      <c r="B68" s="8" t="s">
        <v>50</v>
      </c>
      <c r="D68" s="84">
        <v>-1458</v>
      </c>
      <c r="E68" s="84">
        <v>-4254</v>
      </c>
      <c r="F68" s="84">
        <v>-42</v>
      </c>
    </row>
    <row r="69" spans="1:18" collapsed="1" x14ac:dyDescent="0.2">
      <c r="B69" t="s">
        <v>92</v>
      </c>
      <c r="D69" s="27">
        <v>545</v>
      </c>
      <c r="E69" s="27">
        <v>459</v>
      </c>
      <c r="F69" s="27">
        <v>613</v>
      </c>
    </row>
    <row r="70" spans="1:18" x14ac:dyDescent="0.2">
      <c r="B70" t="s">
        <v>93</v>
      </c>
      <c r="D70" s="27">
        <v>2263</v>
      </c>
      <c r="E70" s="27">
        <v>4282</v>
      </c>
      <c r="F70" s="27">
        <v>2621</v>
      </c>
    </row>
    <row r="71" spans="1:18" ht="15" collapsed="1" thickBot="1" x14ac:dyDescent="0.25">
      <c r="B71" s="40" t="s">
        <v>229</v>
      </c>
      <c r="D71" s="27">
        <f>SUM(D56:D59)</f>
        <v>2474</v>
      </c>
      <c r="E71" s="27">
        <f>SUM(E56:E59)</f>
        <v>5509</v>
      </c>
      <c r="F71" s="27">
        <f>SUM(F56:F59)</f>
        <v>7024</v>
      </c>
    </row>
    <row r="72" spans="1:18" x14ac:dyDescent="0.2">
      <c r="B72" s="17" t="s">
        <v>236</v>
      </c>
      <c r="D72" s="19">
        <f>SUM(D37+D42+D50+D51+D52+D53+D54+D71+D60+D69+D70)</f>
        <v>1594</v>
      </c>
      <c r="E72" s="19">
        <f>SUM(E37+E42+E50+E51+E52+E53+E54+E71+E60+E69+E70)</f>
        <v>5620</v>
      </c>
      <c r="F72" s="19">
        <f>SUM(F37+F42+F50+F51+F52+F53+F54+F71+F60+F69+F70)</f>
        <v>-5698</v>
      </c>
      <c r="H72" s="19">
        <f t="shared" ref="H72:O72" si="54">SUM(H37+SUM(H43:H49))</f>
        <v>0</v>
      </c>
      <c r="I72" s="19">
        <f t="shared" si="54"/>
        <v>0</v>
      </c>
      <c r="J72" s="19">
        <f t="shared" si="54"/>
        <v>0</v>
      </c>
      <c r="K72" s="19">
        <f t="shared" si="54"/>
        <v>0</v>
      </c>
      <c r="L72" s="19">
        <f t="shared" si="54"/>
        <v>0</v>
      </c>
      <c r="M72" s="19">
        <f t="shared" si="54"/>
        <v>0</v>
      </c>
      <c r="N72" s="19">
        <f t="shared" si="54"/>
        <v>0</v>
      </c>
      <c r="O72" s="19">
        <f t="shared" si="54"/>
        <v>0</v>
      </c>
      <c r="Q72" s="19">
        <f>SUM(Q37+SUM(Q43:Q49))</f>
        <v>0</v>
      </c>
      <c r="R72" s="19">
        <f>SUM(R37+SUM(R43:R49))</f>
        <v>0</v>
      </c>
    </row>
    <row r="73" spans="1:18" ht="8.25" customHeight="1" x14ac:dyDescent="0.2"/>
    <row r="74" spans="1:18" x14ac:dyDescent="0.2">
      <c r="A74" t="s">
        <v>135</v>
      </c>
      <c r="B74" s="42" t="s">
        <v>141</v>
      </c>
    </row>
    <row r="75" spans="1:18" ht="3" customHeight="1" x14ac:dyDescent="0.2">
      <c r="B75" s="42"/>
    </row>
    <row r="76" spans="1:18" ht="15" x14ac:dyDescent="0.2">
      <c r="B76" s="20" t="s">
        <v>96</v>
      </c>
      <c r="E76" s="24">
        <v>11144</v>
      </c>
      <c r="F76" s="24">
        <v>7079</v>
      </c>
    </row>
    <row r="77" spans="1:18" ht="15" x14ac:dyDescent="0.2">
      <c r="B77" s="16" t="s">
        <v>97</v>
      </c>
      <c r="E77" s="9">
        <v>17194</v>
      </c>
      <c r="F77" s="9">
        <v>17955</v>
      </c>
    </row>
    <row r="78" spans="1:18" ht="15" x14ac:dyDescent="0.2">
      <c r="B78" s="16" t="s">
        <v>98</v>
      </c>
      <c r="E78" s="9">
        <v>4133</v>
      </c>
      <c r="F78" s="9">
        <v>3402</v>
      </c>
    </row>
    <row r="79" spans="1:18" ht="15" x14ac:dyDescent="0.2">
      <c r="B79" s="16" t="s">
        <v>43</v>
      </c>
      <c r="E79" s="9">
        <v>13224</v>
      </c>
      <c r="F79" s="9">
        <v>11127</v>
      </c>
    </row>
    <row r="80" spans="1:18" ht="15.75" thickBot="1" x14ac:dyDescent="0.25">
      <c r="B80" s="43" t="s">
        <v>99</v>
      </c>
      <c r="D80" s="52"/>
      <c r="E80" s="9">
        <v>4712</v>
      </c>
      <c r="F80" s="9">
        <v>3706</v>
      </c>
    </row>
    <row r="81" spans="2:18" ht="15" x14ac:dyDescent="0.2">
      <c r="B81" s="23" t="s">
        <v>138</v>
      </c>
      <c r="C81" s="15"/>
      <c r="D81" s="44"/>
      <c r="E81" s="45">
        <f>+SUM(E76:E80)</f>
        <v>50407</v>
      </c>
      <c r="F81" s="45">
        <f t="shared" ref="F81" si="55">+SUM(F76:F80)</f>
        <v>43269</v>
      </c>
      <c r="H81" s="45"/>
      <c r="I81" s="45"/>
      <c r="J81" s="45"/>
      <c r="K81" s="45"/>
      <c r="L81" s="45"/>
      <c r="M81" s="45"/>
      <c r="N81" s="45"/>
      <c r="O81" s="45"/>
      <c r="Q81" s="45"/>
      <c r="R81" s="45"/>
    </row>
    <row r="82" spans="2:18" ht="3.75" customHeight="1" x14ac:dyDescent="0.2">
      <c r="B82" s="23"/>
      <c r="C82" s="15"/>
      <c r="E82" s="47"/>
      <c r="F82" s="47"/>
      <c r="H82" s="47"/>
      <c r="I82" s="47"/>
      <c r="J82" s="47"/>
      <c r="K82" s="47"/>
      <c r="L82" s="47"/>
      <c r="M82" s="47"/>
      <c r="N82" s="47"/>
      <c r="O82" s="47"/>
      <c r="Q82" s="47"/>
      <c r="R82" s="47"/>
    </row>
    <row r="83" spans="2:18" ht="15" x14ac:dyDescent="0.2">
      <c r="B83" s="20" t="s">
        <v>100</v>
      </c>
      <c r="E83" s="9">
        <v>80860</v>
      </c>
      <c r="F83" s="9">
        <v>96647</v>
      </c>
    </row>
    <row r="84" spans="2:18" ht="15" x14ac:dyDescent="0.2">
      <c r="B84" s="16" t="s">
        <v>101</v>
      </c>
      <c r="E84" s="9">
        <v>5912</v>
      </c>
      <c r="F84" s="9">
        <v>5829</v>
      </c>
    </row>
    <row r="85" spans="2:18" ht="15" x14ac:dyDescent="0.2">
      <c r="B85" s="16" t="s">
        <v>102</v>
      </c>
      <c r="E85" s="9">
        <v>27591</v>
      </c>
      <c r="F85" s="9">
        <v>27591</v>
      </c>
    </row>
    <row r="86" spans="2:18" ht="15" x14ac:dyDescent="0.2">
      <c r="B86" s="16" t="s">
        <v>103</v>
      </c>
      <c r="E86" s="9">
        <v>6018</v>
      </c>
      <c r="F86" s="9">
        <v>4589</v>
      </c>
    </row>
    <row r="87" spans="2:18" ht="15.75" thickBot="1" x14ac:dyDescent="0.25">
      <c r="B87" s="43" t="s">
        <v>104</v>
      </c>
      <c r="D87" s="48"/>
      <c r="E87" s="9">
        <v>11315</v>
      </c>
      <c r="F87" s="9">
        <v>13647</v>
      </c>
    </row>
    <row r="88" spans="2:18" ht="15" x14ac:dyDescent="0.2">
      <c r="B88" s="23" t="s">
        <v>148</v>
      </c>
      <c r="C88" s="15"/>
      <c r="D88" s="51"/>
      <c r="E88" s="45">
        <f>SUM(E83:E87)</f>
        <v>131696</v>
      </c>
      <c r="F88" s="45">
        <f>SUM(F83:F87)</f>
        <v>148303</v>
      </c>
      <c r="H88" s="45"/>
      <c r="I88" s="45"/>
      <c r="J88" s="45"/>
      <c r="K88" s="45"/>
      <c r="L88" s="45"/>
      <c r="M88" s="45"/>
      <c r="N88" s="45"/>
      <c r="O88" s="45"/>
      <c r="Q88" s="45"/>
      <c r="R88" s="45"/>
    </row>
    <row r="89" spans="2:18" ht="3.75" customHeight="1" x14ac:dyDescent="0.2">
      <c r="B89" s="23"/>
      <c r="C89" s="15"/>
      <c r="E89" s="47"/>
      <c r="F89" s="47"/>
    </row>
    <row r="90" spans="2:18" ht="15" x14ac:dyDescent="0.2">
      <c r="B90" s="16" t="s">
        <v>105</v>
      </c>
      <c r="E90" s="9">
        <v>4367</v>
      </c>
      <c r="F90" s="9">
        <v>2288</v>
      </c>
      <c r="H90" s="48"/>
    </row>
    <row r="91" spans="2:18" ht="15" x14ac:dyDescent="0.2">
      <c r="B91" s="16" t="s">
        <v>44</v>
      </c>
      <c r="E91" s="9">
        <v>9595</v>
      </c>
      <c r="F91" s="9">
        <v>8578</v>
      </c>
    </row>
    <row r="92" spans="2:18" ht="15" x14ac:dyDescent="0.2">
      <c r="B92" s="20" t="s">
        <v>45</v>
      </c>
      <c r="E92" s="9">
        <v>4084</v>
      </c>
      <c r="F92" s="9">
        <v>3655</v>
      </c>
      <c r="H92" s="48"/>
    </row>
    <row r="93" spans="2:18" ht="15" x14ac:dyDescent="0.2">
      <c r="B93" s="16" t="s">
        <v>106</v>
      </c>
      <c r="E93" s="9">
        <v>2251</v>
      </c>
      <c r="F93" s="9">
        <v>1107</v>
      </c>
    </row>
    <row r="94" spans="2:18" ht="15.75" thickBot="1" x14ac:dyDescent="0.25">
      <c r="B94" s="16" t="s">
        <v>107</v>
      </c>
      <c r="E94" s="9">
        <v>11858</v>
      </c>
      <c r="F94" s="9">
        <v>12425</v>
      </c>
    </row>
    <row r="95" spans="2:18" ht="15" x14ac:dyDescent="0.2">
      <c r="B95" s="46" t="s">
        <v>139</v>
      </c>
      <c r="C95" s="15"/>
      <c r="D95" s="51"/>
      <c r="E95" s="45">
        <f>SUM(E90:E94)</f>
        <v>32155</v>
      </c>
      <c r="F95" s="45">
        <f t="shared" ref="F95" si="56">SUM(F90:F94)</f>
        <v>28053</v>
      </c>
      <c r="H95" s="45"/>
      <c r="I95" s="45"/>
      <c r="J95" s="45"/>
      <c r="K95" s="45"/>
      <c r="L95" s="45"/>
      <c r="M95" s="45"/>
      <c r="N95" s="45"/>
      <c r="O95" s="45"/>
      <c r="Q95" s="45"/>
      <c r="R95" s="45"/>
    </row>
    <row r="96" spans="2:18" ht="3.75" customHeight="1" x14ac:dyDescent="0.2">
      <c r="B96" s="23"/>
      <c r="C96" s="15"/>
      <c r="E96" s="47"/>
      <c r="F96" s="47"/>
      <c r="H96" s="47"/>
      <c r="I96" s="47"/>
      <c r="J96" s="47"/>
      <c r="K96" s="47"/>
      <c r="L96" s="47"/>
      <c r="M96" s="47"/>
      <c r="N96" s="47"/>
      <c r="O96" s="47"/>
      <c r="Q96" s="47"/>
      <c r="R96" s="47"/>
    </row>
    <row r="97" spans="1:18" ht="15" x14ac:dyDescent="0.2">
      <c r="B97" s="16" t="s">
        <v>108</v>
      </c>
      <c r="E97" s="9">
        <v>37684</v>
      </c>
      <c r="F97" s="9">
        <v>46978</v>
      </c>
    </row>
    <row r="98" spans="1:18" ht="15.75" thickBot="1" x14ac:dyDescent="0.25">
      <c r="B98" s="16" t="s">
        <v>109</v>
      </c>
      <c r="E98" s="9">
        <v>8978</v>
      </c>
      <c r="F98" s="9">
        <v>6576</v>
      </c>
    </row>
    <row r="99" spans="1:18" ht="15" x14ac:dyDescent="0.2">
      <c r="B99" s="46" t="s">
        <v>149</v>
      </c>
      <c r="C99" s="47"/>
      <c r="D99" s="51"/>
      <c r="E99" s="45">
        <f>SUM(E97:E98)</f>
        <v>46662</v>
      </c>
      <c r="F99" s="45">
        <f>SUM(F97:F98)</f>
        <v>53554</v>
      </c>
      <c r="H99" s="45"/>
      <c r="I99" s="45"/>
      <c r="J99" s="45"/>
      <c r="K99" s="45"/>
      <c r="L99" s="45"/>
      <c r="M99" s="45"/>
      <c r="N99" s="45"/>
      <c r="O99" s="45"/>
      <c r="Q99" s="45"/>
      <c r="R99" s="45"/>
    </row>
    <row r="100" spans="1:18" ht="3" customHeight="1" x14ac:dyDescent="0.2">
      <c r="B100" s="23"/>
      <c r="C100" s="47"/>
      <c r="E100" s="47"/>
      <c r="F100" s="47"/>
    </row>
    <row r="101" spans="1:18" ht="15" x14ac:dyDescent="0.2">
      <c r="B101" s="20" t="s">
        <v>140</v>
      </c>
      <c r="E101" s="9">
        <v>31580</v>
      </c>
      <c r="F101" s="9">
        <v>36649</v>
      </c>
    </row>
    <row r="102" spans="1:18" ht="15" x14ac:dyDescent="0.2">
      <c r="B102" s="20" t="s">
        <v>112</v>
      </c>
      <c r="E102" s="9">
        <v>-562</v>
      </c>
      <c r="F102" s="9">
        <v>-215</v>
      </c>
    </row>
    <row r="103" spans="1:18" ht="15" x14ac:dyDescent="0.2">
      <c r="B103" s="16" t="s">
        <v>113</v>
      </c>
      <c r="E103" s="9">
        <v>70405</v>
      </c>
      <c r="F103" s="9">
        <v>69156</v>
      </c>
    </row>
    <row r="104" spans="1:18" ht="15.75" thickBot="1" x14ac:dyDescent="0.25">
      <c r="B104" s="16" t="s">
        <v>115</v>
      </c>
      <c r="E104" s="9">
        <v>1863</v>
      </c>
      <c r="F104" s="9">
        <v>4375</v>
      </c>
    </row>
    <row r="105" spans="1:18" ht="15" x14ac:dyDescent="0.2">
      <c r="B105" s="46" t="s">
        <v>150</v>
      </c>
      <c r="D105" s="17"/>
      <c r="E105" s="45">
        <f>SUM(E101:E104)</f>
        <v>103286</v>
      </c>
      <c r="F105" s="45">
        <f t="shared" ref="F105" si="57">SUM(F101:F104)</f>
        <v>109965</v>
      </c>
      <c r="H105" s="45"/>
      <c r="I105" s="45"/>
      <c r="J105" s="45"/>
      <c r="K105" s="45"/>
      <c r="L105" s="45"/>
      <c r="M105" s="45"/>
      <c r="N105" s="45"/>
      <c r="O105" s="45"/>
      <c r="Q105" s="45"/>
      <c r="R105" s="45"/>
    </row>
    <row r="106" spans="1:18" ht="15" x14ac:dyDescent="0.2">
      <c r="B106" s="80" t="s">
        <v>226</v>
      </c>
      <c r="D106" s="81">
        <f>SUM(D81+D88)</f>
        <v>0</v>
      </c>
      <c r="E106" s="83">
        <f t="shared" ref="E106:F106" si="58">SUM(E81+E88)</f>
        <v>182103</v>
      </c>
      <c r="F106" s="83">
        <f t="shared" si="58"/>
        <v>191572</v>
      </c>
      <c r="H106" s="47"/>
      <c r="I106" s="47"/>
      <c r="J106" s="47"/>
      <c r="K106" s="47"/>
      <c r="L106" s="47"/>
      <c r="M106" s="47"/>
      <c r="N106" s="47"/>
      <c r="O106" s="47"/>
      <c r="Q106" s="47"/>
      <c r="R106" s="47"/>
    </row>
    <row r="107" spans="1:18" ht="15" x14ac:dyDescent="0.2">
      <c r="B107" s="80" t="s">
        <v>227</v>
      </c>
      <c r="D107" s="81">
        <f>D95+D99</f>
        <v>0</v>
      </c>
      <c r="E107" s="83">
        <f t="shared" ref="E107:F107" si="59">E95+E99</f>
        <v>78817</v>
      </c>
      <c r="F107" s="83">
        <f t="shared" si="59"/>
        <v>81607</v>
      </c>
      <c r="H107" s="47"/>
      <c r="I107" s="47"/>
      <c r="J107" s="47"/>
      <c r="K107" s="47"/>
      <c r="L107" s="47"/>
      <c r="M107" s="47"/>
      <c r="N107" s="47"/>
      <c r="O107" s="47"/>
      <c r="Q107" s="47"/>
      <c r="R107" s="47"/>
    </row>
    <row r="108" spans="1:18" ht="15" x14ac:dyDescent="0.2">
      <c r="B108" s="80" t="s">
        <v>228</v>
      </c>
      <c r="D108" s="82">
        <f>SUM(D105+D107)</f>
        <v>0</v>
      </c>
      <c r="E108" s="82">
        <f>SUM(E105+E107)</f>
        <v>182103</v>
      </c>
      <c r="F108" s="82">
        <f t="shared" ref="F108" si="60">SUM(F105+F107)</f>
        <v>191572</v>
      </c>
      <c r="H108" s="47"/>
      <c r="I108" s="47"/>
      <c r="J108" s="47"/>
      <c r="K108" s="47"/>
      <c r="L108" s="47"/>
      <c r="M108" s="47"/>
      <c r="N108" s="47"/>
      <c r="O108" s="47"/>
      <c r="Q108" s="47"/>
      <c r="R108" s="47"/>
    </row>
    <row r="109" spans="1:18" ht="15" x14ac:dyDescent="0.2">
      <c r="B109" s="16"/>
      <c r="D109" s="47"/>
      <c r="E109" s="47"/>
      <c r="F109" s="47"/>
      <c r="H109" s="47"/>
      <c r="I109" s="47"/>
      <c r="J109" s="47"/>
      <c r="K109" s="47"/>
      <c r="L109" s="47"/>
      <c r="M109" s="47"/>
      <c r="N109" s="47"/>
      <c r="O109" s="47"/>
      <c r="Q109" s="47"/>
      <c r="R109" s="47"/>
    </row>
    <row r="110" spans="1:18" x14ac:dyDescent="0.2">
      <c r="A110" t="s">
        <v>135</v>
      </c>
      <c r="B110" s="42" t="s">
        <v>211</v>
      </c>
    </row>
    <row r="111" spans="1:18" ht="3" customHeight="1" x14ac:dyDescent="0.2">
      <c r="B111" s="40"/>
    </row>
    <row r="112" spans="1:18" x14ac:dyDescent="0.2">
      <c r="B112" s="40" t="s">
        <v>212</v>
      </c>
      <c r="D112" s="76">
        <f t="shared" ref="D112:F113" si="61">D76</f>
        <v>0</v>
      </c>
      <c r="E112" s="76">
        <f t="shared" si="61"/>
        <v>11144</v>
      </c>
      <c r="F112" s="76">
        <f t="shared" si="61"/>
        <v>7079</v>
      </c>
    </row>
    <row r="113" spans="2:6" x14ac:dyDescent="0.2">
      <c r="B113" s="40" t="s">
        <v>213</v>
      </c>
      <c r="D113" s="76">
        <f t="shared" si="61"/>
        <v>0</v>
      </c>
      <c r="E113" s="76">
        <f t="shared" si="61"/>
        <v>17194</v>
      </c>
      <c r="F113" s="76">
        <f t="shared" si="61"/>
        <v>17955</v>
      </c>
    </row>
    <row r="114" spans="2:6" x14ac:dyDescent="0.2">
      <c r="B114" s="41" t="s">
        <v>214</v>
      </c>
      <c r="F114" s="27">
        <v>5000</v>
      </c>
    </row>
    <row r="115" spans="2:6" x14ac:dyDescent="0.2">
      <c r="B115" s="41" t="s">
        <v>215</v>
      </c>
      <c r="F115" s="27">
        <v>5000</v>
      </c>
    </row>
    <row r="116" spans="2:6" ht="15" thickBot="1" x14ac:dyDescent="0.25">
      <c r="B116" s="40" t="s">
        <v>207</v>
      </c>
      <c r="F116" s="27">
        <v>3900</v>
      </c>
    </row>
    <row r="117" spans="2:6" ht="15" x14ac:dyDescent="0.2">
      <c r="B117" s="46" t="s">
        <v>216</v>
      </c>
      <c r="D117" s="17"/>
      <c r="E117" s="45">
        <f>SUM(E112:E115)</f>
        <v>28338</v>
      </c>
      <c r="F117" s="45">
        <f>SUM(F112:F116)</f>
        <v>38934</v>
      </c>
    </row>
    <row r="118" spans="2:6" ht="4.5" customHeight="1" x14ac:dyDescent="0.2">
      <c r="B118" s="42"/>
    </row>
    <row r="119" spans="2:6" x14ac:dyDescent="0.2">
      <c r="B119" s="40" t="s">
        <v>208</v>
      </c>
      <c r="F119" s="76">
        <f>F90</f>
        <v>2288</v>
      </c>
    </row>
    <row r="120" spans="2:6" ht="15" thickBot="1" x14ac:dyDescent="0.25">
      <c r="B120" t="s">
        <v>221</v>
      </c>
      <c r="F120" s="76">
        <f>F171</f>
        <v>46978</v>
      </c>
    </row>
    <row r="121" spans="2:6" hidden="1" outlineLevel="1" x14ac:dyDescent="0.2">
      <c r="B121" t="s">
        <v>152</v>
      </c>
      <c r="F121" s="27">
        <v>1250</v>
      </c>
    </row>
    <row r="122" spans="2:6" hidden="1" outlineLevel="1" x14ac:dyDescent="0.2">
      <c r="B122" t="s">
        <v>153</v>
      </c>
      <c r="F122" s="27">
        <v>600</v>
      </c>
    </row>
    <row r="123" spans="2:6" hidden="1" outlineLevel="1" x14ac:dyDescent="0.2">
      <c r="B123" t="s">
        <v>154</v>
      </c>
      <c r="F123" s="27">
        <v>1500</v>
      </c>
    </row>
    <row r="124" spans="2:6" hidden="1" outlineLevel="1" x14ac:dyDescent="0.2">
      <c r="B124" t="s">
        <v>155</v>
      </c>
      <c r="F124" s="27">
        <v>2250</v>
      </c>
    </row>
    <row r="125" spans="2:6" hidden="1" outlineLevel="1" x14ac:dyDescent="0.2">
      <c r="B125" t="s">
        <v>156</v>
      </c>
      <c r="F125" s="27">
        <v>1500</v>
      </c>
    </row>
    <row r="126" spans="2:6" hidden="1" outlineLevel="1" x14ac:dyDescent="0.2">
      <c r="B126" t="s">
        <v>157</v>
      </c>
      <c r="F126" s="27">
        <v>1000</v>
      </c>
    </row>
    <row r="127" spans="2:6" hidden="1" outlineLevel="1" x14ac:dyDescent="0.2">
      <c r="B127" t="s">
        <v>158</v>
      </c>
      <c r="F127" s="27">
        <v>1000</v>
      </c>
    </row>
    <row r="128" spans="2:6" hidden="1" outlineLevel="1" x14ac:dyDescent="0.2">
      <c r="B128" t="s">
        <v>159</v>
      </c>
      <c r="F128" s="27">
        <v>1000</v>
      </c>
    </row>
    <row r="129" spans="2:6" hidden="1" outlineLevel="1" x14ac:dyDescent="0.2">
      <c r="B129" t="s">
        <v>160</v>
      </c>
      <c r="F129" s="27">
        <v>1250</v>
      </c>
    </row>
    <row r="130" spans="2:6" hidden="1" outlineLevel="1" x14ac:dyDescent="0.2">
      <c r="B130" t="s">
        <v>161</v>
      </c>
      <c r="F130" s="27">
        <v>1750</v>
      </c>
    </row>
    <row r="131" spans="2:6" hidden="1" outlineLevel="1" x14ac:dyDescent="0.2">
      <c r="B131" t="s">
        <v>162</v>
      </c>
      <c r="F131" s="27">
        <v>1000</v>
      </c>
    </row>
    <row r="132" spans="2:6" hidden="1" outlineLevel="1" x14ac:dyDescent="0.2">
      <c r="B132" t="s">
        <v>163</v>
      </c>
      <c r="F132" s="27">
        <v>850</v>
      </c>
    </row>
    <row r="133" spans="2:6" hidden="1" outlineLevel="1" x14ac:dyDescent="0.2">
      <c r="B133" t="s">
        <v>164</v>
      </c>
      <c r="F133" s="27">
        <v>2000</v>
      </c>
    </row>
    <row r="134" spans="2:6" hidden="1" outlineLevel="1" x14ac:dyDescent="0.2">
      <c r="B134" t="s">
        <v>165</v>
      </c>
      <c r="F134" s="27">
        <v>1250</v>
      </c>
    </row>
    <row r="135" spans="2:6" hidden="1" outlineLevel="1" x14ac:dyDescent="0.2">
      <c r="B135" t="s">
        <v>166</v>
      </c>
      <c r="F135" s="27">
        <v>1500</v>
      </c>
    </row>
    <row r="136" spans="2:6" hidden="1" outlineLevel="1" x14ac:dyDescent="0.2">
      <c r="B136" t="s">
        <v>167</v>
      </c>
      <c r="F136" s="27">
        <v>1250</v>
      </c>
    </row>
    <row r="137" spans="2:6" hidden="1" outlineLevel="1" x14ac:dyDescent="0.2">
      <c r="B137" t="s">
        <v>168</v>
      </c>
      <c r="F137" s="27">
        <v>1250</v>
      </c>
    </row>
    <row r="138" spans="2:6" hidden="1" outlineLevel="1" x14ac:dyDescent="0.2">
      <c r="B138" t="s">
        <v>169</v>
      </c>
      <c r="F138" s="27">
        <v>750</v>
      </c>
    </row>
    <row r="139" spans="2:6" hidden="1" outlineLevel="1" x14ac:dyDescent="0.2">
      <c r="B139" t="s">
        <v>170</v>
      </c>
      <c r="F139" s="27">
        <v>2250</v>
      </c>
    </row>
    <row r="140" spans="2:6" hidden="1" outlineLevel="1" x14ac:dyDescent="0.2">
      <c r="B140" t="s">
        <v>171</v>
      </c>
      <c r="F140" s="27">
        <v>750</v>
      </c>
    </row>
    <row r="141" spans="2:6" hidden="1" outlineLevel="1" x14ac:dyDescent="0.2">
      <c r="B141" t="s">
        <v>172</v>
      </c>
      <c r="F141" s="27">
        <v>750</v>
      </c>
    </row>
    <row r="142" spans="2:6" hidden="1" outlineLevel="1" x14ac:dyDescent="0.2">
      <c r="B142" t="s">
        <v>173</v>
      </c>
      <c r="F142" s="27">
        <v>802</v>
      </c>
    </row>
    <row r="143" spans="2:6" hidden="1" outlineLevel="1" x14ac:dyDescent="0.2">
      <c r="B143" t="s">
        <v>174</v>
      </c>
      <c r="F143" s="27">
        <v>567</v>
      </c>
    </row>
    <row r="144" spans="2:6" hidden="1" outlineLevel="1" x14ac:dyDescent="0.2">
      <c r="B144" t="s">
        <v>175</v>
      </c>
      <c r="F144" s="27">
        <v>1000</v>
      </c>
    </row>
    <row r="145" spans="2:6" hidden="1" outlineLevel="1" x14ac:dyDescent="0.2">
      <c r="B145" t="s">
        <v>176</v>
      </c>
      <c r="F145" s="27">
        <v>772</v>
      </c>
    </row>
    <row r="146" spans="2:6" hidden="1" outlineLevel="1" x14ac:dyDescent="0.2">
      <c r="B146" t="s">
        <v>177</v>
      </c>
      <c r="F146" s="27">
        <v>1250</v>
      </c>
    </row>
    <row r="147" spans="2:6" hidden="1" outlineLevel="1" x14ac:dyDescent="0.2">
      <c r="B147" t="s">
        <v>178</v>
      </c>
      <c r="F147" s="27">
        <v>1000</v>
      </c>
    </row>
    <row r="148" spans="2:6" hidden="1" outlineLevel="1" x14ac:dyDescent="0.2">
      <c r="B148" t="s">
        <v>179</v>
      </c>
      <c r="F148" s="27">
        <v>640</v>
      </c>
    </row>
    <row r="149" spans="2:6" hidden="1" outlineLevel="1" x14ac:dyDescent="0.2">
      <c r="B149" t="s">
        <v>180</v>
      </c>
      <c r="F149" s="27">
        <v>1967</v>
      </c>
    </row>
    <row r="150" spans="2:6" hidden="1" outlineLevel="1" x14ac:dyDescent="0.2">
      <c r="B150" t="s">
        <v>181</v>
      </c>
      <c r="F150" s="27">
        <v>2000</v>
      </c>
    </row>
    <row r="151" spans="2:6" hidden="1" outlineLevel="1" x14ac:dyDescent="0.2">
      <c r="B151" t="s">
        <v>182</v>
      </c>
      <c r="F151" s="27">
        <v>2250</v>
      </c>
    </row>
    <row r="152" spans="2:6" hidden="1" outlineLevel="1" x14ac:dyDescent="0.2">
      <c r="B152" t="s">
        <v>183</v>
      </c>
      <c r="F152" s="27">
        <v>1250</v>
      </c>
    </row>
    <row r="153" spans="2:6" hidden="1" outlineLevel="1" x14ac:dyDescent="0.2">
      <c r="B153" t="s">
        <v>184</v>
      </c>
      <c r="F153" s="27">
        <v>1750</v>
      </c>
    </row>
    <row r="154" spans="2:6" hidden="1" outlineLevel="1" x14ac:dyDescent="0.2">
      <c r="B154" t="s">
        <v>185</v>
      </c>
      <c r="F154" s="27">
        <v>2000</v>
      </c>
    </row>
    <row r="155" spans="2:6" hidden="1" outlineLevel="1" x14ac:dyDescent="0.2">
      <c r="B155" t="s">
        <v>186</v>
      </c>
      <c r="F155" s="27">
        <v>1000</v>
      </c>
    </row>
    <row r="156" spans="2:6" hidden="1" outlineLevel="1" x14ac:dyDescent="0.2">
      <c r="B156" t="s">
        <v>187</v>
      </c>
      <c r="F156" s="27">
        <v>1000</v>
      </c>
    </row>
    <row r="157" spans="2:6" hidden="1" outlineLevel="1" x14ac:dyDescent="0.2">
      <c r="B157" t="s">
        <v>188</v>
      </c>
      <c r="F157" s="27">
        <v>750</v>
      </c>
    </row>
    <row r="158" spans="2:6" hidden="1" outlineLevel="1" x14ac:dyDescent="0.2">
      <c r="B158" t="s">
        <v>189</v>
      </c>
      <c r="F158" s="27">
        <v>900</v>
      </c>
    </row>
    <row r="159" spans="2:6" hidden="1" outlineLevel="1" x14ac:dyDescent="0.2">
      <c r="B159" t="s">
        <v>190</v>
      </c>
      <c r="F159" s="27">
        <v>1250</v>
      </c>
    </row>
    <row r="160" spans="2:6" hidden="1" outlineLevel="1" x14ac:dyDescent="0.2">
      <c r="B160" t="s">
        <v>203</v>
      </c>
      <c r="F160" s="27"/>
    </row>
    <row r="161" spans="2:6" hidden="1" outlineLevel="1" x14ac:dyDescent="0.2">
      <c r="B161" t="s">
        <v>192</v>
      </c>
      <c r="F161" s="27">
        <v>0</v>
      </c>
    </row>
    <row r="162" spans="2:6" hidden="1" outlineLevel="1" x14ac:dyDescent="0.2">
      <c r="B162" t="s">
        <v>194</v>
      </c>
      <c r="F162" s="27">
        <v>423</v>
      </c>
    </row>
    <row r="163" spans="2:6" hidden="1" outlineLevel="1" x14ac:dyDescent="0.2">
      <c r="B163" t="s">
        <v>195</v>
      </c>
      <c r="F163" s="27">
        <v>131</v>
      </c>
    </row>
    <row r="164" spans="2:6" hidden="1" outlineLevel="1" x14ac:dyDescent="0.2">
      <c r="B164" t="s">
        <v>196</v>
      </c>
      <c r="F164" s="27">
        <v>438</v>
      </c>
    </row>
    <row r="165" spans="2:6" ht="15" hidden="1" outlineLevel="1" thickBot="1" x14ac:dyDescent="0.25">
      <c r="B165" t="s">
        <v>197</v>
      </c>
      <c r="F165" s="27">
        <v>445</v>
      </c>
    </row>
    <row r="166" spans="2:6" hidden="1" outlineLevel="1" x14ac:dyDescent="0.2">
      <c r="B166" s="17" t="s">
        <v>198</v>
      </c>
      <c r="D166" s="44"/>
      <c r="E166" s="44"/>
      <c r="F166" s="77">
        <f>SUM(F121:F165)</f>
        <v>50285</v>
      </c>
    </row>
    <row r="167" spans="2:6" hidden="1" outlineLevel="1" x14ac:dyDescent="0.2">
      <c r="B167" t="s">
        <v>217</v>
      </c>
    </row>
    <row r="168" spans="2:6" hidden="1" outlineLevel="1" x14ac:dyDescent="0.2">
      <c r="B168" s="35" t="s">
        <v>218</v>
      </c>
      <c r="F168" s="27">
        <v>-445</v>
      </c>
    </row>
    <row r="169" spans="2:6" hidden="1" outlineLevel="1" x14ac:dyDescent="0.2">
      <c r="B169" s="35" t="s">
        <v>219</v>
      </c>
      <c r="F169" s="27">
        <v>-574</v>
      </c>
    </row>
    <row r="170" spans="2:6" ht="15" hidden="1" outlineLevel="1" thickBot="1" x14ac:dyDescent="0.25">
      <c r="B170" s="35" t="s">
        <v>208</v>
      </c>
      <c r="F170" s="27">
        <v>-2288</v>
      </c>
    </row>
    <row r="171" spans="2:6" ht="15" hidden="1" outlineLevel="1" thickBot="1" x14ac:dyDescent="0.25">
      <c r="B171" s="17" t="s">
        <v>220</v>
      </c>
      <c r="D171" s="44"/>
      <c r="E171" s="44"/>
      <c r="F171" s="77">
        <f>SUM(F166+F168+F169+F170)</f>
        <v>46978</v>
      </c>
    </row>
    <row r="172" spans="2:6" ht="15" collapsed="1" x14ac:dyDescent="0.2">
      <c r="B172" s="46" t="s">
        <v>222</v>
      </c>
      <c r="D172" s="17"/>
      <c r="E172" s="45">
        <f>SUM(E166:E169)</f>
        <v>0</v>
      </c>
      <c r="F172" s="45">
        <f>+F119+F120</f>
        <v>49266</v>
      </c>
    </row>
    <row r="173" spans="2:6" x14ac:dyDescent="0.2">
      <c r="B173" s="13" t="s">
        <v>225</v>
      </c>
      <c r="D173" s="78"/>
      <c r="E173" s="78"/>
      <c r="F173" s="78">
        <f>SUM(F172/F106)</f>
        <v>0.25716701814461401</v>
      </c>
    </row>
    <row r="174" spans="2:6" x14ac:dyDescent="0.2">
      <c r="B174" s="13" t="s">
        <v>223</v>
      </c>
      <c r="F174" s="78">
        <f>F172/F37</f>
        <v>4.5850162866449509</v>
      </c>
    </row>
    <row r="175" spans="2:6" x14ac:dyDescent="0.2">
      <c r="B175" s="13" t="s">
        <v>224</v>
      </c>
      <c r="F175" s="79">
        <f>F172/F117</f>
        <v>1.2653721682847896</v>
      </c>
    </row>
  </sheetData>
  <conditionalFormatting sqref="C4:N5">
    <cfRule type="timePeriod" dxfId="1" priority="1" timePeriod="lastWeek">
      <formula>AND(TODAY()-ROUNDDOWN(C4,0)&gt;=(WEEKDAY(TODAY())),TODAY()-ROUNDDOWN(C4,0)&lt;(WEEKDAY(TODAY())+7))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9C8A-2F05-444F-8805-8457B124687C}">
  <dimension ref="A2:V121"/>
  <sheetViews>
    <sheetView showGridLines="0" topLeftCell="A8" zoomScale="145" zoomScaleNormal="145" workbookViewId="0">
      <selection activeCell="D66" sqref="D66"/>
    </sheetView>
    <sheetView workbookViewId="1">
      <selection activeCell="I16" sqref="I16"/>
    </sheetView>
  </sheetViews>
  <sheetFormatPr defaultRowHeight="14.25" outlineLevelRow="1" x14ac:dyDescent="0.2"/>
  <cols>
    <col min="1" max="1" width="3.25" customWidth="1"/>
    <col min="2" max="2" width="20.375" bestFit="1" customWidth="1"/>
    <col min="3" max="3" width="1.5" customWidth="1"/>
    <col min="5" max="5" width="16.625" bestFit="1" customWidth="1"/>
  </cols>
  <sheetData>
    <row r="2" spans="2:8" x14ac:dyDescent="0.2">
      <c r="B2" s="5" t="s">
        <v>142</v>
      </c>
      <c r="D2" s="60" t="s">
        <v>206</v>
      </c>
      <c r="E2" s="60"/>
    </row>
    <row r="3" spans="2:8" x14ac:dyDescent="0.2">
      <c r="B3" s="1" t="s">
        <v>0</v>
      </c>
      <c r="D3" s="4"/>
      <c r="E3" s="4"/>
    </row>
    <row r="4" spans="2:8" x14ac:dyDescent="0.2">
      <c r="B4" s="15" t="s">
        <v>199</v>
      </c>
    </row>
    <row r="5" spans="2:8" x14ac:dyDescent="0.2">
      <c r="B5" t="s">
        <v>205</v>
      </c>
      <c r="F5">
        <v>3900</v>
      </c>
    </row>
    <row r="7" spans="2:8" x14ac:dyDescent="0.2">
      <c r="B7" s="15" t="s">
        <v>198</v>
      </c>
    </row>
    <row r="8" spans="2:8" ht="15" customHeight="1" x14ac:dyDescent="0.2">
      <c r="B8" s="61" t="s">
        <v>200</v>
      </c>
      <c r="C8" s="61"/>
      <c r="D8" s="61"/>
      <c r="E8" s="62" t="s">
        <v>151</v>
      </c>
      <c r="F8" s="73" t="s">
        <v>191</v>
      </c>
      <c r="G8" s="54"/>
    </row>
    <row r="9" spans="2:8" ht="15" customHeight="1" x14ac:dyDescent="0.2">
      <c r="B9" s="53" t="s">
        <v>152</v>
      </c>
      <c r="C9" s="53"/>
      <c r="D9" s="53"/>
      <c r="E9" s="63">
        <v>2.3199999999999998E-2</v>
      </c>
      <c r="F9" s="65">
        <v>1250</v>
      </c>
    </row>
    <row r="10" spans="2:8" ht="15" customHeight="1" x14ac:dyDescent="0.2">
      <c r="B10" s="53" t="s">
        <v>153</v>
      </c>
      <c r="C10" s="53"/>
      <c r="D10" s="53"/>
      <c r="E10" s="63">
        <v>2.1399999999999999E-2</v>
      </c>
      <c r="F10" s="65">
        <v>600</v>
      </c>
    </row>
    <row r="11" spans="2:8" ht="15" customHeight="1" x14ac:dyDescent="0.2">
      <c r="B11" s="53" t="s">
        <v>154</v>
      </c>
      <c r="C11" s="53"/>
      <c r="D11" s="53"/>
      <c r="E11" s="63">
        <v>3.4500000000000003E-2</v>
      </c>
      <c r="F11" s="65">
        <v>1500</v>
      </c>
      <c r="H11" s="66"/>
    </row>
    <row r="12" spans="2:8" ht="15" customHeight="1" x14ac:dyDescent="0.2">
      <c r="B12" s="53" t="s">
        <v>155</v>
      </c>
      <c r="C12" s="53"/>
      <c r="D12" s="53"/>
      <c r="E12" s="63">
        <v>7.2900000000000006E-2</v>
      </c>
      <c r="F12" s="65">
        <v>2250</v>
      </c>
    </row>
    <row r="13" spans="2:8" ht="15" customHeight="1" x14ac:dyDescent="0.2">
      <c r="B13" s="53" t="s">
        <v>156</v>
      </c>
      <c r="C13" s="53"/>
      <c r="D13" s="53"/>
      <c r="E13" s="63">
        <v>4.9599999999999998E-2</v>
      </c>
      <c r="F13" s="65">
        <v>1500</v>
      </c>
    </row>
    <row r="14" spans="2:8" ht="15" customHeight="1" x14ac:dyDescent="0.2">
      <c r="B14" s="53" t="s">
        <v>157</v>
      </c>
      <c r="C14" s="53"/>
      <c r="D14" s="53"/>
      <c r="E14" s="63">
        <v>5.79E-2</v>
      </c>
      <c r="F14" s="65">
        <v>1000</v>
      </c>
    </row>
    <row r="15" spans="2:8" ht="15" customHeight="1" x14ac:dyDescent="0.2">
      <c r="B15" s="53" t="s">
        <v>158</v>
      </c>
      <c r="C15" s="53"/>
      <c r="D15" s="53"/>
      <c r="E15" s="63">
        <v>3.7900000000000003E-2</v>
      </c>
      <c r="F15" s="65">
        <v>1000</v>
      </c>
    </row>
    <row r="16" spans="2:8" ht="15" customHeight="1" x14ac:dyDescent="0.2">
      <c r="B16" s="53" t="s">
        <v>159</v>
      </c>
      <c r="C16" s="53"/>
      <c r="D16" s="53"/>
      <c r="E16" s="63">
        <v>6.3500000000000001E-2</v>
      </c>
      <c r="F16" s="65">
        <v>1000</v>
      </c>
    </row>
    <row r="17" spans="2:6" ht="15" customHeight="1" x14ac:dyDescent="0.2">
      <c r="B17" s="53" t="s">
        <v>160</v>
      </c>
      <c r="C17" s="53"/>
      <c r="D17" s="53"/>
      <c r="E17" s="63">
        <v>3.8199999999999998E-2</v>
      </c>
      <c r="F17" s="65">
        <v>1250</v>
      </c>
    </row>
    <row r="18" spans="2:6" ht="15" customHeight="1" x14ac:dyDescent="0.2">
      <c r="B18" s="53" t="s">
        <v>161</v>
      </c>
      <c r="C18" s="53"/>
      <c r="D18" s="53"/>
      <c r="E18" s="63">
        <v>4.9399999999999999E-2</v>
      </c>
      <c r="F18" s="65">
        <v>1750</v>
      </c>
    </row>
    <row r="19" spans="2:6" ht="15" customHeight="1" x14ac:dyDescent="0.2">
      <c r="B19" s="53" t="s">
        <v>162</v>
      </c>
      <c r="C19" s="53"/>
      <c r="D19" s="53"/>
      <c r="E19" s="63">
        <v>1.67E-2</v>
      </c>
      <c r="F19" s="65">
        <v>1000</v>
      </c>
    </row>
    <row r="20" spans="2:6" ht="15" customHeight="1" x14ac:dyDescent="0.2">
      <c r="B20" s="53" t="s">
        <v>163</v>
      </c>
      <c r="C20" s="53"/>
      <c r="D20" s="53"/>
      <c r="E20" s="63">
        <v>4.0599999999999997E-2</v>
      </c>
      <c r="F20" s="65">
        <v>850</v>
      </c>
    </row>
    <row r="21" spans="2:6" ht="15" customHeight="1" x14ac:dyDescent="0.2">
      <c r="B21" s="53" t="s">
        <v>164</v>
      </c>
      <c r="C21" s="53"/>
      <c r="D21" s="53"/>
      <c r="E21" s="63">
        <v>2.3900000000000001E-2</v>
      </c>
      <c r="F21" s="65">
        <v>2000</v>
      </c>
    </row>
    <row r="22" spans="2:6" ht="15" customHeight="1" x14ac:dyDescent="0.2">
      <c r="B22" s="53" t="s">
        <v>165</v>
      </c>
      <c r="C22" s="53"/>
      <c r="D22" s="53"/>
      <c r="E22" s="63">
        <v>5.1700000000000003E-2</v>
      </c>
      <c r="F22" s="65">
        <v>1250</v>
      </c>
    </row>
    <row r="23" spans="2:6" ht="15" customHeight="1" x14ac:dyDescent="0.2">
      <c r="B23" s="53" t="s">
        <v>166</v>
      </c>
      <c r="C23" s="53"/>
      <c r="D23" s="53"/>
      <c r="E23" s="63">
        <v>3.9300000000000002E-2</v>
      </c>
      <c r="F23" s="65">
        <v>1500</v>
      </c>
    </row>
    <row r="24" spans="2:6" ht="15" customHeight="1" x14ac:dyDescent="0.2">
      <c r="B24" s="53" t="s">
        <v>167</v>
      </c>
      <c r="C24" s="53"/>
      <c r="D24" s="53"/>
      <c r="E24" s="63">
        <v>2.0299999999999999E-2</v>
      </c>
      <c r="F24" s="65">
        <v>1250</v>
      </c>
    </row>
    <row r="25" spans="2:6" ht="15" customHeight="1" x14ac:dyDescent="0.2">
      <c r="B25" s="53" t="s">
        <v>168</v>
      </c>
      <c r="C25" s="53"/>
      <c r="D25" s="53"/>
      <c r="E25" s="63">
        <v>4.1799999999999997E-2</v>
      </c>
      <c r="F25" s="65">
        <v>1250</v>
      </c>
    </row>
    <row r="26" spans="2:6" ht="15" customHeight="1" x14ac:dyDescent="0.2">
      <c r="B26" s="53" t="s">
        <v>169</v>
      </c>
      <c r="C26" s="53"/>
      <c r="D26" s="53"/>
      <c r="E26" s="63">
        <v>7.2099999999999997E-2</v>
      </c>
      <c r="F26" s="65">
        <v>750</v>
      </c>
    </row>
    <row r="27" spans="2:6" ht="15" customHeight="1" x14ac:dyDescent="0.2">
      <c r="B27" s="53" t="s">
        <v>170</v>
      </c>
      <c r="C27" s="53"/>
      <c r="D27" s="53"/>
      <c r="E27" s="63">
        <v>5.2499999999999998E-2</v>
      </c>
      <c r="F27" s="65">
        <v>2250</v>
      </c>
    </row>
    <row r="28" spans="2:6" ht="15" customHeight="1" x14ac:dyDescent="0.2">
      <c r="B28" s="53" t="s">
        <v>171</v>
      </c>
      <c r="C28" s="53"/>
      <c r="D28" s="53"/>
      <c r="E28" s="63">
        <v>4.6100000000000002E-2</v>
      </c>
      <c r="F28" s="65">
        <v>750</v>
      </c>
    </row>
    <row r="29" spans="2:6" ht="15" customHeight="1" x14ac:dyDescent="0.2">
      <c r="B29" s="53" t="s">
        <v>172</v>
      </c>
      <c r="C29" s="53"/>
      <c r="D29" s="53"/>
      <c r="E29" s="63">
        <v>2.81E-2</v>
      </c>
      <c r="F29" s="65">
        <v>750</v>
      </c>
    </row>
    <row r="30" spans="2:6" ht="15" customHeight="1" x14ac:dyDescent="0.2">
      <c r="B30" s="53" t="s">
        <v>173</v>
      </c>
      <c r="C30" s="53"/>
      <c r="D30" s="53"/>
      <c r="E30" s="63">
        <v>7.1599999999999997E-2</v>
      </c>
      <c r="F30" s="65">
        <v>802</v>
      </c>
    </row>
    <row r="31" spans="2:6" ht="15" customHeight="1" x14ac:dyDescent="0.2">
      <c r="B31" s="53" t="s">
        <v>174</v>
      </c>
      <c r="C31" s="53"/>
      <c r="D31" s="53"/>
      <c r="E31" s="63">
        <v>7.4499999999999997E-2</v>
      </c>
      <c r="F31" s="65">
        <v>567</v>
      </c>
    </row>
    <row r="32" spans="2:6" ht="15" customHeight="1" x14ac:dyDescent="0.2">
      <c r="B32" s="53" t="s">
        <v>175</v>
      </c>
      <c r="C32" s="53"/>
      <c r="D32" s="53"/>
      <c r="E32" s="63">
        <v>5.6399999999999999E-2</v>
      </c>
      <c r="F32" s="65">
        <v>1000</v>
      </c>
    </row>
    <row r="33" spans="2:6" ht="15" customHeight="1" x14ac:dyDescent="0.2">
      <c r="B33" s="53" t="s">
        <v>176</v>
      </c>
      <c r="C33" s="53"/>
      <c r="D33" s="53"/>
      <c r="E33" s="63">
        <v>7.2900000000000006E-2</v>
      </c>
      <c r="F33" s="65">
        <v>772</v>
      </c>
    </row>
    <row r="34" spans="2:6" ht="15" customHeight="1" x14ac:dyDescent="0.2">
      <c r="B34" s="53" t="s">
        <v>177</v>
      </c>
      <c r="C34" s="53"/>
      <c r="D34" s="53"/>
      <c r="E34" s="63">
        <v>6.5799999999999997E-2</v>
      </c>
      <c r="F34" s="65">
        <v>1250</v>
      </c>
    </row>
    <row r="35" spans="2:6" ht="15" customHeight="1" x14ac:dyDescent="0.2">
      <c r="B35" s="53" t="s">
        <v>178</v>
      </c>
      <c r="C35" s="53"/>
      <c r="D35" s="53"/>
      <c r="E35" s="63">
        <v>6.5299999999999997E-2</v>
      </c>
      <c r="F35" s="65">
        <v>1000</v>
      </c>
    </row>
    <row r="36" spans="2:6" ht="15" customHeight="1" x14ac:dyDescent="0.2">
      <c r="B36" s="53" t="s">
        <v>179</v>
      </c>
      <c r="C36" s="53"/>
      <c r="D36" s="53"/>
      <c r="E36" s="63">
        <v>6.0900000000000003E-2</v>
      </c>
      <c r="F36" s="65">
        <v>640</v>
      </c>
    </row>
    <row r="37" spans="2:6" ht="15" customHeight="1" x14ac:dyDescent="0.2">
      <c r="B37" s="53" t="s">
        <v>180</v>
      </c>
      <c r="C37" s="53"/>
      <c r="D37" s="53"/>
      <c r="E37" s="63">
        <v>6.9900000000000004E-2</v>
      </c>
      <c r="F37" s="65">
        <v>1967</v>
      </c>
    </row>
    <row r="38" spans="2:6" ht="15" customHeight="1" x14ac:dyDescent="0.2">
      <c r="B38" s="53" t="s">
        <v>181</v>
      </c>
      <c r="C38" s="53"/>
      <c r="D38" s="53"/>
      <c r="E38" s="63">
        <v>3.2000000000000001E-2</v>
      </c>
      <c r="F38" s="65">
        <v>2000</v>
      </c>
    </row>
    <row r="39" spans="2:6" ht="15" customHeight="1" x14ac:dyDescent="0.2">
      <c r="B39" s="53" t="s">
        <v>182</v>
      </c>
      <c r="C39" s="53"/>
      <c r="D39" s="53"/>
      <c r="E39" s="63">
        <v>4.7399999999999998E-2</v>
      </c>
      <c r="F39" s="65">
        <v>2250</v>
      </c>
    </row>
    <row r="40" spans="2:6" ht="15" customHeight="1" x14ac:dyDescent="0.2">
      <c r="B40" s="53" t="s">
        <v>183</v>
      </c>
      <c r="C40" s="53"/>
      <c r="D40" s="53"/>
      <c r="E40" s="63">
        <v>3.0599999999999999E-2</v>
      </c>
      <c r="F40" s="65">
        <v>1250</v>
      </c>
    </row>
    <row r="41" spans="2:6" ht="15" customHeight="1" x14ac:dyDescent="0.2">
      <c r="B41" s="53" t="s">
        <v>184</v>
      </c>
      <c r="C41" s="53"/>
      <c r="D41" s="53"/>
      <c r="E41" s="63">
        <v>4.9000000000000002E-2</v>
      </c>
      <c r="F41" s="65">
        <v>1750</v>
      </c>
    </row>
    <row r="42" spans="2:6" ht="15" customHeight="1" x14ac:dyDescent="0.2">
      <c r="B42" s="53" t="s">
        <v>185</v>
      </c>
      <c r="C42" s="53"/>
      <c r="D42" s="53"/>
      <c r="E42" s="63">
        <v>5.7099999999999998E-2</v>
      </c>
      <c r="F42" s="65">
        <v>2000</v>
      </c>
    </row>
    <row r="43" spans="2:6" ht="15" customHeight="1" x14ac:dyDescent="0.2">
      <c r="B43" s="53" t="s">
        <v>186</v>
      </c>
      <c r="C43" s="53"/>
      <c r="D43" s="53"/>
      <c r="E43" s="63">
        <v>3.1099999999999999E-2</v>
      </c>
      <c r="F43" s="65">
        <v>1000</v>
      </c>
    </row>
    <row r="44" spans="2:6" ht="15" customHeight="1" x14ac:dyDescent="0.2">
      <c r="B44" s="53" t="s">
        <v>187</v>
      </c>
      <c r="C44" s="53"/>
      <c r="D44" s="53"/>
      <c r="E44" s="63">
        <v>4.99E-2</v>
      </c>
      <c r="F44" s="65">
        <v>1000</v>
      </c>
    </row>
    <row r="45" spans="2:6" ht="15" customHeight="1" x14ac:dyDescent="0.2">
      <c r="B45" s="53" t="s">
        <v>188</v>
      </c>
      <c r="C45" s="53"/>
      <c r="D45" s="53"/>
      <c r="E45" s="63">
        <v>3.2099999999999997E-2</v>
      </c>
      <c r="F45" s="65">
        <v>750</v>
      </c>
    </row>
    <row r="46" spans="2:6" ht="15" customHeight="1" x14ac:dyDescent="0.2">
      <c r="B46" s="53" t="s">
        <v>189</v>
      </c>
      <c r="C46" s="53"/>
      <c r="D46" s="53"/>
      <c r="E46" s="63">
        <v>5.0500000000000003E-2</v>
      </c>
      <c r="F46" s="65">
        <v>900</v>
      </c>
    </row>
    <row r="47" spans="2:6" ht="15" customHeight="1" x14ac:dyDescent="0.2">
      <c r="B47" s="53" t="s">
        <v>190</v>
      </c>
      <c r="C47" s="53"/>
      <c r="D47" s="53"/>
      <c r="E47" s="63">
        <v>5.91E-2</v>
      </c>
      <c r="F47" s="65">
        <v>1250</v>
      </c>
    </row>
    <row r="48" spans="2:6" ht="3" customHeight="1" x14ac:dyDescent="0.2">
      <c r="B48" s="53"/>
      <c r="C48" s="53"/>
      <c r="D48" s="53"/>
      <c r="E48" s="63"/>
      <c r="F48" s="65"/>
    </row>
    <row r="49" spans="2:22" ht="14.25" customHeight="1" x14ac:dyDescent="0.2">
      <c r="B49" s="68" t="s">
        <v>201</v>
      </c>
      <c r="C49" s="68"/>
      <c r="D49" s="68"/>
    </row>
    <row r="50" spans="2:22" ht="15" customHeight="1" x14ac:dyDescent="0.25">
      <c r="B50" s="53" t="s">
        <v>192</v>
      </c>
      <c r="C50" s="53"/>
      <c r="D50" s="53"/>
      <c r="E50" s="70" t="s">
        <v>193</v>
      </c>
      <c r="F50" s="65">
        <v>0</v>
      </c>
      <c r="K50" s="54"/>
      <c r="L50" s="54"/>
      <c r="M50" s="54"/>
      <c r="O50" s="55"/>
      <c r="P50" s="56"/>
      <c r="Q50" s="54"/>
      <c r="R50" s="54"/>
      <c r="S50" s="54"/>
      <c r="T50" s="57"/>
      <c r="U50" s="57"/>
      <c r="V50" s="56"/>
    </row>
    <row r="51" spans="2:22" ht="15" customHeight="1" x14ac:dyDescent="0.25">
      <c r="B51" s="53" t="s">
        <v>194</v>
      </c>
      <c r="C51" s="53"/>
      <c r="D51" s="53"/>
      <c r="E51" s="63">
        <v>3.8899999999999997E-2</v>
      </c>
      <c r="F51" s="65">
        <v>423</v>
      </c>
      <c r="G51" s="72"/>
      <c r="K51" s="54"/>
      <c r="L51" s="54"/>
      <c r="M51" s="54"/>
      <c r="O51" s="55"/>
      <c r="P51" s="56"/>
      <c r="Q51" s="54"/>
      <c r="R51" s="54"/>
      <c r="S51" s="54"/>
      <c r="T51" s="57"/>
      <c r="U51" s="57"/>
      <c r="V51" s="56"/>
    </row>
    <row r="52" spans="2:22" ht="15" customHeight="1" x14ac:dyDescent="0.25">
      <c r="B52" s="53" t="s">
        <v>195</v>
      </c>
      <c r="C52" s="53"/>
      <c r="D52" s="53"/>
      <c r="E52" s="63">
        <v>3.6400000000000002E-2</v>
      </c>
      <c r="F52" s="65">
        <v>131</v>
      </c>
      <c r="K52" s="54"/>
      <c r="L52" s="54"/>
      <c r="M52" s="54"/>
      <c r="O52" s="55"/>
      <c r="P52" s="56"/>
      <c r="Q52" s="54"/>
      <c r="R52" s="54"/>
      <c r="S52" s="54"/>
      <c r="T52" s="57"/>
      <c r="U52" s="57"/>
      <c r="V52" s="56"/>
    </row>
    <row r="53" spans="2:22" ht="15.75" thickBot="1" x14ac:dyDescent="0.3">
      <c r="B53" s="53" t="s">
        <v>196</v>
      </c>
      <c r="C53" s="53"/>
      <c r="D53" s="53"/>
      <c r="E53" s="63">
        <v>2.1499999999999998E-2</v>
      </c>
      <c r="F53" s="65">
        <v>438</v>
      </c>
      <c r="K53" s="54"/>
      <c r="L53" s="54"/>
      <c r="M53" s="54"/>
      <c r="O53" s="55"/>
      <c r="P53" s="56"/>
      <c r="Q53" s="54"/>
      <c r="R53" s="54"/>
      <c r="S53" s="54"/>
      <c r="T53" s="58"/>
      <c r="U53" s="58"/>
      <c r="V53" s="56"/>
    </row>
    <row r="54" spans="2:22" ht="15" customHeight="1" thickBot="1" x14ac:dyDescent="0.3">
      <c r="B54" s="53" t="s">
        <v>197</v>
      </c>
      <c r="C54" s="53"/>
      <c r="D54" s="53"/>
      <c r="E54" s="63">
        <v>4.2599999999999999E-2</v>
      </c>
      <c r="F54" s="65">
        <v>445</v>
      </c>
      <c r="K54" s="54"/>
      <c r="L54" s="54"/>
      <c r="M54" s="54"/>
      <c r="O54" s="55"/>
      <c r="P54" s="56"/>
      <c r="Q54" s="54"/>
      <c r="R54" s="54"/>
      <c r="S54" s="54"/>
      <c r="T54" s="59"/>
      <c r="U54" s="59"/>
      <c r="V54" s="67"/>
    </row>
    <row r="55" spans="2:22" ht="14.25" customHeight="1" x14ac:dyDescent="0.2">
      <c r="B55" s="69" t="s">
        <v>202</v>
      </c>
      <c r="C55" s="69"/>
      <c r="D55" s="69"/>
      <c r="E55" s="44"/>
      <c r="F55" s="71">
        <f>SUM(F9:F54)</f>
        <v>50285</v>
      </c>
      <c r="G55" s="71"/>
    </row>
    <row r="68" spans="1:8" ht="28.5" x14ac:dyDescent="0.2">
      <c r="A68" t="s">
        <v>135</v>
      </c>
      <c r="B68" s="42" t="s">
        <v>137</v>
      </c>
    </row>
    <row r="69" spans="1:8" x14ac:dyDescent="0.2">
      <c r="B69" s="40" t="s">
        <v>108</v>
      </c>
    </row>
    <row r="70" spans="1:8" outlineLevel="1" x14ac:dyDescent="0.2">
      <c r="B70" s="75" t="s">
        <v>204</v>
      </c>
      <c r="H70" s="64"/>
    </row>
    <row r="71" spans="1:8" ht="28.5" outlineLevel="1" x14ac:dyDescent="0.2">
      <c r="B71" s="40" t="s">
        <v>207</v>
      </c>
      <c r="F71" s="27">
        <v>3900</v>
      </c>
    </row>
    <row r="72" spans="1:8" ht="28.5" outlineLevel="1" x14ac:dyDescent="0.2">
      <c r="B72" s="40" t="s">
        <v>208</v>
      </c>
      <c r="F72" s="27">
        <v>2288</v>
      </c>
    </row>
    <row r="73" spans="1:8" outlineLevel="1" x14ac:dyDescent="0.2">
      <c r="B73" s="74" t="s">
        <v>198</v>
      </c>
    </row>
    <row r="74" spans="1:8" outlineLevel="1" x14ac:dyDescent="0.2">
      <c r="B74" t="s">
        <v>200</v>
      </c>
      <c r="F74" s="27">
        <v>1250</v>
      </c>
    </row>
    <row r="75" spans="1:8" outlineLevel="1" x14ac:dyDescent="0.2">
      <c r="B75" t="s">
        <v>152</v>
      </c>
      <c r="F75" s="27">
        <v>600</v>
      </c>
    </row>
    <row r="76" spans="1:8" outlineLevel="1" x14ac:dyDescent="0.2">
      <c r="B76" t="s">
        <v>153</v>
      </c>
      <c r="F76" s="27">
        <v>1500</v>
      </c>
    </row>
    <row r="77" spans="1:8" outlineLevel="1" x14ac:dyDescent="0.2">
      <c r="B77" t="s">
        <v>154</v>
      </c>
      <c r="F77" s="27">
        <v>2250</v>
      </c>
    </row>
    <row r="78" spans="1:8" outlineLevel="1" x14ac:dyDescent="0.2">
      <c r="B78" t="s">
        <v>155</v>
      </c>
      <c r="F78" s="27">
        <v>1500</v>
      </c>
    </row>
    <row r="79" spans="1:8" outlineLevel="1" x14ac:dyDescent="0.2">
      <c r="B79" t="s">
        <v>156</v>
      </c>
      <c r="F79" s="27">
        <v>1000</v>
      </c>
    </row>
    <row r="80" spans="1:8" outlineLevel="1" x14ac:dyDescent="0.2">
      <c r="B80" t="s">
        <v>157</v>
      </c>
      <c r="F80" s="27">
        <v>1000</v>
      </c>
    </row>
    <row r="81" spans="2:6" outlineLevel="1" x14ac:dyDescent="0.2">
      <c r="B81" t="s">
        <v>158</v>
      </c>
      <c r="F81" s="27">
        <v>1000</v>
      </c>
    </row>
    <row r="82" spans="2:6" outlineLevel="1" x14ac:dyDescent="0.2">
      <c r="B82" t="s">
        <v>159</v>
      </c>
      <c r="F82" s="27">
        <v>1250</v>
      </c>
    </row>
    <row r="83" spans="2:6" outlineLevel="1" x14ac:dyDescent="0.2">
      <c r="B83" t="s">
        <v>160</v>
      </c>
      <c r="F83" s="27">
        <v>1750</v>
      </c>
    </row>
    <row r="84" spans="2:6" outlineLevel="1" x14ac:dyDescent="0.2">
      <c r="B84" t="s">
        <v>161</v>
      </c>
      <c r="F84" s="27">
        <v>1000</v>
      </c>
    </row>
    <row r="85" spans="2:6" outlineLevel="1" x14ac:dyDescent="0.2">
      <c r="B85" t="s">
        <v>162</v>
      </c>
      <c r="F85" s="27">
        <v>850</v>
      </c>
    </row>
    <row r="86" spans="2:6" outlineLevel="1" x14ac:dyDescent="0.2">
      <c r="B86" t="s">
        <v>163</v>
      </c>
      <c r="F86" s="27">
        <v>2000</v>
      </c>
    </row>
    <row r="87" spans="2:6" outlineLevel="1" x14ac:dyDescent="0.2">
      <c r="B87" t="s">
        <v>164</v>
      </c>
      <c r="F87" s="27">
        <v>1250</v>
      </c>
    </row>
    <row r="88" spans="2:6" outlineLevel="1" x14ac:dyDescent="0.2">
      <c r="B88" t="s">
        <v>165</v>
      </c>
      <c r="F88" s="27">
        <v>1500</v>
      </c>
    </row>
    <row r="89" spans="2:6" outlineLevel="1" x14ac:dyDescent="0.2">
      <c r="B89" t="s">
        <v>166</v>
      </c>
      <c r="F89" s="27">
        <v>1250</v>
      </c>
    </row>
    <row r="90" spans="2:6" outlineLevel="1" x14ac:dyDescent="0.2">
      <c r="B90" t="s">
        <v>167</v>
      </c>
      <c r="F90" s="27">
        <v>1250</v>
      </c>
    </row>
    <row r="91" spans="2:6" outlineLevel="1" x14ac:dyDescent="0.2">
      <c r="B91" t="s">
        <v>168</v>
      </c>
      <c r="F91" s="27">
        <v>750</v>
      </c>
    </row>
    <row r="92" spans="2:6" outlineLevel="1" x14ac:dyDescent="0.2">
      <c r="B92" t="s">
        <v>169</v>
      </c>
      <c r="F92" s="27">
        <v>2250</v>
      </c>
    </row>
    <row r="93" spans="2:6" outlineLevel="1" x14ac:dyDescent="0.2">
      <c r="B93" t="s">
        <v>170</v>
      </c>
      <c r="F93" s="27">
        <v>750</v>
      </c>
    </row>
    <row r="94" spans="2:6" outlineLevel="1" x14ac:dyDescent="0.2">
      <c r="B94" t="s">
        <v>171</v>
      </c>
      <c r="F94" s="27">
        <v>750</v>
      </c>
    </row>
    <row r="95" spans="2:6" outlineLevel="1" x14ac:dyDescent="0.2">
      <c r="B95" t="s">
        <v>172</v>
      </c>
      <c r="F95" s="27">
        <v>802</v>
      </c>
    </row>
    <row r="96" spans="2:6" outlineLevel="1" x14ac:dyDescent="0.2">
      <c r="B96" t="s">
        <v>173</v>
      </c>
      <c r="F96" s="27">
        <v>567</v>
      </c>
    </row>
    <row r="97" spans="2:6" outlineLevel="1" x14ac:dyDescent="0.2">
      <c r="B97" t="s">
        <v>174</v>
      </c>
      <c r="F97" s="27">
        <v>1000</v>
      </c>
    </row>
    <row r="98" spans="2:6" outlineLevel="1" x14ac:dyDescent="0.2">
      <c r="B98" t="s">
        <v>175</v>
      </c>
      <c r="F98" s="27">
        <v>772</v>
      </c>
    </row>
    <row r="99" spans="2:6" outlineLevel="1" x14ac:dyDescent="0.2">
      <c r="B99" t="s">
        <v>176</v>
      </c>
      <c r="F99" s="27">
        <v>1250</v>
      </c>
    </row>
    <row r="100" spans="2:6" outlineLevel="1" x14ac:dyDescent="0.2">
      <c r="B100" t="s">
        <v>177</v>
      </c>
      <c r="F100" s="27">
        <v>1000</v>
      </c>
    </row>
    <row r="101" spans="2:6" outlineLevel="1" x14ac:dyDescent="0.2">
      <c r="B101" t="s">
        <v>178</v>
      </c>
      <c r="F101" s="27">
        <v>640</v>
      </c>
    </row>
    <row r="102" spans="2:6" outlineLevel="1" x14ac:dyDescent="0.2">
      <c r="B102" t="s">
        <v>179</v>
      </c>
      <c r="F102" s="27">
        <v>1967</v>
      </c>
    </row>
    <row r="103" spans="2:6" outlineLevel="1" x14ac:dyDescent="0.2">
      <c r="B103" t="s">
        <v>180</v>
      </c>
      <c r="F103" s="27">
        <v>2000</v>
      </c>
    </row>
    <row r="104" spans="2:6" outlineLevel="1" x14ac:dyDescent="0.2">
      <c r="B104" t="s">
        <v>181</v>
      </c>
      <c r="F104" s="27">
        <v>2250</v>
      </c>
    </row>
    <row r="105" spans="2:6" outlineLevel="1" x14ac:dyDescent="0.2">
      <c r="B105" t="s">
        <v>182</v>
      </c>
      <c r="F105" s="27">
        <v>1250</v>
      </c>
    </row>
    <row r="106" spans="2:6" outlineLevel="1" x14ac:dyDescent="0.2">
      <c r="B106" t="s">
        <v>183</v>
      </c>
      <c r="F106" s="27">
        <v>1750</v>
      </c>
    </row>
    <row r="107" spans="2:6" outlineLevel="1" x14ac:dyDescent="0.2">
      <c r="B107" t="s">
        <v>184</v>
      </c>
      <c r="F107" s="27">
        <v>2000</v>
      </c>
    </row>
    <row r="108" spans="2:6" outlineLevel="1" x14ac:dyDescent="0.2">
      <c r="B108" t="s">
        <v>185</v>
      </c>
      <c r="F108" s="27">
        <v>1000</v>
      </c>
    </row>
    <row r="109" spans="2:6" outlineLevel="1" x14ac:dyDescent="0.2">
      <c r="B109" t="s">
        <v>186</v>
      </c>
      <c r="F109" s="27">
        <v>1000</v>
      </c>
    </row>
    <row r="110" spans="2:6" outlineLevel="1" x14ac:dyDescent="0.2">
      <c r="B110" t="s">
        <v>187</v>
      </c>
      <c r="F110" s="27">
        <v>750</v>
      </c>
    </row>
    <row r="111" spans="2:6" outlineLevel="1" x14ac:dyDescent="0.2">
      <c r="B111" t="s">
        <v>188</v>
      </c>
      <c r="F111" s="27">
        <v>900</v>
      </c>
    </row>
    <row r="112" spans="2:6" outlineLevel="1" x14ac:dyDescent="0.2">
      <c r="B112" t="s">
        <v>189</v>
      </c>
      <c r="F112" s="27">
        <v>1250</v>
      </c>
    </row>
    <row r="113" spans="2:6" outlineLevel="1" x14ac:dyDescent="0.2">
      <c r="B113" t="s">
        <v>190</v>
      </c>
      <c r="F113" s="27"/>
    </row>
    <row r="114" spans="2:6" outlineLevel="1" x14ac:dyDescent="0.2">
      <c r="B114" t="s">
        <v>203</v>
      </c>
      <c r="F114" s="27"/>
    </row>
    <row r="115" spans="2:6" outlineLevel="1" x14ac:dyDescent="0.2">
      <c r="B115" t="s">
        <v>192</v>
      </c>
      <c r="F115" s="27">
        <v>0</v>
      </c>
    </row>
    <row r="116" spans="2:6" outlineLevel="1" x14ac:dyDescent="0.2">
      <c r="B116" t="s">
        <v>194</v>
      </c>
      <c r="F116" s="27">
        <v>423</v>
      </c>
    </row>
    <row r="117" spans="2:6" outlineLevel="1" x14ac:dyDescent="0.2">
      <c r="B117" t="s">
        <v>195</v>
      </c>
      <c r="F117" s="27">
        <v>131</v>
      </c>
    </row>
    <row r="118" spans="2:6" outlineLevel="1" x14ac:dyDescent="0.2">
      <c r="B118" t="s">
        <v>196</v>
      </c>
      <c r="F118" s="27">
        <v>438</v>
      </c>
    </row>
    <row r="119" spans="2:6" outlineLevel="1" x14ac:dyDescent="0.2">
      <c r="B119" t="s">
        <v>197</v>
      </c>
      <c r="F119" s="27">
        <v>445</v>
      </c>
    </row>
    <row r="120" spans="2:6" x14ac:dyDescent="0.2">
      <c r="B120" t="s">
        <v>209</v>
      </c>
      <c r="F120" s="27"/>
    </row>
    <row r="121" spans="2:6" x14ac:dyDescent="0.2">
      <c r="B121" t="s">
        <v>210</v>
      </c>
      <c r="F121" s="27">
        <v>8594</v>
      </c>
    </row>
  </sheetData>
  <conditionalFormatting sqref="C3:E3">
    <cfRule type="timePeriod" dxfId="0" priority="1" timePeriod="lastWeek">
      <formula>AND(TODAY()-ROUNDDOWN(C3,0)&gt;=(WEEKDAY(TODAY())),TODAY()-ROUNDDOWN(C3,0)&lt;(WEEKDAY(TODAY())+7))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01E6-2EBA-4721-9FEC-119E4B1C1A9F}">
  <dimension ref="B2:R44"/>
  <sheetViews>
    <sheetView showGridLines="0" topLeftCell="A42" zoomScale="145" zoomScaleNormal="145" workbookViewId="0">
      <selection activeCell="E8" sqref="E8:F8"/>
    </sheetView>
    <sheetView showGridLines="0" workbookViewId="1">
      <selection activeCell="H18" sqref="H18"/>
    </sheetView>
  </sheetViews>
  <sheetFormatPr defaultRowHeight="14.25" x14ac:dyDescent="0.2"/>
  <cols>
    <col min="1" max="1" width="2.75" customWidth="1"/>
    <col min="2" max="2" width="17.25" customWidth="1"/>
    <col min="3" max="3" width="1.125" customWidth="1"/>
    <col min="4" max="6" width="10.875" customWidth="1"/>
    <col min="7" max="7" width="1.625" customWidth="1"/>
    <col min="8" max="15" width="10.875" customWidth="1"/>
    <col min="16" max="16" width="0.625" customWidth="1"/>
    <col min="17" max="18" width="10.875" customWidth="1"/>
  </cols>
  <sheetData>
    <row r="2" spans="2:18" ht="15" thickBot="1" x14ac:dyDescent="0.25">
      <c r="D2" s="2" t="s">
        <v>1</v>
      </c>
      <c r="E2" s="2"/>
      <c r="F2" s="2"/>
      <c r="H2" s="2" t="s">
        <v>5</v>
      </c>
      <c r="I2" s="2"/>
      <c r="J2" s="2"/>
      <c r="K2" s="2"/>
      <c r="L2" s="2"/>
      <c r="M2" s="2"/>
      <c r="N2" s="2"/>
      <c r="O2" s="2"/>
      <c r="Q2" s="2" t="s">
        <v>14</v>
      </c>
      <c r="R2" s="2"/>
    </row>
    <row r="3" spans="2:18" ht="6" customHeight="1" x14ac:dyDescent="0.2"/>
    <row r="4" spans="2:18" x14ac:dyDescent="0.2">
      <c r="B4" s="5" t="s">
        <v>18</v>
      </c>
      <c r="D4" s="3" t="s">
        <v>2</v>
      </c>
      <c r="E4" s="3" t="s">
        <v>3</v>
      </c>
      <c r="F4" s="3" t="s">
        <v>4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6</v>
      </c>
      <c r="M4" s="3" t="s">
        <v>7</v>
      </c>
      <c r="N4" s="3" t="s">
        <v>8</v>
      </c>
      <c r="O4" s="3" t="s">
        <v>9</v>
      </c>
      <c r="Q4" s="3" t="s">
        <v>11</v>
      </c>
      <c r="R4" s="3" t="s">
        <v>7</v>
      </c>
    </row>
    <row r="5" spans="2:18" x14ac:dyDescent="0.2">
      <c r="B5" s="1" t="s">
        <v>0</v>
      </c>
      <c r="D5" s="4">
        <v>41255</v>
      </c>
      <c r="E5" s="4">
        <v>41255</v>
      </c>
      <c r="F5" s="4">
        <v>41255</v>
      </c>
      <c r="H5" s="4">
        <v>41255</v>
      </c>
      <c r="I5" s="4">
        <v>41255</v>
      </c>
      <c r="J5" s="4">
        <v>41255</v>
      </c>
      <c r="K5" s="4">
        <v>41255</v>
      </c>
      <c r="L5" s="4">
        <v>41255</v>
      </c>
      <c r="M5" s="4">
        <v>41255</v>
      </c>
      <c r="N5" s="4">
        <v>41255</v>
      </c>
      <c r="O5" s="4">
        <v>41255</v>
      </c>
      <c r="Q5" s="4">
        <v>41255</v>
      </c>
      <c r="R5" s="4">
        <v>41255</v>
      </c>
    </row>
    <row r="6" spans="2:18" ht="15" thickBot="1" x14ac:dyDescent="0.25">
      <c r="B6" s="6" t="s">
        <v>15</v>
      </c>
    </row>
    <row r="7" spans="2:18" x14ac:dyDescent="0.2">
      <c r="B7" t="s">
        <v>27</v>
      </c>
      <c r="D7" s="10">
        <f>SUM(D11:D19)</f>
        <v>78961</v>
      </c>
      <c r="E7" s="10">
        <f t="shared" ref="E7:F7" si="0">SUM(E11:E19)</f>
        <v>31772.769602554326</v>
      </c>
      <c r="F7" s="10">
        <f t="shared" si="0"/>
        <v>29257.858206749301</v>
      </c>
    </row>
    <row r="8" spans="2:18" x14ac:dyDescent="0.2">
      <c r="B8" s="13" t="s">
        <v>29</v>
      </c>
      <c r="D8" s="10"/>
      <c r="E8" s="14">
        <f t="shared" ref="E8" si="1">SUM(E7/D7)-1</f>
        <v>-0.59761439694843876</v>
      </c>
      <c r="F8" s="14">
        <f t="shared" ref="F8" si="2">SUM(F7/E7)-1</f>
        <v>-7.9153042912659455E-2</v>
      </c>
    </row>
    <row r="9" spans="2:18" x14ac:dyDescent="0.2">
      <c r="B9" s="13" t="s">
        <v>31</v>
      </c>
      <c r="D9" s="10"/>
      <c r="E9" s="10"/>
      <c r="F9" s="10"/>
    </row>
    <row r="10" spans="2:18" x14ac:dyDescent="0.2">
      <c r="B10" s="13" t="s">
        <v>30</v>
      </c>
      <c r="D10" s="10"/>
      <c r="E10" s="10"/>
      <c r="F10" s="10"/>
    </row>
    <row r="11" spans="2:18" x14ac:dyDescent="0.2">
      <c r="B11" s="8" t="s">
        <v>19</v>
      </c>
      <c r="D11" s="11">
        <v>41081</v>
      </c>
      <c r="E11" s="11">
        <v>10661</v>
      </c>
      <c r="F11" s="11">
        <v>10166</v>
      </c>
    </row>
    <row r="12" spans="2:18" x14ac:dyDescent="0.2">
      <c r="B12" s="13" t="s">
        <v>29</v>
      </c>
      <c r="D12" s="11"/>
      <c r="E12" s="14">
        <f t="shared" ref="E12" si="3">SUM(E11/D11)-1</f>
        <v>-0.74048830359533602</v>
      </c>
      <c r="F12" s="14">
        <f t="shared" ref="F12" si="4">SUM(F11/E11)-1</f>
        <v>-4.6430916424350488E-2</v>
      </c>
    </row>
    <row r="13" spans="2:18" x14ac:dyDescent="0.2">
      <c r="B13" s="13" t="s">
        <v>31</v>
      </c>
      <c r="D13" s="11"/>
      <c r="E13" s="11"/>
      <c r="F13" s="11"/>
    </row>
    <row r="14" spans="2:18" x14ac:dyDescent="0.2">
      <c r="B14" s="13" t="s">
        <v>30</v>
      </c>
      <c r="D14" s="11"/>
      <c r="E14" s="11"/>
      <c r="F14" s="11"/>
    </row>
    <row r="15" spans="2:18" x14ac:dyDescent="0.2">
      <c r="B15" s="8" t="s">
        <v>20</v>
      </c>
      <c r="D15" s="11">
        <v>12437</v>
      </c>
      <c r="E15" s="11">
        <v>18781</v>
      </c>
      <c r="F15" s="11">
        <v>16990</v>
      </c>
    </row>
    <row r="16" spans="2:18" x14ac:dyDescent="0.2">
      <c r="B16" s="13" t="s">
        <v>29</v>
      </c>
      <c r="D16" s="11"/>
      <c r="E16" s="14">
        <f t="shared" ref="E16" si="5">SUM(E15/D15)-1</f>
        <v>0.51009085792393671</v>
      </c>
      <c r="F16" s="14">
        <f t="shared" ref="F16" si="6">SUM(F15/E15)-1</f>
        <v>-9.5362334274000315E-2</v>
      </c>
    </row>
    <row r="17" spans="2:6" x14ac:dyDescent="0.2">
      <c r="B17" s="13" t="s">
        <v>31</v>
      </c>
      <c r="D17" s="11"/>
      <c r="E17" s="11"/>
      <c r="F17" s="11"/>
    </row>
    <row r="18" spans="2:6" x14ac:dyDescent="0.2">
      <c r="B18" s="13" t="s">
        <v>30</v>
      </c>
      <c r="D18" s="11"/>
      <c r="E18" s="11"/>
      <c r="F18" s="11"/>
    </row>
    <row r="19" spans="2:6" x14ac:dyDescent="0.2">
      <c r="B19" s="8" t="s">
        <v>21</v>
      </c>
      <c r="D19" s="11">
        <v>25443</v>
      </c>
      <c r="E19" s="11">
        <v>2331</v>
      </c>
      <c r="F19" s="11">
        <v>2102</v>
      </c>
    </row>
    <row r="20" spans="2:6" x14ac:dyDescent="0.2">
      <c r="B20" s="13" t="s">
        <v>29</v>
      </c>
      <c r="D20" s="11"/>
      <c r="E20" s="14">
        <f t="shared" ref="E20" si="7">SUM(E19/D19)-1</f>
        <v>-0.90838344534842586</v>
      </c>
      <c r="F20" s="14">
        <f t="shared" ref="F20" si="8">SUM(F19/E19)-1</f>
        <v>-9.8241098241098279E-2</v>
      </c>
    </row>
    <row r="21" spans="2:6" x14ac:dyDescent="0.2">
      <c r="B21" s="13" t="s">
        <v>31</v>
      </c>
      <c r="D21" s="11"/>
      <c r="E21" s="11"/>
      <c r="F21" s="11"/>
    </row>
    <row r="22" spans="2:6" x14ac:dyDescent="0.2">
      <c r="B22" s="13" t="s">
        <v>30</v>
      </c>
      <c r="D22" s="11"/>
      <c r="E22" s="11"/>
      <c r="F22" s="11"/>
    </row>
    <row r="23" spans="2:6" ht="15" x14ac:dyDescent="0.2">
      <c r="B23" t="s">
        <v>22</v>
      </c>
      <c r="D23" s="9">
        <v>3201</v>
      </c>
      <c r="E23" s="9">
        <v>19445</v>
      </c>
      <c r="F23" s="9">
        <v>15521</v>
      </c>
    </row>
    <row r="24" spans="2:6" ht="15" x14ac:dyDescent="0.2">
      <c r="B24" s="13" t="s">
        <v>29</v>
      </c>
      <c r="D24" s="9"/>
      <c r="E24" s="14">
        <f t="shared" ref="E24" si="9">SUM(E23/D23)-1</f>
        <v>5.0746641674476729</v>
      </c>
      <c r="F24" s="14">
        <f t="shared" ref="F24" si="10">SUM(F23/E23)-1</f>
        <v>-0.20179994857289796</v>
      </c>
    </row>
    <row r="25" spans="2:6" ht="15" x14ac:dyDescent="0.2">
      <c r="B25" s="13" t="s">
        <v>31</v>
      </c>
      <c r="D25" s="9"/>
      <c r="E25" s="9"/>
      <c r="F25" s="9"/>
    </row>
    <row r="26" spans="2:6" ht="15" x14ac:dyDescent="0.2">
      <c r="B26" s="13" t="s">
        <v>30</v>
      </c>
      <c r="D26" s="9"/>
      <c r="E26" s="9"/>
      <c r="F26" s="9"/>
    </row>
    <row r="27" spans="2:6" ht="15" x14ac:dyDescent="0.2">
      <c r="B27" t="s">
        <v>23</v>
      </c>
      <c r="D27" s="9">
        <v>22774</v>
      </c>
      <c r="E27" s="9">
        <v>8409</v>
      </c>
      <c r="F27" s="9">
        <v>5774</v>
      </c>
    </row>
    <row r="28" spans="2:6" ht="15" x14ac:dyDescent="0.2">
      <c r="B28" s="13" t="s">
        <v>29</v>
      </c>
      <c r="D28" s="9"/>
      <c r="E28" s="14">
        <f t="shared" ref="E28" si="11">SUM(E27/D27)-1</f>
        <v>-0.63076315096162294</v>
      </c>
      <c r="F28" s="14">
        <f t="shared" ref="F28" si="12">SUM(F27/E27)-1</f>
        <v>-0.31335473897015098</v>
      </c>
    </row>
    <row r="29" spans="2:6" ht="15" x14ac:dyDescent="0.2">
      <c r="B29" s="13" t="s">
        <v>31</v>
      </c>
      <c r="D29" s="9"/>
      <c r="E29" s="9"/>
      <c r="F29" s="9"/>
    </row>
    <row r="30" spans="2:6" ht="15" x14ac:dyDescent="0.2">
      <c r="B30" s="13" t="s">
        <v>30</v>
      </c>
      <c r="D30" s="9"/>
      <c r="E30" s="9"/>
      <c r="F30" s="9"/>
    </row>
    <row r="31" spans="2:6" ht="15" x14ac:dyDescent="0.2">
      <c r="B31" t="s">
        <v>24</v>
      </c>
      <c r="D31" s="9">
        <v>7665</v>
      </c>
      <c r="E31" s="9">
        <v>1869</v>
      </c>
      <c r="F31" s="9">
        <v>2079</v>
      </c>
    </row>
    <row r="32" spans="2:6" ht="15" x14ac:dyDescent="0.2">
      <c r="B32" s="13" t="s">
        <v>29</v>
      </c>
      <c r="D32" s="9"/>
      <c r="E32" s="14">
        <f t="shared" ref="E32" si="13">SUM(E31/D31)-1</f>
        <v>-0.75616438356164384</v>
      </c>
      <c r="F32" s="14">
        <f t="shared" ref="F32" si="14">SUM(F31/E31)-1</f>
        <v>0.11235955056179781</v>
      </c>
    </row>
    <row r="33" spans="2:7" ht="15" x14ac:dyDescent="0.2">
      <c r="B33" s="13" t="s">
        <v>31</v>
      </c>
      <c r="D33" s="9"/>
      <c r="E33" s="9"/>
      <c r="F33" s="9"/>
    </row>
    <row r="34" spans="2:7" ht="15" x14ac:dyDescent="0.2">
      <c r="B34" s="13" t="s">
        <v>30</v>
      </c>
      <c r="D34" s="9"/>
      <c r="E34" s="9"/>
      <c r="F34" s="9"/>
    </row>
    <row r="35" spans="2:7" ht="15" x14ac:dyDescent="0.2">
      <c r="B35" t="s">
        <v>25</v>
      </c>
      <c r="D35" s="9">
        <v>1386</v>
      </c>
      <c r="E35" s="9">
        <v>469</v>
      </c>
      <c r="F35" s="9">
        <v>952</v>
      </c>
    </row>
    <row r="36" spans="2:7" ht="15" x14ac:dyDescent="0.2">
      <c r="B36" s="13" t="s">
        <v>29</v>
      </c>
      <c r="D36" s="9"/>
      <c r="E36" s="14">
        <f t="shared" ref="E36" si="15">SUM(E35/D35)-1</f>
        <v>-0.66161616161616155</v>
      </c>
      <c r="F36" s="14">
        <f t="shared" ref="F36" si="16">SUM(F35/E35)-1</f>
        <v>1.0298507462686568</v>
      </c>
    </row>
    <row r="37" spans="2:7" ht="15" x14ac:dyDescent="0.2">
      <c r="B37" s="13" t="s">
        <v>31</v>
      </c>
      <c r="D37" s="9"/>
      <c r="E37" s="9"/>
      <c r="F37" s="9"/>
    </row>
    <row r="38" spans="2:7" ht="15" x14ac:dyDescent="0.2">
      <c r="B38" s="13" t="s">
        <v>30</v>
      </c>
      <c r="D38" s="9"/>
      <c r="E38" s="9"/>
      <c r="F38" s="9"/>
    </row>
    <row r="39" spans="2:7" ht="15" x14ac:dyDescent="0.2">
      <c r="B39" t="s">
        <v>26</v>
      </c>
      <c r="D39" s="9">
        <v>347</v>
      </c>
      <c r="E39" s="9">
        <v>1089</v>
      </c>
      <c r="F39" s="9">
        <v>644</v>
      </c>
    </row>
    <row r="40" spans="2:7" ht="15" x14ac:dyDescent="0.2">
      <c r="B40" s="13" t="s">
        <v>29</v>
      </c>
      <c r="D40" s="9"/>
      <c r="E40" s="14">
        <f t="shared" ref="E40:G40" si="17">SUM(E39/D39)-1</f>
        <v>2.1383285302593662</v>
      </c>
      <c r="F40" s="14">
        <f t="shared" si="17"/>
        <v>-0.40863177226813585</v>
      </c>
      <c r="G40" s="14">
        <f t="shared" si="17"/>
        <v>-1</v>
      </c>
    </row>
    <row r="41" spans="2:7" ht="15" x14ac:dyDescent="0.2">
      <c r="B41" s="13" t="s">
        <v>31</v>
      </c>
      <c r="D41" s="9"/>
      <c r="E41" s="9"/>
      <c r="F41" s="9"/>
    </row>
    <row r="42" spans="2:7" ht="15" x14ac:dyDescent="0.2">
      <c r="B42" s="13" t="s">
        <v>30</v>
      </c>
      <c r="D42" s="9"/>
      <c r="E42" s="9"/>
      <c r="F42" s="9"/>
    </row>
    <row r="43" spans="2:7" x14ac:dyDescent="0.2">
      <c r="B43" s="7" t="s">
        <v>28</v>
      </c>
      <c r="D43" s="12">
        <f>SUM(D7+D27+D23+D31+D35+D39)</f>
        <v>114334</v>
      </c>
      <c r="E43" s="12">
        <f t="shared" ref="E43:F43" si="18">SUM(E7+E27+E23+E31+E35+E39)</f>
        <v>63053.769602554326</v>
      </c>
      <c r="F43" s="12">
        <f t="shared" si="18"/>
        <v>54227.858206749297</v>
      </c>
    </row>
    <row r="44" spans="2:7" x14ac:dyDescent="0.2">
      <c r="B44" s="13" t="s">
        <v>29</v>
      </c>
      <c r="E44" s="14">
        <f>SUM(E43/D43)-1</f>
        <v>-0.44851251943818704</v>
      </c>
      <c r="F44" s="14">
        <f>SUM(F43/E43)-1</f>
        <v>-0.1399743655524045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404C-FA2C-4D67-8CE4-F8672A2ABCE6}">
  <dimension ref="B2:B9"/>
  <sheetViews>
    <sheetView showGridLines="0" workbookViewId="0">
      <selection activeCell="B5" sqref="B5"/>
    </sheetView>
    <sheetView workbookViewId="1"/>
  </sheetViews>
  <sheetFormatPr defaultRowHeight="14.25" x14ac:dyDescent="0.2"/>
  <cols>
    <col min="1" max="1" width="3.625" customWidth="1"/>
  </cols>
  <sheetData>
    <row r="2" spans="2:2" x14ac:dyDescent="0.2">
      <c r="B2" t="s">
        <v>232</v>
      </c>
    </row>
    <row r="3" spans="2:2" x14ac:dyDescent="0.2">
      <c r="B3" t="s">
        <v>234</v>
      </c>
    </row>
    <row r="4" spans="2:2" x14ac:dyDescent="0.2">
      <c r="B4" t="s">
        <v>235</v>
      </c>
    </row>
    <row r="9" spans="2:2" x14ac:dyDescent="0.2">
      <c r="B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3-Statement Model </vt:lpstr>
      <vt:lpstr>Sheet1</vt:lpstr>
      <vt:lpstr>Sheet2</vt:lpstr>
      <vt:lpstr>Financial Analysis </vt:lpstr>
      <vt:lpstr>Capital Structure</vt:lpstr>
      <vt:lpstr> Segment Analysis </vt:lpstr>
      <vt:lpstr>DCF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Garcia</dc:creator>
  <cp:lastModifiedBy>Felix Garcia</cp:lastModifiedBy>
  <dcterms:created xsi:type="dcterms:W3CDTF">2024-08-10T06:01:52Z</dcterms:created>
  <dcterms:modified xsi:type="dcterms:W3CDTF">2025-01-21T07:43:11Z</dcterms:modified>
</cp:coreProperties>
</file>