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Felix\Downloads\"/>
    </mc:Choice>
  </mc:AlternateContent>
  <xr:revisionPtr revIDLastSave="0" documentId="8_{4A17FBF9-16EA-453D-8FC0-0F404DE2F16A}" xr6:coauthVersionLast="47" xr6:coauthVersionMax="47" xr10:uidLastSave="{00000000-0000-0000-0000-000000000000}"/>
  <bookViews>
    <workbookView xWindow="28680" yWindow="-120" windowWidth="29040" windowHeight="15720" activeTab="1" xr2:uid="{D8DF2202-62BF-453D-A849-EFD132DF8234}"/>
  </bookViews>
  <sheets>
    <sheet name="Firm Background" sheetId="6" r:id="rId1"/>
    <sheet name="Base Financials " sheetId="4" r:id="rId2"/>
    <sheet name="EBITDA &amp; FCF Analysis" sheetId="5"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2" i="5" l="1"/>
  <c r="O32" i="5"/>
  <c r="N32" i="5"/>
  <c r="M32" i="5"/>
  <c r="L32" i="5"/>
  <c r="K32" i="5"/>
  <c r="J32" i="5"/>
  <c r="I32" i="5"/>
  <c r="H32" i="5"/>
  <c r="G32" i="5"/>
  <c r="F32" i="5"/>
  <c r="E32" i="5"/>
  <c r="D32" i="5"/>
  <c r="C32" i="5"/>
  <c r="P27" i="5"/>
  <c r="O27" i="5"/>
  <c r="N27" i="5"/>
  <c r="M27" i="5"/>
  <c r="L27" i="5"/>
  <c r="K27" i="5"/>
  <c r="J27" i="5"/>
  <c r="I27" i="5"/>
  <c r="H27" i="5"/>
  <c r="G27" i="5"/>
  <c r="F27" i="5"/>
  <c r="E27" i="5"/>
  <c r="D27" i="5"/>
  <c r="C27" i="5"/>
  <c r="P23" i="5"/>
  <c r="O23" i="5"/>
  <c r="N23" i="5"/>
  <c r="M23" i="5"/>
  <c r="L23" i="5"/>
  <c r="K23" i="5"/>
  <c r="J23" i="5"/>
  <c r="I23" i="5"/>
  <c r="H23" i="5"/>
  <c r="G23" i="5"/>
  <c r="F23" i="5"/>
  <c r="E23" i="5"/>
  <c r="D23" i="5"/>
  <c r="P22" i="5"/>
  <c r="O22" i="5"/>
  <c r="N22" i="5"/>
  <c r="M22" i="5"/>
  <c r="L22" i="5"/>
  <c r="K22" i="5"/>
  <c r="J22" i="5"/>
  <c r="I22" i="5"/>
  <c r="H22" i="5"/>
  <c r="G22" i="5"/>
  <c r="F22" i="5"/>
  <c r="E22" i="5"/>
  <c r="D22" i="5"/>
  <c r="P21" i="5"/>
  <c r="O21" i="5"/>
  <c r="N21" i="5"/>
  <c r="M21" i="5"/>
  <c r="L21" i="5"/>
  <c r="K21" i="5"/>
  <c r="J21" i="5"/>
  <c r="I21" i="5"/>
  <c r="H21" i="5"/>
  <c r="G21" i="5"/>
  <c r="F21" i="5"/>
  <c r="E21" i="5"/>
  <c r="D21" i="5"/>
  <c r="C23" i="5"/>
  <c r="C22" i="5"/>
  <c r="C21" i="5"/>
  <c r="P17" i="5"/>
  <c r="O17" i="5"/>
  <c r="N17" i="5"/>
  <c r="M17" i="5"/>
  <c r="L17" i="5"/>
  <c r="K17" i="5"/>
  <c r="J17" i="5"/>
  <c r="I17" i="5"/>
  <c r="H17" i="5"/>
  <c r="G17" i="5"/>
  <c r="F17" i="5"/>
  <c r="E17" i="5"/>
  <c r="D17" i="5"/>
  <c r="C17" i="5"/>
  <c r="P16" i="5"/>
  <c r="O16" i="5"/>
  <c r="N16" i="5"/>
  <c r="M16" i="5"/>
  <c r="L16" i="5"/>
  <c r="K16" i="5"/>
  <c r="J16" i="5"/>
  <c r="I16" i="5"/>
  <c r="H16" i="5"/>
  <c r="G16" i="5"/>
  <c r="F16" i="5"/>
  <c r="E16" i="5"/>
  <c r="D16" i="5"/>
  <c r="C16" i="5"/>
  <c r="P15" i="5"/>
  <c r="O15" i="5"/>
  <c r="N15" i="5"/>
  <c r="M15" i="5"/>
  <c r="L15" i="5"/>
  <c r="K15" i="5"/>
  <c r="J15" i="5"/>
  <c r="I15" i="5"/>
  <c r="H15" i="5"/>
  <c r="G15" i="5"/>
  <c r="F15" i="5"/>
  <c r="E15" i="5"/>
  <c r="D15" i="5"/>
  <c r="C15" i="5"/>
  <c r="P14" i="5"/>
  <c r="O14" i="5"/>
  <c r="N14" i="5"/>
  <c r="S14" i="5" s="1"/>
  <c r="M14" i="5"/>
  <c r="L14" i="5"/>
  <c r="K14" i="5"/>
  <c r="J14" i="5"/>
  <c r="I14" i="5"/>
  <c r="H14" i="5"/>
  <c r="G14" i="5"/>
  <c r="F14" i="5"/>
  <c r="E14" i="5"/>
  <c r="D14" i="5"/>
  <c r="C14" i="5"/>
  <c r="P10" i="5"/>
  <c r="O10" i="5"/>
  <c r="N10" i="5"/>
  <c r="M10" i="5"/>
  <c r="L10" i="5"/>
  <c r="L11" i="5" s="1"/>
  <c r="K10" i="5"/>
  <c r="K11" i="5" s="1"/>
  <c r="J10" i="5"/>
  <c r="I10" i="5"/>
  <c r="R10" i="5" s="1"/>
  <c r="H10" i="5"/>
  <c r="G10" i="5"/>
  <c r="F10" i="5"/>
  <c r="E10" i="5"/>
  <c r="D10" i="5"/>
  <c r="C10" i="5"/>
  <c r="P9" i="5"/>
  <c r="O9" i="5"/>
  <c r="O11" i="5" s="1"/>
  <c r="N9" i="5"/>
  <c r="M9" i="5"/>
  <c r="M11" i="5" s="1"/>
  <c r="L9" i="5"/>
  <c r="K9" i="5"/>
  <c r="J9" i="5"/>
  <c r="I9" i="5"/>
  <c r="H9" i="5"/>
  <c r="G9" i="5"/>
  <c r="G11" i="5" s="1"/>
  <c r="F9" i="5"/>
  <c r="E9" i="5"/>
  <c r="E11" i="5" s="1"/>
  <c r="D9" i="5"/>
  <c r="C9" i="5"/>
  <c r="E36" i="4"/>
  <c r="D36" i="4"/>
  <c r="C36" i="4"/>
  <c r="P36" i="4"/>
  <c r="O36" i="4"/>
  <c r="N36" i="4"/>
  <c r="M36" i="4"/>
  <c r="L36" i="4"/>
  <c r="K36" i="4"/>
  <c r="J36" i="4"/>
  <c r="I36" i="4"/>
  <c r="H36" i="4"/>
  <c r="G36" i="4"/>
  <c r="N37" i="4"/>
  <c r="J37" i="4"/>
  <c r="I97" i="4"/>
  <c r="R113" i="4"/>
  <c r="S113" i="4"/>
  <c r="R114" i="4"/>
  <c r="S114" i="4"/>
  <c r="U114" i="4" s="1"/>
  <c r="R115" i="4"/>
  <c r="S115" i="4"/>
  <c r="U115" i="4" s="1"/>
  <c r="R116" i="4"/>
  <c r="S116" i="4"/>
  <c r="U116" i="4" s="1"/>
  <c r="U113" i="4"/>
  <c r="H144" i="4"/>
  <c r="I144" i="4" s="1"/>
  <c r="J144" i="4" s="1"/>
  <c r="H143" i="4"/>
  <c r="I143" i="4"/>
  <c r="J143" i="4" s="1"/>
  <c r="H137" i="4"/>
  <c r="I137" i="4" s="1"/>
  <c r="J137" i="4" s="1"/>
  <c r="H132" i="4"/>
  <c r="H133" i="4"/>
  <c r="H134" i="4"/>
  <c r="I134" i="4" s="1"/>
  <c r="J134" i="4" s="1"/>
  <c r="I133" i="4"/>
  <c r="I132" i="4"/>
  <c r="J132" i="4" s="1"/>
  <c r="R132" i="4" s="1"/>
  <c r="H131" i="4"/>
  <c r="I131" i="4"/>
  <c r="H125" i="4"/>
  <c r="H126" i="4"/>
  <c r="I126" i="4" s="1"/>
  <c r="J126" i="4" s="1"/>
  <c r="I125" i="4"/>
  <c r="J125" i="4" s="1"/>
  <c r="I112" i="4"/>
  <c r="I113" i="4"/>
  <c r="I114" i="4"/>
  <c r="I115" i="4"/>
  <c r="I116" i="4"/>
  <c r="I117" i="4"/>
  <c r="I118" i="4"/>
  <c r="I119" i="4"/>
  <c r="I120" i="4"/>
  <c r="I121" i="4"/>
  <c r="H121" i="4"/>
  <c r="H120" i="4"/>
  <c r="H119" i="4"/>
  <c r="H118" i="4"/>
  <c r="H117" i="4"/>
  <c r="H116" i="4"/>
  <c r="H115" i="4"/>
  <c r="H114" i="4"/>
  <c r="H113" i="4"/>
  <c r="H112" i="4"/>
  <c r="H108" i="4"/>
  <c r="H109" i="4"/>
  <c r="I109" i="4" s="1"/>
  <c r="I108" i="4"/>
  <c r="J108" i="4" s="1"/>
  <c r="I104" i="4"/>
  <c r="I103" i="4"/>
  <c r="I102" i="4"/>
  <c r="I101" i="4"/>
  <c r="I100" i="4"/>
  <c r="H104" i="4"/>
  <c r="H103" i="4"/>
  <c r="H102" i="4"/>
  <c r="H101" i="4"/>
  <c r="H100" i="4"/>
  <c r="H97" i="4"/>
  <c r="P144" i="4"/>
  <c r="L144" i="4"/>
  <c r="M144" i="4" s="1"/>
  <c r="N144" i="4" s="1"/>
  <c r="P143" i="4"/>
  <c r="L143" i="4"/>
  <c r="P137" i="4"/>
  <c r="L137" i="4"/>
  <c r="N134" i="4"/>
  <c r="P133" i="4"/>
  <c r="L133" i="4"/>
  <c r="J133" i="4"/>
  <c r="R133" i="4" s="1"/>
  <c r="P132" i="4"/>
  <c r="L132" i="4"/>
  <c r="P131" i="4"/>
  <c r="L131" i="4"/>
  <c r="M131" i="4" s="1"/>
  <c r="N131" i="4" s="1"/>
  <c r="J131" i="4"/>
  <c r="L130" i="4"/>
  <c r="M130" i="4" s="1"/>
  <c r="J130" i="4"/>
  <c r="P125" i="4"/>
  <c r="L125" i="4"/>
  <c r="M125" i="4" s="1"/>
  <c r="N125" i="4" s="1"/>
  <c r="N127" i="4" s="1"/>
  <c r="O121" i="4"/>
  <c r="P121" i="4" s="1"/>
  <c r="K121" i="4"/>
  <c r="L121" i="4" s="1"/>
  <c r="M121" i="4" s="1"/>
  <c r="G121" i="4"/>
  <c r="O120" i="4"/>
  <c r="P120" i="4" s="1"/>
  <c r="K120" i="4"/>
  <c r="L120" i="4" s="1"/>
  <c r="G120" i="4"/>
  <c r="P119" i="4"/>
  <c r="L119" i="4"/>
  <c r="J119" i="4"/>
  <c r="L118" i="4"/>
  <c r="J118" i="4"/>
  <c r="P117" i="4"/>
  <c r="L117" i="4"/>
  <c r="M117" i="4" s="1"/>
  <c r="N117" i="4" s="1"/>
  <c r="J117" i="4"/>
  <c r="P116" i="4"/>
  <c r="L116" i="4"/>
  <c r="M116" i="4" s="1"/>
  <c r="N116" i="4" s="1"/>
  <c r="J116" i="4"/>
  <c r="P115" i="4"/>
  <c r="L115" i="4"/>
  <c r="M115" i="4" s="1"/>
  <c r="N115" i="4" s="1"/>
  <c r="J115" i="4"/>
  <c r="P114" i="4"/>
  <c r="L114" i="4"/>
  <c r="P113" i="4"/>
  <c r="L113" i="4"/>
  <c r="M113" i="4" s="1"/>
  <c r="J113" i="4"/>
  <c r="P112" i="4"/>
  <c r="L112" i="4"/>
  <c r="M112" i="4" s="1"/>
  <c r="N112" i="4" s="1"/>
  <c r="J112" i="4"/>
  <c r="P108" i="4"/>
  <c r="L108" i="4"/>
  <c r="N107" i="4"/>
  <c r="S107" i="4" s="1"/>
  <c r="J107" i="4"/>
  <c r="R107" i="4" s="1"/>
  <c r="P106" i="4"/>
  <c r="M106" i="4"/>
  <c r="N106" i="4" s="1"/>
  <c r="J106" i="4"/>
  <c r="N105" i="4"/>
  <c r="J105" i="4"/>
  <c r="R105" i="4" s="1"/>
  <c r="P104" i="4"/>
  <c r="L104" i="4"/>
  <c r="M104" i="4" s="1"/>
  <c r="J104" i="4"/>
  <c r="P103" i="4"/>
  <c r="L103" i="4"/>
  <c r="M103" i="4" s="1"/>
  <c r="N103" i="4" s="1"/>
  <c r="J103" i="4"/>
  <c r="P102" i="4"/>
  <c r="N102" i="4"/>
  <c r="J102" i="4"/>
  <c r="P101" i="4"/>
  <c r="L101" i="4"/>
  <c r="M101" i="4" s="1"/>
  <c r="N101" i="4" s="1"/>
  <c r="J101" i="4"/>
  <c r="P100" i="4"/>
  <c r="L100" i="4"/>
  <c r="M100" i="4" s="1"/>
  <c r="N100" i="4" s="1"/>
  <c r="J100" i="4"/>
  <c r="L97" i="4"/>
  <c r="M97" i="4" s="1"/>
  <c r="N97" i="4" s="1"/>
  <c r="J97" i="4"/>
  <c r="N83" i="4"/>
  <c r="S83" i="4" s="1"/>
  <c r="N82" i="4"/>
  <c r="S82" i="4" s="1"/>
  <c r="N81" i="4"/>
  <c r="S81" i="4" s="1"/>
  <c r="N80" i="4"/>
  <c r="N79" i="4"/>
  <c r="S79" i="4" s="1"/>
  <c r="J83" i="4"/>
  <c r="R83" i="4" s="1"/>
  <c r="J82" i="4"/>
  <c r="R82" i="4" s="1"/>
  <c r="J81" i="4"/>
  <c r="R81" i="4" s="1"/>
  <c r="J80" i="4"/>
  <c r="J79" i="4"/>
  <c r="N75" i="4"/>
  <c r="S75" i="4" s="1"/>
  <c r="N74" i="4"/>
  <c r="S74" i="4" s="1"/>
  <c r="N73" i="4"/>
  <c r="S73" i="4" s="1"/>
  <c r="N72" i="4"/>
  <c r="N71" i="4"/>
  <c r="S71" i="4" s="1"/>
  <c r="J75" i="4"/>
  <c r="R75" i="4" s="1"/>
  <c r="J74" i="4"/>
  <c r="R74" i="4" s="1"/>
  <c r="J73" i="4"/>
  <c r="R73" i="4" s="1"/>
  <c r="J72" i="4"/>
  <c r="R72" i="4" s="1"/>
  <c r="J71" i="4"/>
  <c r="R71" i="4" s="1"/>
  <c r="N67" i="4"/>
  <c r="S67" i="4" s="1"/>
  <c r="N66" i="4"/>
  <c r="S66" i="4" s="1"/>
  <c r="N65" i="4"/>
  <c r="S65" i="4" s="1"/>
  <c r="N64" i="4"/>
  <c r="N63" i="4"/>
  <c r="N62" i="4"/>
  <c r="S62" i="4" s="1"/>
  <c r="N61" i="4"/>
  <c r="S61" i="4" s="1"/>
  <c r="J67" i="4"/>
  <c r="R67" i="4" s="1"/>
  <c r="J66" i="4"/>
  <c r="R66" i="4" s="1"/>
  <c r="J65" i="4"/>
  <c r="R65" i="4" s="1"/>
  <c r="J64" i="4"/>
  <c r="R64" i="4" s="1"/>
  <c r="J63" i="4"/>
  <c r="J62" i="4"/>
  <c r="R62" i="4" s="1"/>
  <c r="J61" i="4"/>
  <c r="R61" i="4" s="1"/>
  <c r="N57" i="4"/>
  <c r="S57" i="4" s="1"/>
  <c r="N56" i="4"/>
  <c r="S56" i="4" s="1"/>
  <c r="N55" i="4"/>
  <c r="S55" i="4" s="1"/>
  <c r="N54" i="4"/>
  <c r="S54" i="4" s="1"/>
  <c r="N53" i="4"/>
  <c r="S53" i="4" s="1"/>
  <c r="J57" i="4"/>
  <c r="R57" i="4" s="1"/>
  <c r="J56" i="4"/>
  <c r="R56" i="4" s="1"/>
  <c r="J55" i="4"/>
  <c r="R55" i="4" s="1"/>
  <c r="J54" i="4"/>
  <c r="R54" i="4" s="1"/>
  <c r="J53" i="4"/>
  <c r="R53" i="4" s="1"/>
  <c r="N49" i="4"/>
  <c r="S49" i="4" s="1"/>
  <c r="N48" i="4"/>
  <c r="S48" i="4" s="1"/>
  <c r="N47" i="4"/>
  <c r="S47" i="4" s="1"/>
  <c r="N46" i="4"/>
  <c r="S46" i="4" s="1"/>
  <c r="N45" i="4"/>
  <c r="N44" i="4"/>
  <c r="S44" i="4" s="1"/>
  <c r="N43" i="4"/>
  <c r="S43" i="4" s="1"/>
  <c r="J49" i="4"/>
  <c r="R49" i="4" s="1"/>
  <c r="J48" i="4"/>
  <c r="R48" i="4" s="1"/>
  <c r="J47" i="4"/>
  <c r="R47" i="4" s="1"/>
  <c r="J46" i="4"/>
  <c r="R46" i="4" s="1"/>
  <c r="J45" i="4"/>
  <c r="R45" i="4" s="1"/>
  <c r="J44" i="4"/>
  <c r="R44" i="4" s="1"/>
  <c r="J43" i="4"/>
  <c r="R43" i="4" s="1"/>
  <c r="N31" i="4"/>
  <c r="S31" i="4" s="1"/>
  <c r="J31" i="4"/>
  <c r="R31" i="4" s="1"/>
  <c r="N29" i="4"/>
  <c r="S29" i="4" s="1"/>
  <c r="N28" i="4"/>
  <c r="S28" i="4" s="1"/>
  <c r="N27" i="4"/>
  <c r="S27" i="4" s="1"/>
  <c r="N26" i="4"/>
  <c r="S26" i="4" s="1"/>
  <c r="J29" i="4"/>
  <c r="R29" i="4" s="1"/>
  <c r="J28" i="4"/>
  <c r="R28" i="4" s="1"/>
  <c r="J27" i="4"/>
  <c r="R27" i="4" s="1"/>
  <c r="J26" i="4"/>
  <c r="R26" i="4" s="1"/>
  <c r="N11" i="4"/>
  <c r="S11" i="4" s="1"/>
  <c r="N10" i="4"/>
  <c r="J11" i="4"/>
  <c r="R11" i="4" s="1"/>
  <c r="J10" i="4"/>
  <c r="R10" i="4" s="1"/>
  <c r="N20" i="4"/>
  <c r="S20" i="4" s="1"/>
  <c r="J20" i="4"/>
  <c r="R20" i="4" s="1"/>
  <c r="N19" i="4"/>
  <c r="S19" i="4" s="1"/>
  <c r="J19" i="4"/>
  <c r="R19" i="4" s="1"/>
  <c r="N18" i="4"/>
  <c r="S18" i="4" s="1"/>
  <c r="J18" i="4"/>
  <c r="R18" i="4" s="1"/>
  <c r="N17" i="4"/>
  <c r="S17" i="4" s="1"/>
  <c r="J17" i="4"/>
  <c r="R17" i="4" s="1"/>
  <c r="B32" i="5"/>
  <c r="B27" i="5"/>
  <c r="R15" i="5"/>
  <c r="S7" i="5"/>
  <c r="R7" i="5"/>
  <c r="E135" i="4"/>
  <c r="D135" i="4"/>
  <c r="C135" i="4"/>
  <c r="G135" i="4"/>
  <c r="G127" i="4"/>
  <c r="E127" i="4"/>
  <c r="D127" i="4"/>
  <c r="C127" i="4"/>
  <c r="H127" i="4"/>
  <c r="E122" i="4"/>
  <c r="E147" i="4" s="1"/>
  <c r="D122" i="4"/>
  <c r="D147" i="4" s="1"/>
  <c r="C122" i="4"/>
  <c r="C147" i="4" s="1"/>
  <c r="S109" i="4"/>
  <c r="P84" i="4"/>
  <c r="O84" i="4"/>
  <c r="M84" i="4"/>
  <c r="L84" i="4"/>
  <c r="K84" i="4"/>
  <c r="I84" i="4"/>
  <c r="H84" i="4"/>
  <c r="G84" i="4"/>
  <c r="E84" i="4"/>
  <c r="D84" i="4"/>
  <c r="C84" i="4"/>
  <c r="U80" i="4"/>
  <c r="S72" i="4"/>
  <c r="P68" i="4"/>
  <c r="P76" i="4" s="1"/>
  <c r="O68" i="4"/>
  <c r="O76" i="4" s="1"/>
  <c r="M68" i="4"/>
  <c r="M76" i="4" s="1"/>
  <c r="L68" i="4"/>
  <c r="L76" i="4" s="1"/>
  <c r="K68" i="4"/>
  <c r="K76" i="4" s="1"/>
  <c r="I68" i="4"/>
  <c r="I76" i="4" s="1"/>
  <c r="H68" i="4"/>
  <c r="H76" i="4" s="1"/>
  <c r="G68" i="4"/>
  <c r="G76" i="4" s="1"/>
  <c r="E68" i="4"/>
  <c r="E76" i="4" s="1"/>
  <c r="D68" i="4"/>
  <c r="D76" i="4" s="1"/>
  <c r="C68" i="4"/>
  <c r="C76" i="4" s="1"/>
  <c r="S63" i="4"/>
  <c r="P50" i="4"/>
  <c r="O50" i="4"/>
  <c r="M50" i="4"/>
  <c r="M58" i="4" s="1"/>
  <c r="M88" i="4" s="1"/>
  <c r="L50" i="4"/>
  <c r="L58" i="4" s="1"/>
  <c r="L88" i="4" s="1"/>
  <c r="K50" i="4"/>
  <c r="K58" i="4" s="1"/>
  <c r="K88" i="4" s="1"/>
  <c r="I50" i="4"/>
  <c r="I58" i="4" s="1"/>
  <c r="I88" i="4" s="1"/>
  <c r="H50" i="4"/>
  <c r="G50" i="4"/>
  <c r="E50" i="4"/>
  <c r="E58" i="4" s="1"/>
  <c r="E88" i="4" s="1"/>
  <c r="D50" i="4"/>
  <c r="D58" i="4" s="1"/>
  <c r="D88" i="4" s="1"/>
  <c r="C50" i="4"/>
  <c r="C58" i="4" s="1"/>
  <c r="C88" i="4" s="1"/>
  <c r="T32" i="4"/>
  <c r="P12" i="4"/>
  <c r="P14" i="4" s="1"/>
  <c r="O12" i="4"/>
  <c r="O21" i="4" s="1"/>
  <c r="M12" i="4"/>
  <c r="L12" i="4"/>
  <c r="K12" i="4"/>
  <c r="I12" i="4"/>
  <c r="I21" i="4" s="1"/>
  <c r="I30" i="4" s="1"/>
  <c r="I32" i="4" s="1"/>
  <c r="H12" i="4"/>
  <c r="H14" i="4" s="1"/>
  <c r="G12" i="4"/>
  <c r="G21" i="4" s="1"/>
  <c r="E12" i="4"/>
  <c r="D12" i="4"/>
  <c r="C12" i="4"/>
  <c r="C14" i="4" s="1"/>
  <c r="S7" i="4"/>
  <c r="R7" i="4"/>
  <c r="H11" i="5" l="1"/>
  <c r="P11" i="5"/>
  <c r="D11" i="5"/>
  <c r="N11" i="5"/>
  <c r="S17" i="5"/>
  <c r="R17" i="5"/>
  <c r="R23" i="5"/>
  <c r="U23" i="5" s="1"/>
  <c r="S21" i="5"/>
  <c r="S32" i="5"/>
  <c r="M18" i="5"/>
  <c r="I11" i="5"/>
  <c r="R22" i="5"/>
  <c r="S23" i="5"/>
  <c r="R32" i="5"/>
  <c r="S16" i="5"/>
  <c r="S15" i="5"/>
  <c r="U15" i="5" s="1"/>
  <c r="R16" i="5"/>
  <c r="R21" i="5"/>
  <c r="U21" i="5" s="1"/>
  <c r="R27" i="5"/>
  <c r="S22" i="5"/>
  <c r="U22" i="5" s="1"/>
  <c r="S27" i="5"/>
  <c r="R14" i="5"/>
  <c r="U14" i="5" s="1"/>
  <c r="G18" i="5"/>
  <c r="G24" i="5" s="1"/>
  <c r="N18" i="5"/>
  <c r="N19" i="5" s="1"/>
  <c r="H18" i="5"/>
  <c r="D18" i="5"/>
  <c r="D24" i="5" s="1"/>
  <c r="I18" i="5"/>
  <c r="K18" i="5"/>
  <c r="E18" i="5"/>
  <c r="O18" i="5"/>
  <c r="O24" i="5" s="1"/>
  <c r="L18" i="5"/>
  <c r="L19" i="5" s="1"/>
  <c r="P18" i="5"/>
  <c r="P24" i="5" s="1"/>
  <c r="C11" i="5"/>
  <c r="C18" i="5" s="1"/>
  <c r="C24" i="5" s="1"/>
  <c r="C28" i="5" s="1"/>
  <c r="C30" i="5" s="1"/>
  <c r="J11" i="5"/>
  <c r="J18" i="5" s="1"/>
  <c r="J24" i="5" s="1"/>
  <c r="J114" i="4"/>
  <c r="J109" i="4"/>
  <c r="R109" i="4" s="1"/>
  <c r="J127" i="4"/>
  <c r="M132" i="4"/>
  <c r="N132" i="4" s="1"/>
  <c r="S132" i="4" s="1"/>
  <c r="U132" i="4" s="1"/>
  <c r="M143" i="4"/>
  <c r="N143" i="4" s="1"/>
  <c r="S143" i="4" s="1"/>
  <c r="M137" i="4"/>
  <c r="N137" i="4" s="1"/>
  <c r="S137" i="4" s="1"/>
  <c r="N130" i="4"/>
  <c r="S130" i="4" s="1"/>
  <c r="J135" i="4"/>
  <c r="M133" i="4"/>
  <c r="S131" i="4"/>
  <c r="G90" i="4"/>
  <c r="J121" i="4"/>
  <c r="R121" i="4" s="1"/>
  <c r="J120" i="4"/>
  <c r="N12" i="4"/>
  <c r="N21" i="4" s="1"/>
  <c r="N23" i="4" s="1"/>
  <c r="M120" i="4"/>
  <c r="N120" i="4" s="1"/>
  <c r="S120" i="4" s="1"/>
  <c r="N121" i="4"/>
  <c r="S121" i="4" s="1"/>
  <c r="M114" i="4"/>
  <c r="N114" i="4" s="1"/>
  <c r="M119" i="4"/>
  <c r="N119" i="4" s="1"/>
  <c r="S119" i="4" s="1"/>
  <c r="N113" i="4"/>
  <c r="M118" i="4"/>
  <c r="N118" i="4" s="1"/>
  <c r="S118" i="4" s="1"/>
  <c r="N104" i="4"/>
  <c r="S104" i="4" s="1"/>
  <c r="J68" i="4"/>
  <c r="J76" i="4" s="1"/>
  <c r="H89" i="4"/>
  <c r="K89" i="4"/>
  <c r="P89" i="4"/>
  <c r="S89" i="4" s="1"/>
  <c r="N84" i="4"/>
  <c r="R63" i="4"/>
  <c r="R68" i="4" s="1"/>
  <c r="R76" i="4" s="1"/>
  <c r="U62" i="4"/>
  <c r="I89" i="4"/>
  <c r="S64" i="4"/>
  <c r="U64" i="4" s="1"/>
  <c r="J84" i="4"/>
  <c r="C89" i="4"/>
  <c r="L89" i="4"/>
  <c r="R89" i="4" s="1"/>
  <c r="D89" i="4"/>
  <c r="M89" i="4"/>
  <c r="R88" i="4"/>
  <c r="E89" i="4"/>
  <c r="G89" i="4"/>
  <c r="O89" i="4"/>
  <c r="M108" i="4"/>
  <c r="N108" i="4" s="1"/>
  <c r="R79" i="4"/>
  <c r="U79" i="4" s="1"/>
  <c r="N68" i="4"/>
  <c r="N91" i="4" s="1"/>
  <c r="S10" i="4"/>
  <c r="S12" i="4" s="1"/>
  <c r="O90" i="4"/>
  <c r="J50" i="4"/>
  <c r="U71" i="4"/>
  <c r="N50" i="4"/>
  <c r="N58" i="4" s="1"/>
  <c r="N88" i="4" s="1"/>
  <c r="S45" i="4"/>
  <c r="U45" i="4" s="1"/>
  <c r="U47" i="4"/>
  <c r="U56" i="4"/>
  <c r="U44" i="4"/>
  <c r="P21" i="4"/>
  <c r="P30" i="4" s="1"/>
  <c r="P32" i="4" s="1"/>
  <c r="P34" i="4" s="1"/>
  <c r="U75" i="4"/>
  <c r="U55" i="4"/>
  <c r="U83" i="4"/>
  <c r="J12" i="4"/>
  <c r="K13" i="4" s="1"/>
  <c r="H90" i="4"/>
  <c r="P90" i="4"/>
  <c r="S90" i="4" s="1"/>
  <c r="U57" i="4"/>
  <c r="U81" i="4"/>
  <c r="S102" i="4"/>
  <c r="E148" i="4"/>
  <c r="U43" i="4"/>
  <c r="U73" i="4"/>
  <c r="U49" i="4"/>
  <c r="U53" i="4"/>
  <c r="U74" i="4"/>
  <c r="U20" i="4"/>
  <c r="U61" i="4"/>
  <c r="I85" i="4"/>
  <c r="U11" i="4"/>
  <c r="U26" i="4"/>
  <c r="U67" i="4"/>
  <c r="U72" i="4"/>
  <c r="D13" i="4"/>
  <c r="H91" i="4"/>
  <c r="S112" i="4"/>
  <c r="R125" i="4"/>
  <c r="K85" i="4"/>
  <c r="I91" i="4"/>
  <c r="U28" i="4"/>
  <c r="U65" i="4"/>
  <c r="R12" i="4"/>
  <c r="R14" i="4" s="1"/>
  <c r="U54" i="4"/>
  <c r="U66" i="4"/>
  <c r="S101" i="4"/>
  <c r="S105" i="4"/>
  <c r="U105" i="4" s="1"/>
  <c r="R137" i="4"/>
  <c r="U17" i="4"/>
  <c r="E13" i="4"/>
  <c r="U109" i="4"/>
  <c r="M13" i="4"/>
  <c r="O14" i="4"/>
  <c r="U19" i="4"/>
  <c r="K21" i="4"/>
  <c r="K23" i="4" s="1"/>
  <c r="U27" i="4"/>
  <c r="U31" i="4"/>
  <c r="H85" i="4"/>
  <c r="P85" i="4"/>
  <c r="U82" i="4"/>
  <c r="G91" i="4"/>
  <c r="S97" i="4"/>
  <c r="H13" i="4"/>
  <c r="P13" i="4"/>
  <c r="I13" i="4"/>
  <c r="C21" i="4"/>
  <c r="O91" i="4"/>
  <c r="H21" i="4"/>
  <c r="U46" i="4"/>
  <c r="G58" i="4"/>
  <c r="G88" i="4" s="1"/>
  <c r="P91" i="4"/>
  <c r="S91" i="4" s="1"/>
  <c r="K127" i="4"/>
  <c r="G14" i="4"/>
  <c r="R50" i="4"/>
  <c r="R58" i="4" s="1"/>
  <c r="C85" i="4"/>
  <c r="I90" i="4"/>
  <c r="H24" i="5"/>
  <c r="I24" i="5"/>
  <c r="M24" i="5"/>
  <c r="U17" i="5"/>
  <c r="S9" i="5"/>
  <c r="R9" i="5"/>
  <c r="R11" i="5" s="1"/>
  <c r="S10" i="5"/>
  <c r="U10" i="5" s="1"/>
  <c r="R117" i="4"/>
  <c r="I34" i="4"/>
  <c r="G85" i="4"/>
  <c r="O85" i="4"/>
  <c r="R104" i="4"/>
  <c r="U107" i="4"/>
  <c r="N14" i="4"/>
  <c r="U29" i="4"/>
  <c r="H58" i="4"/>
  <c r="H88" i="4" s="1"/>
  <c r="S117" i="4"/>
  <c r="O127" i="4"/>
  <c r="P127" i="4"/>
  <c r="O135" i="4"/>
  <c r="P135" i="4"/>
  <c r="D14" i="4"/>
  <c r="D21" i="4"/>
  <c r="L13" i="4"/>
  <c r="L14" i="4"/>
  <c r="L21" i="4"/>
  <c r="O58" i="4"/>
  <c r="O88" i="4" s="1"/>
  <c r="O122" i="4"/>
  <c r="O147" i="4" s="1"/>
  <c r="R102" i="4"/>
  <c r="R103" i="4"/>
  <c r="R131" i="4"/>
  <c r="U131" i="4" s="1"/>
  <c r="R134" i="4"/>
  <c r="R143" i="4"/>
  <c r="U18" i="4"/>
  <c r="S84" i="4"/>
  <c r="E14" i="4"/>
  <c r="E21" i="4"/>
  <c r="M14" i="4"/>
  <c r="M21" i="4"/>
  <c r="N13" i="4"/>
  <c r="P58" i="4"/>
  <c r="C91" i="4"/>
  <c r="K91" i="4"/>
  <c r="G122" i="4"/>
  <c r="G147" i="4" s="1"/>
  <c r="R101" i="4"/>
  <c r="D148" i="4"/>
  <c r="S126" i="4"/>
  <c r="S134" i="4"/>
  <c r="K135" i="4"/>
  <c r="R119" i="4"/>
  <c r="I23" i="4"/>
  <c r="D91" i="4"/>
  <c r="L91" i="4"/>
  <c r="R91" i="4" s="1"/>
  <c r="D85" i="4"/>
  <c r="L85" i="4"/>
  <c r="R112" i="4"/>
  <c r="L135" i="4"/>
  <c r="G30" i="4"/>
  <c r="G32" i="4" s="1"/>
  <c r="G23" i="4"/>
  <c r="O30" i="4"/>
  <c r="O32" i="4" s="1"/>
  <c r="O23" i="4"/>
  <c r="E91" i="4"/>
  <c r="M91" i="4"/>
  <c r="E85" i="4"/>
  <c r="M85" i="4"/>
  <c r="R118" i="4"/>
  <c r="I14" i="4"/>
  <c r="C90" i="4"/>
  <c r="K90" i="4"/>
  <c r="D90" i="4"/>
  <c r="L90" i="4"/>
  <c r="R90" i="4" s="1"/>
  <c r="K14" i="4"/>
  <c r="E90" i="4"/>
  <c r="M90" i="4"/>
  <c r="R126" i="4"/>
  <c r="N24" i="5" l="1"/>
  <c r="J19" i="5"/>
  <c r="U32" i="5"/>
  <c r="E19" i="5"/>
  <c r="U27" i="5"/>
  <c r="K19" i="5"/>
  <c r="E24" i="5"/>
  <c r="E25" i="5" s="1"/>
  <c r="C33" i="5"/>
  <c r="C35" i="5" s="1"/>
  <c r="D19" i="5"/>
  <c r="I19" i="5"/>
  <c r="K24" i="5"/>
  <c r="M19" i="5"/>
  <c r="U16" i="5"/>
  <c r="H19" i="5"/>
  <c r="R18" i="5"/>
  <c r="R28" i="5" s="1"/>
  <c r="R30" i="5" s="1"/>
  <c r="L24" i="5"/>
  <c r="M25" i="5" s="1"/>
  <c r="P19" i="5"/>
  <c r="O19" i="5"/>
  <c r="J122" i="4"/>
  <c r="J147" i="4" s="1"/>
  <c r="O13" i="4"/>
  <c r="U63" i="4"/>
  <c r="R120" i="4"/>
  <c r="U120" i="4" s="1"/>
  <c r="N133" i="4"/>
  <c r="N135" i="4" s="1"/>
  <c r="J91" i="4"/>
  <c r="U121" i="4"/>
  <c r="J85" i="4"/>
  <c r="N76" i="4"/>
  <c r="J90" i="4"/>
  <c r="J89" i="4"/>
  <c r="U143" i="4"/>
  <c r="N85" i="4"/>
  <c r="R84" i="4"/>
  <c r="R85" i="4" s="1"/>
  <c r="U10" i="4"/>
  <c r="N122" i="4"/>
  <c r="N147" i="4" s="1"/>
  <c r="O148" i="4" s="1"/>
  <c r="S108" i="4"/>
  <c r="S68" i="4"/>
  <c r="S76" i="4" s="1"/>
  <c r="U76" i="4" s="1"/>
  <c r="J58" i="4"/>
  <c r="J88" i="4" s="1"/>
  <c r="P88" i="4"/>
  <c r="S88" i="4" s="1"/>
  <c r="N90" i="4"/>
  <c r="N89" i="4"/>
  <c r="P22" i="4"/>
  <c r="P23" i="4"/>
  <c r="S50" i="4"/>
  <c r="U50" i="4" s="1"/>
  <c r="J13" i="4"/>
  <c r="U102" i="4"/>
  <c r="J21" i="4"/>
  <c r="J23" i="4" s="1"/>
  <c r="J14" i="4"/>
  <c r="U104" i="4"/>
  <c r="N30" i="4"/>
  <c r="N32" i="4" s="1"/>
  <c r="O33" i="4" s="1"/>
  <c r="N22" i="4"/>
  <c r="P122" i="4"/>
  <c r="P147" i="4" s="1"/>
  <c r="P148" i="4" s="1"/>
  <c r="I127" i="4"/>
  <c r="U118" i="4"/>
  <c r="U134" i="4"/>
  <c r="O22" i="4"/>
  <c r="R21" i="4"/>
  <c r="R30" i="4" s="1"/>
  <c r="R32" i="4" s="1"/>
  <c r="R34" i="4" s="1"/>
  <c r="U126" i="4"/>
  <c r="U112" i="4"/>
  <c r="S106" i="4"/>
  <c r="U101" i="4"/>
  <c r="L127" i="4"/>
  <c r="U117" i="4"/>
  <c r="R108" i="4"/>
  <c r="H22" i="4"/>
  <c r="H30" i="4"/>
  <c r="H32" i="4" s="1"/>
  <c r="H23" i="4"/>
  <c r="I22" i="4"/>
  <c r="L122" i="4"/>
  <c r="L147" i="4" s="1"/>
  <c r="C30" i="4"/>
  <c r="C32" i="4" s="1"/>
  <c r="C34" i="4" s="1"/>
  <c r="C23" i="4"/>
  <c r="K30" i="4"/>
  <c r="K32" i="4" s="1"/>
  <c r="E28" i="5"/>
  <c r="H28" i="5"/>
  <c r="H25" i="5"/>
  <c r="J25" i="5"/>
  <c r="J28" i="5"/>
  <c r="S11" i="5"/>
  <c r="U9" i="5"/>
  <c r="I28" i="5"/>
  <c r="I25" i="5"/>
  <c r="O28" i="5"/>
  <c r="O25" i="5"/>
  <c r="D25" i="5"/>
  <c r="D28" i="5"/>
  <c r="G28" i="5"/>
  <c r="M28" i="5"/>
  <c r="P28" i="5"/>
  <c r="P25" i="5"/>
  <c r="N28" i="5"/>
  <c r="N25" i="5"/>
  <c r="O34" i="4"/>
  <c r="H122" i="4"/>
  <c r="H147" i="4" s="1"/>
  <c r="H148" i="4" s="1"/>
  <c r="M30" i="4"/>
  <c r="M32" i="4" s="1"/>
  <c r="M22" i="4"/>
  <c r="M23" i="4"/>
  <c r="M135" i="4"/>
  <c r="E30" i="4"/>
  <c r="E32" i="4" s="1"/>
  <c r="E22" i="4"/>
  <c r="E23" i="4"/>
  <c r="R127" i="4"/>
  <c r="R100" i="4"/>
  <c r="L30" i="4"/>
  <c r="L32" i="4" s="1"/>
  <c r="L23" i="4"/>
  <c r="L22" i="4"/>
  <c r="R97" i="4"/>
  <c r="M127" i="4"/>
  <c r="S103" i="4"/>
  <c r="U103" i="4" s="1"/>
  <c r="S125" i="4"/>
  <c r="G34" i="4"/>
  <c r="H135" i="4"/>
  <c r="U12" i="4"/>
  <c r="S14" i="4"/>
  <c r="U14" i="4" s="1"/>
  <c r="S13" i="4"/>
  <c r="S21" i="4"/>
  <c r="U119" i="4"/>
  <c r="P33" i="4"/>
  <c r="D30" i="4"/>
  <c r="D32" i="4" s="1"/>
  <c r="D22" i="4"/>
  <c r="D23" i="4"/>
  <c r="K122" i="4"/>
  <c r="K147" i="4" s="1"/>
  <c r="L25" i="5" l="1"/>
  <c r="R24" i="5"/>
  <c r="R33" i="5"/>
  <c r="R35" i="5" s="1"/>
  <c r="L28" i="5"/>
  <c r="K28" i="5"/>
  <c r="K30" i="5" s="1"/>
  <c r="K25" i="5"/>
  <c r="K148" i="4"/>
  <c r="S133" i="4"/>
  <c r="U133" i="4" s="1"/>
  <c r="U84" i="4"/>
  <c r="S135" i="4"/>
  <c r="U108" i="4"/>
  <c r="U68" i="4"/>
  <c r="S58" i="4"/>
  <c r="U58" i="4" s="1"/>
  <c r="J30" i="4"/>
  <c r="J32" i="4" s="1"/>
  <c r="J34" i="4" s="1"/>
  <c r="J22" i="4"/>
  <c r="N34" i="4"/>
  <c r="N33" i="4"/>
  <c r="K22" i="4"/>
  <c r="R23" i="4"/>
  <c r="I33" i="4"/>
  <c r="H33" i="4"/>
  <c r="H34" i="4"/>
  <c r="K34" i="4"/>
  <c r="S85" i="4"/>
  <c r="U85" i="4" s="1"/>
  <c r="E30" i="5"/>
  <c r="E33" i="5"/>
  <c r="E29" i="5"/>
  <c r="O33" i="5"/>
  <c r="O29" i="5"/>
  <c r="O30" i="5"/>
  <c r="M30" i="5"/>
  <c r="M33" i="5"/>
  <c r="S18" i="5"/>
  <c r="U11" i="5"/>
  <c r="L30" i="5"/>
  <c r="L33" i="5"/>
  <c r="I29" i="5"/>
  <c r="I30" i="5"/>
  <c r="I33" i="5"/>
  <c r="H33" i="5"/>
  <c r="H29" i="5"/>
  <c r="H30" i="5"/>
  <c r="N33" i="5"/>
  <c r="N29" i="5"/>
  <c r="N30" i="5"/>
  <c r="G33" i="5"/>
  <c r="G30" i="5"/>
  <c r="P33" i="5"/>
  <c r="P29" i="5"/>
  <c r="P30" i="5"/>
  <c r="D30" i="5"/>
  <c r="D33" i="5"/>
  <c r="D29" i="5"/>
  <c r="J29" i="5"/>
  <c r="J30" i="5"/>
  <c r="J33" i="5"/>
  <c r="S100" i="4"/>
  <c r="M122" i="4"/>
  <c r="M147" i="4" s="1"/>
  <c r="E34" i="4"/>
  <c r="E33" i="4"/>
  <c r="M33" i="4"/>
  <c r="M34" i="4"/>
  <c r="S23" i="4"/>
  <c r="S22" i="4"/>
  <c r="U21" i="4"/>
  <c r="S30" i="4"/>
  <c r="U97" i="4"/>
  <c r="U125" i="4"/>
  <c r="S127" i="4"/>
  <c r="U127" i="4" s="1"/>
  <c r="L34" i="4"/>
  <c r="L33" i="4"/>
  <c r="D34" i="4"/>
  <c r="D33" i="4"/>
  <c r="I135" i="4"/>
  <c r="R130" i="4"/>
  <c r="L148" i="4"/>
  <c r="L29" i="5" l="1"/>
  <c r="K33" i="5"/>
  <c r="K29" i="5"/>
  <c r="M29" i="5"/>
  <c r="J33" i="4"/>
  <c r="K33" i="4"/>
  <c r="U23" i="4"/>
  <c r="P34" i="5"/>
  <c r="P35" i="5"/>
  <c r="D35" i="5"/>
  <c r="D34" i="5"/>
  <c r="O34" i="5"/>
  <c r="O35" i="5"/>
  <c r="I34" i="5"/>
  <c r="I35" i="5"/>
  <c r="G35" i="5"/>
  <c r="M34" i="5"/>
  <c r="M35" i="5"/>
  <c r="K34" i="5"/>
  <c r="K35" i="5"/>
  <c r="L35" i="5"/>
  <c r="L34" i="5"/>
  <c r="N34" i="5"/>
  <c r="N35" i="5"/>
  <c r="J35" i="5"/>
  <c r="J34" i="5"/>
  <c r="H34" i="5"/>
  <c r="H35" i="5"/>
  <c r="S24" i="5"/>
  <c r="S19" i="5"/>
  <c r="S28" i="5" s="1"/>
  <c r="U18" i="5"/>
  <c r="S33" i="5"/>
  <c r="E34" i="5"/>
  <c r="E35" i="5"/>
  <c r="R135" i="4"/>
  <c r="U135" i="4" s="1"/>
  <c r="U130" i="4"/>
  <c r="S32" i="4"/>
  <c r="U30" i="4"/>
  <c r="R106" i="4"/>
  <c r="I122" i="4"/>
  <c r="I147" i="4" s="1"/>
  <c r="S147" i="4"/>
  <c r="M148" i="4"/>
  <c r="N148" i="4"/>
  <c r="U100" i="4"/>
  <c r="S122" i="4"/>
  <c r="U28" i="5" l="1"/>
  <c r="S30" i="5"/>
  <c r="S29" i="5"/>
  <c r="U24" i="5"/>
  <c r="S25" i="5"/>
  <c r="S35" i="5"/>
  <c r="S34" i="5"/>
  <c r="U33" i="5"/>
  <c r="U106" i="4"/>
  <c r="R122" i="4"/>
  <c r="U122" i="4" s="1"/>
  <c r="I148" i="4"/>
  <c r="R147" i="4"/>
  <c r="J148" i="4"/>
  <c r="S34" i="4"/>
  <c r="U34" i="4" s="1"/>
  <c r="S33" i="4"/>
  <c r="U32" i="4"/>
  <c r="S148" i="4" l="1"/>
  <c r="U147" i="4"/>
</calcChain>
</file>

<file path=xl/sharedStrings.xml><?xml version="1.0" encoding="utf-8"?>
<sst xmlns="http://schemas.openxmlformats.org/spreadsheetml/2006/main" count="208" uniqueCount="155">
  <si>
    <t>Cash and cash equivalents</t>
  </si>
  <si>
    <t>Restricted cash</t>
  </si>
  <si>
    <t>Manufacturing inventories</t>
  </si>
  <si>
    <t>Service parts inventories</t>
  </si>
  <si>
    <t>Prepaid expenses</t>
  </si>
  <si>
    <t>Other current assets</t>
  </si>
  <si>
    <t>Total current assets</t>
  </si>
  <si>
    <t>Property and equipment, net</t>
  </si>
  <si>
    <t>Intangible assets, net</t>
  </si>
  <si>
    <t>Goodwill</t>
  </si>
  <si>
    <t>Right-of-use assets, net</t>
  </si>
  <si>
    <t>Other long-term assets</t>
  </si>
  <si>
    <t>Total assets</t>
  </si>
  <si>
    <t>Accounts payable</t>
  </si>
  <si>
    <t>Accrued compensation</t>
  </si>
  <si>
    <t>Deferred revenue, current portion</t>
  </si>
  <si>
    <t>Term debt, current portion</t>
  </si>
  <si>
    <t>Revolving credit facility</t>
  </si>
  <si>
    <t>Warrant liabilities</t>
  </si>
  <si>
    <t>Other accrued liabilities</t>
  </si>
  <si>
    <t>Total current liabilities</t>
  </si>
  <si>
    <t>Deferred revenue, net of current portion</t>
  </si>
  <si>
    <t>Term debt, net of current portion</t>
  </si>
  <si>
    <t>Operating lease liabilities</t>
  </si>
  <si>
    <t>Other long-term liabilities</t>
  </si>
  <si>
    <t>Preferred stock, 20,000 shares authorized; no shares issued as of March 31, 2024, 2023 and 2022, respectively</t>
  </si>
  <si>
    <t>Common stock, $0.01 par value; 225,000 shares authorized; 95,850, 93,574 and 60,433 shares issued and outstanding at March 31, 2024, 2023 and 2022, respectively</t>
  </si>
  <si>
    <t>Additional paid-in capital</t>
  </si>
  <si>
    <t>Accumulated deficit</t>
  </si>
  <si>
    <t>Accumulated other comprehensive loss</t>
  </si>
  <si>
    <t>FYE</t>
  </si>
  <si>
    <t>Quarterly</t>
  </si>
  <si>
    <t>Q1'23</t>
  </si>
  <si>
    <t>Q2'23</t>
  </si>
  <si>
    <t>Q3'23</t>
  </si>
  <si>
    <t>Q4'23</t>
  </si>
  <si>
    <t>Q1'24</t>
  </si>
  <si>
    <t>Q2'24</t>
  </si>
  <si>
    <t>Q3'24</t>
  </si>
  <si>
    <t>Q4'24</t>
  </si>
  <si>
    <t>LTM</t>
  </si>
  <si>
    <t>Revenue</t>
  </si>
  <si>
    <t>Cost of revenue</t>
  </si>
  <si>
    <t>Sales and marketing</t>
  </si>
  <si>
    <t>General and administrative</t>
  </si>
  <si>
    <t>Research and development</t>
  </si>
  <si>
    <t>Restructuring charges</t>
  </si>
  <si>
    <t>Other income (expense), net</t>
  </si>
  <si>
    <t>Interest expense</t>
  </si>
  <si>
    <t>Change in fair value of warrant liability</t>
  </si>
  <si>
    <t>Loss on debt extinguishment, net</t>
  </si>
  <si>
    <t>Income tax provision</t>
  </si>
  <si>
    <t>Net income (loss)</t>
  </si>
  <si>
    <t>Net income (loss) per share attributable to common stockholders - basic (in dollars per share)</t>
  </si>
  <si>
    <t>Weighted average shares - diluted (in shares)</t>
  </si>
  <si>
    <t>Adjustments to reconcile net income (loss) to net cash used in operating activities:</t>
  </si>
  <si>
    <t>Depreciation and amortization</t>
  </si>
  <si>
    <t>Amortization of debt issuance costs</t>
  </si>
  <si>
    <t>Long-term debt related costs</t>
  </si>
  <si>
    <t>Provision for manufacturing and service inventories</t>
  </si>
  <si>
    <t>Stock-based compensation</t>
  </si>
  <si>
    <t>Change in fair value of warrant liabilities</t>
  </si>
  <si>
    <t>Other non-cash</t>
  </si>
  <si>
    <t>Changes in assets and liabilities, net of effect of acquisitions:</t>
  </si>
  <si>
    <t>Accounts receivable</t>
  </si>
  <si>
    <t>Deferred revenue</t>
  </si>
  <si>
    <t>Accrued restructuring charges</t>
  </si>
  <si>
    <t>Other assets</t>
  </si>
  <si>
    <t>Other liabilities</t>
  </si>
  <si>
    <t>Net cash used in operating activities</t>
  </si>
  <si>
    <t>Purchases of property and equipment</t>
  </si>
  <si>
    <t>Business acquisitions</t>
  </si>
  <si>
    <t>Net cash used in investing activities</t>
  </si>
  <si>
    <t>Borrowings of long-term debt, net of debt issuance costs</t>
  </si>
  <si>
    <t>Borrowings of credit facility</t>
  </si>
  <si>
    <t>Proceeds from issuance of common stock</t>
  </si>
  <si>
    <t>Net cash provided by financing activities</t>
  </si>
  <si>
    <t>Effect of exchange rate changes on cash and cash equivalents</t>
  </si>
  <si>
    <t>Net change in cash, cash equivalents, and restricted cash</t>
  </si>
  <si>
    <t>Cash, cash equivalents, and restricted cash at beginning of period</t>
  </si>
  <si>
    <t>Cash, cash equivalents, and restricted cash at end of period</t>
  </si>
  <si>
    <t>Supplemental disclosure of cash flow information</t>
  </si>
  <si>
    <t>Cash paid for interest</t>
  </si>
  <si>
    <t>Cash paid for income taxes, net of refunds</t>
  </si>
  <si>
    <t>Q1'25</t>
  </si>
  <si>
    <t>Q2'25</t>
  </si>
  <si>
    <t>Paid in kind interest</t>
  </si>
  <si>
    <t>Repayments of long-term debt and payment of amendment fees</t>
  </si>
  <si>
    <t>Repayments of credit facility and payment of amendment fees</t>
  </si>
  <si>
    <t>Unrealized foreign exchange loss</t>
  </si>
  <si>
    <t>V</t>
  </si>
  <si>
    <t>(In Thousands)</t>
  </si>
  <si>
    <t>LTM VAR</t>
  </si>
  <si>
    <t>X</t>
  </si>
  <si>
    <t xml:space="preserve">Income Statement </t>
  </si>
  <si>
    <t>FY2021</t>
  </si>
  <si>
    <t>FY2022</t>
  </si>
  <si>
    <t>FY2023</t>
  </si>
  <si>
    <t>VAR</t>
  </si>
  <si>
    <t>Consolidated Statements of Income - USD ($) shares in Thousands</t>
  </si>
  <si>
    <t>Gross Profit</t>
  </si>
  <si>
    <t>Y/Y Growth, Q/Q Growth</t>
  </si>
  <si>
    <t>Gross Margin</t>
  </si>
  <si>
    <t>Interest income</t>
  </si>
  <si>
    <t>Operating expenses:</t>
  </si>
  <si>
    <t>Profit From Operations</t>
  </si>
  <si>
    <t>Operating Margin</t>
  </si>
  <si>
    <t>Net loss before provision for income taxes</t>
  </si>
  <si>
    <t>Net loss</t>
  </si>
  <si>
    <t>Net Margin</t>
  </si>
  <si>
    <t xml:space="preserve">Balance Sheet Statement </t>
  </si>
  <si>
    <t>Consolidated Balance Sheets - USD ($) $ in Millions</t>
  </si>
  <si>
    <t>Current Assets</t>
  </si>
  <si>
    <t>Long-Term Assets</t>
  </si>
  <si>
    <t>Current Liabilities</t>
  </si>
  <si>
    <t>Long-Term Liabilities</t>
  </si>
  <si>
    <t>Total Liabilities</t>
  </si>
  <si>
    <t>Stockholders’ equity (deficit):</t>
  </si>
  <si>
    <t>Total stockholders' equity</t>
  </si>
  <si>
    <t>Total liabilities and stockholders' equity</t>
  </si>
  <si>
    <t>Ratio Analysis</t>
  </si>
  <si>
    <t>Debt-to Asset</t>
  </si>
  <si>
    <t>Quick Ratio</t>
  </si>
  <si>
    <t>Current Ratio</t>
  </si>
  <si>
    <t>Cash Ratio</t>
  </si>
  <si>
    <t>Cash-Flows Statement</t>
  </si>
  <si>
    <t>Consolidated Statements of Cash Flows - USD ($) $ in Millions</t>
  </si>
  <si>
    <t>CASH FLOWS FROM OPERATING ACTIVITIES:</t>
  </si>
  <si>
    <t>Cash flows from investing activities:</t>
  </si>
  <si>
    <t>Cash flows from financing activities:</t>
  </si>
  <si>
    <t>Cash-Flows Analysis</t>
  </si>
  <si>
    <t>Free-Cash Flow</t>
  </si>
  <si>
    <t>FCF Analysis</t>
  </si>
  <si>
    <t>Earnings Before Interest &amp; Taxes (EBIT)</t>
  </si>
  <si>
    <t>EBITDA Add-Backs:</t>
  </si>
  <si>
    <t>EBITDA</t>
  </si>
  <si>
    <t>EBITDA Margin</t>
  </si>
  <si>
    <t>Adjusted EBITDA Add-Backs:</t>
  </si>
  <si>
    <t>Adjusted EBITDA</t>
  </si>
  <si>
    <t>Adjusted EBITDA Margin</t>
  </si>
  <si>
    <t>Company Name</t>
  </si>
  <si>
    <t xml:space="preserve">Ticker </t>
  </si>
  <si>
    <t xml:space="preserve">Background </t>
  </si>
  <si>
    <t xml:space="preserve">Snapshot </t>
  </si>
  <si>
    <t>Equity Value</t>
  </si>
  <si>
    <t>Cash Position</t>
  </si>
  <si>
    <t>Total Debt</t>
  </si>
  <si>
    <t xml:space="preserve">Enterprise Value </t>
  </si>
  <si>
    <t>LTM Revenue</t>
  </si>
  <si>
    <t>LTM Adjusted EBITDA</t>
  </si>
  <si>
    <t>Quantum Corporation  (NASDAQ:QMCO)</t>
  </si>
  <si>
    <t>FY2024</t>
  </si>
  <si>
    <t xml:space="preserve">Quantum Corporation  </t>
  </si>
  <si>
    <t>QMCO</t>
  </si>
  <si>
    <t>Quantum delivers end-to-end data management solutions designed for unstructured data in the artificial intelligence ("AI") era. From high-performance ingest that powers AI applications and demanding data-intensive workloads to massive, durable data lakes to fuel AI models, Quantum delivers one of the most comprehensive and cost-efficient solutions for the entire data lifecycle. We specialize in solutions for video, images, audio, and other large files because this unstructured data represents more than 80% of all data being created according to leading industry analyst firms. Unstructured data poses both immense potential and significant challenges for organizations looking to retain and analyze their data for AI and other initiatives. Effectively managing and leveraging this
data with an intelligent data management platform is not just an option but a necessity for businesses aiming to uncover hidden insights and create value. Unstructured data is exponentially larger than traditional corporate data, contains tremendous value, and must be captured, protected, and stored for many years, decades, and longer. It is no longer just about storing data— organizations need to extract value from their unique data to gain a competitive advantage. Locked inside video, imagery, security camera footage, scientific data sets, and other sensor-derived data is a wealth of information for informed decisionmaking.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</si>
</sst>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quot;$ &quot;#,##0_);_(&quot;$ &quot;\(#,##0\)"/>
    <numFmt numFmtId="166" formatCode="&quot;$&quot;#,##0"/>
    <numFmt numFmtId="167" formatCode="0.00&quot;x&quot;"/>
    <numFmt numFmtId="168" formatCode="_(* #,##0_);_(* \(#,##0\);_(* &quot;-&quot;??_);_(@_)"/>
  </numFmts>
  <fonts count="32" x14ac:knownFonts="1">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b/>
      <sz val="11"/>
      <name val="Calibri"/>
      <family val="2"/>
    </font>
    <font>
      <sz val="11"/>
      <name val="Calibri"/>
      <family val="2"/>
    </font>
    <font>
      <i/>
      <sz val="11"/>
      <color theme="0"/>
      <name val="Aptos Narrow"/>
      <family val="2"/>
      <scheme val="minor"/>
    </font>
    <font>
      <b/>
      <sz val="12"/>
      <color theme="0"/>
      <name val="Aptos Narrow"/>
      <family val="2"/>
      <scheme val="minor"/>
    </font>
    <font>
      <i/>
      <sz val="11"/>
      <color theme="0"/>
      <name val="Calibri"/>
      <family val="2"/>
    </font>
    <font>
      <sz val="11"/>
      <color rgb="FF0000CC"/>
      <name val="Calibri"/>
      <family val="2"/>
    </font>
    <font>
      <sz val="11"/>
      <color rgb="FF0000FF"/>
      <name val="Calibri"/>
      <family val="2"/>
    </font>
    <font>
      <sz val="11"/>
      <color theme="1"/>
      <name val="Calibri"/>
      <family val="2"/>
    </font>
    <font>
      <i/>
      <sz val="9"/>
      <color theme="1"/>
      <name val="Aptos Narrow"/>
      <family val="2"/>
      <scheme val="minor"/>
    </font>
    <font>
      <b/>
      <sz val="11"/>
      <color theme="1"/>
      <name val="Calibri"/>
      <family val="2"/>
    </font>
    <font>
      <b/>
      <i/>
      <sz val="9"/>
      <color theme="1"/>
      <name val="Aptos Narrow"/>
      <family val="2"/>
      <scheme val="minor"/>
    </font>
    <font>
      <i/>
      <sz val="10"/>
      <name val="Calibri"/>
      <family val="2"/>
    </font>
    <font>
      <sz val="10"/>
      <name val="Calibri"/>
      <family val="2"/>
    </font>
    <font>
      <sz val="11"/>
      <color rgb="FF0000E1"/>
      <name val="Calibri"/>
      <family val="2"/>
    </font>
    <font>
      <sz val="11"/>
      <color theme="9" tint="-0.249977111117893"/>
      <name val="Calibri"/>
      <family val="2"/>
    </font>
    <font>
      <b/>
      <sz val="11"/>
      <color theme="0"/>
      <name val="Calibri"/>
      <family val="2"/>
    </font>
    <font>
      <b/>
      <sz val="12"/>
      <color theme="1"/>
      <name val="Aptos Narrow"/>
      <family val="2"/>
      <scheme val="minor"/>
    </font>
    <font>
      <b/>
      <sz val="11"/>
      <name val="Aptos Narrow"/>
      <family val="2"/>
      <scheme val="minor"/>
    </font>
    <font>
      <b/>
      <sz val="12"/>
      <name val="Aptos Narrow"/>
      <family val="2"/>
      <scheme val="minor"/>
    </font>
    <font>
      <b/>
      <sz val="11"/>
      <color rgb="FF0000CC"/>
      <name val="Calibri"/>
      <family val="2"/>
    </font>
    <font>
      <sz val="11"/>
      <color rgb="FF0000CC"/>
      <name val="Aptos Narrow"/>
      <family val="2"/>
      <scheme val="minor"/>
    </font>
    <font>
      <b/>
      <sz val="12"/>
      <color indexed="8"/>
      <name val="Calibri"/>
      <family val="2"/>
      <charset val="1"/>
    </font>
    <font>
      <b/>
      <sz val="11"/>
      <color rgb="FF0000FF"/>
      <name val="Calibri"/>
      <family val="2"/>
    </font>
    <font>
      <b/>
      <sz val="11"/>
      <color indexed="8"/>
      <name val="Calibri"/>
      <family val="2"/>
      <charset val="1"/>
    </font>
    <font>
      <i/>
      <sz val="11"/>
      <color theme="1"/>
      <name val="Aptos Narrow"/>
      <family val="2"/>
      <scheme val="minor"/>
    </font>
    <font>
      <sz val="11"/>
      <color rgb="FF0000FF"/>
      <name val="Aptos Narrow"/>
      <family val="2"/>
      <scheme val="minor"/>
    </font>
    <font>
      <sz val="11"/>
      <name val="Aptos Narrow"/>
      <family val="2"/>
      <scheme val="minor"/>
    </font>
  </fonts>
  <fills count="5">
    <fill>
      <patternFill patternType="none"/>
    </fill>
    <fill>
      <patternFill patternType="gray125"/>
    </fill>
    <fill>
      <patternFill patternType="solid">
        <fgColor rgb="FF002060"/>
        <bgColor indexed="64"/>
      </patternFill>
    </fill>
    <fill>
      <patternFill patternType="solid">
        <fgColor theme="0" tint="-0.14999847407452621"/>
        <bgColor indexed="64"/>
      </patternFill>
    </fill>
    <fill>
      <patternFill patternType="solid">
        <fgColor theme="3" tint="0.89999084444715716"/>
        <bgColor indexed="64"/>
      </patternFill>
    </fill>
  </fills>
  <borders count="13">
    <border>
      <left/>
      <right/>
      <top/>
      <bottom/>
      <diagonal/>
    </border>
    <border>
      <left/>
      <right/>
      <top style="thin">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84">
    <xf numFmtId="0" fontId="0" fillId="0" borderId="0" xfId="0"/>
    <xf numFmtId="37" fontId="6" fillId="0" borderId="0" xfId="0" applyNumberFormat="1" applyFont="1" applyAlignment="1">
      <alignment horizontal="right" vertical="top"/>
    </xf>
    <xf numFmtId="0" fontId="6" fillId="0" borderId="0" xfId="0" applyFont="1" applyAlignment="1">
      <alignment vertical="top" wrapText="1"/>
    </xf>
    <xf numFmtId="0" fontId="3" fillId="0" borderId="0" xfId="0" applyFont="1"/>
    <xf numFmtId="37" fontId="0" fillId="0" borderId="0" xfId="0" applyNumberFormat="1"/>
    <xf numFmtId="37" fontId="3" fillId="0" borderId="0" xfId="0" applyNumberFormat="1" applyFont="1"/>
    <xf numFmtId="0" fontId="0" fillId="0" borderId="0" xfId="0" applyAlignment="1">
      <alignment wrapText="1"/>
    </xf>
    <xf numFmtId="0" fontId="2" fillId="2" borderId="0" xfId="0" applyFont="1" applyFill="1" applyAlignment="1">
      <alignment wrapText="1"/>
    </xf>
    <xf numFmtId="0" fontId="0" fillId="2" borderId="0" xfId="0" applyFill="1" applyAlignment="1">
      <alignment wrapText="1"/>
    </xf>
    <xf numFmtId="0" fontId="7" fillId="2" borderId="0" xfId="0" applyFont="1" applyFill="1" applyAlignment="1">
      <alignment wrapText="1"/>
    </xf>
    <xf numFmtId="0" fontId="7" fillId="0" borderId="0" xfId="0" applyFont="1" applyAlignment="1">
      <alignment wrapText="1"/>
    </xf>
    <xf numFmtId="0" fontId="3" fillId="0" borderId="2" xfId="0" applyFont="1" applyBorder="1" applyAlignment="1">
      <alignment horizontal="centerContinuous" wrapText="1"/>
    </xf>
    <xf numFmtId="0" fontId="3" fillId="0" borderId="0" xfId="0" applyFont="1" applyAlignment="1">
      <alignment horizontal="centerContinuous" wrapText="1"/>
    </xf>
    <xf numFmtId="0" fontId="2" fillId="2" borderId="0" xfId="0" applyFont="1" applyFill="1" applyAlignment="1">
      <alignment horizontal="center" wrapText="1"/>
    </xf>
    <xf numFmtId="0" fontId="2" fillId="0" borderId="0" xfId="0" applyFont="1" applyAlignment="1">
      <alignment horizontal="center" wrapText="1"/>
    </xf>
    <xf numFmtId="0" fontId="8" fillId="2" borderId="0" xfId="0" applyFont="1" applyFill="1" applyAlignment="1">
      <alignment horizontal="center" vertical="center" wrapText="1"/>
    </xf>
    <xf numFmtId="0" fontId="9" fillId="2" borderId="0" xfId="0" applyFont="1" applyFill="1" applyAlignment="1">
      <alignment vertical="center"/>
    </xf>
    <xf numFmtId="14" fontId="7" fillId="2" borderId="0" xfId="0" applyNumberFormat="1" applyFont="1" applyFill="1" applyAlignment="1">
      <alignment horizontal="center" wrapText="1"/>
    </xf>
    <xf numFmtId="14" fontId="4" fillId="2" borderId="0" xfId="0" applyNumberFormat="1" applyFont="1" applyFill="1" applyAlignment="1">
      <alignment horizontal="center" wrapText="1"/>
    </xf>
    <xf numFmtId="14" fontId="7" fillId="0" borderId="0" xfId="0" applyNumberFormat="1" applyFont="1" applyAlignment="1">
      <alignment horizontal="center" wrapText="1"/>
    </xf>
    <xf numFmtId="0" fontId="9" fillId="0" borderId="0" xfId="0" applyFont="1" applyAlignment="1">
      <alignment vertical="center" wrapText="1"/>
    </xf>
    <xf numFmtId="14" fontId="2" fillId="0" borderId="0" xfId="0" applyNumberFormat="1" applyFont="1" applyAlignment="1">
      <alignment horizontal="center" wrapText="1"/>
    </xf>
    <xf numFmtId="37" fontId="10" fillId="0" borderId="0" xfId="0" applyNumberFormat="1" applyFont="1" applyAlignment="1">
      <alignment horizontal="right" vertical="top" wrapText="1"/>
    </xf>
    <xf numFmtId="37" fontId="0" fillId="0" borderId="0" xfId="0" applyNumberFormat="1" applyAlignment="1">
      <alignment wrapText="1"/>
    </xf>
    <xf numFmtId="37" fontId="11" fillId="0" borderId="0" xfId="0" applyNumberFormat="1" applyFont="1" applyAlignment="1">
      <alignment horizontal="right" vertical="top" wrapText="1"/>
    </xf>
    <xf numFmtId="37" fontId="12" fillId="0" borderId="0" xfId="0" applyNumberFormat="1" applyFont="1" applyAlignment="1">
      <alignment wrapText="1"/>
    </xf>
    <xf numFmtId="164" fontId="12" fillId="0" borderId="0" xfId="0" applyNumberFormat="1" applyFont="1" applyAlignment="1">
      <alignment wrapText="1"/>
    </xf>
    <xf numFmtId="10" fontId="13" fillId="3" borderId="0" xfId="2" applyNumberFormat="1" applyFont="1" applyFill="1" applyAlignment="1">
      <alignment horizontal="center" wrapText="1"/>
    </xf>
    <xf numFmtId="0" fontId="6" fillId="0" borderId="0" xfId="0" applyFont="1" applyAlignment="1">
      <alignment horizontal="left" vertical="top" wrapText="1" indent="1"/>
    </xf>
    <xf numFmtId="166" fontId="5" fillId="0" borderId="1" xfId="0" applyNumberFormat="1" applyFont="1" applyBorder="1" applyAlignment="1">
      <alignment vertical="top" wrapText="1"/>
    </xf>
    <xf numFmtId="37" fontId="5" fillId="0" borderId="1" xfId="0" applyNumberFormat="1" applyFont="1" applyBorder="1" applyAlignment="1">
      <alignment horizontal="right" vertical="top" wrapText="1"/>
    </xf>
    <xf numFmtId="166" fontId="5" fillId="0" borderId="1" xfId="0" applyNumberFormat="1" applyFont="1" applyBorder="1" applyAlignment="1">
      <alignment horizontal="right" vertical="top" wrapText="1"/>
    </xf>
    <xf numFmtId="164" fontId="14" fillId="0" borderId="0" xfId="0" applyNumberFormat="1" applyFont="1" applyAlignment="1">
      <alignment wrapText="1"/>
    </xf>
    <xf numFmtId="10" fontId="15" fillId="3" borderId="0" xfId="2" applyNumberFormat="1" applyFont="1" applyFill="1" applyAlignment="1">
      <alignment horizontal="center" wrapText="1"/>
    </xf>
    <xf numFmtId="0" fontId="16" fillId="0" borderId="0" xfId="0" applyFont="1" applyAlignment="1">
      <alignment horizontal="right" vertical="center" wrapText="1"/>
    </xf>
    <xf numFmtId="166" fontId="5" fillId="0" borderId="0" xfId="0" applyNumberFormat="1" applyFont="1" applyAlignment="1">
      <alignment horizontal="right" vertical="top" wrapText="1"/>
    </xf>
    <xf numFmtId="9" fontId="17" fillId="0" borderId="0" xfId="2" applyFont="1" applyBorder="1" applyAlignment="1">
      <alignment horizontal="right" vertical="center" wrapText="1"/>
    </xf>
    <xf numFmtId="10" fontId="15" fillId="0" borderId="0" xfId="2" applyNumberFormat="1" applyFont="1" applyFill="1" applyAlignment="1">
      <alignment horizontal="center" wrapText="1"/>
    </xf>
    <xf numFmtId="166" fontId="5" fillId="0" borderId="0" xfId="0" applyNumberFormat="1" applyFont="1" applyAlignment="1">
      <alignment vertical="top" wrapText="1"/>
    </xf>
    <xf numFmtId="0" fontId="12" fillId="0" borderId="0" xfId="0" applyFont="1" applyAlignment="1">
      <alignment wrapText="1"/>
    </xf>
    <xf numFmtId="0" fontId="0" fillId="0" borderId="0" xfId="0" applyAlignment="1">
      <alignment horizontal="center" wrapText="1"/>
    </xf>
    <xf numFmtId="0" fontId="5" fillId="0" borderId="0" xfId="0" applyFont="1" applyAlignment="1">
      <alignment vertical="top" wrapText="1"/>
    </xf>
    <xf numFmtId="37" fontId="6" fillId="0" borderId="0" xfId="0" applyNumberFormat="1" applyFont="1" applyAlignment="1">
      <alignment horizontal="right" vertical="top" wrapText="1"/>
    </xf>
    <xf numFmtId="10" fontId="13" fillId="0" borderId="0" xfId="2" applyNumberFormat="1" applyFont="1" applyFill="1" applyAlignment="1">
      <alignment horizontal="center" wrapText="1"/>
    </xf>
    <xf numFmtId="0" fontId="5" fillId="0" borderId="1" xfId="0" applyFont="1" applyBorder="1" applyAlignment="1">
      <alignment vertical="top" wrapText="1"/>
    </xf>
    <xf numFmtId="39" fontId="17" fillId="0" borderId="0" xfId="0" applyNumberFormat="1" applyFont="1" applyAlignment="1">
      <alignment horizontal="right" vertical="center" wrapText="1"/>
    </xf>
    <xf numFmtId="9" fontId="17" fillId="0" borderId="0" xfId="2" applyFont="1" applyFill="1" applyBorder="1" applyAlignment="1">
      <alignment horizontal="right" vertical="center" wrapText="1"/>
    </xf>
    <xf numFmtId="0" fontId="6" fillId="0" borderId="0" xfId="0" applyFont="1" applyAlignment="1">
      <alignment horizontal="left" vertical="top" wrapText="1"/>
    </xf>
    <xf numFmtId="0" fontId="3" fillId="0" borderId="1" xfId="0" applyFont="1" applyBorder="1"/>
    <xf numFmtId="0" fontId="0" fillId="0" borderId="3" xfId="0" applyBorder="1"/>
    <xf numFmtId="9" fontId="6" fillId="0" borderId="0" xfId="2" applyFont="1" applyBorder="1" applyAlignment="1">
      <alignment horizontal="right" vertical="center"/>
    </xf>
    <xf numFmtId="0" fontId="0" fillId="0" borderId="6" xfId="0" applyBorder="1"/>
    <xf numFmtId="37" fontId="18" fillId="0" borderId="2" xfId="0" applyNumberFormat="1" applyFont="1" applyBorder="1" applyAlignment="1">
      <alignment horizontal="right" vertical="center"/>
    </xf>
    <xf numFmtId="37" fontId="18" fillId="0" borderId="2" xfId="2" applyNumberFormat="1" applyFont="1" applyBorder="1" applyAlignment="1">
      <alignment horizontal="right" vertical="center"/>
    </xf>
    <xf numFmtId="37" fontId="18" fillId="0" borderId="7" xfId="2" applyNumberFormat="1" applyFont="1" applyBorder="1" applyAlignment="1">
      <alignment horizontal="right" vertical="center"/>
    </xf>
    <xf numFmtId="37" fontId="19" fillId="0" borderId="2" xfId="2" applyNumberFormat="1" applyFont="1" applyBorder="1" applyAlignment="1">
      <alignment horizontal="right" vertical="center"/>
    </xf>
    <xf numFmtId="0" fontId="20" fillId="2" borderId="0" xfId="0" applyFont="1" applyFill="1" applyAlignment="1">
      <alignment horizontal="center" vertical="center" wrapText="1"/>
    </xf>
    <xf numFmtId="0" fontId="9" fillId="2" borderId="0" xfId="0" applyFont="1" applyFill="1" applyAlignment="1">
      <alignment horizontal="left" vertical="center" wrapText="1"/>
    </xf>
    <xf numFmtId="0" fontId="9" fillId="2" borderId="0" xfId="0" applyFont="1" applyFill="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horizontal="center" vertical="center" wrapText="1"/>
    </xf>
    <xf numFmtId="37" fontId="3" fillId="0" borderId="1" xfId="0" applyNumberFormat="1" applyFont="1" applyBorder="1" applyAlignment="1">
      <alignment wrapText="1"/>
    </xf>
    <xf numFmtId="37" fontId="21" fillId="0" borderId="0" xfId="0" applyNumberFormat="1" applyFont="1" applyAlignment="1">
      <alignment wrapText="1"/>
    </xf>
    <xf numFmtId="37" fontId="3" fillId="0" borderId="0" xfId="0" applyNumberFormat="1" applyFont="1" applyAlignment="1">
      <alignment wrapText="1"/>
    </xf>
    <xf numFmtId="37" fontId="5" fillId="0" borderId="0" xfId="0" applyNumberFormat="1" applyFont="1" applyAlignment="1">
      <alignment horizontal="right" vertical="top" wrapText="1"/>
    </xf>
    <xf numFmtId="37" fontId="18" fillId="0" borderId="0" xfId="0" applyNumberFormat="1" applyFont="1" applyAlignment="1">
      <alignment horizontal="right" vertical="top" wrapText="1"/>
    </xf>
    <xf numFmtId="37" fontId="22" fillId="0" borderId="1" xfId="0" applyNumberFormat="1" applyFont="1" applyBorder="1" applyAlignment="1">
      <alignment wrapText="1"/>
    </xf>
    <xf numFmtId="37" fontId="23" fillId="0" borderId="0" xfId="0" applyNumberFormat="1" applyFont="1" applyAlignment="1">
      <alignment wrapText="1"/>
    </xf>
    <xf numFmtId="37" fontId="24" fillId="0" borderId="0" xfId="0" applyNumberFormat="1" applyFont="1" applyAlignment="1">
      <alignment horizontal="right" vertical="top" wrapText="1"/>
    </xf>
    <xf numFmtId="0" fontId="21" fillId="0" borderId="0" xfId="0" applyFont="1" applyAlignment="1">
      <alignment wrapText="1"/>
    </xf>
    <xf numFmtId="0" fontId="6" fillId="0" borderId="0" xfId="0" applyFont="1" applyAlignment="1">
      <alignment horizontal="left" vertical="top" indent="1"/>
    </xf>
    <xf numFmtId="37" fontId="22" fillId="0" borderId="0" xfId="0" applyNumberFormat="1" applyFont="1" applyAlignment="1">
      <alignment wrapText="1"/>
    </xf>
    <xf numFmtId="37" fontId="11" fillId="0" borderId="0" xfId="0" applyNumberFormat="1" applyFont="1" applyAlignment="1">
      <alignment wrapText="1"/>
    </xf>
    <xf numFmtId="0" fontId="11" fillId="0" borderId="0" xfId="0" applyFont="1" applyAlignment="1">
      <alignment wrapText="1"/>
    </xf>
    <xf numFmtId="37" fontId="25" fillId="0" borderId="0" xfId="0" applyNumberFormat="1" applyFont="1" applyAlignment="1">
      <alignment wrapText="1"/>
    </xf>
    <xf numFmtId="0" fontId="18" fillId="0" borderId="0" xfId="0" applyFont="1" applyAlignment="1">
      <alignment wrapText="1"/>
    </xf>
    <xf numFmtId="37" fontId="18" fillId="0" borderId="0" xfId="0" applyNumberFormat="1" applyFont="1" applyAlignment="1">
      <alignment wrapText="1"/>
    </xf>
    <xf numFmtId="37" fontId="18" fillId="0" borderId="0" xfId="0" applyNumberFormat="1" applyFont="1" applyAlignment="1">
      <alignment vertical="top" wrapText="1"/>
    </xf>
    <xf numFmtId="37" fontId="11" fillId="0" borderId="0" xfId="0" applyNumberFormat="1" applyFont="1" applyAlignment="1">
      <alignment vertical="top" wrapText="1"/>
    </xf>
    <xf numFmtId="37" fontId="5" fillId="0" borderId="1" xfId="0" applyNumberFormat="1" applyFont="1" applyBorder="1" applyAlignment="1">
      <alignment wrapText="1"/>
    </xf>
    <xf numFmtId="0" fontId="5" fillId="0" borderId="0" xfId="0" applyFont="1" applyAlignment="1">
      <alignment wrapText="1"/>
    </xf>
    <xf numFmtId="37" fontId="6" fillId="0" borderId="0" xfId="0" applyNumberFormat="1" applyFont="1" applyAlignment="1">
      <alignment wrapText="1"/>
    </xf>
    <xf numFmtId="0" fontId="5" fillId="4" borderId="3" xfId="0" applyFont="1" applyFill="1" applyBorder="1" applyAlignment="1">
      <alignment vertical="top"/>
    </xf>
    <xf numFmtId="37" fontId="6" fillId="4" borderId="4" xfId="0" applyNumberFormat="1" applyFont="1" applyFill="1" applyBorder="1"/>
    <xf numFmtId="37" fontId="6" fillId="4" borderId="5" xfId="0" applyNumberFormat="1" applyFont="1" applyFill="1" applyBorder="1"/>
    <xf numFmtId="37" fontId="6" fillId="4" borderId="3" xfId="0" applyNumberFormat="1" applyFont="1" applyFill="1" applyBorder="1"/>
    <xf numFmtId="37" fontId="6" fillId="4" borderId="3" xfId="0" applyNumberFormat="1" applyFont="1" applyFill="1" applyBorder="1" applyAlignment="1">
      <alignment wrapText="1"/>
    </xf>
    <xf numFmtId="37" fontId="6" fillId="4" borderId="5" xfId="0" applyNumberFormat="1" applyFont="1" applyFill="1" applyBorder="1" applyAlignment="1">
      <alignment wrapText="1"/>
    </xf>
    <xf numFmtId="0" fontId="6" fillId="4" borderId="8" xfId="0" applyFont="1" applyFill="1" applyBorder="1" applyAlignment="1">
      <alignment horizontal="left" vertical="top" indent="1"/>
    </xf>
    <xf numFmtId="167" fontId="6" fillId="4" borderId="9" xfId="0" applyNumberFormat="1" applyFont="1" applyFill="1" applyBorder="1" applyAlignment="1">
      <alignment horizontal="center" vertical="center"/>
    </xf>
    <xf numFmtId="167" fontId="6" fillId="4" borderId="8" xfId="0" applyNumberFormat="1" applyFont="1" applyFill="1" applyBorder="1" applyAlignment="1">
      <alignment horizontal="center" vertical="center"/>
    </xf>
    <xf numFmtId="167" fontId="12" fillId="4" borderId="8" xfId="0" applyNumberFormat="1" applyFont="1" applyFill="1" applyBorder="1" applyAlignment="1">
      <alignment horizontal="center" vertical="center"/>
    </xf>
    <xf numFmtId="167" fontId="12" fillId="4" borderId="9" xfId="0" applyNumberFormat="1" applyFont="1" applyFill="1" applyBorder="1" applyAlignment="1">
      <alignment horizontal="center" vertical="center"/>
    </xf>
    <xf numFmtId="0" fontId="0" fillId="4" borderId="8" xfId="0" applyFill="1" applyBorder="1" applyAlignment="1">
      <alignment horizontal="left" indent="1"/>
    </xf>
    <xf numFmtId="0" fontId="6" fillId="4" borderId="6" xfId="0" applyFont="1" applyFill="1" applyBorder="1" applyAlignment="1">
      <alignment horizontal="left" vertical="top" indent="1"/>
    </xf>
    <xf numFmtId="167" fontId="6" fillId="4" borderId="2" xfId="0" applyNumberFormat="1" applyFont="1" applyFill="1" applyBorder="1" applyAlignment="1">
      <alignment horizontal="center" vertical="center"/>
    </xf>
    <xf numFmtId="167" fontId="6" fillId="4" borderId="7" xfId="0" applyNumberFormat="1" applyFont="1" applyFill="1" applyBorder="1" applyAlignment="1">
      <alignment horizontal="center" vertical="center"/>
    </xf>
    <xf numFmtId="167" fontId="6" fillId="4" borderId="6" xfId="0" applyNumberFormat="1" applyFont="1" applyFill="1" applyBorder="1" applyAlignment="1">
      <alignment horizontal="center"/>
    </xf>
    <xf numFmtId="167" fontId="6" fillId="4" borderId="2" xfId="0" applyNumberFormat="1" applyFont="1" applyFill="1" applyBorder="1" applyAlignment="1">
      <alignment horizontal="center"/>
    </xf>
    <xf numFmtId="167" fontId="6" fillId="4" borderId="7" xfId="0" applyNumberFormat="1" applyFont="1" applyFill="1" applyBorder="1" applyAlignment="1">
      <alignment horizontal="center"/>
    </xf>
    <xf numFmtId="167" fontId="12" fillId="4" borderId="6" xfId="0" applyNumberFormat="1" applyFont="1" applyFill="1" applyBorder="1" applyAlignment="1">
      <alignment horizontal="center" vertical="center"/>
    </xf>
    <xf numFmtId="167" fontId="12" fillId="4" borderId="7" xfId="0" applyNumberFormat="1" applyFont="1" applyFill="1" applyBorder="1" applyAlignment="1">
      <alignment horizontal="center" vertical="center"/>
    </xf>
    <xf numFmtId="0" fontId="3" fillId="0" borderId="0" xfId="0" applyFont="1" applyAlignment="1">
      <alignment wrapText="1"/>
    </xf>
    <xf numFmtId="0" fontId="26" fillId="0" borderId="0" xfId="0" applyFont="1" applyAlignment="1">
      <alignment wrapText="1"/>
    </xf>
    <xf numFmtId="168" fontId="0" fillId="0" borderId="0" xfId="1" applyNumberFormat="1" applyFont="1" applyBorder="1" applyAlignment="1">
      <alignment wrapText="1"/>
    </xf>
    <xf numFmtId="0" fontId="0" fillId="0" borderId="0" xfId="0" applyAlignment="1">
      <alignment horizontal="left" wrapText="1" indent="1"/>
    </xf>
    <xf numFmtId="37" fontId="11" fillId="0" borderId="0" xfId="0" applyNumberFormat="1" applyFont="1"/>
    <xf numFmtId="37" fontId="12" fillId="0" borderId="0" xfId="0" applyNumberFormat="1" applyFont="1"/>
    <xf numFmtId="37" fontId="6" fillId="0" borderId="0" xfId="0" applyNumberFormat="1" applyFont="1"/>
    <xf numFmtId="37" fontId="11" fillId="0" borderId="0" xfId="1" applyNumberFormat="1" applyFont="1" applyBorder="1" applyAlignment="1">
      <alignment wrapText="1"/>
    </xf>
    <xf numFmtId="37" fontId="10" fillId="0" borderId="0" xfId="1" applyNumberFormat="1" applyFont="1" applyBorder="1" applyAlignment="1">
      <alignment wrapText="1"/>
    </xf>
    <xf numFmtId="37" fontId="6" fillId="0" borderId="0" xfId="1" applyNumberFormat="1" applyFont="1" applyBorder="1" applyAlignment="1">
      <alignment wrapText="1"/>
    </xf>
    <xf numFmtId="37" fontId="10" fillId="0" borderId="0" xfId="1" applyNumberFormat="1" applyFont="1" applyFill="1" applyBorder="1" applyAlignment="1">
      <alignment wrapText="1"/>
    </xf>
    <xf numFmtId="0" fontId="0" fillId="0" borderId="0" xfId="0" applyAlignment="1">
      <alignment horizontal="left" indent="1"/>
    </xf>
    <xf numFmtId="0" fontId="21" fillId="0" borderId="1" xfId="0" applyFont="1" applyBorder="1" applyAlignment="1">
      <alignment wrapText="1"/>
    </xf>
    <xf numFmtId="37" fontId="5" fillId="0" borderId="1" xfId="1" applyNumberFormat="1" applyFont="1" applyBorder="1" applyAlignment="1">
      <alignment wrapText="1"/>
    </xf>
    <xf numFmtId="37" fontId="5" fillId="0" borderId="0" xfId="1" applyNumberFormat="1" applyFont="1" applyBorder="1" applyAlignment="1">
      <alignment wrapText="1"/>
    </xf>
    <xf numFmtId="0" fontId="23" fillId="0" borderId="1" xfId="0" applyFont="1" applyBorder="1" applyAlignment="1">
      <alignment wrapText="1"/>
    </xf>
    <xf numFmtId="0" fontId="23" fillId="0" borderId="0" xfId="0" applyFont="1" applyAlignment="1">
      <alignment wrapText="1"/>
    </xf>
    <xf numFmtId="37" fontId="14" fillId="0" borderId="0" xfId="1" applyNumberFormat="1" applyFont="1" applyBorder="1" applyAlignment="1">
      <alignment wrapText="1"/>
    </xf>
    <xf numFmtId="37" fontId="27" fillId="0" borderId="0" xfId="1" applyNumberFormat="1" applyFont="1" applyBorder="1" applyAlignment="1">
      <alignment wrapText="1"/>
    </xf>
    <xf numFmtId="37" fontId="14" fillId="0" borderId="0" xfId="1" applyNumberFormat="1" applyFont="1" applyFill="1" applyBorder="1" applyAlignment="1">
      <alignment wrapText="1"/>
    </xf>
    <xf numFmtId="37" fontId="18" fillId="0" borderId="0" xfId="1" applyNumberFormat="1" applyFont="1" applyFill="1" applyBorder="1" applyAlignment="1">
      <alignment wrapText="1"/>
    </xf>
    <xf numFmtId="0" fontId="28" fillId="0" borderId="0" xfId="0" applyFont="1"/>
    <xf numFmtId="37" fontId="6" fillId="0" borderId="0" xfId="1" applyNumberFormat="1" applyFont="1" applyFill="1" applyBorder="1" applyAlignment="1">
      <alignment wrapText="1"/>
    </xf>
    <xf numFmtId="0" fontId="14" fillId="4" borderId="3" xfId="0" applyFont="1" applyFill="1" applyBorder="1" applyAlignment="1">
      <alignment wrapText="1"/>
    </xf>
    <xf numFmtId="168" fontId="12" fillId="4" borderId="4" xfId="1" applyNumberFormat="1" applyFont="1" applyFill="1" applyBorder="1" applyAlignment="1">
      <alignment wrapText="1"/>
    </xf>
    <xf numFmtId="168" fontId="12" fillId="4" borderId="5" xfId="1" applyNumberFormat="1" applyFont="1" applyFill="1" applyBorder="1" applyAlignment="1">
      <alignment wrapText="1"/>
    </xf>
    <xf numFmtId="0" fontId="12" fillId="4" borderId="3" xfId="0" applyFont="1" applyFill="1" applyBorder="1" applyAlignment="1">
      <alignment wrapText="1"/>
    </xf>
    <xf numFmtId="0" fontId="12" fillId="4" borderId="4" xfId="0" applyFont="1" applyFill="1" applyBorder="1" applyAlignment="1">
      <alignment wrapText="1"/>
    </xf>
    <xf numFmtId="0" fontId="12" fillId="4" borderId="5" xfId="0" applyFont="1" applyFill="1" applyBorder="1" applyAlignment="1">
      <alignment wrapText="1"/>
    </xf>
    <xf numFmtId="0" fontId="12" fillId="4" borderId="8" xfId="0" applyFont="1" applyFill="1" applyBorder="1" applyAlignment="1">
      <alignment horizontal="left" wrapText="1" indent="1"/>
    </xf>
    <xf numFmtId="168" fontId="12" fillId="4" borderId="0" xfId="1" applyNumberFormat="1" applyFont="1" applyFill="1" applyBorder="1" applyAlignment="1">
      <alignment wrapText="1"/>
    </xf>
    <xf numFmtId="168" fontId="12" fillId="4" borderId="9" xfId="1" applyNumberFormat="1" applyFont="1" applyFill="1" applyBorder="1" applyAlignment="1">
      <alignment wrapText="1"/>
    </xf>
    <xf numFmtId="168" fontId="12" fillId="4" borderId="8" xfId="1" applyNumberFormat="1" applyFont="1" applyFill="1" applyBorder="1" applyAlignment="1">
      <alignment wrapText="1"/>
    </xf>
    <xf numFmtId="37" fontId="14" fillId="4" borderId="8" xfId="0" applyNumberFormat="1" applyFont="1" applyFill="1" applyBorder="1" applyAlignment="1">
      <alignment wrapText="1"/>
    </xf>
    <xf numFmtId="37" fontId="14" fillId="4" borderId="9" xfId="0" applyNumberFormat="1" applyFont="1" applyFill="1" applyBorder="1" applyAlignment="1">
      <alignment wrapText="1"/>
    </xf>
    <xf numFmtId="0" fontId="16" fillId="4" borderId="6" xfId="0" applyFont="1" applyFill="1" applyBorder="1" applyAlignment="1">
      <alignment horizontal="right" vertical="center" wrapText="1"/>
    </xf>
    <xf numFmtId="166" fontId="5" fillId="4" borderId="2" xfId="0" applyNumberFormat="1" applyFont="1" applyFill="1" applyBorder="1" applyAlignment="1">
      <alignment horizontal="right" vertical="top" wrapText="1"/>
    </xf>
    <xf numFmtId="9" fontId="17" fillId="4" borderId="2" xfId="2" applyFont="1" applyFill="1" applyBorder="1" applyAlignment="1">
      <alignment horizontal="right" vertical="center" wrapText="1"/>
    </xf>
    <xf numFmtId="9" fontId="17" fillId="4" borderId="7" xfId="2" applyFont="1" applyFill="1" applyBorder="1" applyAlignment="1">
      <alignment horizontal="right" vertical="center" wrapText="1"/>
    </xf>
    <xf numFmtId="9" fontId="17" fillId="4" borderId="6" xfId="2" applyFont="1" applyFill="1" applyBorder="1" applyAlignment="1">
      <alignment horizontal="right" vertical="center" wrapText="1"/>
    </xf>
    <xf numFmtId="168" fontId="3" fillId="0" borderId="0" xfId="1" applyNumberFormat="1" applyFont="1" applyBorder="1" applyAlignment="1">
      <alignment wrapText="1"/>
    </xf>
    <xf numFmtId="0" fontId="2" fillId="2" borderId="0" xfId="0" applyFont="1" applyFill="1"/>
    <xf numFmtId="0" fontId="2" fillId="2" borderId="0" xfId="0" applyFont="1" applyFill="1" applyAlignment="1">
      <alignment horizontal="center"/>
    </xf>
    <xf numFmtId="14" fontId="7" fillId="2" borderId="0" xfId="0" applyNumberFormat="1" applyFont="1" applyFill="1" applyAlignment="1">
      <alignment horizontal="center"/>
    </xf>
    <xf numFmtId="14" fontId="4" fillId="2" borderId="0" xfId="0" applyNumberFormat="1" applyFont="1" applyFill="1" applyAlignment="1">
      <alignment horizontal="center"/>
    </xf>
    <xf numFmtId="37" fontId="19" fillId="0" borderId="0" xfId="0" applyNumberFormat="1" applyFont="1" applyAlignment="1">
      <alignment horizontal="right" vertical="top" wrapText="1"/>
    </xf>
    <xf numFmtId="0" fontId="8" fillId="0" borderId="0" xfId="0" applyFont="1" applyAlignment="1">
      <alignment horizontal="center" vertical="center" wrapText="1"/>
    </xf>
    <xf numFmtId="10" fontId="22" fillId="0" borderId="0" xfId="0" applyNumberFormat="1" applyFont="1" applyAlignment="1">
      <alignment horizontal="center" wrapText="1"/>
    </xf>
    <xf numFmtId="37" fontId="3" fillId="0" borderId="1" xfId="0" applyNumberFormat="1" applyFont="1" applyBorder="1"/>
    <xf numFmtId="0" fontId="2" fillId="2" borderId="3" xfId="0" applyFont="1" applyFill="1" applyBorder="1"/>
    <xf numFmtId="0" fontId="2" fillId="2" borderId="5" xfId="0" applyFont="1" applyFill="1" applyBorder="1"/>
    <xf numFmtId="0" fontId="0" fillId="0" borderId="7" xfId="0" applyBorder="1"/>
    <xf numFmtId="0" fontId="2" fillId="2" borderId="10" xfId="0" applyFont="1" applyFill="1" applyBorder="1"/>
    <xf numFmtId="0" fontId="4" fillId="2" borderId="11" xfId="0" applyFont="1" applyFill="1" applyBorder="1"/>
    <xf numFmtId="0" fontId="4" fillId="2" borderId="12" xfId="0" applyFont="1" applyFill="1" applyBorder="1"/>
    <xf numFmtId="0" fontId="29" fillId="0" borderId="3" xfId="0" applyFont="1" applyBorder="1" applyAlignment="1">
      <alignment horizontal="center" vertical="center" wrapText="1"/>
    </xf>
    <xf numFmtId="0" fontId="29" fillId="0" borderId="4" xfId="0" applyFont="1" applyBorder="1" applyAlignment="1">
      <alignment horizontal="center" vertical="center" wrapText="1"/>
    </xf>
    <xf numFmtId="0" fontId="29" fillId="0" borderId="5" xfId="0" applyFont="1" applyBorder="1" applyAlignment="1">
      <alignment horizontal="center" vertical="center" wrapText="1"/>
    </xf>
    <xf numFmtId="0" fontId="29" fillId="0" borderId="8" xfId="0" applyFont="1" applyBorder="1" applyAlignment="1">
      <alignment horizontal="center" vertical="center" wrapText="1"/>
    </xf>
    <xf numFmtId="0" fontId="29" fillId="0" borderId="0" xfId="0" applyFont="1" applyAlignment="1">
      <alignment horizontal="center" vertical="center" wrapText="1"/>
    </xf>
    <xf numFmtId="0" fontId="29" fillId="0" borderId="9" xfId="0" applyFont="1" applyBorder="1" applyAlignment="1">
      <alignment horizontal="center" vertical="center" wrapText="1"/>
    </xf>
    <xf numFmtId="0" fontId="29" fillId="0" borderId="6"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7" xfId="0" applyFont="1" applyBorder="1" applyAlignment="1">
      <alignment horizontal="center" vertical="center" wrapText="1"/>
    </xf>
    <xf numFmtId="0" fontId="0" fillId="0" borderId="8" xfId="0" applyBorder="1"/>
    <xf numFmtId="0" fontId="0" fillId="0" borderId="9" xfId="0" applyBorder="1"/>
    <xf numFmtId="37" fontId="11" fillId="0" borderId="0" xfId="0" applyNumberFormat="1" applyFont="1" applyAlignment="1">
      <alignment horizontal="right" vertical="top"/>
    </xf>
    <xf numFmtId="37" fontId="30" fillId="0" borderId="0" xfId="0" applyNumberFormat="1" applyFont="1"/>
    <xf numFmtId="37" fontId="31" fillId="0" borderId="0" xfId="0" applyNumberFormat="1" applyFont="1"/>
    <xf numFmtId="37" fontId="17" fillId="0" borderId="0" xfId="2" applyNumberFormat="1" applyFont="1" applyBorder="1" applyAlignment="1">
      <alignment horizontal="right" vertical="center" wrapText="1"/>
    </xf>
    <xf numFmtId="0" fontId="30" fillId="0" borderId="0" xfId="0" applyFont="1"/>
    <xf numFmtId="37" fontId="0" fillId="0" borderId="1" xfId="0" applyNumberFormat="1" applyBorder="1" applyAlignment="1">
      <alignment wrapText="1"/>
    </xf>
    <xf numFmtId="167" fontId="6" fillId="4" borderId="0" xfId="0" applyNumberFormat="1" applyFont="1" applyFill="1" applyBorder="1" applyAlignment="1">
      <alignment horizontal="center" vertical="center"/>
    </xf>
    <xf numFmtId="37" fontId="11" fillId="0" borderId="0" xfId="0" applyNumberFormat="1" applyFont="1" applyAlignment="1">
      <alignment vertical="top"/>
    </xf>
    <xf numFmtId="37" fontId="11" fillId="0" borderId="0" xfId="1" applyNumberFormat="1" applyFont="1" applyFill="1" applyBorder="1" applyAlignment="1">
      <alignment wrapText="1"/>
    </xf>
    <xf numFmtId="37" fontId="0" fillId="0" borderId="0" xfId="0" applyNumberFormat="1" applyFont="1"/>
    <xf numFmtId="37" fontId="11" fillId="0" borderId="2" xfId="2" applyNumberFormat="1" applyFont="1" applyBorder="1" applyAlignment="1">
      <alignment horizontal="right" vertical="center"/>
    </xf>
    <xf numFmtId="37" fontId="11" fillId="0" borderId="7" xfId="2" applyNumberFormat="1" applyFont="1" applyBorder="1" applyAlignment="1">
      <alignment horizontal="right" vertical="center"/>
    </xf>
    <xf numFmtId="37" fontId="11" fillId="0" borderId="6" xfId="2" applyNumberFormat="1" applyFont="1" applyBorder="1" applyAlignment="1">
      <alignment horizontal="right" vertical="center"/>
    </xf>
    <xf numFmtId="39" fontId="6" fillId="0" borderId="3" xfId="2" applyNumberFormat="1" applyFont="1" applyBorder="1" applyAlignment="1">
      <alignment horizontal="right" vertical="center"/>
    </xf>
    <xf numFmtId="39" fontId="6" fillId="0" borderId="4" xfId="2" applyNumberFormat="1" applyFont="1" applyBorder="1" applyAlignment="1">
      <alignment horizontal="right" vertical="center"/>
    </xf>
    <xf numFmtId="39" fontId="6" fillId="0" borderId="5" xfId="2" applyNumberFormat="1" applyFont="1" applyBorder="1" applyAlignment="1">
      <alignment horizontal="right" vertical="center"/>
    </xf>
  </cellXfs>
  <cellStyles count="3">
    <cellStyle name="Comma" xfId="1" builtinId="3"/>
    <cellStyle name="Normal" xfId="0" builtinId="0"/>
    <cellStyle name="Percent" xfId="2" builtin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elix\Downloads\Rigetti%20Computing%20Financials.xlsx" TargetMode="External"/><Relationship Id="rId1" Type="http://schemas.openxmlformats.org/officeDocument/2006/relationships/externalLinkPath" Target="Rigetti%20Computing%20Financia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rm Background"/>
      <sheetName val="3-Statement Model "/>
      <sheetName val="EBITDA &amp; FCF Analysis"/>
      <sheetName val="DCF"/>
      <sheetName val="Peer Comps "/>
    </sheetNames>
    <sheetDataSet>
      <sheetData sheetId="0" refreshError="1"/>
      <sheetData sheetId="1">
        <row r="10">
          <cell r="C10">
            <v>8196</v>
          </cell>
        </row>
        <row r="101">
          <cell r="B101" t="str">
            <v>Depreciation and amortization</v>
          </cell>
        </row>
        <row r="102">
          <cell r="B102" t="str">
            <v>Stock-based compensation</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CCD6C-843F-44AC-AD48-EC47A9951368}">
  <dimension ref="B1:F16"/>
  <sheetViews>
    <sheetView showGridLines="0" workbookViewId="0">
      <selection activeCell="I15" sqref="I15"/>
    </sheetView>
  </sheetViews>
  <sheetFormatPr defaultRowHeight="15" x14ac:dyDescent="0.25"/>
  <cols>
    <col min="1" max="1" width="3.140625" customWidth="1"/>
    <col min="2" max="2" width="44.85546875" bestFit="1" customWidth="1"/>
    <col min="3" max="3" width="20.5703125" bestFit="1" customWidth="1"/>
    <col min="4" max="4" width="29.140625" bestFit="1" customWidth="1"/>
    <col min="6" max="6" width="12.42578125" bestFit="1" customWidth="1"/>
  </cols>
  <sheetData>
    <row r="1" spans="2:6" ht="15.75" thickBot="1" x14ac:dyDescent="0.3"/>
    <row r="2" spans="2:6" x14ac:dyDescent="0.25">
      <c r="B2" s="151" t="s">
        <v>140</v>
      </c>
      <c r="C2" s="152" t="s">
        <v>141</v>
      </c>
    </row>
    <row r="3" spans="2:6" ht="15.75" thickBot="1" x14ac:dyDescent="0.3">
      <c r="B3" s="51" t="s">
        <v>152</v>
      </c>
      <c r="C3" s="153" t="s">
        <v>153</v>
      </c>
    </row>
    <row r="4" spans="2:6" ht="15.75" thickBot="1" x14ac:dyDescent="0.3"/>
    <row r="5" spans="2:6" ht="15.75" thickBot="1" x14ac:dyDescent="0.3">
      <c r="B5" s="154" t="s">
        <v>142</v>
      </c>
      <c r="C5" s="155"/>
      <c r="D5" s="155"/>
      <c r="E5" s="155"/>
      <c r="F5" s="156"/>
    </row>
    <row r="6" spans="2:6" ht="30.75" customHeight="1" x14ac:dyDescent="0.25">
      <c r="B6" s="157" t="s">
        <v>154</v>
      </c>
      <c r="C6" s="158"/>
      <c r="D6" s="158"/>
      <c r="E6" s="158"/>
      <c r="F6" s="159"/>
    </row>
    <row r="7" spans="2:6" ht="57" customHeight="1" x14ac:dyDescent="0.25">
      <c r="B7" s="160"/>
      <c r="C7" s="161"/>
      <c r="D7" s="161"/>
      <c r="E7" s="161"/>
      <c r="F7" s="162"/>
    </row>
    <row r="8" spans="2:6" ht="102.75" customHeight="1" thickBot="1" x14ac:dyDescent="0.3">
      <c r="B8" s="163"/>
      <c r="C8" s="164"/>
      <c r="D8" s="164"/>
      <c r="E8" s="164"/>
      <c r="F8" s="165"/>
    </row>
    <row r="9" spans="2:6" ht="15.75" thickBot="1" x14ac:dyDescent="0.3"/>
    <row r="10" spans="2:6" x14ac:dyDescent="0.25">
      <c r="B10" s="151" t="s">
        <v>143</v>
      </c>
      <c r="C10" s="152"/>
    </row>
    <row r="11" spans="2:6" x14ac:dyDescent="0.25">
      <c r="B11" s="166" t="s">
        <v>144</v>
      </c>
      <c r="C11" s="167"/>
    </row>
    <row r="12" spans="2:6" x14ac:dyDescent="0.25">
      <c r="B12" s="166" t="s">
        <v>145</v>
      </c>
      <c r="C12" s="167"/>
    </row>
    <row r="13" spans="2:6" x14ac:dyDescent="0.25">
      <c r="B13" s="166" t="s">
        <v>146</v>
      </c>
      <c r="C13" s="167"/>
    </row>
    <row r="14" spans="2:6" x14ac:dyDescent="0.25">
      <c r="B14" s="166" t="s">
        <v>147</v>
      </c>
      <c r="C14" s="167"/>
    </row>
    <row r="15" spans="2:6" x14ac:dyDescent="0.25">
      <c r="B15" s="166" t="s">
        <v>148</v>
      </c>
      <c r="C15" s="167"/>
    </row>
    <row r="16" spans="2:6" ht="15.75" thickBot="1" x14ac:dyDescent="0.3">
      <c r="B16" s="51" t="s">
        <v>149</v>
      </c>
      <c r="C16" s="153"/>
    </row>
  </sheetData>
  <mergeCells count="1">
    <mergeCell ref="B6: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219A9-859E-45EB-AC60-BF3EE31E83E5}">
  <dimension ref="A1:U158"/>
  <sheetViews>
    <sheetView showGridLines="0" tabSelected="1" zoomScaleNormal="100" workbookViewId="0">
      <selection activeCell="C20" sqref="C20"/>
    </sheetView>
  </sheetViews>
  <sheetFormatPr defaultRowHeight="15" x14ac:dyDescent="0.25"/>
  <cols>
    <col min="1" max="1" width="2.42578125" style="6" customWidth="1"/>
    <col min="2" max="2" width="60" style="6" customWidth="1"/>
    <col min="3" max="5" width="15.85546875" style="6" bestFit="1" customWidth="1"/>
    <col min="6" max="6" width="3.140625" style="6" customWidth="1"/>
    <col min="7" max="12" width="13.5703125" style="6" bestFit="1" customWidth="1"/>
    <col min="13" max="13" width="13" style="6" bestFit="1" customWidth="1"/>
    <col min="14" max="14" width="13.5703125" style="6" bestFit="1" customWidth="1"/>
    <col min="15" max="15" width="13" style="6" bestFit="1" customWidth="1"/>
    <col min="16" max="16" width="13.5703125" style="6" bestFit="1" customWidth="1"/>
    <col min="17" max="17" width="2.28515625" style="6" customWidth="1"/>
    <col min="18" max="18" width="11.85546875" style="6" bestFit="1" customWidth="1"/>
    <col min="19" max="19" width="11" style="6" bestFit="1" customWidth="1"/>
    <col min="20" max="20" width="1.42578125" style="6" customWidth="1"/>
    <col min="21" max="21" width="11.42578125" style="6" bestFit="1" customWidth="1"/>
    <col min="22" max="22" width="1.5703125" style="6" customWidth="1"/>
    <col min="23" max="16384" width="9.140625" style="6"/>
  </cols>
  <sheetData>
    <row r="1" spans="1:21" ht="6" customHeight="1" x14ac:dyDescent="0.25">
      <c r="A1" s="6" t="s">
        <v>90</v>
      </c>
    </row>
    <row r="2" spans="1:21" x14ac:dyDescent="0.25">
      <c r="B2" s="7" t="s">
        <v>150</v>
      </c>
      <c r="C2" s="8"/>
      <c r="D2" s="8"/>
      <c r="E2" s="8"/>
      <c r="F2" s="8"/>
      <c r="G2" s="8"/>
      <c r="H2" s="8"/>
      <c r="I2" s="8"/>
      <c r="J2" s="8"/>
      <c r="K2" s="8"/>
      <c r="L2" s="8"/>
      <c r="M2" s="8"/>
      <c r="N2" s="8"/>
      <c r="O2" s="8"/>
      <c r="P2" s="8"/>
      <c r="Q2" s="8"/>
      <c r="R2" s="8"/>
      <c r="S2" s="8"/>
    </row>
    <row r="3" spans="1:21" x14ac:dyDescent="0.25">
      <c r="B3" s="9" t="s">
        <v>91</v>
      </c>
      <c r="C3" s="8"/>
      <c r="D3" s="8"/>
      <c r="E3" s="8"/>
      <c r="F3" s="8"/>
      <c r="G3" s="8"/>
      <c r="H3" s="8"/>
      <c r="I3" s="8"/>
      <c r="J3" s="8"/>
      <c r="K3" s="8"/>
      <c r="L3" s="8"/>
      <c r="M3" s="8"/>
      <c r="N3" s="8"/>
      <c r="O3" s="8"/>
      <c r="P3" s="8"/>
      <c r="Q3" s="8"/>
      <c r="R3" s="8"/>
      <c r="S3" s="8"/>
    </row>
    <row r="4" spans="1:21" ht="5.25" customHeight="1" x14ac:dyDescent="0.25">
      <c r="B4" s="10"/>
    </row>
    <row r="5" spans="1:21" ht="15.75" thickBot="1" x14ac:dyDescent="0.3">
      <c r="B5" s="11"/>
      <c r="C5" s="11" t="s">
        <v>30</v>
      </c>
      <c r="D5" s="11"/>
      <c r="E5" s="11"/>
      <c r="G5" s="11" t="s">
        <v>31</v>
      </c>
      <c r="H5" s="11"/>
      <c r="I5" s="11"/>
      <c r="J5" s="11"/>
      <c r="K5" s="11"/>
      <c r="L5" s="11"/>
      <c r="M5" s="11"/>
      <c r="N5" s="11"/>
      <c r="O5" s="11"/>
      <c r="P5" s="11"/>
      <c r="R5" s="11" t="s">
        <v>40</v>
      </c>
      <c r="S5" s="11"/>
      <c r="T5" s="12"/>
      <c r="U5" s="11" t="s">
        <v>92</v>
      </c>
    </row>
    <row r="6" spans="1:21" ht="4.5" customHeight="1" x14ac:dyDescent="0.25"/>
    <row r="7" spans="1:21" x14ac:dyDescent="0.25">
      <c r="A7" s="6" t="s">
        <v>93</v>
      </c>
      <c r="B7" s="7" t="s">
        <v>94</v>
      </c>
      <c r="C7" s="13" t="s">
        <v>96</v>
      </c>
      <c r="D7" s="13" t="s">
        <v>97</v>
      </c>
      <c r="E7" s="13" t="s">
        <v>151</v>
      </c>
      <c r="G7" s="13" t="s">
        <v>32</v>
      </c>
      <c r="H7" s="13" t="s">
        <v>33</v>
      </c>
      <c r="I7" s="13" t="s">
        <v>34</v>
      </c>
      <c r="J7" s="13" t="s">
        <v>35</v>
      </c>
      <c r="K7" s="13" t="s">
        <v>36</v>
      </c>
      <c r="L7" s="13" t="s">
        <v>37</v>
      </c>
      <c r="M7" s="13" t="s">
        <v>38</v>
      </c>
      <c r="N7" s="13" t="s">
        <v>39</v>
      </c>
      <c r="O7" s="13" t="s">
        <v>84</v>
      </c>
      <c r="P7" s="13" t="s">
        <v>85</v>
      </c>
      <c r="R7" s="13" t="str">
        <f>L7</f>
        <v>Q2'24</v>
      </c>
      <c r="S7" s="13" t="str">
        <f>P7</f>
        <v>Q2'25</v>
      </c>
      <c r="T7" s="14"/>
      <c r="U7" s="15" t="s">
        <v>98</v>
      </c>
    </row>
    <row r="8" spans="1:21" x14ac:dyDescent="0.25">
      <c r="B8" s="16" t="s">
        <v>99</v>
      </c>
      <c r="C8" s="17"/>
      <c r="D8" s="17"/>
      <c r="E8" s="17"/>
      <c r="G8" s="18"/>
      <c r="H8" s="18"/>
      <c r="I8" s="18"/>
      <c r="J8" s="18"/>
      <c r="K8" s="18"/>
      <c r="L8" s="18"/>
      <c r="M8" s="18"/>
      <c r="N8" s="18"/>
      <c r="O8" s="18"/>
      <c r="P8" s="18"/>
      <c r="R8" s="18"/>
      <c r="S8" s="18"/>
      <c r="T8" s="19"/>
      <c r="U8" s="15"/>
    </row>
    <row r="9" spans="1:21" ht="3.75" customHeight="1" x14ac:dyDescent="0.25">
      <c r="B9" s="20"/>
      <c r="C9" s="19"/>
      <c r="D9" s="19"/>
      <c r="E9" s="19"/>
      <c r="G9" s="21"/>
      <c r="H9" s="21"/>
      <c r="I9" s="21"/>
      <c r="J9" s="21"/>
      <c r="K9" s="21"/>
      <c r="L9" s="21"/>
      <c r="M9" s="21"/>
      <c r="N9" s="21"/>
      <c r="O9" s="21"/>
      <c r="P9" s="21"/>
      <c r="R9" s="21"/>
      <c r="S9" s="21"/>
      <c r="T9" s="21"/>
    </row>
    <row r="10" spans="1:21" x14ac:dyDescent="0.25">
      <c r="B10" s="2" t="s">
        <v>41</v>
      </c>
      <c r="C10" s="22">
        <v>383432</v>
      </c>
      <c r="D10" s="22">
        <v>422077</v>
      </c>
      <c r="E10" s="22">
        <v>311600</v>
      </c>
      <c r="F10" s="25"/>
      <c r="G10" s="24">
        <v>97074</v>
      </c>
      <c r="H10" s="24">
        <v>99137</v>
      </c>
      <c r="I10" s="24">
        <v>111196</v>
      </c>
      <c r="J10" s="107">
        <f>SUM(D10-SUM(G10:I10))</f>
        <v>114670</v>
      </c>
      <c r="K10" s="24">
        <v>91787</v>
      </c>
      <c r="L10" s="24">
        <v>75680</v>
      </c>
      <c r="M10" s="24">
        <v>71926</v>
      </c>
      <c r="N10" s="107">
        <f>SUM(E10-SUM(K10:M10))</f>
        <v>72207</v>
      </c>
      <c r="O10" s="24">
        <v>71343</v>
      </c>
      <c r="P10" s="24">
        <v>70469</v>
      </c>
      <c r="R10" s="25">
        <f t="shared" ref="R10:R11" si="0">SUM(I10:L10)</f>
        <v>393333</v>
      </c>
      <c r="S10" s="25">
        <f t="shared" ref="S10:S11" si="1">SUM(M10:P10)</f>
        <v>285945</v>
      </c>
      <c r="T10" s="26"/>
      <c r="U10" s="27">
        <f>SUM(S10/R10)-1</f>
        <v>-0.27302057035641558</v>
      </c>
    </row>
    <row r="11" spans="1:21" x14ac:dyDescent="0.25">
      <c r="B11" s="28" t="s">
        <v>42</v>
      </c>
      <c r="C11" s="22">
        <v>-225792</v>
      </c>
      <c r="D11" s="22">
        <v>-278813</v>
      </c>
      <c r="E11" s="22">
        <v>-186711</v>
      </c>
      <c r="F11" s="25"/>
      <c r="G11" s="24">
        <v>-63026</v>
      </c>
      <c r="H11" s="24">
        <v>-71306</v>
      </c>
      <c r="I11" s="24">
        <v>-70907</v>
      </c>
      <c r="J11" s="107">
        <f>SUM(D11-SUM(G11:I11))</f>
        <v>-73574</v>
      </c>
      <c r="K11" s="24">
        <v>-56854</v>
      </c>
      <c r="L11" s="24">
        <v>-42944</v>
      </c>
      <c r="M11" s="24">
        <v>-42745</v>
      </c>
      <c r="N11" s="107">
        <f>SUM(E11-SUM(K11:M11))</f>
        <v>-44168</v>
      </c>
      <c r="O11" s="24">
        <v>-45208</v>
      </c>
      <c r="P11" s="24">
        <v>-41201</v>
      </c>
      <c r="R11" s="25">
        <f t="shared" si="0"/>
        <v>-244279</v>
      </c>
      <c r="S11" s="25">
        <f t="shared" si="1"/>
        <v>-173322</v>
      </c>
      <c r="T11" s="25"/>
      <c r="U11" s="27">
        <f>SUM(S11/R11)-1</f>
        <v>-0.29047523528424468</v>
      </c>
    </row>
    <row r="12" spans="1:21" x14ac:dyDescent="0.25">
      <c r="B12" s="29" t="s">
        <v>100</v>
      </c>
      <c r="C12" s="30">
        <f>SUM(C10:C11)</f>
        <v>157640</v>
      </c>
      <c r="D12" s="30">
        <f t="shared" ref="D12:E12" si="2">SUM(D10:D11)</f>
        <v>143264</v>
      </c>
      <c r="E12" s="30">
        <f t="shared" si="2"/>
        <v>124889</v>
      </c>
      <c r="F12" s="23"/>
      <c r="G12" s="30">
        <f t="shared" ref="G12:P12" si="3">SUM(G10:G11)</f>
        <v>34048</v>
      </c>
      <c r="H12" s="30">
        <f t="shared" si="3"/>
        <v>27831</v>
      </c>
      <c r="I12" s="30">
        <f t="shared" si="3"/>
        <v>40289</v>
      </c>
      <c r="J12" s="30">
        <f t="shared" si="3"/>
        <v>41096</v>
      </c>
      <c r="K12" s="30">
        <f t="shared" si="3"/>
        <v>34933</v>
      </c>
      <c r="L12" s="30">
        <f t="shared" si="3"/>
        <v>32736</v>
      </c>
      <c r="M12" s="30">
        <f t="shared" si="3"/>
        <v>29181</v>
      </c>
      <c r="N12" s="30">
        <f t="shared" si="3"/>
        <v>28039</v>
      </c>
      <c r="O12" s="30">
        <f t="shared" si="3"/>
        <v>26135</v>
      </c>
      <c r="P12" s="30">
        <f t="shared" si="3"/>
        <v>29268</v>
      </c>
      <c r="R12" s="31">
        <f>SUM(R10:R11)</f>
        <v>149054</v>
      </c>
      <c r="S12" s="31">
        <f>SUM(S10:S11)</f>
        <v>112623</v>
      </c>
      <c r="T12" s="32"/>
      <c r="U12" s="33">
        <f>SUM(S12/R12)-1</f>
        <v>-0.2444147758530465</v>
      </c>
    </row>
    <row r="13" spans="1:21" x14ac:dyDescent="0.25">
      <c r="B13" s="34" t="s">
        <v>101</v>
      </c>
      <c r="C13" s="35"/>
      <c r="D13" s="36">
        <f>D12/C12-1</f>
        <v>-9.1195128140066029E-2</v>
      </c>
      <c r="E13" s="36">
        <f>E12/D12-1</f>
        <v>-0.12825971632789812</v>
      </c>
      <c r="F13" s="36"/>
      <c r="G13" s="36"/>
      <c r="H13" s="36">
        <f t="shared" ref="H13:P13" si="4">H12/G12-1</f>
        <v>-0.18259515977443608</v>
      </c>
      <c r="I13" s="36">
        <f t="shared" si="4"/>
        <v>0.44763034026804638</v>
      </c>
      <c r="J13" s="36">
        <f t="shared" si="4"/>
        <v>2.0030281218198498E-2</v>
      </c>
      <c r="K13" s="36">
        <f t="shared" si="4"/>
        <v>-0.14996593342417752</v>
      </c>
      <c r="L13" s="36">
        <f t="shared" si="4"/>
        <v>-6.2891821486846244E-2</v>
      </c>
      <c r="M13" s="36">
        <f t="shared" si="4"/>
        <v>-0.10859604105571852</v>
      </c>
      <c r="N13" s="36">
        <f>N12/M12-1</f>
        <v>-3.9135053630787175E-2</v>
      </c>
      <c r="O13" s="36">
        <f t="shared" si="4"/>
        <v>-6.7905417454260153E-2</v>
      </c>
      <c r="P13" s="36">
        <f t="shared" si="4"/>
        <v>0.11987755882915629</v>
      </c>
      <c r="S13" s="36">
        <f>S12/R12-1</f>
        <v>-0.2444147758530465</v>
      </c>
      <c r="T13" s="32"/>
      <c r="U13" s="37"/>
    </row>
    <row r="14" spans="1:21" x14ac:dyDescent="0.25">
      <c r="B14" s="34" t="s">
        <v>102</v>
      </c>
      <c r="C14" s="36">
        <f>SUM(C12/C10)</f>
        <v>0.41112896158901707</v>
      </c>
      <c r="D14" s="36">
        <f t="shared" ref="D14:S14" si="5">SUM(D12/D10)</f>
        <v>0.33942621843881565</v>
      </c>
      <c r="E14" s="36">
        <f t="shared" si="5"/>
        <v>0.40079910141206676</v>
      </c>
      <c r="F14" s="36"/>
      <c r="G14" s="36">
        <f t="shared" si="5"/>
        <v>0.35074273234851761</v>
      </c>
      <c r="H14" s="36">
        <f t="shared" si="5"/>
        <v>0.28073272340296762</v>
      </c>
      <c r="I14" s="36">
        <f t="shared" si="5"/>
        <v>0.36232418432317709</v>
      </c>
      <c r="J14" s="36">
        <f t="shared" si="5"/>
        <v>0.35838493067062005</v>
      </c>
      <c r="K14" s="36">
        <f t="shared" si="5"/>
        <v>0.38058766491986884</v>
      </c>
      <c r="L14" s="36">
        <f t="shared" si="5"/>
        <v>0.4325581395348837</v>
      </c>
      <c r="M14" s="36">
        <f t="shared" si="5"/>
        <v>0.40570864499624615</v>
      </c>
      <c r="N14" s="36">
        <f t="shared" si="5"/>
        <v>0.388314152367499</v>
      </c>
      <c r="O14" s="36">
        <f t="shared" si="5"/>
        <v>0.36632886197664805</v>
      </c>
      <c r="P14" s="36">
        <f t="shared" si="5"/>
        <v>0.41533156423391848</v>
      </c>
      <c r="R14" s="36">
        <f t="shared" si="5"/>
        <v>0.37895116860268524</v>
      </c>
      <c r="S14" s="36">
        <f t="shared" si="5"/>
        <v>0.3938624560667261</v>
      </c>
      <c r="T14" s="32"/>
      <c r="U14" s="27">
        <f>SUM(S14/R14)-1</f>
        <v>3.9348836207639959E-2</v>
      </c>
    </row>
    <row r="15" spans="1:21" ht="2.25" customHeight="1" x14ac:dyDescent="0.25">
      <c r="B15" s="38" t="s">
        <v>103</v>
      </c>
      <c r="C15" s="35">
        <v>49</v>
      </c>
      <c r="D15" s="35">
        <v>2777</v>
      </c>
      <c r="E15" s="35">
        <v>7833</v>
      </c>
      <c r="G15" s="35"/>
      <c r="H15" s="35"/>
      <c r="I15" s="35"/>
      <c r="J15" s="35"/>
      <c r="K15" s="35">
        <v>-28777</v>
      </c>
      <c r="L15" s="35">
        <v>-27879</v>
      </c>
      <c r="M15" s="35"/>
      <c r="N15" s="35">
        <v>-19934</v>
      </c>
      <c r="O15" s="35">
        <v>-61402</v>
      </c>
      <c r="P15" s="35"/>
      <c r="R15" s="39"/>
      <c r="S15" s="39"/>
      <c r="T15" s="39"/>
      <c r="U15" s="40"/>
    </row>
    <row r="16" spans="1:21" x14ac:dyDescent="0.25">
      <c r="B16" s="41" t="s">
        <v>104</v>
      </c>
      <c r="C16" s="22"/>
      <c r="D16" s="22"/>
      <c r="E16" s="22"/>
      <c r="G16" s="22"/>
      <c r="H16" s="22"/>
      <c r="I16" s="42"/>
      <c r="J16" s="22"/>
      <c r="K16" s="22"/>
      <c r="L16" s="22"/>
      <c r="M16" s="42"/>
      <c r="N16" s="22"/>
      <c r="O16" s="22"/>
      <c r="P16" s="22"/>
      <c r="R16" s="25"/>
      <c r="S16" s="25"/>
      <c r="T16" s="25"/>
      <c r="U16" s="43"/>
    </row>
    <row r="17" spans="2:21" x14ac:dyDescent="0.25">
      <c r="B17" s="28" t="s">
        <v>43</v>
      </c>
      <c r="C17" s="168">
        <v>-62957</v>
      </c>
      <c r="D17" s="168">
        <v>-66034</v>
      </c>
      <c r="E17" s="168">
        <v>-60893</v>
      </c>
      <c r="F17" s="169"/>
      <c r="G17" s="168">
        <v>-15962</v>
      </c>
      <c r="H17" s="168">
        <v>-15593</v>
      </c>
      <c r="I17" s="168">
        <v>-16339</v>
      </c>
      <c r="J17" s="170">
        <f t="shared" ref="J17:J20" si="6">SUM(D17-SUM(G17:I17))</f>
        <v>-18140</v>
      </c>
      <c r="K17" s="168">
        <v>-15839</v>
      </c>
      <c r="L17" s="168">
        <v>-15717</v>
      </c>
      <c r="M17" s="168">
        <v>-14244</v>
      </c>
      <c r="N17" s="170">
        <f>SUM(E17-SUM(K17:M17))</f>
        <v>-15093</v>
      </c>
      <c r="O17" s="168">
        <v>-13295</v>
      </c>
      <c r="P17" s="168">
        <v>-13578</v>
      </c>
      <c r="R17" s="25">
        <f t="shared" ref="R17:R20" si="7">SUM(I17:L17)</f>
        <v>-66035</v>
      </c>
      <c r="S17" s="25">
        <f t="shared" ref="S17:S20" si="8">SUM(M17:P17)</f>
        <v>-56210</v>
      </c>
      <c r="T17" s="25"/>
      <c r="U17" s="27">
        <f t="shared" ref="U17:U20" si="9">SUM(S17/R17)-1</f>
        <v>-0.14878473536760806</v>
      </c>
    </row>
    <row r="18" spans="2:21" x14ac:dyDescent="0.25">
      <c r="B18" s="28" t="s">
        <v>44</v>
      </c>
      <c r="C18" s="168">
        <v>-45256</v>
      </c>
      <c r="D18" s="168">
        <v>-47752</v>
      </c>
      <c r="E18" s="168">
        <v>-51547</v>
      </c>
      <c r="F18" s="169"/>
      <c r="G18" s="168">
        <v>-12314</v>
      </c>
      <c r="H18" s="168">
        <v>-11940</v>
      </c>
      <c r="I18" s="168">
        <v>-10969</v>
      </c>
      <c r="J18" s="170">
        <f t="shared" si="6"/>
        <v>-12529</v>
      </c>
      <c r="K18" s="168">
        <v>-12699</v>
      </c>
      <c r="L18" s="168">
        <v>-10241</v>
      </c>
      <c r="M18" s="168">
        <v>-11893</v>
      </c>
      <c r="N18" s="170">
        <f>SUM(E18-SUM(K18:M18))</f>
        <v>-16714</v>
      </c>
      <c r="O18" s="168">
        <v>-21065</v>
      </c>
      <c r="P18" s="168">
        <v>-13977</v>
      </c>
      <c r="R18" s="25">
        <f t="shared" si="7"/>
        <v>-46438</v>
      </c>
      <c r="S18" s="25">
        <f t="shared" si="8"/>
        <v>-63649</v>
      </c>
      <c r="T18" s="25"/>
      <c r="U18" s="27">
        <f t="shared" si="9"/>
        <v>0.37062319652009124</v>
      </c>
    </row>
    <row r="19" spans="2:21" x14ac:dyDescent="0.25">
      <c r="B19" s="28" t="s">
        <v>45</v>
      </c>
      <c r="C19" s="168">
        <v>-51812</v>
      </c>
      <c r="D19" s="168">
        <v>-44555</v>
      </c>
      <c r="E19" s="168">
        <v>-38046</v>
      </c>
      <c r="F19" s="169"/>
      <c r="G19" s="168">
        <v>-12125</v>
      </c>
      <c r="H19" s="168">
        <v>-10546</v>
      </c>
      <c r="I19" s="168">
        <v>-11254</v>
      </c>
      <c r="J19" s="170">
        <f t="shared" si="6"/>
        <v>-10630</v>
      </c>
      <c r="K19" s="168">
        <v>-10913</v>
      </c>
      <c r="L19" s="168">
        <v>-9152</v>
      </c>
      <c r="M19" s="168">
        <v>-8763</v>
      </c>
      <c r="N19" s="170">
        <f>SUM(E19-SUM(K19:M19))</f>
        <v>-9218</v>
      </c>
      <c r="O19" s="168">
        <v>-8308</v>
      </c>
      <c r="P19" s="168">
        <v>-8264</v>
      </c>
      <c r="R19" s="25">
        <f t="shared" si="7"/>
        <v>-41949</v>
      </c>
      <c r="S19" s="25">
        <f t="shared" si="8"/>
        <v>-34553</v>
      </c>
      <c r="T19" s="25"/>
      <c r="U19" s="27">
        <f t="shared" si="9"/>
        <v>-0.17630932799351595</v>
      </c>
    </row>
    <row r="20" spans="2:21" x14ac:dyDescent="0.25">
      <c r="B20" s="28" t="s">
        <v>46</v>
      </c>
      <c r="C20" s="168">
        <v>-850</v>
      </c>
      <c r="D20" s="168">
        <v>-1605</v>
      </c>
      <c r="E20" s="168">
        <v>-3280</v>
      </c>
      <c r="F20" s="169"/>
      <c r="G20" s="168">
        <v>-725</v>
      </c>
      <c r="H20" s="168">
        <v>-921</v>
      </c>
      <c r="I20" s="168">
        <v>-41</v>
      </c>
      <c r="J20" s="170">
        <f t="shared" si="6"/>
        <v>82</v>
      </c>
      <c r="K20" s="168">
        <v>-1329</v>
      </c>
      <c r="L20" s="168">
        <v>-1338</v>
      </c>
      <c r="M20" s="168">
        <v>-497</v>
      </c>
      <c r="N20" s="170">
        <f>SUM(E20-SUM(K20:M20))</f>
        <v>-116</v>
      </c>
      <c r="O20" s="168">
        <v>-1192</v>
      </c>
      <c r="P20" s="168">
        <v>-383</v>
      </c>
      <c r="R20" s="25">
        <f t="shared" si="7"/>
        <v>-2626</v>
      </c>
      <c r="S20" s="25">
        <f t="shared" si="8"/>
        <v>-2188</v>
      </c>
      <c r="T20" s="25"/>
      <c r="U20" s="27">
        <f t="shared" si="9"/>
        <v>-0.16679360243716679</v>
      </c>
    </row>
    <row r="21" spans="2:21" x14ac:dyDescent="0.25">
      <c r="B21" s="44" t="s">
        <v>105</v>
      </c>
      <c r="C21" s="30">
        <f>SUM(C12+SUM(C17:C20))</f>
        <v>-3235</v>
      </c>
      <c r="D21" s="30">
        <f t="shared" ref="D21:E21" si="10">SUM(D12+SUM(D17:D20))</f>
        <v>-16682</v>
      </c>
      <c r="E21" s="30">
        <f t="shared" si="10"/>
        <v>-28877</v>
      </c>
      <c r="G21" s="30">
        <f t="shared" ref="G21:P21" si="11">SUM(G12+SUM(G17:G20))</f>
        <v>-7078</v>
      </c>
      <c r="H21" s="30">
        <f t="shared" si="11"/>
        <v>-11169</v>
      </c>
      <c r="I21" s="30">
        <f t="shared" si="11"/>
        <v>1686</v>
      </c>
      <c r="J21" s="30">
        <f t="shared" si="11"/>
        <v>-121</v>
      </c>
      <c r="K21" s="30">
        <f t="shared" si="11"/>
        <v>-5847</v>
      </c>
      <c r="L21" s="30">
        <f t="shared" si="11"/>
        <v>-3712</v>
      </c>
      <c r="M21" s="30">
        <f t="shared" si="11"/>
        <v>-6216</v>
      </c>
      <c r="N21" s="30">
        <f t="shared" si="11"/>
        <v>-13102</v>
      </c>
      <c r="O21" s="30">
        <f t="shared" si="11"/>
        <v>-17725</v>
      </c>
      <c r="P21" s="30">
        <f t="shared" si="11"/>
        <v>-6934</v>
      </c>
      <c r="R21" s="30">
        <f>SUM(R12+SUM(R17:R20))</f>
        <v>-7994</v>
      </c>
      <c r="S21" s="30">
        <f t="shared" ref="S21" si="12">SUM(S12+SUM(S17:S20))</f>
        <v>-43977</v>
      </c>
      <c r="T21" s="32"/>
      <c r="U21" s="33">
        <f>SUM(S21/R21)-1</f>
        <v>4.5012509382036523</v>
      </c>
    </row>
    <row r="22" spans="2:21" x14ac:dyDescent="0.25">
      <c r="B22" s="34" t="s">
        <v>101</v>
      </c>
      <c r="C22" s="45"/>
      <c r="D22" s="36">
        <f>D21/C21-1</f>
        <v>4.1567233384853166</v>
      </c>
      <c r="E22" s="36">
        <f>E21/D21-1</f>
        <v>0.73102745474163777</v>
      </c>
      <c r="F22" s="36"/>
      <c r="G22" s="36"/>
      <c r="H22" s="36">
        <f t="shared" ref="H22:P22" si="13">H21/G21-1</f>
        <v>0.57798813224074608</v>
      </c>
      <c r="I22" s="36">
        <f t="shared" si="13"/>
        <v>-1.1509535320977706</v>
      </c>
      <c r="J22" s="36">
        <f t="shared" si="13"/>
        <v>-1.0717674970344009</v>
      </c>
      <c r="K22" s="36">
        <f t="shared" si="13"/>
        <v>47.32231404958678</v>
      </c>
      <c r="L22" s="36">
        <f t="shared" si="13"/>
        <v>-0.36514451855652474</v>
      </c>
      <c r="M22" s="36">
        <f t="shared" si="13"/>
        <v>0.67456896551724133</v>
      </c>
      <c r="N22" s="36">
        <f t="shared" si="13"/>
        <v>1.1077863577863578</v>
      </c>
      <c r="O22" s="36">
        <f t="shared" si="13"/>
        <v>0.35284689360402988</v>
      </c>
      <c r="P22" s="36">
        <f t="shared" si="13"/>
        <v>-0.6088011283497885</v>
      </c>
      <c r="S22" s="36">
        <f>S21/R21-1</f>
        <v>4.5012509382036523</v>
      </c>
      <c r="T22" s="46"/>
      <c r="U22" s="43"/>
    </row>
    <row r="23" spans="2:21" x14ac:dyDescent="0.25">
      <c r="B23" s="34" t="s">
        <v>106</v>
      </c>
      <c r="C23" s="36">
        <f>SUM(C21/C10)</f>
        <v>-8.4369588349433536E-3</v>
      </c>
      <c r="D23" s="36">
        <f t="shared" ref="D23:S23" si="14">SUM(D21/D10)</f>
        <v>-3.9523594036159279E-2</v>
      </c>
      <c r="E23" s="36">
        <f t="shared" si="14"/>
        <v>-9.267329910141206E-2</v>
      </c>
      <c r="F23" s="36"/>
      <c r="G23" s="36">
        <f t="shared" si="14"/>
        <v>-7.291344747306179E-2</v>
      </c>
      <c r="H23" s="36">
        <f t="shared" si="14"/>
        <v>-0.11266227543702149</v>
      </c>
      <c r="I23" s="36">
        <f t="shared" si="14"/>
        <v>1.516241591424152E-2</v>
      </c>
      <c r="J23" s="36">
        <f t="shared" si="14"/>
        <v>-1.0552018836661725E-3</v>
      </c>
      <c r="K23" s="36">
        <f t="shared" si="14"/>
        <v>-6.3701831414034668E-2</v>
      </c>
      <c r="L23" s="36">
        <f t="shared" si="14"/>
        <v>-4.9048625792811842E-2</v>
      </c>
      <c r="M23" s="36">
        <f t="shared" si="14"/>
        <v>-8.6422156104885572E-2</v>
      </c>
      <c r="N23" s="36">
        <f t="shared" si="14"/>
        <v>-0.18145055188555126</v>
      </c>
      <c r="O23" s="36">
        <f t="shared" si="14"/>
        <v>-0.24844764027304711</v>
      </c>
      <c r="P23" s="36">
        <f t="shared" si="14"/>
        <v>-9.8397877080702148E-2</v>
      </c>
      <c r="R23" s="36">
        <f t="shared" si="14"/>
        <v>-2.0323746037072914E-2</v>
      </c>
      <c r="S23" s="36">
        <f t="shared" si="14"/>
        <v>-0.15379531028694329</v>
      </c>
      <c r="T23" s="46"/>
      <c r="U23" s="27">
        <f>SUM(S23/R23)-1</f>
        <v>6.567271801487899</v>
      </c>
    </row>
    <row r="24" spans="2:21" ht="2.25" customHeight="1" x14ac:dyDescent="0.25">
      <c r="B24" s="38" t="s">
        <v>103</v>
      </c>
      <c r="C24" s="35">
        <v>49</v>
      </c>
      <c r="D24" s="35">
        <v>2777</v>
      </c>
      <c r="E24" s="35">
        <v>7833</v>
      </c>
      <c r="G24" s="35"/>
      <c r="H24" s="35"/>
      <c r="I24" s="35"/>
      <c r="J24" s="35"/>
      <c r="K24" s="35">
        <v>-28777</v>
      </c>
      <c r="L24" s="35">
        <v>-27879</v>
      </c>
      <c r="M24" s="35"/>
      <c r="N24" s="35">
        <v>-19934</v>
      </c>
      <c r="O24" s="35">
        <v>-61402</v>
      </c>
      <c r="P24" s="35"/>
      <c r="R24" s="39"/>
      <c r="S24" s="39"/>
      <c r="T24" s="39"/>
      <c r="U24" s="40"/>
    </row>
    <row r="25" spans="2:21" x14ac:dyDescent="0.25">
      <c r="B25" s="41" t="s">
        <v>47</v>
      </c>
      <c r="C25" s="45"/>
      <c r="D25" s="36"/>
      <c r="E25" s="36"/>
      <c r="F25" s="36"/>
      <c r="G25" s="36"/>
      <c r="H25" s="36"/>
      <c r="I25" s="36"/>
      <c r="J25" s="36"/>
      <c r="K25" s="36"/>
      <c r="L25" s="36"/>
      <c r="M25" s="36"/>
      <c r="N25" s="36"/>
      <c r="O25" s="36"/>
      <c r="P25" s="36"/>
      <c r="S25" s="36"/>
      <c r="T25" s="46"/>
      <c r="U25" s="43"/>
    </row>
    <row r="26" spans="2:21" x14ac:dyDescent="0.25">
      <c r="B26" s="28" t="s">
        <v>47</v>
      </c>
      <c r="C26" s="168">
        <v>-251</v>
      </c>
      <c r="D26" s="168">
        <v>1956</v>
      </c>
      <c r="E26" s="168">
        <v>-1746</v>
      </c>
      <c r="F26" s="4"/>
      <c r="G26" s="168">
        <v>751</v>
      </c>
      <c r="H26" s="168">
        <v>2431</v>
      </c>
      <c r="I26" s="168">
        <v>-544</v>
      </c>
      <c r="J26" s="170">
        <f t="shared" ref="J26:J31" si="15">SUM(D26-SUM(G26:I26))</f>
        <v>-682</v>
      </c>
      <c r="K26" s="168">
        <v>-998</v>
      </c>
      <c r="L26" s="168">
        <v>367</v>
      </c>
      <c r="M26" s="168">
        <v>-1419</v>
      </c>
      <c r="N26" s="170">
        <f t="shared" ref="N26:N31" si="16">SUM(E26-SUM(K26:M26))</f>
        <v>304</v>
      </c>
      <c r="O26" s="168">
        <v>-41</v>
      </c>
      <c r="P26" s="168">
        <v>-1334</v>
      </c>
      <c r="R26" s="25">
        <f t="shared" ref="R26:R29" si="17">SUM(I26:L26)</f>
        <v>-1857</v>
      </c>
      <c r="S26" s="25">
        <f t="shared" ref="S26:S29" si="18">SUM(M26:P26)</f>
        <v>-2490</v>
      </c>
      <c r="T26" s="46"/>
      <c r="U26" s="27">
        <f t="shared" ref="U26:U31" si="19">SUM(S26/R26)-1</f>
        <v>0.34087237479806132</v>
      </c>
    </row>
    <row r="27" spans="2:21" x14ac:dyDescent="0.25">
      <c r="B27" s="28" t="s">
        <v>48</v>
      </c>
      <c r="C27" s="168">
        <v>-11888</v>
      </c>
      <c r="D27" s="168">
        <v>-10560</v>
      </c>
      <c r="E27" s="168">
        <v>-15089</v>
      </c>
      <c r="F27" s="4"/>
      <c r="G27" s="168">
        <v>-2091</v>
      </c>
      <c r="H27" s="168">
        <v>-2745</v>
      </c>
      <c r="I27" s="168">
        <v>-2701</v>
      </c>
      <c r="J27" s="170">
        <f t="shared" si="15"/>
        <v>-3023</v>
      </c>
      <c r="K27" s="168">
        <v>-3201</v>
      </c>
      <c r="L27" s="168">
        <v>-3855</v>
      </c>
      <c r="M27" s="168">
        <v>-3937</v>
      </c>
      <c r="N27" s="170">
        <f t="shared" si="16"/>
        <v>-4096</v>
      </c>
      <c r="O27" s="168">
        <v>-3790</v>
      </c>
      <c r="P27" s="168">
        <v>-6131</v>
      </c>
      <c r="R27" s="25">
        <f t="shared" si="17"/>
        <v>-12780</v>
      </c>
      <c r="S27" s="25">
        <f t="shared" si="18"/>
        <v>-17954</v>
      </c>
      <c r="T27" s="46"/>
      <c r="U27" s="27">
        <f t="shared" si="19"/>
        <v>0.40485133020344288</v>
      </c>
    </row>
    <row r="28" spans="2:21" x14ac:dyDescent="0.25">
      <c r="B28" s="28" t="s">
        <v>49</v>
      </c>
      <c r="C28" s="168">
        <v>60030</v>
      </c>
      <c r="D28" s="168">
        <v>10250</v>
      </c>
      <c r="E28" s="168">
        <v>5137</v>
      </c>
      <c r="F28" s="4"/>
      <c r="G28" s="169"/>
      <c r="H28" s="169"/>
      <c r="I28" s="169"/>
      <c r="J28" s="170">
        <f t="shared" si="15"/>
        <v>10250</v>
      </c>
      <c r="K28" s="168">
        <v>0</v>
      </c>
      <c r="L28" s="168">
        <v>0</v>
      </c>
      <c r="M28" s="168">
        <v>2213</v>
      </c>
      <c r="N28" s="170">
        <f t="shared" si="16"/>
        <v>2924</v>
      </c>
      <c r="O28" s="168">
        <v>1666</v>
      </c>
      <c r="P28" s="168">
        <v>3550</v>
      </c>
      <c r="R28" s="25">
        <f t="shared" si="17"/>
        <v>10250</v>
      </c>
      <c r="S28" s="25">
        <f t="shared" si="18"/>
        <v>10353</v>
      </c>
      <c r="T28" s="46"/>
      <c r="U28" s="27">
        <f t="shared" si="19"/>
        <v>1.0048780487804887E-2</v>
      </c>
    </row>
    <row r="29" spans="2:21" x14ac:dyDescent="0.25">
      <c r="B29" s="28" t="s">
        <v>50</v>
      </c>
      <c r="C29" s="168">
        <v>-4960</v>
      </c>
      <c r="D29" s="168">
        <v>-1392</v>
      </c>
      <c r="E29" s="168">
        <v>0</v>
      </c>
      <c r="F29" s="4"/>
      <c r="G29" s="168">
        <v>-1392</v>
      </c>
      <c r="H29" s="169"/>
      <c r="I29" s="169"/>
      <c r="J29" s="170">
        <f t="shared" si="15"/>
        <v>0</v>
      </c>
      <c r="K29" s="168">
        <v>0</v>
      </c>
      <c r="L29" s="168">
        <v>4402</v>
      </c>
      <c r="M29" s="168">
        <v>0</v>
      </c>
      <c r="N29" s="170">
        <f t="shared" si="16"/>
        <v>-4402</v>
      </c>
      <c r="O29" s="168">
        <v>-695</v>
      </c>
      <c r="P29" s="168">
        <v>-2308</v>
      </c>
      <c r="R29" s="25">
        <f t="shared" si="17"/>
        <v>4402</v>
      </c>
      <c r="S29" s="25">
        <f t="shared" si="18"/>
        <v>-7405</v>
      </c>
      <c r="T29" s="46"/>
      <c r="U29" s="27">
        <f t="shared" si="19"/>
        <v>-2.682189913675602</v>
      </c>
    </row>
    <row r="30" spans="2:21" x14ac:dyDescent="0.25">
      <c r="B30" s="44" t="s">
        <v>107</v>
      </c>
      <c r="C30" s="150">
        <f>SUM(C26:C29)+C21</f>
        <v>39696</v>
      </c>
      <c r="D30" s="150">
        <f>SUM(D26:D29)+D21</f>
        <v>-16428</v>
      </c>
      <c r="E30" s="150">
        <f>SUM(E26:E29)+E21</f>
        <v>-40575</v>
      </c>
      <c r="F30" s="171"/>
      <c r="G30" s="150">
        <f>SUM(G26:G29)+G21</f>
        <v>-9810</v>
      </c>
      <c r="H30" s="150">
        <f>SUM(H26:H29)+H21</f>
        <v>-11483</v>
      </c>
      <c r="I30" s="150">
        <f>SUM(I26:I29)+I21</f>
        <v>-1559</v>
      </c>
      <c r="J30" s="150">
        <f>SUM(J26:J29)+J21</f>
        <v>6424</v>
      </c>
      <c r="K30" s="150">
        <f>SUM(K26:K29)+K21</f>
        <v>-10046</v>
      </c>
      <c r="L30" s="150">
        <f>SUM(L26:L29)+L21</f>
        <v>-2798</v>
      </c>
      <c r="M30" s="150">
        <f>SUM(M26:M29)+M21</f>
        <v>-9359</v>
      </c>
      <c r="N30" s="150">
        <f>SUM(N26:N29)+N21</f>
        <v>-18372</v>
      </c>
      <c r="O30" s="150">
        <f>SUM(O26:O29)+O21</f>
        <v>-20585</v>
      </c>
      <c r="P30" s="150">
        <f>SUM(P26:P29)+P21</f>
        <v>-13157</v>
      </c>
      <c r="R30" s="30">
        <f>SUM(R21+SUM(R26:R29))</f>
        <v>-7979</v>
      </c>
      <c r="S30" s="30">
        <f>SUM(S21+SUM(S26:S29))</f>
        <v>-61473</v>
      </c>
      <c r="T30" s="46"/>
      <c r="U30" s="33">
        <f>SUM(S30/R30)-1</f>
        <v>6.7043489159042489</v>
      </c>
    </row>
    <row r="31" spans="2:21" x14ac:dyDescent="0.25">
      <c r="B31" s="47" t="s">
        <v>51</v>
      </c>
      <c r="C31" s="168">
        <v>-1341</v>
      </c>
      <c r="D31" s="168">
        <v>-1940</v>
      </c>
      <c r="E31" s="168">
        <v>-711</v>
      </c>
      <c r="F31" s="172"/>
      <c r="G31" s="168">
        <v>-410</v>
      </c>
      <c r="H31" s="168">
        <v>-461</v>
      </c>
      <c r="I31" s="168">
        <v>693</v>
      </c>
      <c r="J31" s="170">
        <f t="shared" si="15"/>
        <v>-1762</v>
      </c>
      <c r="K31" s="168">
        <v>-530</v>
      </c>
      <c r="L31" s="168">
        <v>-533</v>
      </c>
      <c r="M31" s="168">
        <v>-510</v>
      </c>
      <c r="N31" s="170">
        <f t="shared" si="16"/>
        <v>862</v>
      </c>
      <c r="O31" s="168">
        <v>-235</v>
      </c>
      <c r="P31" s="168">
        <v>-370</v>
      </c>
      <c r="R31" s="25">
        <f t="shared" ref="R31" si="20">SUM(I31:L31)</f>
        <v>-2132</v>
      </c>
      <c r="S31" s="25">
        <f t="shared" ref="S31" si="21">SUM(M31:P31)</f>
        <v>-253</v>
      </c>
      <c r="T31" s="46"/>
      <c r="U31" s="27">
        <f t="shared" si="19"/>
        <v>-0.88133208255159479</v>
      </c>
    </row>
    <row r="32" spans="2:21" x14ac:dyDescent="0.25">
      <c r="B32" s="44" t="s">
        <v>108</v>
      </c>
      <c r="C32" s="150">
        <f>SUM(C30+C31)</f>
        <v>38355</v>
      </c>
      <c r="D32" s="150">
        <f t="shared" ref="D32:E32" si="22">SUM(D30+D31)</f>
        <v>-18368</v>
      </c>
      <c r="E32" s="150">
        <f t="shared" si="22"/>
        <v>-41286</v>
      </c>
      <c r="F32" s="5"/>
      <c r="G32" s="150">
        <f t="shared" ref="G32:P32" si="23">SUM(G30+G31)</f>
        <v>-10220</v>
      </c>
      <c r="H32" s="150">
        <f t="shared" si="23"/>
        <v>-11944</v>
      </c>
      <c r="I32" s="150">
        <f t="shared" si="23"/>
        <v>-866</v>
      </c>
      <c r="J32" s="150">
        <f t="shared" si="23"/>
        <v>4662</v>
      </c>
      <c r="K32" s="150">
        <f t="shared" si="23"/>
        <v>-10576</v>
      </c>
      <c r="L32" s="150">
        <f t="shared" si="23"/>
        <v>-3331</v>
      </c>
      <c r="M32" s="150">
        <f t="shared" si="23"/>
        <v>-9869</v>
      </c>
      <c r="N32" s="150">
        <f t="shared" si="23"/>
        <v>-17510</v>
      </c>
      <c r="O32" s="150">
        <f t="shared" si="23"/>
        <v>-20820</v>
      </c>
      <c r="P32" s="150">
        <f t="shared" si="23"/>
        <v>-13527</v>
      </c>
      <c r="Q32" s="173"/>
      <c r="R32" s="150">
        <f t="shared" ref="R32:S32" si="24">SUM(R30+R31)</f>
        <v>-10111</v>
      </c>
      <c r="S32" s="150">
        <f t="shared" si="24"/>
        <v>-61726</v>
      </c>
      <c r="T32" s="48">
        <f t="shared" ref="T32" si="25">SUM(T31-T30)</f>
        <v>0</v>
      </c>
      <c r="U32" s="33">
        <f>SUM(S32/R32)-1</f>
        <v>5.1048363168826034</v>
      </c>
    </row>
    <row r="33" spans="1:21" x14ac:dyDescent="0.25">
      <c r="B33" s="34" t="s">
        <v>101</v>
      </c>
      <c r="C33" s="45"/>
      <c r="D33" s="36">
        <f>D32/C32-1</f>
        <v>-1.4788945378698997</v>
      </c>
      <c r="E33" s="36">
        <f>E32/D32-1</f>
        <v>1.2477134146341462</v>
      </c>
      <c r="F33" s="36"/>
      <c r="G33" s="36"/>
      <c r="H33" s="36">
        <f t="shared" ref="H33:P33" si="26">H32/G32-1</f>
        <v>0.16868884540117413</v>
      </c>
      <c r="I33" s="36">
        <f t="shared" si="26"/>
        <v>-0.9274949765572672</v>
      </c>
      <c r="J33" s="36">
        <f t="shared" si="26"/>
        <v>-6.3833718244803697</v>
      </c>
      <c r="K33" s="36">
        <f t="shared" si="26"/>
        <v>-3.2685542685542686</v>
      </c>
      <c r="L33" s="36">
        <f t="shared" si="26"/>
        <v>-0.68504160363086231</v>
      </c>
      <c r="M33" s="36">
        <f t="shared" si="26"/>
        <v>1.9627739417592314</v>
      </c>
      <c r="N33" s="36">
        <f t="shared" si="26"/>
        <v>0.77424257776877092</v>
      </c>
      <c r="O33" s="36">
        <f t="shared" si="26"/>
        <v>0.18903483723586523</v>
      </c>
      <c r="P33" s="36">
        <f t="shared" si="26"/>
        <v>-0.35028818443804033</v>
      </c>
      <c r="S33" s="36">
        <f>S32/R32-1</f>
        <v>5.1048363168826034</v>
      </c>
      <c r="T33" s="3"/>
      <c r="U33" s="37"/>
    </row>
    <row r="34" spans="1:21" x14ac:dyDescent="0.25">
      <c r="B34" s="34" t="s">
        <v>109</v>
      </c>
      <c r="C34" s="36">
        <f>SUM(C32/C10)</f>
        <v>0.10003077468755868</v>
      </c>
      <c r="D34" s="36">
        <f>SUM(D32/D10)</f>
        <v>-4.3518125839597986E-2</v>
      </c>
      <c r="E34" s="36">
        <f>SUM(E32/E10)</f>
        <v>-0.13249679075738124</v>
      </c>
      <c r="F34" s="36"/>
      <c r="G34" s="36">
        <f>SUM(G32/G10)</f>
        <v>-0.10528050765395472</v>
      </c>
      <c r="H34" s="36">
        <f>SUM(H32/H10)</f>
        <v>-0.12047974015755974</v>
      </c>
      <c r="I34" s="36">
        <f>SUM(I32/I10)</f>
        <v>-7.7880499298535917E-3</v>
      </c>
      <c r="J34" s="36">
        <f>SUM(J32/J10)</f>
        <v>4.065579488968344E-2</v>
      </c>
      <c r="K34" s="36">
        <f>SUM(K32/K10)</f>
        <v>-0.11522328870101431</v>
      </c>
      <c r="L34" s="36">
        <f>SUM(L32/L10)</f>
        <v>-4.4014270613107823E-2</v>
      </c>
      <c r="M34" s="36">
        <f>SUM(M32/M10)</f>
        <v>-0.13721046631259906</v>
      </c>
      <c r="N34" s="36">
        <f>SUM(N32/N10)</f>
        <v>-0.24249726480812109</v>
      </c>
      <c r="O34" s="36">
        <f>SUM(O32/O10)</f>
        <v>-0.29182961187502626</v>
      </c>
      <c r="P34" s="36">
        <f>SUM(P32/P10)</f>
        <v>-0.19195674693837006</v>
      </c>
      <c r="R34" s="36">
        <f>SUM(R32/R10)</f>
        <v>-2.5705953988096601E-2</v>
      </c>
      <c r="S34" s="36">
        <f>SUM(S32/S10)</f>
        <v>-0.21586668764972286</v>
      </c>
      <c r="T34" s="46"/>
      <c r="U34" s="27">
        <f t="shared" ref="U34" si="27">SUM(S34/R34)-1</f>
        <v>7.397536529851493</v>
      </c>
    </row>
    <row r="35" spans="1:21" ht="15.75" thickBot="1" x14ac:dyDescent="0.3">
      <c r="B35" s="34"/>
      <c r="C35" s="45"/>
      <c r="D35" s="36"/>
      <c r="E35" s="36"/>
      <c r="F35" s="36"/>
      <c r="G35" s="36"/>
      <c r="H35" s="36"/>
      <c r="I35" s="36"/>
      <c r="J35" s="36"/>
      <c r="K35" s="36"/>
      <c r="L35" s="36"/>
      <c r="M35" s="36"/>
      <c r="N35" s="36"/>
      <c r="O35" s="36"/>
      <c r="P35" s="36"/>
      <c r="S35" s="36"/>
      <c r="T35" s="46"/>
      <c r="U35" s="43"/>
    </row>
    <row r="36" spans="1:21" x14ac:dyDescent="0.25">
      <c r="B36" s="49" t="s">
        <v>53</v>
      </c>
      <c r="C36" s="182">
        <f t="shared" ref="C36:E36" si="28">C32/C37</f>
        <v>0.58098671554296621</v>
      </c>
      <c r="D36" s="182">
        <f t="shared" si="28"/>
        <v>-0.20143001272097205</v>
      </c>
      <c r="E36" s="183">
        <f t="shared" si="28"/>
        <v>-0.43419184536266786</v>
      </c>
      <c r="F36" s="50"/>
      <c r="G36" s="181">
        <f>G32/G37</f>
        <v>-0.12218887865998733</v>
      </c>
      <c r="H36" s="182">
        <f t="shared" ref="H36:P36" si="29">H32/H37</f>
        <v>-0.13046422719825232</v>
      </c>
      <c r="I36" s="182">
        <f t="shared" si="29"/>
        <v>-9.3367258927031221E-3</v>
      </c>
      <c r="J36" s="182">
        <f t="shared" si="29"/>
        <v>5.1125148045795502E-2</v>
      </c>
      <c r="K36" s="182">
        <f t="shared" si="29"/>
        <v>-0.11290339799088318</v>
      </c>
      <c r="L36" s="182">
        <f t="shared" si="29"/>
        <v>-3.5059467424481634E-2</v>
      </c>
      <c r="M36" s="182">
        <f t="shared" si="29"/>
        <v>-0.10301024987996577</v>
      </c>
      <c r="N36" s="182">
        <f t="shared" si="29"/>
        <v>-0.18414714945260657</v>
      </c>
      <c r="O36" s="182">
        <f t="shared" si="29"/>
        <v>-0.21721439749608765</v>
      </c>
      <c r="P36" s="183">
        <f t="shared" si="29"/>
        <v>-2.8222407677863552</v>
      </c>
      <c r="S36" s="36"/>
      <c r="T36" s="46"/>
      <c r="U36" s="43"/>
    </row>
    <row r="37" spans="1:21" ht="15.75" thickBot="1" x14ac:dyDescent="0.3">
      <c r="B37" s="51" t="s">
        <v>54</v>
      </c>
      <c r="C37" s="52">
        <v>66017</v>
      </c>
      <c r="D37" s="53">
        <v>91188</v>
      </c>
      <c r="E37" s="54">
        <v>95087</v>
      </c>
      <c r="F37" s="50"/>
      <c r="G37" s="180">
        <v>83641</v>
      </c>
      <c r="H37" s="178">
        <v>91550</v>
      </c>
      <c r="I37" s="178">
        <v>92752</v>
      </c>
      <c r="J37" s="55">
        <f>D37</f>
        <v>91188</v>
      </c>
      <c r="K37" s="178">
        <v>93673</v>
      </c>
      <c r="L37" s="178">
        <v>95010</v>
      </c>
      <c r="M37" s="178">
        <v>95806</v>
      </c>
      <c r="N37" s="55">
        <f>E37</f>
        <v>95087</v>
      </c>
      <c r="O37" s="178">
        <v>95850</v>
      </c>
      <c r="P37" s="179">
        <v>4793</v>
      </c>
      <c r="S37" s="36"/>
      <c r="T37" s="46"/>
      <c r="U37" s="43"/>
    </row>
    <row r="38" spans="1:21" x14ac:dyDescent="0.25">
      <c r="B38" s="34"/>
      <c r="C38" s="45"/>
      <c r="D38" s="36"/>
      <c r="E38" s="36"/>
      <c r="F38" s="36"/>
      <c r="G38" s="36"/>
      <c r="H38" s="36"/>
      <c r="I38" s="36"/>
      <c r="J38" s="36"/>
      <c r="K38" s="36"/>
      <c r="L38" s="36"/>
      <c r="M38" s="36"/>
      <c r="N38" s="36"/>
      <c r="O38" s="36"/>
      <c r="P38" s="36"/>
      <c r="S38" s="36"/>
      <c r="T38" s="46"/>
      <c r="U38" s="43"/>
    </row>
    <row r="39" spans="1:21" x14ac:dyDescent="0.25">
      <c r="A39" s="6" t="s">
        <v>93</v>
      </c>
      <c r="B39" s="7" t="s">
        <v>110</v>
      </c>
      <c r="C39" s="56"/>
      <c r="D39" s="56"/>
      <c r="E39" s="56"/>
      <c r="F39" s="8"/>
      <c r="G39" s="8"/>
      <c r="H39" s="8"/>
      <c r="I39" s="8"/>
      <c r="J39" s="8"/>
      <c r="K39" s="8"/>
      <c r="L39" s="8"/>
      <c r="M39" s="8"/>
      <c r="N39" s="8"/>
      <c r="O39" s="8"/>
      <c r="P39" s="8"/>
      <c r="Q39" s="8"/>
      <c r="R39" s="8"/>
      <c r="S39" s="8"/>
    </row>
    <row r="40" spans="1:21" x14ac:dyDescent="0.25">
      <c r="B40" s="57" t="s">
        <v>111</v>
      </c>
      <c r="C40" s="58"/>
      <c r="D40" s="58"/>
      <c r="E40" s="58"/>
      <c r="F40" s="8"/>
      <c r="G40" s="8"/>
      <c r="H40" s="8"/>
      <c r="I40" s="8"/>
      <c r="J40" s="8"/>
      <c r="K40" s="8"/>
      <c r="L40" s="8"/>
      <c r="M40" s="8"/>
      <c r="N40" s="8"/>
      <c r="O40" s="8"/>
      <c r="P40" s="8"/>
      <c r="Q40" s="8"/>
      <c r="R40" s="8"/>
      <c r="S40" s="8"/>
    </row>
    <row r="41" spans="1:21" ht="3.75" customHeight="1" x14ac:dyDescent="0.25">
      <c r="B41" s="59"/>
      <c r="C41" s="60"/>
      <c r="D41" s="60"/>
      <c r="E41" s="60"/>
    </row>
    <row r="42" spans="1:21" x14ac:dyDescent="0.25">
      <c r="B42" s="41" t="s">
        <v>112</v>
      </c>
      <c r="D42" s="22"/>
      <c r="E42" s="22"/>
    </row>
    <row r="43" spans="1:21" x14ac:dyDescent="0.25">
      <c r="B43" s="28" t="s">
        <v>0</v>
      </c>
      <c r="C43" s="76">
        <v>5210</v>
      </c>
      <c r="D43" s="76">
        <v>25963</v>
      </c>
      <c r="E43" s="22">
        <v>25692</v>
      </c>
      <c r="G43" s="24">
        <v>26528</v>
      </c>
      <c r="H43" s="24">
        <v>25698</v>
      </c>
      <c r="I43" s="24">
        <v>26028</v>
      </c>
      <c r="J43" s="42">
        <f>D43</f>
        <v>25963</v>
      </c>
      <c r="K43" s="24">
        <v>25465</v>
      </c>
      <c r="L43" s="24">
        <v>25574</v>
      </c>
      <c r="M43" s="24">
        <v>24377</v>
      </c>
      <c r="N43" s="42">
        <f>E43</f>
        <v>25692</v>
      </c>
      <c r="O43" s="24">
        <v>17287</v>
      </c>
      <c r="P43" s="24">
        <v>16719</v>
      </c>
      <c r="R43" s="25">
        <f>SUM(I43:L43)</f>
        <v>103030</v>
      </c>
      <c r="S43" s="25">
        <f>SUM(M43:P43)</f>
        <v>84075</v>
      </c>
      <c r="T43" s="25"/>
      <c r="U43" s="27">
        <f t="shared" ref="U43:U58" si="30">SUM(S43/R43)-1</f>
        <v>-0.18397554110453262</v>
      </c>
    </row>
    <row r="44" spans="1:21" x14ac:dyDescent="0.25">
      <c r="B44" s="28" t="s">
        <v>1</v>
      </c>
      <c r="C44" s="76">
        <v>283</v>
      </c>
      <c r="D44" s="76">
        <v>212</v>
      </c>
      <c r="E44" s="22">
        <v>168</v>
      </c>
      <c r="G44" s="24">
        <v>255</v>
      </c>
      <c r="H44" s="24">
        <v>223</v>
      </c>
      <c r="I44" s="24">
        <v>219</v>
      </c>
      <c r="J44" s="42">
        <f t="shared" ref="J44:J49" si="31">D44</f>
        <v>212</v>
      </c>
      <c r="K44" s="24">
        <v>200</v>
      </c>
      <c r="L44" s="24">
        <v>180</v>
      </c>
      <c r="M44" s="24">
        <v>172</v>
      </c>
      <c r="N44" s="42">
        <f t="shared" ref="N44:N49" si="32">E44</f>
        <v>168</v>
      </c>
      <c r="O44" s="24">
        <v>256</v>
      </c>
      <c r="P44" s="24">
        <v>241</v>
      </c>
      <c r="R44" s="25">
        <f t="shared" ref="R44:R49" si="33">SUM(I44:L44)</f>
        <v>811</v>
      </c>
      <c r="S44" s="25">
        <f t="shared" ref="S44:S49" si="34">SUM(M44:P44)</f>
        <v>837</v>
      </c>
      <c r="T44" s="25"/>
      <c r="U44" s="27">
        <f t="shared" si="30"/>
        <v>3.2059186189889122E-2</v>
      </c>
    </row>
    <row r="45" spans="1:21" x14ac:dyDescent="0.25">
      <c r="B45" s="28" t="s">
        <v>64</v>
      </c>
      <c r="C45" s="76">
        <v>69354</v>
      </c>
      <c r="D45" s="76">
        <v>72464</v>
      </c>
      <c r="E45" s="22">
        <v>67788</v>
      </c>
      <c r="G45" s="24">
        <v>64909</v>
      </c>
      <c r="H45" s="24">
        <v>61309</v>
      </c>
      <c r="I45" s="24">
        <v>72911</v>
      </c>
      <c r="J45" s="42">
        <f t="shared" si="31"/>
        <v>72464</v>
      </c>
      <c r="K45" s="24">
        <v>66245</v>
      </c>
      <c r="L45" s="24">
        <v>51529</v>
      </c>
      <c r="M45" s="24">
        <v>60020</v>
      </c>
      <c r="N45" s="42">
        <f t="shared" si="32"/>
        <v>67788</v>
      </c>
      <c r="O45" s="24">
        <v>61364</v>
      </c>
      <c r="P45" s="24">
        <v>51073</v>
      </c>
      <c r="R45" s="25">
        <f t="shared" si="33"/>
        <v>263149</v>
      </c>
      <c r="S45" s="25">
        <f t="shared" si="34"/>
        <v>240245</v>
      </c>
      <c r="T45" s="25"/>
      <c r="U45" s="27">
        <f t="shared" si="30"/>
        <v>-8.7038141889195897E-2</v>
      </c>
    </row>
    <row r="46" spans="1:21" x14ac:dyDescent="0.25">
      <c r="B46" s="28" t="s">
        <v>2</v>
      </c>
      <c r="C46" s="76">
        <v>33546</v>
      </c>
      <c r="D46" s="76">
        <v>19441</v>
      </c>
      <c r="E46" s="22">
        <v>17753</v>
      </c>
      <c r="G46" s="24">
        <v>32642</v>
      </c>
      <c r="H46" s="24">
        <v>23671</v>
      </c>
      <c r="I46" s="24">
        <v>32402</v>
      </c>
      <c r="J46" s="42">
        <f t="shared" si="31"/>
        <v>19441</v>
      </c>
      <c r="K46" s="24">
        <v>20017</v>
      </c>
      <c r="L46" s="24">
        <v>21376</v>
      </c>
      <c r="M46" s="24">
        <v>20409</v>
      </c>
      <c r="N46" s="42">
        <f t="shared" si="32"/>
        <v>17753</v>
      </c>
      <c r="O46" s="24">
        <v>18467</v>
      </c>
      <c r="P46" s="24">
        <v>18965</v>
      </c>
      <c r="R46" s="25">
        <f t="shared" si="33"/>
        <v>93236</v>
      </c>
      <c r="S46" s="25">
        <f t="shared" si="34"/>
        <v>75594</v>
      </c>
      <c r="T46" s="25"/>
      <c r="U46" s="27">
        <f t="shared" si="30"/>
        <v>-0.18921875670341926</v>
      </c>
    </row>
    <row r="47" spans="1:21" x14ac:dyDescent="0.25">
      <c r="B47" s="28" t="s">
        <v>3</v>
      </c>
      <c r="C47" s="76">
        <v>24254</v>
      </c>
      <c r="D47" s="76">
        <v>25304</v>
      </c>
      <c r="E47" s="22">
        <v>9783</v>
      </c>
      <c r="G47" s="24">
        <v>25129</v>
      </c>
      <c r="H47" s="24">
        <v>25458</v>
      </c>
      <c r="I47" s="24">
        <v>25822</v>
      </c>
      <c r="J47" s="42">
        <f t="shared" si="31"/>
        <v>25304</v>
      </c>
      <c r="K47" s="24">
        <v>25276</v>
      </c>
      <c r="L47" s="24">
        <v>25880</v>
      </c>
      <c r="M47" s="24">
        <v>25423</v>
      </c>
      <c r="N47" s="42">
        <f t="shared" si="32"/>
        <v>9783</v>
      </c>
      <c r="O47" s="24">
        <v>8513</v>
      </c>
      <c r="P47" s="24">
        <v>9028</v>
      </c>
      <c r="R47" s="25">
        <f t="shared" si="33"/>
        <v>102282</v>
      </c>
      <c r="S47" s="25">
        <f t="shared" si="34"/>
        <v>52747</v>
      </c>
      <c r="T47" s="25"/>
      <c r="U47" s="27">
        <f t="shared" si="30"/>
        <v>-0.48429831250855482</v>
      </c>
    </row>
    <row r="48" spans="1:21" x14ac:dyDescent="0.25">
      <c r="B48" s="28" t="s">
        <v>4</v>
      </c>
      <c r="C48" s="76">
        <v>7853</v>
      </c>
      <c r="D48" s="76">
        <v>4158</v>
      </c>
      <c r="E48" s="22">
        <v>2186</v>
      </c>
      <c r="G48" s="24">
        <v>10715</v>
      </c>
      <c r="H48" s="24">
        <v>9241</v>
      </c>
      <c r="I48" s="24">
        <v>7198</v>
      </c>
      <c r="J48" s="42">
        <f t="shared" si="31"/>
        <v>4158</v>
      </c>
      <c r="K48" s="24">
        <v>6444</v>
      </c>
      <c r="L48" s="24">
        <v>4149</v>
      </c>
      <c r="M48" s="24">
        <v>3763</v>
      </c>
      <c r="N48" s="42">
        <f t="shared" si="32"/>
        <v>2186</v>
      </c>
      <c r="O48" s="24">
        <v>3880</v>
      </c>
      <c r="P48" s="24">
        <v>3632</v>
      </c>
      <c r="R48" s="25">
        <f t="shared" ref="R48" si="35">SUM(I48:L48)</f>
        <v>21949</v>
      </c>
      <c r="S48" s="25">
        <f t="shared" ref="S48" si="36">SUM(M48:P48)</f>
        <v>13461</v>
      </c>
      <c r="T48" s="25"/>
      <c r="U48" s="27"/>
    </row>
    <row r="49" spans="2:21" x14ac:dyDescent="0.25">
      <c r="B49" s="28" t="s">
        <v>5</v>
      </c>
      <c r="C49" s="76">
        <v>4697</v>
      </c>
      <c r="D49" s="76">
        <v>5513</v>
      </c>
      <c r="E49" s="22">
        <v>8414</v>
      </c>
      <c r="G49" s="24">
        <v>4574</v>
      </c>
      <c r="H49" s="24">
        <v>4839</v>
      </c>
      <c r="I49" s="24">
        <v>7489</v>
      </c>
      <c r="J49" s="42">
        <f t="shared" si="31"/>
        <v>5513</v>
      </c>
      <c r="K49" s="24">
        <v>6004</v>
      </c>
      <c r="L49" s="24">
        <v>5389</v>
      </c>
      <c r="M49" s="24">
        <v>7224</v>
      </c>
      <c r="N49" s="42">
        <f t="shared" si="32"/>
        <v>8414</v>
      </c>
      <c r="O49" s="24">
        <v>8965</v>
      </c>
      <c r="P49" s="24">
        <v>9195</v>
      </c>
      <c r="R49" s="25">
        <f t="shared" si="33"/>
        <v>24395</v>
      </c>
      <c r="S49" s="25">
        <f t="shared" si="34"/>
        <v>33798</v>
      </c>
      <c r="T49" s="25"/>
      <c r="U49" s="27">
        <f t="shared" si="30"/>
        <v>0.38544783767165414</v>
      </c>
    </row>
    <row r="50" spans="2:21" x14ac:dyDescent="0.25">
      <c r="B50" s="44" t="s">
        <v>6</v>
      </c>
      <c r="C50" s="61">
        <f>SUM(C43:C49)</f>
        <v>145197</v>
      </c>
      <c r="D50" s="61">
        <f>SUM(D43:D49)</f>
        <v>153055</v>
      </c>
      <c r="E50" s="61">
        <f>SUM(E43:E49)</f>
        <v>131784</v>
      </c>
      <c r="G50" s="61">
        <f>SUM(G43:G49)</f>
        <v>164752</v>
      </c>
      <c r="H50" s="61">
        <f>SUM(H43:H49)</f>
        <v>150439</v>
      </c>
      <c r="I50" s="61">
        <f>SUM(I43:I49)</f>
        <v>172069</v>
      </c>
      <c r="J50" s="61">
        <f>SUM(J43:J49)</f>
        <v>153055</v>
      </c>
      <c r="K50" s="61">
        <f>SUM(K43:K49)</f>
        <v>149651</v>
      </c>
      <c r="L50" s="61">
        <f>SUM(L43:L49)</f>
        <v>134077</v>
      </c>
      <c r="M50" s="61">
        <f>SUM(M43:M49)</f>
        <v>141388</v>
      </c>
      <c r="N50" s="61">
        <f>SUM(N43:N49)</f>
        <v>131784</v>
      </c>
      <c r="O50" s="61">
        <f>SUM(O43:O49)</f>
        <v>118732</v>
      </c>
      <c r="P50" s="61">
        <f>SUM(P43:P49)</f>
        <v>108853</v>
      </c>
      <c r="R50" s="61">
        <f>SUM(R43:R49)</f>
        <v>608852</v>
      </c>
      <c r="S50" s="61">
        <f>SUM(S43:S49)</f>
        <v>500757</v>
      </c>
      <c r="T50" s="32"/>
      <c r="U50" s="33">
        <f t="shared" si="30"/>
        <v>-0.17753904068640658</v>
      </c>
    </row>
    <row r="51" spans="2:21" ht="15.75" x14ac:dyDescent="0.25">
      <c r="B51" s="41"/>
      <c r="C51" s="62"/>
      <c r="D51" s="63"/>
      <c r="E51" s="64"/>
      <c r="G51" s="64"/>
      <c r="H51" s="64"/>
      <c r="I51" s="64"/>
      <c r="J51" s="64"/>
      <c r="K51" s="64"/>
      <c r="L51" s="64"/>
      <c r="M51" s="64"/>
      <c r="N51" s="64"/>
      <c r="O51" s="64"/>
      <c r="P51" s="64"/>
      <c r="R51" s="32"/>
      <c r="S51" s="32"/>
      <c r="T51" s="32"/>
      <c r="U51" s="37"/>
    </row>
    <row r="52" spans="2:21" ht="15.75" x14ac:dyDescent="0.25">
      <c r="B52" s="41" t="s">
        <v>113</v>
      </c>
      <c r="C52" s="62"/>
      <c r="D52" s="63"/>
      <c r="E52" s="64"/>
      <c r="G52" s="64"/>
      <c r="H52" s="64"/>
      <c r="I52" s="64"/>
      <c r="J52" s="64"/>
      <c r="K52" s="64"/>
      <c r="L52" s="64"/>
      <c r="M52" s="64"/>
      <c r="N52" s="64"/>
      <c r="O52" s="64"/>
      <c r="P52" s="64"/>
      <c r="R52" s="32"/>
      <c r="S52" s="32"/>
      <c r="T52" s="32"/>
      <c r="U52" s="37"/>
    </row>
    <row r="53" spans="2:21" x14ac:dyDescent="0.25">
      <c r="B53" s="28" t="s">
        <v>7</v>
      </c>
      <c r="C53" s="76">
        <v>12853</v>
      </c>
      <c r="D53" s="76">
        <v>16555</v>
      </c>
      <c r="E53" s="65">
        <v>12028</v>
      </c>
      <c r="G53" s="24">
        <v>14093</v>
      </c>
      <c r="H53" s="24">
        <v>15973</v>
      </c>
      <c r="I53" s="24">
        <v>16794</v>
      </c>
      <c r="J53" s="42">
        <f>D53</f>
        <v>16555</v>
      </c>
      <c r="K53" s="24">
        <v>15583</v>
      </c>
      <c r="L53" s="24">
        <v>14621</v>
      </c>
      <c r="M53" s="24">
        <v>13251</v>
      </c>
      <c r="N53" s="42">
        <f t="shared" ref="N53:N57" si="37">E53</f>
        <v>12028</v>
      </c>
      <c r="O53" s="24">
        <v>10988</v>
      </c>
      <c r="P53" s="24">
        <v>11334</v>
      </c>
      <c r="R53" s="25">
        <f>SUM(I53:L53)</f>
        <v>63553</v>
      </c>
      <c r="S53" s="25">
        <f>SUM(M53:P53)</f>
        <v>47601</v>
      </c>
      <c r="T53" s="25"/>
      <c r="U53" s="27">
        <f t="shared" si="30"/>
        <v>-0.25100309977499091</v>
      </c>
    </row>
    <row r="54" spans="2:21" x14ac:dyDescent="0.25">
      <c r="B54" s="28" t="s">
        <v>8</v>
      </c>
      <c r="C54" s="76">
        <v>9584</v>
      </c>
      <c r="D54" s="76">
        <v>4941</v>
      </c>
      <c r="E54" s="65">
        <v>1669</v>
      </c>
      <c r="G54" s="24">
        <v>8420</v>
      </c>
      <c r="H54" s="24">
        <v>7245</v>
      </c>
      <c r="I54" s="24">
        <v>6497</v>
      </c>
      <c r="J54" s="42">
        <f t="shared" ref="J54:J57" si="38">D54</f>
        <v>4941</v>
      </c>
      <c r="K54" s="24">
        <v>3801</v>
      </c>
      <c r="L54" s="24">
        <v>2819</v>
      </c>
      <c r="M54" s="24">
        <v>1986</v>
      </c>
      <c r="N54" s="42">
        <f t="shared" si="37"/>
        <v>1669</v>
      </c>
      <c r="O54" s="24">
        <v>1207</v>
      </c>
      <c r="P54" s="24">
        <v>742</v>
      </c>
      <c r="R54" s="25">
        <f t="shared" ref="R54:R57" si="39">SUM(I54:L54)</f>
        <v>18058</v>
      </c>
      <c r="S54" s="25">
        <f t="shared" ref="S54:S57" si="40">SUM(M54:P54)</f>
        <v>5604</v>
      </c>
      <c r="T54" s="25"/>
      <c r="U54" s="27">
        <f t="shared" si="30"/>
        <v>-0.68966662974858783</v>
      </c>
    </row>
    <row r="55" spans="2:21" x14ac:dyDescent="0.25">
      <c r="B55" s="28" t="s">
        <v>9</v>
      </c>
      <c r="C55" s="76">
        <v>12969</v>
      </c>
      <c r="D55" s="76">
        <v>12969</v>
      </c>
      <c r="E55" s="65">
        <v>12969</v>
      </c>
      <c r="G55" s="24">
        <v>12969</v>
      </c>
      <c r="H55" s="24">
        <v>12969</v>
      </c>
      <c r="I55" s="24">
        <v>12969</v>
      </c>
      <c r="J55" s="42">
        <f t="shared" si="38"/>
        <v>12969</v>
      </c>
      <c r="K55" s="24">
        <v>12969</v>
      </c>
      <c r="L55" s="24">
        <v>12969</v>
      </c>
      <c r="M55" s="24">
        <v>12969</v>
      </c>
      <c r="N55" s="42">
        <f t="shared" si="37"/>
        <v>12969</v>
      </c>
      <c r="O55" s="24">
        <v>12969</v>
      </c>
      <c r="P55" s="24">
        <v>12969</v>
      </c>
      <c r="R55" s="25">
        <f t="shared" si="39"/>
        <v>51876</v>
      </c>
      <c r="S55" s="25">
        <f t="shared" si="40"/>
        <v>51876</v>
      </c>
      <c r="T55" s="25"/>
      <c r="U55" s="27">
        <f t="shared" si="30"/>
        <v>0</v>
      </c>
    </row>
    <row r="56" spans="2:21" x14ac:dyDescent="0.25">
      <c r="B56" s="28" t="s">
        <v>10</v>
      </c>
      <c r="C56" s="76">
        <v>11107</v>
      </c>
      <c r="D56" s="76">
        <v>10291</v>
      </c>
      <c r="E56" s="65">
        <v>9425</v>
      </c>
      <c r="G56" s="24">
        <v>10641</v>
      </c>
      <c r="H56" s="24">
        <v>10579</v>
      </c>
      <c r="I56" s="24">
        <v>10468</v>
      </c>
      <c r="J56" s="42">
        <f t="shared" si="38"/>
        <v>10291</v>
      </c>
      <c r="K56" s="24">
        <v>10017</v>
      </c>
      <c r="L56" s="24">
        <v>9844</v>
      </c>
      <c r="M56" s="24">
        <v>9625</v>
      </c>
      <c r="N56" s="42">
        <f t="shared" si="37"/>
        <v>9425</v>
      </c>
      <c r="O56" s="24">
        <v>9344</v>
      </c>
      <c r="P56" s="24">
        <v>9164</v>
      </c>
      <c r="R56" s="25">
        <f t="shared" si="39"/>
        <v>40620</v>
      </c>
      <c r="S56" s="25">
        <f t="shared" si="40"/>
        <v>37558</v>
      </c>
      <c r="T56" s="25"/>
      <c r="U56" s="27">
        <f t="shared" si="30"/>
        <v>-7.5381585425898567E-2</v>
      </c>
    </row>
    <row r="57" spans="2:21" x14ac:dyDescent="0.25">
      <c r="B57" s="28" t="s">
        <v>11</v>
      </c>
      <c r="C57" s="76">
        <v>9925</v>
      </c>
      <c r="D57" s="76">
        <v>15846</v>
      </c>
      <c r="E57" s="65">
        <v>19740</v>
      </c>
      <c r="G57" s="24">
        <v>10796</v>
      </c>
      <c r="H57" s="24">
        <v>12477</v>
      </c>
      <c r="I57" s="24">
        <v>13600</v>
      </c>
      <c r="J57" s="42">
        <f t="shared" si="38"/>
        <v>15846</v>
      </c>
      <c r="K57" s="24">
        <v>18463</v>
      </c>
      <c r="L57" s="24">
        <v>20474</v>
      </c>
      <c r="M57" s="24">
        <v>19986</v>
      </c>
      <c r="N57" s="42">
        <f t="shared" si="37"/>
        <v>19740</v>
      </c>
      <c r="O57" s="24">
        <v>19849</v>
      </c>
      <c r="P57" s="24">
        <v>20084</v>
      </c>
      <c r="R57" s="25">
        <f t="shared" si="39"/>
        <v>68383</v>
      </c>
      <c r="S57" s="25">
        <f t="shared" si="40"/>
        <v>79659</v>
      </c>
      <c r="T57" s="25"/>
      <c r="U57" s="27">
        <f t="shared" si="30"/>
        <v>0.16489478379129308</v>
      </c>
    </row>
    <row r="58" spans="2:21" x14ac:dyDescent="0.25">
      <c r="B58" s="44" t="s">
        <v>12</v>
      </c>
      <c r="C58" s="66">
        <f>SUM(C53:C57)+C50</f>
        <v>201635</v>
      </c>
      <c r="D58" s="66">
        <f>SUM(D53:D57)+D50</f>
        <v>213657</v>
      </c>
      <c r="E58" s="66">
        <f>SUM(E53:E57)+E50</f>
        <v>187615</v>
      </c>
      <c r="G58" s="66">
        <f t="shared" ref="G58:P58" si="41">SUM(G53:G57)+G50</f>
        <v>221671</v>
      </c>
      <c r="H58" s="66">
        <f t="shared" si="41"/>
        <v>209682</v>
      </c>
      <c r="I58" s="66">
        <f t="shared" si="41"/>
        <v>232397</v>
      </c>
      <c r="J58" s="66">
        <f t="shared" si="41"/>
        <v>213657</v>
      </c>
      <c r="K58" s="66">
        <f t="shared" si="41"/>
        <v>210484</v>
      </c>
      <c r="L58" s="66">
        <f t="shared" si="41"/>
        <v>194804</v>
      </c>
      <c r="M58" s="66">
        <f t="shared" si="41"/>
        <v>199205</v>
      </c>
      <c r="N58" s="66">
        <f t="shared" si="41"/>
        <v>187615</v>
      </c>
      <c r="O58" s="66">
        <f t="shared" si="41"/>
        <v>173089</v>
      </c>
      <c r="P58" s="66">
        <f t="shared" si="41"/>
        <v>163146</v>
      </c>
      <c r="R58" s="66">
        <f t="shared" ref="R58:S58" si="42">SUM(R53:R57)+R50</f>
        <v>851342</v>
      </c>
      <c r="S58" s="66">
        <f t="shared" si="42"/>
        <v>723055</v>
      </c>
      <c r="T58" s="32"/>
      <c r="U58" s="33">
        <f t="shared" si="30"/>
        <v>-0.15068797263614386</v>
      </c>
    </row>
    <row r="59" spans="2:21" ht="15.75" x14ac:dyDescent="0.25">
      <c r="B59" s="41"/>
      <c r="C59" s="67"/>
      <c r="D59" s="67"/>
      <c r="E59" s="64"/>
      <c r="G59" s="64"/>
      <c r="H59" s="64"/>
      <c r="I59" s="64"/>
      <c r="J59" s="64"/>
      <c r="K59" s="64"/>
      <c r="L59" s="64"/>
      <c r="M59" s="64"/>
      <c r="N59" s="64"/>
      <c r="O59" s="64"/>
      <c r="P59" s="64"/>
      <c r="R59" s="32"/>
      <c r="S59" s="32"/>
      <c r="T59" s="32"/>
      <c r="U59" s="37"/>
    </row>
    <row r="60" spans="2:21" s="69" customFormat="1" ht="15.75" x14ac:dyDescent="0.25">
      <c r="B60" s="41" t="s">
        <v>114</v>
      </c>
      <c r="C60" s="62"/>
      <c r="D60" s="62"/>
      <c r="E60" s="68"/>
      <c r="G60" s="68"/>
      <c r="H60" s="68"/>
      <c r="I60" s="68"/>
      <c r="J60" s="68"/>
      <c r="K60" s="68"/>
      <c r="L60" s="68"/>
      <c r="M60" s="68"/>
      <c r="N60" s="68"/>
      <c r="O60" s="68"/>
      <c r="P60" s="68"/>
      <c r="R60" s="68"/>
      <c r="S60" s="68"/>
      <c r="T60" s="68"/>
    </row>
    <row r="61" spans="2:21" x14ac:dyDescent="0.25">
      <c r="B61" s="28" t="s">
        <v>13</v>
      </c>
      <c r="C61" s="76">
        <v>34220</v>
      </c>
      <c r="D61" s="76">
        <v>35716</v>
      </c>
      <c r="E61" s="65">
        <v>26087</v>
      </c>
      <c r="G61" s="24">
        <v>33867</v>
      </c>
      <c r="H61" s="24">
        <v>34263</v>
      </c>
      <c r="I61" s="24">
        <v>41788</v>
      </c>
      <c r="J61" s="42">
        <f t="shared" ref="J61:J67" si="43">D61</f>
        <v>35716</v>
      </c>
      <c r="K61" s="24">
        <v>30560</v>
      </c>
      <c r="L61" s="24">
        <v>26946</v>
      </c>
      <c r="M61" s="24">
        <v>22426</v>
      </c>
      <c r="N61" s="42">
        <f t="shared" ref="N61:N67" si="44">E61</f>
        <v>26087</v>
      </c>
      <c r="O61" s="24">
        <v>31509</v>
      </c>
      <c r="P61" s="24">
        <v>30789</v>
      </c>
      <c r="R61" s="25">
        <f t="shared" ref="R61:R67" si="45">SUM(I61:L61)</f>
        <v>135010</v>
      </c>
      <c r="S61" s="25">
        <f t="shared" ref="S61:S67" si="46">SUM(M61:P61)</f>
        <v>110811</v>
      </c>
      <c r="T61" s="25"/>
      <c r="U61" s="27">
        <f t="shared" ref="U61:U67" si="47">SUM(S61/R61)-1</f>
        <v>-0.17923857492037631</v>
      </c>
    </row>
    <row r="62" spans="2:21" x14ac:dyDescent="0.25">
      <c r="B62" s="28" t="s">
        <v>14</v>
      </c>
      <c r="C62" s="76">
        <v>16141</v>
      </c>
      <c r="D62" s="76">
        <v>15710</v>
      </c>
      <c r="E62" s="65">
        <v>18214</v>
      </c>
      <c r="G62" s="24">
        <v>14531</v>
      </c>
      <c r="H62" s="24">
        <v>13192</v>
      </c>
      <c r="I62" s="24">
        <v>15527</v>
      </c>
      <c r="J62" s="42">
        <f t="shared" si="43"/>
        <v>15710</v>
      </c>
      <c r="K62" s="24">
        <v>14894</v>
      </c>
      <c r="L62" s="24">
        <v>13746</v>
      </c>
      <c r="M62" s="24">
        <v>15286</v>
      </c>
      <c r="N62" s="42">
        <f t="shared" si="44"/>
        <v>18214</v>
      </c>
      <c r="O62" s="24">
        <v>16091</v>
      </c>
      <c r="P62" s="24">
        <v>13864</v>
      </c>
      <c r="R62" s="25">
        <f t="shared" ref="R62" si="48">SUM(I62:L62)</f>
        <v>59877</v>
      </c>
      <c r="S62" s="25">
        <f t="shared" ref="S62" si="49">SUM(M62:P62)</f>
        <v>63455</v>
      </c>
      <c r="T62" s="25"/>
      <c r="U62" s="27">
        <f t="shared" si="47"/>
        <v>5.9755832790554075E-2</v>
      </c>
    </row>
    <row r="63" spans="2:21" x14ac:dyDescent="0.25">
      <c r="B63" s="28" t="s">
        <v>15</v>
      </c>
      <c r="C63" s="76">
        <v>87128</v>
      </c>
      <c r="D63" s="76">
        <v>79807</v>
      </c>
      <c r="E63" s="65">
        <v>78511</v>
      </c>
      <c r="G63" s="24">
        <v>74267</v>
      </c>
      <c r="H63" s="24">
        <v>70184</v>
      </c>
      <c r="I63" s="24">
        <v>72669</v>
      </c>
      <c r="J63" s="42">
        <f t="shared" si="43"/>
        <v>79807</v>
      </c>
      <c r="K63" s="24">
        <v>79686</v>
      </c>
      <c r="L63" s="24">
        <v>70696</v>
      </c>
      <c r="M63" s="24">
        <v>73240</v>
      </c>
      <c r="N63" s="42">
        <f t="shared" si="44"/>
        <v>78511</v>
      </c>
      <c r="O63" s="24">
        <v>74802</v>
      </c>
      <c r="P63" s="24">
        <v>69369</v>
      </c>
      <c r="R63" s="25">
        <f t="shared" ref="R63:R64" si="50">SUM(I63:L63)</f>
        <v>302858</v>
      </c>
      <c r="S63" s="25">
        <f t="shared" ref="S63:S64" si="51">SUM(M63:P63)</f>
        <v>295922</v>
      </c>
      <c r="T63" s="25"/>
      <c r="U63" s="27">
        <f t="shared" si="47"/>
        <v>-2.2901821975975567E-2</v>
      </c>
    </row>
    <row r="64" spans="2:21" x14ac:dyDescent="0.25">
      <c r="B64" s="28" t="s">
        <v>16</v>
      </c>
      <c r="C64" s="76">
        <v>4375</v>
      </c>
      <c r="D64" s="76">
        <v>5000</v>
      </c>
      <c r="E64" s="65">
        <v>82496</v>
      </c>
      <c r="G64" s="24">
        <v>5000</v>
      </c>
      <c r="H64" s="24">
        <v>5000</v>
      </c>
      <c r="I64" s="24">
        <v>5000</v>
      </c>
      <c r="J64" s="42">
        <f t="shared" si="43"/>
        <v>5000</v>
      </c>
      <c r="K64" s="24">
        <v>5000</v>
      </c>
      <c r="L64" s="24">
        <v>82681</v>
      </c>
      <c r="M64" s="24">
        <v>82587</v>
      </c>
      <c r="N64" s="42">
        <f t="shared" si="44"/>
        <v>82496</v>
      </c>
      <c r="O64" s="24">
        <v>5000</v>
      </c>
      <c r="P64" s="24">
        <v>1579</v>
      </c>
      <c r="R64" s="25">
        <f t="shared" si="50"/>
        <v>97681</v>
      </c>
      <c r="S64" s="25">
        <f t="shared" si="51"/>
        <v>171662</v>
      </c>
      <c r="T64" s="25"/>
      <c r="U64" s="27">
        <f t="shared" si="47"/>
        <v>0.75737349126237441</v>
      </c>
    </row>
    <row r="65" spans="2:21" x14ac:dyDescent="0.25">
      <c r="B65" s="28" t="s">
        <v>17</v>
      </c>
      <c r="C65" s="76">
        <v>0</v>
      </c>
      <c r="D65" s="76">
        <v>0</v>
      </c>
      <c r="E65" s="65">
        <v>26604</v>
      </c>
      <c r="G65" s="24"/>
      <c r="H65" s="24"/>
      <c r="I65" s="24"/>
      <c r="J65" s="42">
        <f t="shared" si="43"/>
        <v>0</v>
      </c>
      <c r="K65" s="24"/>
      <c r="L65" s="24">
        <v>21450</v>
      </c>
      <c r="M65" s="24">
        <v>32000</v>
      </c>
      <c r="N65" s="42">
        <f t="shared" si="44"/>
        <v>26604</v>
      </c>
      <c r="O65" s="24">
        <v>0</v>
      </c>
      <c r="P65" s="24">
        <v>0</v>
      </c>
      <c r="R65" s="25">
        <f t="shared" si="45"/>
        <v>21450</v>
      </c>
      <c r="S65" s="25">
        <f t="shared" si="46"/>
        <v>58604</v>
      </c>
      <c r="T65" s="25"/>
      <c r="U65" s="27">
        <f t="shared" si="47"/>
        <v>1.732121212121212</v>
      </c>
    </row>
    <row r="66" spans="2:21" x14ac:dyDescent="0.25">
      <c r="B66" s="28" t="s">
        <v>18</v>
      </c>
      <c r="C66" s="76">
        <v>18237</v>
      </c>
      <c r="D66" s="76">
        <v>7989</v>
      </c>
      <c r="E66" s="65">
        <v>4046</v>
      </c>
      <c r="G66" s="24"/>
      <c r="H66" s="24"/>
      <c r="I66" s="24"/>
      <c r="J66" s="42">
        <f t="shared" si="43"/>
        <v>7989</v>
      </c>
      <c r="K66" s="24"/>
      <c r="L66" s="24">
        <v>4056</v>
      </c>
      <c r="M66" s="24">
        <v>1843</v>
      </c>
      <c r="N66" s="42">
        <f t="shared" si="44"/>
        <v>4046</v>
      </c>
      <c r="O66" s="24">
        <v>3163</v>
      </c>
      <c r="P66" s="24">
        <v>2499</v>
      </c>
      <c r="R66" s="25">
        <f t="shared" si="45"/>
        <v>12045</v>
      </c>
      <c r="S66" s="25">
        <f t="shared" si="46"/>
        <v>11551</v>
      </c>
      <c r="T66" s="25"/>
      <c r="U66" s="27">
        <f t="shared" si="47"/>
        <v>-4.1012868410128633E-2</v>
      </c>
    </row>
    <row r="67" spans="2:21" x14ac:dyDescent="0.25">
      <c r="B67" s="70" t="s">
        <v>19</v>
      </c>
      <c r="C67" s="76">
        <v>16562</v>
      </c>
      <c r="D67" s="76">
        <v>13666</v>
      </c>
      <c r="E67" s="65">
        <v>13986</v>
      </c>
      <c r="G67" s="24">
        <v>14157</v>
      </c>
      <c r="H67" s="24">
        <v>14502</v>
      </c>
      <c r="I67" s="24">
        <v>15852</v>
      </c>
      <c r="J67" s="42">
        <f t="shared" si="43"/>
        <v>13666</v>
      </c>
      <c r="K67" s="24">
        <v>12715</v>
      </c>
      <c r="L67" s="24">
        <v>11724</v>
      </c>
      <c r="M67" s="24">
        <v>13854</v>
      </c>
      <c r="N67" s="42">
        <f t="shared" si="44"/>
        <v>13986</v>
      </c>
      <c r="O67" s="24">
        <v>25043</v>
      </c>
      <c r="P67" s="24">
        <v>16501</v>
      </c>
      <c r="R67" s="25">
        <f t="shared" si="45"/>
        <v>53957</v>
      </c>
      <c r="S67" s="25">
        <f t="shared" si="46"/>
        <v>69384</v>
      </c>
      <c r="T67" s="25"/>
      <c r="U67" s="27">
        <f t="shared" si="47"/>
        <v>0.28591285653390663</v>
      </c>
    </row>
    <row r="68" spans="2:21" x14ac:dyDescent="0.25">
      <c r="B68" s="44" t="s">
        <v>20</v>
      </c>
      <c r="C68" s="66">
        <f>SUM(C61:C67)</f>
        <v>176663</v>
      </c>
      <c r="D68" s="66">
        <f>SUM(D61:D67)</f>
        <v>157888</v>
      </c>
      <c r="E68" s="66">
        <f>SUM(E61:E67)</f>
        <v>249944</v>
      </c>
      <c r="G68" s="66">
        <f>SUM(G61:G67)</f>
        <v>141822</v>
      </c>
      <c r="H68" s="66">
        <f>SUM(H61:H67)</f>
        <v>137141</v>
      </c>
      <c r="I68" s="66">
        <f>SUM(I61:I67)</f>
        <v>150836</v>
      </c>
      <c r="J68" s="66">
        <f>SUM(J61:J67)</f>
        <v>157888</v>
      </c>
      <c r="K68" s="66">
        <f>SUM(K61:K67)</f>
        <v>142855</v>
      </c>
      <c r="L68" s="66">
        <f>SUM(L61:L67)</f>
        <v>231299</v>
      </c>
      <c r="M68" s="66">
        <f>SUM(M61:M67)</f>
        <v>241236</v>
      </c>
      <c r="N68" s="66">
        <f>SUM(N61:N67)</f>
        <v>249944</v>
      </c>
      <c r="O68" s="66">
        <f>SUM(O61:O67)</f>
        <v>155608</v>
      </c>
      <c r="P68" s="66">
        <f>SUM(P61:P67)</f>
        <v>134601</v>
      </c>
      <c r="R68" s="66">
        <f t="shared" ref="R68:S68" si="52">SUM(R61:R67)</f>
        <v>682878</v>
      </c>
      <c r="S68" s="66">
        <f t="shared" si="52"/>
        <v>781389</v>
      </c>
      <c r="T68" s="32"/>
      <c r="U68" s="33">
        <f>SUM(S68/R68)-1</f>
        <v>0.14425856448736085</v>
      </c>
    </row>
    <row r="69" spans="2:21" ht="15.75" x14ac:dyDescent="0.25">
      <c r="B69" s="41"/>
      <c r="C69" s="67"/>
      <c r="D69" s="71"/>
      <c r="E69" s="64"/>
      <c r="G69" s="64"/>
      <c r="H69" s="64"/>
      <c r="I69" s="64"/>
      <c r="J69" s="64"/>
      <c r="K69" s="64"/>
      <c r="L69" s="64"/>
      <c r="M69" s="64"/>
      <c r="N69" s="64"/>
      <c r="O69" s="64"/>
      <c r="P69" s="64"/>
      <c r="R69" s="32"/>
      <c r="S69" s="32"/>
      <c r="T69" s="32"/>
      <c r="U69" s="37"/>
    </row>
    <row r="70" spans="2:21" ht="15.75" x14ac:dyDescent="0.25">
      <c r="B70" s="41" t="s">
        <v>115</v>
      </c>
      <c r="C70" s="67"/>
      <c r="D70" s="71"/>
      <c r="E70" s="64"/>
      <c r="G70" s="64"/>
      <c r="H70" s="64"/>
      <c r="I70" s="64"/>
      <c r="J70" s="64"/>
      <c r="K70" s="64"/>
      <c r="L70" s="64"/>
      <c r="M70" s="64"/>
      <c r="N70" s="64"/>
      <c r="O70" s="64"/>
      <c r="P70" s="64"/>
      <c r="R70" s="32"/>
      <c r="S70" s="32"/>
      <c r="T70" s="32"/>
      <c r="U70" s="37"/>
    </row>
    <row r="71" spans="2:21" x14ac:dyDescent="0.25">
      <c r="B71" s="28" t="s">
        <v>21</v>
      </c>
      <c r="C71" s="72">
        <v>39788</v>
      </c>
      <c r="D71" s="72">
        <v>35495</v>
      </c>
      <c r="E71" s="24">
        <v>38176</v>
      </c>
      <c r="F71" s="73"/>
      <c r="G71" s="24">
        <v>40196</v>
      </c>
      <c r="H71" s="24">
        <v>40165</v>
      </c>
      <c r="I71" s="24">
        <v>41076</v>
      </c>
      <c r="J71" s="42">
        <f t="shared" ref="J71:J75" si="53">D71</f>
        <v>35495</v>
      </c>
      <c r="K71" s="24">
        <v>43903</v>
      </c>
      <c r="L71" s="24">
        <v>35337</v>
      </c>
      <c r="M71" s="24">
        <v>37281</v>
      </c>
      <c r="N71" s="42">
        <f t="shared" ref="N71:N75" si="54">E71</f>
        <v>38176</v>
      </c>
      <c r="O71" s="24">
        <v>36759</v>
      </c>
      <c r="P71" s="24">
        <v>37164</v>
      </c>
      <c r="R71" s="25">
        <f t="shared" ref="R71:R74" si="55">SUM(I71:L71)</f>
        <v>155811</v>
      </c>
      <c r="S71" s="25">
        <f t="shared" ref="S71:S74" si="56">SUM(M71:P71)</f>
        <v>149380</v>
      </c>
      <c r="T71" s="32"/>
      <c r="U71" s="27">
        <f t="shared" ref="U71:U74" si="57">SUM(S71/R71)-1</f>
        <v>-4.1274364454371049E-2</v>
      </c>
    </row>
    <row r="72" spans="2:21" x14ac:dyDescent="0.25">
      <c r="B72" s="28" t="s">
        <v>17</v>
      </c>
      <c r="C72" s="72">
        <v>17735</v>
      </c>
      <c r="D72" s="72">
        <v>16750</v>
      </c>
      <c r="E72" s="24">
        <v>0</v>
      </c>
      <c r="F72" s="73"/>
      <c r="G72" s="24">
        <v>17300</v>
      </c>
      <c r="H72" s="24">
        <v>21500</v>
      </c>
      <c r="I72" s="24">
        <v>27736</v>
      </c>
      <c r="J72" s="42">
        <f t="shared" si="53"/>
        <v>16750</v>
      </c>
      <c r="K72" s="24">
        <v>17800</v>
      </c>
      <c r="L72" s="24">
        <v>0</v>
      </c>
      <c r="M72" s="24">
        <v>0</v>
      </c>
      <c r="N72" s="42">
        <f t="shared" si="54"/>
        <v>0</v>
      </c>
      <c r="O72" s="24">
        <v>35800</v>
      </c>
      <c r="P72" s="24">
        <v>28300</v>
      </c>
      <c r="R72" s="25">
        <f t="shared" si="55"/>
        <v>62286</v>
      </c>
      <c r="S72" s="25">
        <f t="shared" si="56"/>
        <v>64100</v>
      </c>
      <c r="T72" s="32"/>
      <c r="U72" s="27">
        <f t="shared" si="57"/>
        <v>2.9123719615965049E-2</v>
      </c>
    </row>
    <row r="73" spans="2:21" x14ac:dyDescent="0.25">
      <c r="B73" s="70" t="s">
        <v>22</v>
      </c>
      <c r="C73" s="72">
        <v>89448</v>
      </c>
      <c r="D73" s="72">
        <v>66354</v>
      </c>
      <c r="E73" s="24">
        <v>0</v>
      </c>
      <c r="F73" s="73"/>
      <c r="G73" s="24">
        <v>69195</v>
      </c>
      <c r="H73" s="24">
        <v>68250</v>
      </c>
      <c r="I73" s="24">
        <v>67306</v>
      </c>
      <c r="J73" s="42">
        <f t="shared" si="53"/>
        <v>66354</v>
      </c>
      <c r="K73" s="24">
        <v>77814</v>
      </c>
      <c r="L73" s="24">
        <v>0</v>
      </c>
      <c r="M73" s="24">
        <v>0</v>
      </c>
      <c r="N73" s="42">
        <f t="shared" si="54"/>
        <v>0</v>
      </c>
      <c r="O73" s="24">
        <v>65132</v>
      </c>
      <c r="P73" s="24">
        <v>94746</v>
      </c>
      <c r="R73" s="25">
        <f t="shared" si="55"/>
        <v>211474</v>
      </c>
      <c r="S73" s="25">
        <f t="shared" si="56"/>
        <v>159878</v>
      </c>
      <c r="T73" s="25"/>
      <c r="U73" s="27">
        <f t="shared" si="57"/>
        <v>-0.24398271182273001</v>
      </c>
    </row>
    <row r="74" spans="2:21" x14ac:dyDescent="0.25">
      <c r="B74" s="70" t="s">
        <v>23</v>
      </c>
      <c r="C74" s="72">
        <v>9891</v>
      </c>
      <c r="D74" s="72">
        <v>10169</v>
      </c>
      <c r="E74" s="24">
        <v>9621</v>
      </c>
      <c r="F74" s="73"/>
      <c r="G74" s="24">
        <v>9932</v>
      </c>
      <c r="H74" s="24">
        <v>10315</v>
      </c>
      <c r="I74" s="24">
        <v>10346</v>
      </c>
      <c r="J74" s="42">
        <f t="shared" si="53"/>
        <v>10169</v>
      </c>
      <c r="K74" s="24">
        <v>10001</v>
      </c>
      <c r="L74" s="24">
        <v>10079</v>
      </c>
      <c r="M74" s="24">
        <v>9885</v>
      </c>
      <c r="N74" s="42">
        <f t="shared" si="54"/>
        <v>9621</v>
      </c>
      <c r="O74" s="24">
        <v>9464</v>
      </c>
      <c r="P74" s="24">
        <v>9366</v>
      </c>
      <c r="R74" s="25">
        <f t="shared" si="55"/>
        <v>40595</v>
      </c>
      <c r="S74" s="25">
        <f t="shared" si="56"/>
        <v>38336</v>
      </c>
      <c r="T74" s="25"/>
      <c r="U74" s="27">
        <f t="shared" si="57"/>
        <v>-5.5647247197930794E-2</v>
      </c>
    </row>
    <row r="75" spans="2:21" x14ac:dyDescent="0.25">
      <c r="B75" s="70" t="s">
        <v>24</v>
      </c>
      <c r="C75" s="72">
        <v>11849</v>
      </c>
      <c r="D75" s="72">
        <v>11370</v>
      </c>
      <c r="E75" s="24">
        <v>11372</v>
      </c>
      <c r="F75" s="73"/>
      <c r="G75" s="24">
        <v>12013</v>
      </c>
      <c r="H75" s="24">
        <v>11653</v>
      </c>
      <c r="I75" s="24">
        <v>12150</v>
      </c>
      <c r="J75" s="42">
        <f t="shared" si="53"/>
        <v>11370</v>
      </c>
      <c r="K75" s="24">
        <v>12191</v>
      </c>
      <c r="L75" s="24">
        <v>12522</v>
      </c>
      <c r="M75" s="24">
        <v>12734</v>
      </c>
      <c r="N75" s="42">
        <f t="shared" si="54"/>
        <v>11372</v>
      </c>
      <c r="O75" s="24">
        <v>11577</v>
      </c>
      <c r="P75" s="24">
        <v>12372</v>
      </c>
      <c r="R75" s="25">
        <f t="shared" ref="R75" si="58">SUM(I75:L75)</f>
        <v>48233</v>
      </c>
      <c r="S75" s="25">
        <f t="shared" ref="S75" si="59">SUM(M75:P75)</f>
        <v>48055</v>
      </c>
      <c r="T75" s="25"/>
      <c r="U75" s="27">
        <f>SUM(S75/R75)-1</f>
        <v>-3.6904194223871256E-3</v>
      </c>
    </row>
    <row r="76" spans="2:21" x14ac:dyDescent="0.25">
      <c r="B76" s="44" t="s">
        <v>116</v>
      </c>
      <c r="C76" s="61">
        <f t="shared" ref="C76:E76" si="60">SUM(C71:C75)+C68</f>
        <v>345374</v>
      </c>
      <c r="D76" s="61">
        <f t="shared" si="60"/>
        <v>298026</v>
      </c>
      <c r="E76" s="61">
        <f t="shared" si="60"/>
        <v>309113</v>
      </c>
      <c r="G76" s="61">
        <f t="shared" ref="G76:O76" si="61">SUM(G71:G75)+G68</f>
        <v>290458</v>
      </c>
      <c r="H76" s="61">
        <f t="shared" si="61"/>
        <v>289024</v>
      </c>
      <c r="I76" s="61">
        <f t="shared" si="61"/>
        <v>309450</v>
      </c>
      <c r="J76" s="61">
        <f t="shared" si="61"/>
        <v>298026</v>
      </c>
      <c r="K76" s="61">
        <f t="shared" si="61"/>
        <v>304564</v>
      </c>
      <c r="L76" s="61">
        <f t="shared" si="61"/>
        <v>289237</v>
      </c>
      <c r="M76" s="61">
        <f t="shared" si="61"/>
        <v>301136</v>
      </c>
      <c r="N76" s="61">
        <f t="shared" si="61"/>
        <v>309113</v>
      </c>
      <c r="O76" s="61">
        <f t="shared" si="61"/>
        <v>314340</v>
      </c>
      <c r="P76" s="61">
        <f>SUM(P71:P75)+P68</f>
        <v>316549</v>
      </c>
      <c r="R76" s="61">
        <f t="shared" ref="R76:S76" si="62">SUM(R71:R75)+R68</f>
        <v>1201277</v>
      </c>
      <c r="S76" s="61">
        <f t="shared" si="62"/>
        <v>1241138</v>
      </c>
      <c r="T76" s="32"/>
      <c r="U76" s="33">
        <f>SUM(S76/R76)-1</f>
        <v>3.3182188620942465E-2</v>
      </c>
    </row>
    <row r="77" spans="2:21" ht="15.75" x14ac:dyDescent="0.25">
      <c r="B77" s="41"/>
      <c r="C77" s="62"/>
      <c r="D77" s="63"/>
      <c r="E77" s="64"/>
      <c r="G77" s="64"/>
      <c r="H77" s="64"/>
      <c r="I77" s="64"/>
      <c r="J77" s="64"/>
      <c r="K77" s="64"/>
      <c r="L77" s="64"/>
      <c r="M77" s="64"/>
      <c r="N77" s="64"/>
      <c r="O77" s="64"/>
      <c r="P77" s="64"/>
      <c r="R77" s="32"/>
      <c r="S77" s="32"/>
      <c r="T77" s="32"/>
      <c r="U77" s="37"/>
    </row>
    <row r="78" spans="2:21" x14ac:dyDescent="0.25">
      <c r="B78" s="41" t="s">
        <v>117</v>
      </c>
      <c r="C78" s="23"/>
      <c r="D78" s="74"/>
      <c r="E78" s="22"/>
      <c r="G78" s="22"/>
      <c r="H78" s="22"/>
      <c r="I78" s="22"/>
      <c r="J78" s="22"/>
      <c r="K78" s="22"/>
      <c r="L78" s="22"/>
      <c r="M78" s="22"/>
      <c r="N78" s="22"/>
      <c r="O78" s="22"/>
      <c r="P78" s="22"/>
    </row>
    <row r="79" spans="2:21" x14ac:dyDescent="0.25">
      <c r="B79" s="70" t="s">
        <v>25</v>
      </c>
      <c r="C79" s="65">
        <v>0</v>
      </c>
      <c r="D79" s="65">
        <v>0</v>
      </c>
      <c r="E79" s="65">
        <v>0</v>
      </c>
      <c r="F79" s="75"/>
      <c r="G79" s="24">
        <v>0</v>
      </c>
      <c r="H79" s="24">
        <v>0</v>
      </c>
      <c r="I79" s="24">
        <v>0</v>
      </c>
      <c r="J79" s="42">
        <f t="shared" ref="J79:J83" si="63">D79</f>
        <v>0</v>
      </c>
      <c r="K79" s="24">
        <v>0</v>
      </c>
      <c r="L79" s="24">
        <v>0</v>
      </c>
      <c r="M79" s="24">
        <v>0</v>
      </c>
      <c r="N79" s="42">
        <f t="shared" ref="N79:N83" si="64">E79</f>
        <v>0</v>
      </c>
      <c r="O79" s="24">
        <v>0</v>
      </c>
      <c r="P79" s="24">
        <v>0</v>
      </c>
      <c r="R79" s="25">
        <f t="shared" ref="R79:R81" si="65">SUM(I79:L79)</f>
        <v>0</v>
      </c>
      <c r="S79" s="25">
        <f t="shared" ref="S79:S81" si="66">SUM(M79:P79)</f>
        <v>0</v>
      </c>
      <c r="T79" s="25"/>
      <c r="U79" s="27" t="e">
        <f>SUM(S79/R79)-1</f>
        <v>#DIV/0!</v>
      </c>
    </row>
    <row r="80" spans="2:21" x14ac:dyDescent="0.25">
      <c r="B80" s="70" t="s">
        <v>26</v>
      </c>
      <c r="C80" s="65">
        <v>605</v>
      </c>
      <c r="D80" s="65">
        <v>936</v>
      </c>
      <c r="E80" s="65">
        <v>959</v>
      </c>
      <c r="F80" s="75"/>
      <c r="G80" s="24">
        <v>907</v>
      </c>
      <c r="H80" s="24">
        <v>922</v>
      </c>
      <c r="I80" s="24">
        <v>932</v>
      </c>
      <c r="J80" s="42">
        <f t="shared" si="63"/>
        <v>936</v>
      </c>
      <c r="K80" s="24">
        <v>938</v>
      </c>
      <c r="L80" s="24">
        <v>956</v>
      </c>
      <c r="M80" s="24">
        <v>959</v>
      </c>
      <c r="N80" s="42">
        <f t="shared" si="64"/>
        <v>959</v>
      </c>
      <c r="O80" s="24">
        <v>959</v>
      </c>
      <c r="P80" s="24">
        <v>49</v>
      </c>
      <c r="R80" s="25"/>
      <c r="S80" s="25"/>
      <c r="T80" s="25"/>
      <c r="U80" s="27" t="e">
        <f t="shared" ref="U80:U81" si="67">SUM(S80/R80)-1</f>
        <v>#DIV/0!</v>
      </c>
    </row>
    <row r="81" spans="1:21" x14ac:dyDescent="0.25">
      <c r="B81" s="70" t="s">
        <v>27</v>
      </c>
      <c r="C81" s="65">
        <v>624805</v>
      </c>
      <c r="D81" s="65">
        <v>702370</v>
      </c>
      <c r="E81" s="65">
        <v>707116</v>
      </c>
      <c r="F81" s="75"/>
      <c r="G81" s="24">
        <v>714128</v>
      </c>
      <c r="H81" s="24">
        <v>716800</v>
      </c>
      <c r="I81" s="24">
        <v>719769</v>
      </c>
      <c r="J81" s="42">
        <f t="shared" si="63"/>
        <v>702370</v>
      </c>
      <c r="K81" s="24">
        <v>725736</v>
      </c>
      <c r="L81" s="24">
        <v>705230</v>
      </c>
      <c r="M81" s="24">
        <v>706133</v>
      </c>
      <c r="N81" s="42">
        <f t="shared" si="64"/>
        <v>707116</v>
      </c>
      <c r="O81" s="24">
        <v>708041</v>
      </c>
      <c r="P81" s="24">
        <v>709667</v>
      </c>
      <c r="R81" s="25">
        <f t="shared" si="65"/>
        <v>2853105</v>
      </c>
      <c r="S81" s="25">
        <f t="shared" si="66"/>
        <v>2830957</v>
      </c>
      <c r="T81" s="25"/>
      <c r="U81" s="27">
        <f t="shared" si="67"/>
        <v>-7.7627707357422748E-3</v>
      </c>
    </row>
    <row r="82" spans="1:21" x14ac:dyDescent="0.25">
      <c r="B82" s="70" t="s">
        <v>28</v>
      </c>
      <c r="C82" s="76">
        <v>-767726</v>
      </c>
      <c r="D82" s="76">
        <v>-786094</v>
      </c>
      <c r="E82" s="77">
        <v>-827380</v>
      </c>
      <c r="F82" s="75"/>
      <c r="G82" s="78">
        <v>-781123</v>
      </c>
      <c r="H82" s="78">
        <v>-793067</v>
      </c>
      <c r="I82" s="24">
        <v>-795237</v>
      </c>
      <c r="J82" s="42">
        <f t="shared" si="63"/>
        <v>-786094</v>
      </c>
      <c r="K82" s="78">
        <v>-819422</v>
      </c>
      <c r="L82" s="78">
        <v>-798567</v>
      </c>
      <c r="M82" s="24">
        <v>-808436</v>
      </c>
      <c r="N82" s="42">
        <f t="shared" si="64"/>
        <v>-827380</v>
      </c>
      <c r="O82" s="78">
        <v>-848200</v>
      </c>
      <c r="P82" s="78">
        <v>-861727</v>
      </c>
      <c r="R82" s="25">
        <f t="shared" ref="R82:R83" si="68">SUM(I82:L82)</f>
        <v>-3199320</v>
      </c>
      <c r="S82" s="25">
        <f t="shared" ref="S82:S83" si="69">SUM(M82:P82)</f>
        <v>-3345743</v>
      </c>
      <c r="T82" s="25"/>
      <c r="U82" s="27">
        <f>SUM(S82/R82)-1</f>
        <v>4.5766912969005924E-2</v>
      </c>
    </row>
    <row r="83" spans="1:21" x14ac:dyDescent="0.25">
      <c r="B83" s="70" t="s">
        <v>29</v>
      </c>
      <c r="C83" s="76">
        <v>-1423</v>
      </c>
      <c r="D83" s="76">
        <v>-1581</v>
      </c>
      <c r="E83" s="65">
        <v>-2193</v>
      </c>
      <c r="F83" s="75"/>
      <c r="G83" s="24">
        <v>-2699</v>
      </c>
      <c r="H83" s="24">
        <v>-3997</v>
      </c>
      <c r="I83" s="24">
        <v>-2517</v>
      </c>
      <c r="J83" s="42">
        <f t="shared" si="63"/>
        <v>-1581</v>
      </c>
      <c r="K83" s="24">
        <v>-1332</v>
      </c>
      <c r="L83" s="24">
        <v>-2052</v>
      </c>
      <c r="M83" s="24">
        <v>-587</v>
      </c>
      <c r="N83" s="42">
        <f t="shared" si="64"/>
        <v>-2193</v>
      </c>
      <c r="O83" s="24">
        <v>-2051</v>
      </c>
      <c r="P83" s="24">
        <v>-1392</v>
      </c>
      <c r="R83" s="25">
        <f t="shared" si="68"/>
        <v>-7482</v>
      </c>
      <c r="S83" s="25">
        <f t="shared" si="69"/>
        <v>-6223</v>
      </c>
      <c r="T83" s="25"/>
      <c r="U83" s="27">
        <f>SUM(S83/R83)-1</f>
        <v>-0.16827051590483832</v>
      </c>
    </row>
    <row r="84" spans="1:21" x14ac:dyDescent="0.25">
      <c r="B84" s="44" t="s">
        <v>118</v>
      </c>
      <c r="C84" s="79">
        <f>SUM(C79:C83)</f>
        <v>-143739</v>
      </c>
      <c r="D84" s="79">
        <f>SUM(D79:D83)</f>
        <v>-84369</v>
      </c>
      <c r="E84" s="79">
        <f>SUM(E79:E83)</f>
        <v>-121498</v>
      </c>
      <c r="F84" s="80"/>
      <c r="G84" s="79">
        <f>SUM(G79:G83)</f>
        <v>-68787</v>
      </c>
      <c r="H84" s="79">
        <f>SUM(H79:H83)</f>
        <v>-79342</v>
      </c>
      <c r="I84" s="79">
        <f>SUM(I79:I83)</f>
        <v>-77053</v>
      </c>
      <c r="J84" s="79">
        <f>SUM(J79:J83)</f>
        <v>-84369</v>
      </c>
      <c r="K84" s="79">
        <f>SUM(K79:K83)</f>
        <v>-94080</v>
      </c>
      <c r="L84" s="79">
        <f>SUM(L79:L83)</f>
        <v>-94433</v>
      </c>
      <c r="M84" s="79">
        <f>SUM(M79:M83)</f>
        <v>-101931</v>
      </c>
      <c r="N84" s="79">
        <f>SUM(N79:N83)</f>
        <v>-121498</v>
      </c>
      <c r="O84" s="79">
        <f>SUM(O79:O83)</f>
        <v>-141251</v>
      </c>
      <c r="P84" s="79">
        <f>SUM(P79:P83)</f>
        <v>-153403</v>
      </c>
      <c r="R84" s="79">
        <f>SUM(R79:R83)</f>
        <v>-353697</v>
      </c>
      <c r="S84" s="79">
        <f>SUM(S79:S83)</f>
        <v>-521009</v>
      </c>
      <c r="T84" s="32"/>
      <c r="U84" s="27">
        <f>SUM(S84/R84)-1</f>
        <v>0.4730376565252179</v>
      </c>
    </row>
    <row r="85" spans="1:21" x14ac:dyDescent="0.25">
      <c r="B85" s="2" t="s">
        <v>119</v>
      </c>
      <c r="C85" s="81">
        <f>SUM(C84+C76)</f>
        <v>201635</v>
      </c>
      <c r="D85" s="81">
        <f>SUM(D84+D76)</f>
        <v>213657</v>
      </c>
      <c r="E85" s="81">
        <f>SUM(E84+E76)</f>
        <v>187615</v>
      </c>
      <c r="F85" s="75"/>
      <c r="G85" s="81">
        <f>SUM(G84+G76)</f>
        <v>221671</v>
      </c>
      <c r="H85" s="81">
        <f>SUM(H84+H76)</f>
        <v>209682</v>
      </c>
      <c r="I85" s="81">
        <f>SUM(I84+I76)</f>
        <v>232397</v>
      </c>
      <c r="J85" s="81">
        <f>SUM(J84+J76)</f>
        <v>213657</v>
      </c>
      <c r="K85" s="81">
        <f>SUM(K84+K76)</f>
        <v>210484</v>
      </c>
      <c r="L85" s="81">
        <f>SUM(L84+L76)</f>
        <v>194804</v>
      </c>
      <c r="M85" s="81">
        <f>SUM(M84+M76)</f>
        <v>199205</v>
      </c>
      <c r="N85" s="81">
        <f>SUM(N84+N76)</f>
        <v>187615</v>
      </c>
      <c r="O85" s="81">
        <f>SUM(O84+O76)</f>
        <v>173089</v>
      </c>
      <c r="P85" s="81">
        <f>SUM(P84+P76)</f>
        <v>163146</v>
      </c>
      <c r="R85" s="81">
        <f>SUM(R84+R76)</f>
        <v>847580</v>
      </c>
      <c r="S85" s="81">
        <f>SUM(S84+S76)</f>
        <v>720129</v>
      </c>
      <c r="T85" s="25"/>
      <c r="U85" s="27">
        <f>SUM(S85/R85)-1</f>
        <v>-0.1503704665046367</v>
      </c>
    </row>
    <row r="86" spans="1:21" ht="15.75" thickBot="1" x14ac:dyDescent="0.3">
      <c r="B86" s="2"/>
      <c r="C86" s="81"/>
      <c r="D86" s="81"/>
      <c r="E86" s="81"/>
      <c r="F86" s="75"/>
      <c r="G86" s="81"/>
      <c r="H86" s="81"/>
      <c r="I86" s="81"/>
      <c r="J86" s="81"/>
      <c r="K86" s="81"/>
      <c r="L86" s="81"/>
      <c r="M86" s="81"/>
      <c r="N86" s="81"/>
      <c r="O86" s="81"/>
      <c r="P86" s="81"/>
      <c r="R86" s="81"/>
      <c r="S86" s="81"/>
      <c r="T86" s="25"/>
      <c r="U86" s="43"/>
    </row>
    <row r="87" spans="1:21" x14ac:dyDescent="0.25">
      <c r="B87" s="82" t="s">
        <v>120</v>
      </c>
      <c r="C87" s="83"/>
      <c r="D87" s="83"/>
      <c r="E87" s="84"/>
      <c r="F87" s="75"/>
      <c r="G87" s="85"/>
      <c r="H87" s="83"/>
      <c r="I87" s="83"/>
      <c r="J87" s="83"/>
      <c r="K87" s="83"/>
      <c r="L87" s="83"/>
      <c r="M87" s="83"/>
      <c r="N87" s="83"/>
      <c r="O87" s="83"/>
      <c r="P87" s="84"/>
      <c r="R87" s="86"/>
      <c r="S87" s="87"/>
      <c r="T87" s="25"/>
      <c r="U87" s="43"/>
    </row>
    <row r="88" spans="1:21" x14ac:dyDescent="0.25">
      <c r="B88" s="88" t="s">
        <v>121</v>
      </c>
      <c r="C88" s="174">
        <f>SUM(C73+C64+C72+C65)/C58</f>
        <v>0.55326704193220422</v>
      </c>
      <c r="D88" s="174">
        <f t="shared" ref="D88:P88" si="70">SUM(D73+D64+D72+D65)/D58</f>
        <v>0.41236186972577543</v>
      </c>
      <c r="E88" s="89">
        <f t="shared" si="70"/>
        <v>0.58151000719558665</v>
      </c>
      <c r="F88" s="75"/>
      <c r="G88" s="90">
        <f t="shared" si="70"/>
        <v>0.41275132967325451</v>
      </c>
      <c r="H88" s="174">
        <f t="shared" si="70"/>
        <v>0.45187474365944619</v>
      </c>
      <c r="I88" s="174">
        <f t="shared" si="70"/>
        <v>0.43047887881513103</v>
      </c>
      <c r="J88" s="174">
        <f t="shared" si="70"/>
        <v>0.41236186972577543</v>
      </c>
      <c r="K88" s="174">
        <f t="shared" si="70"/>
        <v>0.47801258052868628</v>
      </c>
      <c r="L88" s="174">
        <f t="shared" si="70"/>
        <v>0.53454241186012608</v>
      </c>
      <c r="M88" s="174">
        <f t="shared" si="70"/>
        <v>0.57522150548430007</v>
      </c>
      <c r="N88" s="174">
        <f t="shared" si="70"/>
        <v>0.58151000719558665</v>
      </c>
      <c r="O88" s="174">
        <f t="shared" si="70"/>
        <v>0.61200885093795676</v>
      </c>
      <c r="P88" s="89">
        <f t="shared" si="70"/>
        <v>0.76388633493925684</v>
      </c>
      <c r="R88" s="91">
        <f>L88</f>
        <v>0.53454241186012608</v>
      </c>
      <c r="S88" s="92">
        <f>P88</f>
        <v>0.76388633493925684</v>
      </c>
      <c r="T88" s="25"/>
      <c r="U88" s="43"/>
    </row>
    <row r="89" spans="1:21" x14ac:dyDescent="0.25">
      <c r="B89" s="88" t="s">
        <v>122</v>
      </c>
      <c r="C89" s="174">
        <f>SUM(C43)/C68</f>
        <v>2.9491178118791143E-2</v>
      </c>
      <c r="D89" s="174">
        <f t="shared" ref="D89:P89" si="71">SUM(D43)/D68</f>
        <v>0.16443934941224159</v>
      </c>
      <c r="E89" s="89">
        <f t="shared" si="71"/>
        <v>0.10279102518964248</v>
      </c>
      <c r="F89" s="75"/>
      <c r="G89" s="90">
        <f t="shared" si="71"/>
        <v>0.18705137425787255</v>
      </c>
      <c r="H89" s="174">
        <f t="shared" si="71"/>
        <v>0.18738378748878892</v>
      </c>
      <c r="I89" s="174">
        <f t="shared" si="71"/>
        <v>0.17255827521281392</v>
      </c>
      <c r="J89" s="174">
        <f t="shared" si="71"/>
        <v>0.16443934941224159</v>
      </c>
      <c r="K89" s="174">
        <f t="shared" si="71"/>
        <v>0.17825767386510796</v>
      </c>
      <c r="L89" s="174">
        <f t="shared" si="71"/>
        <v>0.11056684205292716</v>
      </c>
      <c r="M89" s="174">
        <f t="shared" si="71"/>
        <v>0.10105042365152797</v>
      </c>
      <c r="N89" s="174">
        <f t="shared" si="71"/>
        <v>0.10279102518964248</v>
      </c>
      <c r="O89" s="174">
        <f t="shared" si="71"/>
        <v>0.11109325998663308</v>
      </c>
      <c r="P89" s="89">
        <f t="shared" si="71"/>
        <v>0.12421155860654824</v>
      </c>
      <c r="R89" s="91">
        <f t="shared" ref="R89:R91" si="72">L89</f>
        <v>0.11056684205292716</v>
      </c>
      <c r="S89" s="92">
        <f t="shared" ref="S89:S91" si="73">P89</f>
        <v>0.12421155860654824</v>
      </c>
      <c r="T89" s="25"/>
      <c r="U89" s="43"/>
    </row>
    <row r="90" spans="1:21" x14ac:dyDescent="0.25">
      <c r="B90" s="93" t="s">
        <v>123</v>
      </c>
      <c r="C90" s="174">
        <f>SUM(C50/C68)</f>
        <v>0.82188686935011857</v>
      </c>
      <c r="D90" s="174">
        <f>SUM(D50/D68)</f>
        <v>0.96938969396027563</v>
      </c>
      <c r="E90" s="89">
        <f>SUM(E50/E68)</f>
        <v>0.52725410491950198</v>
      </c>
      <c r="G90" s="90">
        <f>SUM(G50/G68)</f>
        <v>1.1616815444712385</v>
      </c>
      <c r="H90" s="174">
        <f>SUM(H50/H68)</f>
        <v>1.0969658964131805</v>
      </c>
      <c r="I90" s="174">
        <f>SUM(I50/I68)</f>
        <v>1.1407687819883847</v>
      </c>
      <c r="J90" s="174">
        <f>SUM(J50/J68)</f>
        <v>0.96938969396027563</v>
      </c>
      <c r="K90" s="174">
        <f>SUM(K50/K68)</f>
        <v>1.0475727135907038</v>
      </c>
      <c r="L90" s="174">
        <f>SUM(L50/L68)</f>
        <v>0.57966960514312638</v>
      </c>
      <c r="M90" s="174">
        <f>SUM(M50/M68)</f>
        <v>0.5860982606244507</v>
      </c>
      <c r="N90" s="174">
        <f>SUM(N50/N68)</f>
        <v>0.52725410491950198</v>
      </c>
      <c r="O90" s="174">
        <f>SUM(O50/O68)</f>
        <v>0.76301989614929822</v>
      </c>
      <c r="P90" s="89">
        <f>SUM(P50/P68)</f>
        <v>0.80870870201558676</v>
      </c>
      <c r="R90" s="91">
        <f t="shared" si="72"/>
        <v>0.57966960514312638</v>
      </c>
      <c r="S90" s="92">
        <f t="shared" si="73"/>
        <v>0.80870870201558676</v>
      </c>
    </row>
    <row r="91" spans="1:21" ht="15.75" thickBot="1" x14ac:dyDescent="0.3">
      <c r="B91" s="94" t="s">
        <v>124</v>
      </c>
      <c r="C91" s="95">
        <f>SUM(C43+C44)/C68</f>
        <v>3.1093098158641027E-2</v>
      </c>
      <c r="D91" s="95">
        <f>SUM(D43+D44)/D68</f>
        <v>0.16578207336846373</v>
      </c>
      <c r="E91" s="96">
        <f>SUM(E43+E44)/E68</f>
        <v>0.10346317575136831</v>
      </c>
      <c r="F91" s="75"/>
      <c r="G91" s="97">
        <f>SUM(G43+G44)/G68</f>
        <v>0.18884940277248946</v>
      </c>
      <c r="H91" s="98">
        <f>SUM(H43+H44)/H68</f>
        <v>0.18900985117506799</v>
      </c>
      <c r="I91" s="98">
        <f>SUM(I43+I44)/I68</f>
        <v>0.17401018324537909</v>
      </c>
      <c r="J91" s="98">
        <f>SUM(J43+J44)/J68</f>
        <v>0.16578207336846373</v>
      </c>
      <c r="K91" s="98">
        <f>SUM(K43+K44)/K68</f>
        <v>0.17965769486542299</v>
      </c>
      <c r="L91" s="98">
        <f>SUM(L43+L44)/L68</f>
        <v>0.1113450555341787</v>
      </c>
      <c r="M91" s="98">
        <f>SUM(M43+M44)/M68</f>
        <v>0.10176341839526439</v>
      </c>
      <c r="N91" s="98">
        <f>SUM(N43+N44)/N68</f>
        <v>0.10346317575136831</v>
      </c>
      <c r="O91" s="98">
        <f>SUM(O43+O44)/O68</f>
        <v>0.11273841961852861</v>
      </c>
      <c r="P91" s="99">
        <f>SUM(P43+P44)/P68</f>
        <v>0.12600203564609475</v>
      </c>
      <c r="R91" s="100">
        <f t="shared" si="72"/>
        <v>0.1113450555341787</v>
      </c>
      <c r="S91" s="101">
        <f t="shared" si="73"/>
        <v>0.12600203564609475</v>
      </c>
      <c r="T91" s="25"/>
      <c r="U91" s="43"/>
    </row>
    <row r="92" spans="1:21" x14ac:dyDescent="0.25">
      <c r="B92" s="41"/>
      <c r="C92" s="102"/>
      <c r="D92" s="42"/>
      <c r="E92" s="42"/>
      <c r="F92" s="102"/>
    </row>
    <row r="93" spans="1:21" x14ac:dyDescent="0.25">
      <c r="A93" s="6" t="s">
        <v>93</v>
      </c>
      <c r="B93" s="7" t="s">
        <v>125</v>
      </c>
      <c r="C93" s="13"/>
      <c r="D93" s="13"/>
      <c r="E93" s="13"/>
      <c r="F93" s="8"/>
      <c r="G93" s="8"/>
      <c r="H93" s="8"/>
      <c r="I93" s="8"/>
      <c r="J93" s="8"/>
      <c r="K93" s="8"/>
      <c r="L93" s="8"/>
      <c r="M93" s="8"/>
      <c r="N93" s="8"/>
      <c r="O93" s="8"/>
      <c r="P93" s="8"/>
      <c r="Q93" s="8"/>
      <c r="R93" s="8"/>
      <c r="S93" s="8"/>
    </row>
    <row r="94" spans="1:21" x14ac:dyDescent="0.25">
      <c r="B94" s="9" t="s">
        <v>126</v>
      </c>
      <c r="C94" s="58"/>
      <c r="D94" s="58"/>
      <c r="E94" s="58"/>
      <c r="F94" s="8"/>
      <c r="G94" s="8"/>
      <c r="H94" s="8"/>
      <c r="I94" s="8"/>
      <c r="J94" s="8"/>
      <c r="K94" s="8"/>
      <c r="L94" s="8"/>
      <c r="M94" s="8"/>
      <c r="N94" s="8"/>
      <c r="O94" s="8"/>
      <c r="P94" s="8"/>
      <c r="Q94" s="8"/>
      <c r="R94" s="8"/>
      <c r="S94" s="8"/>
    </row>
    <row r="95" spans="1:21" ht="3" customHeight="1" x14ac:dyDescent="0.25">
      <c r="B95" s="10"/>
      <c r="C95" s="60"/>
      <c r="D95" s="60"/>
      <c r="E95" s="60"/>
    </row>
    <row r="96" spans="1:21" ht="15.75" x14ac:dyDescent="0.25">
      <c r="B96" s="103" t="s">
        <v>127</v>
      </c>
      <c r="C96" s="104"/>
      <c r="D96" s="104"/>
      <c r="E96" s="104"/>
    </row>
    <row r="97" spans="2:21" x14ac:dyDescent="0.25">
      <c r="B97" s="105" t="s">
        <v>52</v>
      </c>
      <c r="C97" s="168">
        <v>38355</v>
      </c>
      <c r="D97" s="168">
        <v>-18368</v>
      </c>
      <c r="E97" s="168">
        <v>-41286</v>
      </c>
      <c r="F97" s="4"/>
      <c r="G97" s="168">
        <v>-10220</v>
      </c>
      <c r="H97" s="1">
        <f>-22164-G97</f>
        <v>-11944</v>
      </c>
      <c r="I97" s="1">
        <f>-24334-H97-G97</f>
        <v>-2170</v>
      </c>
      <c r="J97" s="177">
        <f>SUM(D97-SUM(G97:I97))</f>
        <v>5966</v>
      </c>
      <c r="K97" s="168">
        <v>-10576</v>
      </c>
      <c r="L97" s="1">
        <f>-12473-K97</f>
        <v>-1897</v>
      </c>
      <c r="M97" s="1">
        <f>-22342-L97-K97</f>
        <v>-9869</v>
      </c>
      <c r="N97" s="177">
        <f>SUM(E97-SUM(K97:M97))</f>
        <v>-18944</v>
      </c>
      <c r="O97" s="168">
        <v>-20820</v>
      </c>
      <c r="P97" s="1">
        <v>-34347</v>
      </c>
      <c r="Q97" s="39"/>
      <c r="R97" s="25">
        <f t="shared" ref="R97" si="74">SUM(I97:L97)</f>
        <v>-8677</v>
      </c>
      <c r="S97" s="25">
        <f t="shared" ref="S97" si="75">SUM(M97:P97)</f>
        <v>-83980</v>
      </c>
      <c r="T97" s="25"/>
      <c r="U97" s="27">
        <f>SUM(S97/R97)-1</f>
        <v>8.6784602973377893</v>
      </c>
    </row>
    <row r="98" spans="2:21" x14ac:dyDescent="0.25">
      <c r="C98" s="106"/>
      <c r="D98" s="106"/>
      <c r="E98" s="106"/>
      <c r="F98" s="25"/>
      <c r="G98" s="106"/>
      <c r="H98" s="107"/>
      <c r="I98" s="108"/>
      <c r="J98" s="106"/>
      <c r="K98" s="106"/>
      <c r="L98" s="107"/>
      <c r="M98" s="107"/>
      <c r="N98" s="106"/>
      <c r="O98" s="106"/>
      <c r="P98" s="107"/>
      <c r="Q98" s="39"/>
      <c r="R98" s="25"/>
      <c r="S98" s="25"/>
      <c r="T98" s="25"/>
      <c r="U98" s="43"/>
    </row>
    <row r="99" spans="2:21" x14ac:dyDescent="0.25">
      <c r="B99" s="3" t="s">
        <v>55</v>
      </c>
      <c r="C99" s="109"/>
      <c r="D99" s="109"/>
      <c r="E99" s="109"/>
      <c r="F99" s="25"/>
      <c r="G99" s="109"/>
      <c r="H99" s="110"/>
      <c r="I99" s="111"/>
      <c r="J99" s="109"/>
      <c r="K99" s="109"/>
      <c r="L99" s="110"/>
      <c r="M99" s="111"/>
      <c r="N99" s="109"/>
      <c r="O99" s="109"/>
      <c r="P99" s="110"/>
      <c r="Q99" s="39"/>
      <c r="R99" s="110"/>
      <c r="S99" s="110"/>
      <c r="T99" s="112"/>
    </row>
    <row r="100" spans="2:21" x14ac:dyDescent="0.25">
      <c r="B100" s="113" t="s">
        <v>56</v>
      </c>
      <c r="C100" s="168">
        <v>9418</v>
      </c>
      <c r="D100" s="168">
        <v>10118</v>
      </c>
      <c r="E100" s="168">
        <v>9313</v>
      </c>
      <c r="F100" s="4"/>
      <c r="G100" s="168">
        <v>2586</v>
      </c>
      <c r="H100" s="1">
        <f>5133-G100</f>
        <v>2547</v>
      </c>
      <c r="I100" s="1">
        <f>7235-H100-G100</f>
        <v>2102</v>
      </c>
      <c r="J100" s="177">
        <f>SUM(D100-SUM(G100:I100))</f>
        <v>2883</v>
      </c>
      <c r="K100" s="168">
        <v>2752</v>
      </c>
      <c r="L100" s="1">
        <f>5295-K100</f>
        <v>2543</v>
      </c>
      <c r="M100" s="1">
        <f>7593-L100-K100</f>
        <v>2298</v>
      </c>
      <c r="N100" s="177">
        <f>SUM(E100-SUM(K100:M100))</f>
        <v>1720</v>
      </c>
      <c r="O100" s="168">
        <v>1780</v>
      </c>
      <c r="P100" s="1">
        <f>3347-O100</f>
        <v>1567</v>
      </c>
      <c r="Q100" s="39"/>
      <c r="R100" s="25">
        <f t="shared" ref="R100:R103" si="76">SUM(I100:L100)</f>
        <v>10280</v>
      </c>
      <c r="S100" s="25">
        <f t="shared" ref="S100:S109" si="77">SUM(M100:P100)</f>
        <v>7365</v>
      </c>
      <c r="T100" s="25"/>
      <c r="U100" s="27">
        <f>SUM(S100/R100)-1</f>
        <v>-0.28356031128404668</v>
      </c>
    </row>
    <row r="101" spans="2:21" x14ac:dyDescent="0.25">
      <c r="B101" s="113" t="s">
        <v>57</v>
      </c>
      <c r="C101" s="168">
        <v>2414</v>
      </c>
      <c r="D101" s="168">
        <v>1624</v>
      </c>
      <c r="E101" s="168">
        <v>2735</v>
      </c>
      <c r="F101" s="4"/>
      <c r="G101" s="168">
        <v>336</v>
      </c>
      <c r="H101" s="1">
        <f>768-G101</f>
        <v>432</v>
      </c>
      <c r="I101" s="1">
        <f>1201-H101-G101</f>
        <v>433</v>
      </c>
      <c r="J101" s="177">
        <f>SUM(D101-SUM(G101:I101))</f>
        <v>423</v>
      </c>
      <c r="K101" s="168">
        <v>520</v>
      </c>
      <c r="L101" s="1">
        <f>1234-K101</f>
        <v>714</v>
      </c>
      <c r="M101" s="1">
        <f>1948-L101-K101</f>
        <v>714</v>
      </c>
      <c r="N101" s="177">
        <f>SUM(E101-SUM(K101:M101))</f>
        <v>787</v>
      </c>
      <c r="O101" s="168">
        <v>804</v>
      </c>
      <c r="P101" s="1">
        <f>2081-O101</f>
        <v>1277</v>
      </c>
      <c r="Q101" s="39"/>
      <c r="R101" s="25">
        <f t="shared" si="76"/>
        <v>2090</v>
      </c>
      <c r="S101" s="25">
        <f t="shared" si="77"/>
        <v>3582</v>
      </c>
      <c r="T101" s="25"/>
      <c r="U101" s="27">
        <f>SUM(S101/R101)-1</f>
        <v>0.71387559808612444</v>
      </c>
    </row>
    <row r="102" spans="2:21" x14ac:dyDescent="0.25">
      <c r="B102" s="113" t="s">
        <v>58</v>
      </c>
      <c r="C102" s="168">
        <v>8471</v>
      </c>
      <c r="D102" s="168">
        <v>992</v>
      </c>
      <c r="E102" s="168">
        <v>0</v>
      </c>
      <c r="F102" s="4"/>
      <c r="G102" s="168">
        <v>992</v>
      </c>
      <c r="H102" s="1">
        <f>992-G102</f>
        <v>0</v>
      </c>
      <c r="I102" s="1">
        <f>992-H102-G102</f>
        <v>0</v>
      </c>
      <c r="J102" s="177">
        <f>SUM(D102-SUM(G102:I102))</f>
        <v>0</v>
      </c>
      <c r="K102" s="168">
        <v>0</v>
      </c>
      <c r="L102" s="1">
        <v>0</v>
      </c>
      <c r="M102" s="1">
        <v>0</v>
      </c>
      <c r="N102" s="177">
        <f>SUM(E102-SUM(K102:M102))</f>
        <v>0</v>
      </c>
      <c r="O102" s="168">
        <v>695</v>
      </c>
      <c r="P102" s="1">
        <f>3003-O102</f>
        <v>2308</v>
      </c>
      <c r="Q102" s="39"/>
      <c r="R102" s="25">
        <f t="shared" si="76"/>
        <v>0</v>
      </c>
      <c r="S102" s="25">
        <f t="shared" si="77"/>
        <v>3003</v>
      </c>
      <c r="T102" s="25"/>
      <c r="U102" s="27" t="e">
        <f>SUM(S102/R102)-1</f>
        <v>#DIV/0!</v>
      </c>
    </row>
    <row r="103" spans="2:21" x14ac:dyDescent="0.25">
      <c r="B103" s="113" t="s">
        <v>59</v>
      </c>
      <c r="C103" s="168">
        <v>5740</v>
      </c>
      <c r="D103" s="168">
        <v>18052</v>
      </c>
      <c r="E103" s="168">
        <v>6490</v>
      </c>
      <c r="F103" s="4"/>
      <c r="G103" s="168">
        <v>1631</v>
      </c>
      <c r="H103" s="1">
        <f>9946-G103</f>
        <v>8315</v>
      </c>
      <c r="I103" s="1">
        <f>11334-H103-G103</f>
        <v>1388</v>
      </c>
      <c r="J103" s="177">
        <f>SUM(D103-SUM(G103:I103))</f>
        <v>6718</v>
      </c>
      <c r="K103" s="168">
        <v>516</v>
      </c>
      <c r="L103" s="1">
        <f>892-K103</f>
        <v>376</v>
      </c>
      <c r="M103" s="1">
        <f>3328-L103-K103</f>
        <v>2436</v>
      </c>
      <c r="N103" s="177">
        <f>SUM(E103-SUM(K103:M103))</f>
        <v>3162</v>
      </c>
      <c r="O103" s="168">
        <v>407</v>
      </c>
      <c r="P103" s="1">
        <f>1167-O103</f>
        <v>760</v>
      </c>
      <c r="Q103" s="39"/>
      <c r="R103" s="25">
        <f t="shared" si="76"/>
        <v>8998</v>
      </c>
      <c r="S103" s="25">
        <f t="shared" si="77"/>
        <v>6765</v>
      </c>
      <c r="T103" s="25"/>
      <c r="U103" s="27">
        <f t="shared" ref="U103:U109" si="78">SUM(S103/R103)-1</f>
        <v>-0.24816625916870416</v>
      </c>
    </row>
    <row r="104" spans="2:21" x14ac:dyDescent="0.25">
      <c r="B104" s="113" t="s">
        <v>60</v>
      </c>
      <c r="C104" s="168">
        <v>13829</v>
      </c>
      <c r="D104" s="168">
        <v>10750</v>
      </c>
      <c r="E104" s="168">
        <v>4721</v>
      </c>
      <c r="F104" s="4"/>
      <c r="G104" s="168">
        <v>3069</v>
      </c>
      <c r="H104" s="1">
        <f>5357-G104</f>
        <v>2288</v>
      </c>
      <c r="I104" s="1">
        <f>8340-H104-G104</f>
        <v>2983</v>
      </c>
      <c r="J104" s="177">
        <f>SUM(D104-SUM(G104:I104))</f>
        <v>2410</v>
      </c>
      <c r="K104" s="168">
        <v>1901</v>
      </c>
      <c r="L104" s="1">
        <f>2831-K104</f>
        <v>930</v>
      </c>
      <c r="M104" s="1">
        <f>3741-L104-K104</f>
        <v>910</v>
      </c>
      <c r="N104" s="177">
        <f>SUM(E104-SUM(K104:M104))</f>
        <v>980</v>
      </c>
      <c r="O104" s="168">
        <v>925</v>
      </c>
      <c r="P104" s="1">
        <f>1641-O104</f>
        <v>716</v>
      </c>
      <c r="Q104" s="39"/>
      <c r="R104" s="25">
        <f t="shared" ref="R104:R109" si="79">SUM(I104:L104)</f>
        <v>8224</v>
      </c>
      <c r="S104" s="25">
        <f t="shared" si="77"/>
        <v>3531</v>
      </c>
      <c r="T104" s="25"/>
      <c r="U104" s="27">
        <f t="shared" si="78"/>
        <v>-0.57064688715953316</v>
      </c>
    </row>
    <row r="105" spans="2:21" x14ac:dyDescent="0.25">
      <c r="B105" s="113" t="s">
        <v>86</v>
      </c>
      <c r="C105" s="168"/>
      <c r="D105" s="168"/>
      <c r="E105" s="168"/>
      <c r="F105" s="4"/>
      <c r="G105" s="169"/>
      <c r="H105" s="4"/>
      <c r="I105" s="4"/>
      <c r="J105" s="177">
        <f>SUM(D105-SUM(G105:I105))</f>
        <v>0</v>
      </c>
      <c r="K105" s="169"/>
      <c r="L105" s="4"/>
      <c r="M105" s="4"/>
      <c r="N105" s="177">
        <f>SUM(E105-SUM(K105:M105))</f>
        <v>0</v>
      </c>
      <c r="O105" s="169"/>
      <c r="P105" s="1">
        <v>1844</v>
      </c>
      <c r="Q105" s="39"/>
      <c r="R105" s="25">
        <f t="shared" si="79"/>
        <v>0</v>
      </c>
      <c r="S105" s="25">
        <f t="shared" si="77"/>
        <v>1844</v>
      </c>
      <c r="T105" s="25"/>
      <c r="U105" s="27" t="e">
        <f t="shared" si="78"/>
        <v>#DIV/0!</v>
      </c>
    </row>
    <row r="106" spans="2:21" x14ac:dyDescent="0.25">
      <c r="B106" s="113" t="s">
        <v>61</v>
      </c>
      <c r="C106" s="168">
        <v>-60030</v>
      </c>
      <c r="D106" s="168">
        <v>-10250</v>
      </c>
      <c r="E106" s="168">
        <v>-5137</v>
      </c>
      <c r="F106" s="4"/>
      <c r="G106" s="169"/>
      <c r="H106" s="4"/>
      <c r="I106" s="4"/>
      <c r="J106" s="177">
        <f>SUM(D106-SUM(G106:I106))</f>
        <v>-10250</v>
      </c>
      <c r="K106" s="169"/>
      <c r="L106" s="1">
        <v>-5127</v>
      </c>
      <c r="M106" s="1">
        <f>-7340-L106-K106</f>
        <v>-2213</v>
      </c>
      <c r="N106" s="177">
        <f>SUM(E106-SUM(K106:M106))</f>
        <v>2203</v>
      </c>
      <c r="O106" s="168">
        <v>-1666</v>
      </c>
      <c r="P106" s="1">
        <f>-5216-O106</f>
        <v>-3550</v>
      </c>
      <c r="Q106" s="39"/>
      <c r="R106" s="25">
        <f t="shared" si="79"/>
        <v>-15377</v>
      </c>
      <c r="S106" s="25">
        <f t="shared" si="77"/>
        <v>-5226</v>
      </c>
      <c r="T106" s="25"/>
      <c r="U106" s="27">
        <f t="shared" si="78"/>
        <v>-0.66014177017623732</v>
      </c>
    </row>
    <row r="107" spans="2:21" x14ac:dyDescent="0.25">
      <c r="B107" s="113" t="s">
        <v>61</v>
      </c>
      <c r="C107" s="175">
        <v>0</v>
      </c>
      <c r="D107" s="175">
        <v>0</v>
      </c>
      <c r="E107" s="168">
        <v>-3943</v>
      </c>
      <c r="F107" s="4"/>
      <c r="G107" s="169"/>
      <c r="H107" s="4"/>
      <c r="I107" s="4"/>
      <c r="J107" s="177">
        <f>SUM(D107-SUM(G107:I107))</f>
        <v>0</v>
      </c>
      <c r="K107" s="169"/>
      <c r="L107" s="4"/>
      <c r="M107" s="4"/>
      <c r="N107" s="177">
        <f>SUM(E107-SUM(K107:M107))</f>
        <v>-3943</v>
      </c>
      <c r="O107" s="169"/>
      <c r="P107" s="4"/>
      <c r="Q107" s="39"/>
      <c r="R107" s="25">
        <f t="shared" si="79"/>
        <v>0</v>
      </c>
      <c r="S107" s="25">
        <f t="shared" si="77"/>
        <v>-3943</v>
      </c>
      <c r="T107" s="25"/>
      <c r="U107" s="27" t="e">
        <f t="shared" si="78"/>
        <v>#DIV/0!</v>
      </c>
    </row>
    <row r="108" spans="2:21" x14ac:dyDescent="0.25">
      <c r="B108" s="113" t="s">
        <v>62</v>
      </c>
      <c r="C108" s="168">
        <v>-832</v>
      </c>
      <c r="D108" s="168">
        <v>-2067</v>
      </c>
      <c r="E108" s="168">
        <v>3304</v>
      </c>
      <c r="F108" s="4"/>
      <c r="G108" s="168">
        <v>-1469</v>
      </c>
      <c r="H108" s="1">
        <f>-152-G108</f>
        <v>1317</v>
      </c>
      <c r="I108" s="1">
        <f>-2059-H108-G108</f>
        <v>-1907</v>
      </c>
      <c r="J108" s="177">
        <f>SUM(D108-SUM(G108:I108))</f>
        <v>-8</v>
      </c>
      <c r="K108" s="168">
        <v>734</v>
      </c>
      <c r="L108" s="1">
        <f>826-K108</f>
        <v>92</v>
      </c>
      <c r="M108" s="1">
        <f>3010-L108-K108</f>
        <v>2184</v>
      </c>
      <c r="N108" s="177">
        <f>SUM(E108-SUM(K108:M108))</f>
        <v>294</v>
      </c>
      <c r="O108" s="168">
        <v>275</v>
      </c>
      <c r="P108" s="1">
        <f>851-O108</f>
        <v>576</v>
      </c>
      <c r="Q108" s="39"/>
      <c r="R108" s="25">
        <f t="shared" si="79"/>
        <v>-1089</v>
      </c>
      <c r="S108" s="25">
        <f t="shared" si="77"/>
        <v>3329</v>
      </c>
      <c r="T108" s="25"/>
      <c r="U108" s="27">
        <f t="shared" si="78"/>
        <v>-4.0569329660238758</v>
      </c>
    </row>
    <row r="109" spans="2:21" x14ac:dyDescent="0.25">
      <c r="B109" s="113" t="s">
        <v>89</v>
      </c>
      <c r="C109" s="168"/>
      <c r="D109" s="168"/>
      <c r="E109" s="168"/>
      <c r="F109" s="4"/>
      <c r="G109" s="169"/>
      <c r="H109" s="1">
        <f>-2766-G109</f>
        <v>-2766</v>
      </c>
      <c r="I109" s="1">
        <f>-1134-H109-G109</f>
        <v>1632</v>
      </c>
      <c r="J109" s="177">
        <f>SUM(D109-SUM(G109:I109))</f>
        <v>1134</v>
      </c>
      <c r="K109" s="169"/>
      <c r="L109" s="4"/>
      <c r="M109" s="4"/>
      <c r="N109" s="177"/>
      <c r="O109" s="4"/>
      <c r="P109" s="4"/>
      <c r="Q109" s="39"/>
      <c r="R109" s="25">
        <f t="shared" si="79"/>
        <v>2766</v>
      </c>
      <c r="S109" s="25">
        <f t="shared" si="77"/>
        <v>0</v>
      </c>
      <c r="T109" s="25"/>
      <c r="U109" s="27">
        <f t="shared" si="78"/>
        <v>-1</v>
      </c>
    </row>
    <row r="110" spans="2:21" x14ac:dyDescent="0.25">
      <c r="B110"/>
      <c r="C110" s="109"/>
      <c r="D110" s="109"/>
      <c r="E110" s="109"/>
      <c r="F110" s="25"/>
      <c r="G110" s="109"/>
      <c r="H110" s="110"/>
      <c r="I110" s="111"/>
      <c r="J110" s="109"/>
      <c r="K110" s="109"/>
      <c r="L110" s="110"/>
      <c r="M110" s="111"/>
      <c r="N110" s="109"/>
      <c r="O110" s="110"/>
      <c r="P110" s="110"/>
      <c r="Q110" s="39"/>
      <c r="R110" s="25"/>
      <c r="S110" s="25"/>
      <c r="T110" s="25"/>
      <c r="U110" s="43"/>
    </row>
    <row r="111" spans="2:21" x14ac:dyDescent="0.25">
      <c r="B111" s="3" t="s">
        <v>63</v>
      </c>
      <c r="C111" s="109"/>
      <c r="D111" s="109"/>
      <c r="E111" s="109"/>
      <c r="F111" s="25"/>
      <c r="G111" s="109"/>
      <c r="H111" s="110"/>
      <c r="I111" s="111"/>
      <c r="J111" s="109"/>
      <c r="K111" s="109"/>
      <c r="L111" s="110"/>
      <c r="M111" s="111"/>
      <c r="N111" s="109"/>
      <c r="O111" s="110"/>
      <c r="P111" s="110"/>
      <c r="Q111" s="39"/>
      <c r="R111" s="110"/>
      <c r="S111" s="110"/>
      <c r="T111" s="112"/>
    </row>
    <row r="112" spans="2:21" x14ac:dyDescent="0.25">
      <c r="B112" s="113" t="s">
        <v>64</v>
      </c>
      <c r="C112" s="168">
        <v>3651</v>
      </c>
      <c r="D112" s="168">
        <v>-2966</v>
      </c>
      <c r="E112" s="168">
        <v>4846</v>
      </c>
      <c r="F112" s="4"/>
      <c r="G112" s="168">
        <v>4677</v>
      </c>
      <c r="H112" s="1">
        <f>8264-G112</f>
        <v>3587</v>
      </c>
      <c r="I112" s="1">
        <f>-3367-H112-G112</f>
        <v>-11631</v>
      </c>
      <c r="J112" s="177">
        <f>SUM(D112-SUM(G112:I112))</f>
        <v>401</v>
      </c>
      <c r="K112" s="168">
        <v>6255</v>
      </c>
      <c r="L112" s="1">
        <f>21109-K112</f>
        <v>14854</v>
      </c>
      <c r="M112" s="1">
        <f>12616-L112-K112</f>
        <v>-8493</v>
      </c>
      <c r="N112" s="177">
        <f>SUM(E112-SUM(K112:M112))</f>
        <v>-7770</v>
      </c>
      <c r="O112" s="168">
        <v>6346</v>
      </c>
      <c r="P112" s="1">
        <f>16638-O112</f>
        <v>10292</v>
      </c>
      <c r="Q112" s="39"/>
      <c r="R112" s="25">
        <f t="shared" ref="R112:R120" si="80">SUM(I112:L112)</f>
        <v>9879</v>
      </c>
      <c r="S112" s="25">
        <f t="shared" ref="S112:S120" si="81">SUM(M112:P112)</f>
        <v>375</v>
      </c>
      <c r="T112" s="112"/>
      <c r="U112" s="27">
        <f t="shared" ref="U112:U120" si="82">SUM(S112/R112)-1</f>
        <v>-0.96204069237777101</v>
      </c>
    </row>
    <row r="113" spans="2:21" x14ac:dyDescent="0.25">
      <c r="B113" s="113" t="s">
        <v>2</v>
      </c>
      <c r="C113" s="168">
        <v>-12069</v>
      </c>
      <c r="D113" s="168">
        <v>-1839</v>
      </c>
      <c r="E113" s="168">
        <v>-1396</v>
      </c>
      <c r="F113" s="4"/>
      <c r="G113" s="168">
        <v>-412</v>
      </c>
      <c r="H113" s="1">
        <f>416-G113</f>
        <v>828</v>
      </c>
      <c r="I113" s="1">
        <f>-9352-H113-G113</f>
        <v>-9768</v>
      </c>
      <c r="J113" s="177">
        <f>SUM(D113-SUM(G113:I113))</f>
        <v>7513</v>
      </c>
      <c r="K113" s="168">
        <v>-692</v>
      </c>
      <c r="L113" s="1">
        <f>-2070-K113</f>
        <v>-1378</v>
      </c>
      <c r="M113" s="1">
        <f>-3099-L113-K113</f>
        <v>-1029</v>
      </c>
      <c r="N113" s="177">
        <f>SUM(E113-SUM(K113:M113))</f>
        <v>1703</v>
      </c>
      <c r="O113" s="168">
        <v>-1325</v>
      </c>
      <c r="P113" s="1">
        <f>-2168-O113</f>
        <v>-843</v>
      </c>
      <c r="Q113" s="39"/>
      <c r="R113" s="25">
        <f t="shared" ref="R113:R116" si="83">SUM(I113:L113)</f>
        <v>-4325</v>
      </c>
      <c r="S113" s="25">
        <f t="shared" ref="S113:S116" si="84">SUM(M113:P113)</f>
        <v>-1494</v>
      </c>
      <c r="T113" s="112"/>
      <c r="U113" s="27">
        <f t="shared" si="82"/>
        <v>-0.65456647398843937</v>
      </c>
    </row>
    <row r="114" spans="2:21" x14ac:dyDescent="0.25">
      <c r="B114" s="113" t="s">
        <v>3</v>
      </c>
      <c r="C114" s="168">
        <v>-4400</v>
      </c>
      <c r="D114" s="168">
        <v>-3503</v>
      </c>
      <c r="E114" s="168">
        <v>11852</v>
      </c>
      <c r="F114" s="4"/>
      <c r="G114" s="168">
        <v>-1384</v>
      </c>
      <c r="H114" s="1">
        <f>-1971-G114</f>
        <v>-587</v>
      </c>
      <c r="I114" s="1">
        <f>-2671-H114-G114</f>
        <v>-700</v>
      </c>
      <c r="J114" s="177">
        <f>SUM(D114-SUM(G114:I114))</f>
        <v>-832</v>
      </c>
      <c r="K114" s="168">
        <v>-516</v>
      </c>
      <c r="L114" s="1">
        <f>-1505-K114</f>
        <v>-989</v>
      </c>
      <c r="M114" s="1">
        <f>-1520-L114-K114</f>
        <v>-15</v>
      </c>
      <c r="N114" s="177">
        <f>SUM(E114-SUM(K114:M114))</f>
        <v>13372</v>
      </c>
      <c r="O114" s="168">
        <v>1475</v>
      </c>
      <c r="P114" s="1">
        <f>543-O114</f>
        <v>-932</v>
      </c>
      <c r="Q114" s="39"/>
      <c r="R114" s="25">
        <f t="shared" si="83"/>
        <v>-3037</v>
      </c>
      <c r="S114" s="25">
        <f t="shared" si="84"/>
        <v>13900</v>
      </c>
      <c r="T114" s="112"/>
      <c r="U114" s="27">
        <f t="shared" si="82"/>
        <v>-5.5768850839644388</v>
      </c>
    </row>
    <row r="115" spans="2:21" x14ac:dyDescent="0.25">
      <c r="B115" s="113" t="s">
        <v>13</v>
      </c>
      <c r="C115" s="168">
        <v>-1939</v>
      </c>
      <c r="D115" s="168">
        <v>1158</v>
      </c>
      <c r="E115" s="168">
        <v>-11193</v>
      </c>
      <c r="F115" s="4"/>
      <c r="G115" s="168">
        <v>-175</v>
      </c>
      <c r="H115" s="1">
        <f>293-G115</f>
        <v>468</v>
      </c>
      <c r="I115" s="1">
        <f>7015-H115-G115</f>
        <v>6722</v>
      </c>
      <c r="J115" s="177">
        <f>SUM(D115-SUM(G115:I115))</f>
        <v>-5857</v>
      </c>
      <c r="K115" s="168">
        <v>-5421</v>
      </c>
      <c r="L115" s="1">
        <f>-9073-K115</f>
        <v>-3652</v>
      </c>
      <c r="M115" s="1">
        <f>-13226-L115-K115</f>
        <v>-4153</v>
      </c>
      <c r="N115" s="177">
        <f>SUM(E115-SUM(K115:M115))</f>
        <v>2033</v>
      </c>
      <c r="O115" s="168">
        <v>6828</v>
      </c>
      <c r="P115" s="1">
        <f>5253-O115</f>
        <v>-1575</v>
      </c>
      <c r="Q115" s="39"/>
      <c r="R115" s="25">
        <f t="shared" si="83"/>
        <v>-8208</v>
      </c>
      <c r="S115" s="25">
        <f t="shared" si="84"/>
        <v>3133</v>
      </c>
      <c r="T115" s="112"/>
      <c r="U115" s="27">
        <f t="shared" si="82"/>
        <v>-1.3817007797270955</v>
      </c>
    </row>
    <row r="116" spans="2:21" x14ac:dyDescent="0.25">
      <c r="B116" s="113" t="s">
        <v>4</v>
      </c>
      <c r="C116" s="168">
        <v>-3959</v>
      </c>
      <c r="D116" s="168">
        <v>3695</v>
      </c>
      <c r="E116" s="168">
        <v>1971</v>
      </c>
      <c r="F116" s="4"/>
      <c r="G116" s="169"/>
      <c r="H116" s="1">
        <f>-1208-G116</f>
        <v>-1208</v>
      </c>
      <c r="I116" s="1">
        <f>654-H116-G116</f>
        <v>1862</v>
      </c>
      <c r="J116" s="177">
        <f>SUM(D116-SUM(G116:I116))</f>
        <v>3041</v>
      </c>
      <c r="K116" s="168">
        <v>-2287</v>
      </c>
      <c r="L116" s="1">
        <f>8-K116</f>
        <v>2295</v>
      </c>
      <c r="M116" s="1">
        <f>394-L116-K116</f>
        <v>386</v>
      </c>
      <c r="N116" s="177">
        <f>SUM(E116-SUM(K116:M116))</f>
        <v>1577</v>
      </c>
      <c r="O116" s="168">
        <v>-1694</v>
      </c>
      <c r="P116" s="1">
        <f>-1446-O116</f>
        <v>248</v>
      </c>
      <c r="Q116" s="39"/>
      <c r="R116" s="25">
        <f t="shared" si="83"/>
        <v>4911</v>
      </c>
      <c r="S116" s="25">
        <f t="shared" si="84"/>
        <v>517</v>
      </c>
      <c r="T116" s="112"/>
      <c r="U116" s="27">
        <f t="shared" si="82"/>
        <v>-0.89472612502545301</v>
      </c>
    </row>
    <row r="117" spans="2:21" x14ac:dyDescent="0.25">
      <c r="B117" s="113" t="s">
        <v>65</v>
      </c>
      <c r="C117" s="168">
        <v>-13119</v>
      </c>
      <c r="D117" s="168">
        <v>-11611</v>
      </c>
      <c r="E117" s="168">
        <v>1386</v>
      </c>
      <c r="F117" s="4"/>
      <c r="G117" s="168">
        <v>-13634</v>
      </c>
      <c r="H117" s="1">
        <f>-17747-G117</f>
        <v>-4113</v>
      </c>
      <c r="I117" s="1">
        <f>-14351-H117-G117</f>
        <v>3396</v>
      </c>
      <c r="J117" s="177">
        <f>SUM(D117-SUM(G117:I117))</f>
        <v>2740</v>
      </c>
      <c r="K117" s="168">
        <v>-2221</v>
      </c>
      <c r="L117" s="1">
        <f>-9269-K117</f>
        <v>-7048</v>
      </c>
      <c r="M117" s="1">
        <f>-4780-L117-K117</f>
        <v>4489</v>
      </c>
      <c r="N117" s="177">
        <f>SUM(E117-SUM(K117:M117))</f>
        <v>6166</v>
      </c>
      <c r="O117" s="168">
        <v>-5126</v>
      </c>
      <c r="P117" s="1">
        <f>-10153-O117</f>
        <v>-5027</v>
      </c>
      <c r="Q117" s="39"/>
      <c r="R117" s="25">
        <f t="shared" si="80"/>
        <v>-3133</v>
      </c>
      <c r="S117" s="25">
        <f t="shared" si="81"/>
        <v>502</v>
      </c>
      <c r="T117" s="112"/>
      <c r="U117" s="27">
        <f t="shared" si="82"/>
        <v>-1.1602298116820939</v>
      </c>
    </row>
    <row r="118" spans="2:21" x14ac:dyDescent="0.25">
      <c r="B118" s="113" t="s">
        <v>66</v>
      </c>
      <c r="C118" s="168">
        <v>-580</v>
      </c>
      <c r="D118" s="168">
        <v>0</v>
      </c>
      <c r="E118" s="168">
        <v>0</v>
      </c>
      <c r="F118" s="4"/>
      <c r="G118" s="168">
        <v>39</v>
      </c>
      <c r="H118" s="1">
        <f>115-G118</f>
        <v>76</v>
      </c>
      <c r="I118" s="1">
        <f>130-H118-G118</f>
        <v>15</v>
      </c>
      <c r="J118" s="177">
        <f>SUM(D118-SUM(G118:I118))</f>
        <v>-130</v>
      </c>
      <c r="K118" s="168">
        <v>110</v>
      </c>
      <c r="L118" s="1">
        <f>0-K118</f>
        <v>-110</v>
      </c>
      <c r="M118" s="1">
        <f>0-L118-K118</f>
        <v>0</v>
      </c>
      <c r="N118" s="177">
        <f>SUM(E118-SUM(K118:M118))</f>
        <v>0</v>
      </c>
      <c r="O118" s="169"/>
      <c r="P118" s="4"/>
      <c r="Q118" s="39"/>
      <c r="R118" s="25">
        <f t="shared" si="80"/>
        <v>-115</v>
      </c>
      <c r="S118" s="25">
        <f t="shared" si="81"/>
        <v>0</v>
      </c>
      <c r="T118" s="112"/>
      <c r="U118" s="27">
        <f t="shared" si="82"/>
        <v>-1</v>
      </c>
    </row>
    <row r="119" spans="2:21" x14ac:dyDescent="0.25">
      <c r="B119" s="113" t="s">
        <v>14</v>
      </c>
      <c r="C119" s="168">
        <v>-3073</v>
      </c>
      <c r="D119" s="168">
        <v>-431</v>
      </c>
      <c r="E119" s="168">
        <v>2504</v>
      </c>
      <c r="F119" s="4"/>
      <c r="G119" s="168">
        <v>-1610</v>
      </c>
      <c r="H119" s="1">
        <f>-2949-G119</f>
        <v>-1339</v>
      </c>
      <c r="I119" s="1">
        <f>-614-H119-G119</f>
        <v>2335</v>
      </c>
      <c r="J119" s="177">
        <f>SUM(D119-SUM(G119:I119))</f>
        <v>183</v>
      </c>
      <c r="K119" s="168">
        <v>-816</v>
      </c>
      <c r="L119" s="1">
        <f>-1946-K119</f>
        <v>-1130</v>
      </c>
      <c r="M119" s="1">
        <f>-425-L119-K119</f>
        <v>1521</v>
      </c>
      <c r="N119" s="177">
        <f>SUM(E119-SUM(K119:M119))</f>
        <v>2929</v>
      </c>
      <c r="O119" s="168">
        <v>-2123</v>
      </c>
      <c r="P119" s="1">
        <f>-4350-O119</f>
        <v>-2227</v>
      </c>
      <c r="Q119" s="39"/>
      <c r="R119" s="25">
        <f t="shared" si="80"/>
        <v>572</v>
      </c>
      <c r="S119" s="25">
        <f t="shared" si="81"/>
        <v>100</v>
      </c>
      <c r="T119" s="25"/>
      <c r="U119" s="27">
        <f t="shared" si="82"/>
        <v>-0.82517482517482521</v>
      </c>
    </row>
    <row r="120" spans="2:21" x14ac:dyDescent="0.25">
      <c r="B120" s="113" t="s">
        <v>67</v>
      </c>
      <c r="C120" s="168">
        <v>-2602</v>
      </c>
      <c r="D120" s="168">
        <v>-1270</v>
      </c>
      <c r="E120" s="168">
        <v>-2197</v>
      </c>
      <c r="F120" s="4"/>
      <c r="G120" s="169">
        <f>-2739-261</f>
        <v>-3000</v>
      </c>
      <c r="H120" s="4">
        <f>SUM(-486-349)-G120</f>
        <v>2165</v>
      </c>
      <c r="I120" s="4">
        <f>SUM(1357-2812)-H120-G120</f>
        <v>-620</v>
      </c>
      <c r="J120" s="177">
        <f>SUM(D120-SUM(G120:I120))</f>
        <v>185</v>
      </c>
      <c r="K120" s="169">
        <f>-487-935</f>
        <v>-1422</v>
      </c>
      <c r="L120" s="4">
        <f>SUM(115-2354)-K120</f>
        <v>-817</v>
      </c>
      <c r="M120" s="4">
        <f>SUM(-1698-1532)-L120-K120</f>
        <v>-991</v>
      </c>
      <c r="N120" s="177">
        <f>SUM(E120-SUM(K120:M120))</f>
        <v>1033</v>
      </c>
      <c r="O120" s="169">
        <f>649-551</f>
        <v>98</v>
      </c>
      <c r="P120" s="4">
        <f>SUM(1280-780)-O120</f>
        <v>402</v>
      </c>
      <c r="Q120" s="39"/>
      <c r="R120" s="25">
        <f t="shared" si="80"/>
        <v>-2674</v>
      </c>
      <c r="S120" s="25">
        <f t="shared" si="81"/>
        <v>542</v>
      </c>
      <c r="T120" s="112"/>
      <c r="U120" s="27">
        <f t="shared" si="82"/>
        <v>-1.2026925953627525</v>
      </c>
    </row>
    <row r="121" spans="2:21" x14ac:dyDescent="0.25">
      <c r="B121" s="113" t="s">
        <v>68</v>
      </c>
      <c r="C121" s="168">
        <v>-3003</v>
      </c>
      <c r="D121" s="168">
        <v>1022</v>
      </c>
      <c r="E121" s="168">
        <v>737</v>
      </c>
      <c r="F121" s="4"/>
      <c r="G121" s="169">
        <f>164+64</f>
        <v>228</v>
      </c>
      <c r="H121" s="4">
        <f>SUM(769-196)-G121</f>
        <v>345</v>
      </c>
      <c r="I121" s="4">
        <f>SUM(2540+300)-H121-G121</f>
        <v>2267</v>
      </c>
      <c r="J121" s="177">
        <f>SUM(D121-SUM(G121:I121))</f>
        <v>-1818</v>
      </c>
      <c r="K121" s="169">
        <f>1462-954</f>
        <v>508</v>
      </c>
      <c r="L121" s="4">
        <f>SUM((1764-1602)-K121)</f>
        <v>-346</v>
      </c>
      <c r="M121" s="4">
        <f>SUM(569+2036)-L121-K121</f>
        <v>2443</v>
      </c>
      <c r="N121" s="177">
        <f>SUM(E121-SUM(K121:M121))</f>
        <v>-1868</v>
      </c>
      <c r="O121" s="169">
        <f>11017+208</f>
        <v>11225</v>
      </c>
      <c r="P121" s="4">
        <f>SUM(2556+1062)-O121</f>
        <v>-7607</v>
      </c>
      <c r="Q121" s="39"/>
      <c r="R121" s="25">
        <f t="shared" ref="R121" si="85">SUM(I121:L121)</f>
        <v>611</v>
      </c>
      <c r="S121" s="25">
        <f t="shared" ref="S121" si="86">SUM(M121:P121)</f>
        <v>4193</v>
      </c>
      <c r="T121" s="25"/>
      <c r="U121" s="27">
        <f>SUM(S121/R121)-1</f>
        <v>5.8625204582651387</v>
      </c>
    </row>
    <row r="122" spans="2:21" ht="15.75" x14ac:dyDescent="0.25">
      <c r="B122" s="114" t="s">
        <v>69</v>
      </c>
      <c r="C122" s="115">
        <f>SUM(C97:C121)</f>
        <v>-23728</v>
      </c>
      <c r="D122" s="115">
        <f>SUM(D97:D121)</f>
        <v>-4894</v>
      </c>
      <c r="E122" s="115">
        <f>SUM(E97:E121)</f>
        <v>-15293</v>
      </c>
      <c r="F122" s="39"/>
      <c r="G122" s="115">
        <f>SUM(G97:G121)</f>
        <v>-18346</v>
      </c>
      <c r="H122" s="115">
        <f>SUM(H97:H121)</f>
        <v>411</v>
      </c>
      <c r="I122" s="115">
        <f>SUM(I97:I121)</f>
        <v>-1661</v>
      </c>
      <c r="J122" s="115">
        <f>SUM(J97:J121)</f>
        <v>14702</v>
      </c>
      <c r="K122" s="115">
        <f>SUM(K97:K121)</f>
        <v>-10655</v>
      </c>
      <c r="L122" s="115">
        <f>SUM(L97:L121)</f>
        <v>-690</v>
      </c>
      <c r="M122" s="115">
        <f>SUM(M97:M121)</f>
        <v>-9382</v>
      </c>
      <c r="N122" s="115">
        <f>SUM(N97:N121)</f>
        <v>5434</v>
      </c>
      <c r="O122" s="115">
        <f>SUM(O97:O121)</f>
        <v>-1896</v>
      </c>
      <c r="P122" s="115">
        <f>SUM(P97:P121)</f>
        <v>-36118</v>
      </c>
      <c r="Q122" s="39"/>
      <c r="R122" s="115">
        <f>SUM(R97:R121)</f>
        <v>1696</v>
      </c>
      <c r="S122" s="115">
        <f>SUM(S97:S121)</f>
        <v>-41962</v>
      </c>
      <c r="T122" s="32"/>
      <c r="U122" s="27">
        <f>SUM(S122/R122)-1</f>
        <v>-25.741745283018869</v>
      </c>
    </row>
    <row r="123" spans="2:21" ht="15.75" x14ac:dyDescent="0.25">
      <c r="B123" s="69"/>
      <c r="C123" s="116"/>
      <c r="D123" s="116"/>
      <c r="E123" s="116"/>
      <c r="F123" s="39"/>
      <c r="G123" s="116"/>
      <c r="H123" s="116"/>
      <c r="I123" s="116"/>
      <c r="J123" s="116"/>
      <c r="K123" s="116"/>
      <c r="L123" s="116"/>
      <c r="M123" s="116"/>
      <c r="N123" s="116"/>
      <c r="O123" s="116"/>
      <c r="P123" s="116"/>
      <c r="Q123" s="39"/>
      <c r="R123" s="32"/>
      <c r="S123" s="32"/>
      <c r="T123" s="32"/>
      <c r="U123" s="43"/>
    </row>
    <row r="124" spans="2:21" ht="15.75" x14ac:dyDescent="0.25">
      <c r="B124" s="69" t="s">
        <v>128</v>
      </c>
      <c r="C124" s="110"/>
      <c r="D124" s="110"/>
      <c r="E124" s="110"/>
      <c r="F124" s="39"/>
      <c r="G124" s="110"/>
      <c r="H124" s="110"/>
      <c r="I124" s="111"/>
      <c r="J124" s="110"/>
      <c r="K124" s="110"/>
      <c r="L124" s="110"/>
      <c r="M124" s="111"/>
      <c r="N124" s="110"/>
      <c r="O124" s="110"/>
      <c r="P124" s="110"/>
      <c r="Q124" s="39"/>
      <c r="R124" s="110"/>
      <c r="S124" s="110"/>
      <c r="T124" s="112"/>
    </row>
    <row r="125" spans="2:21" x14ac:dyDescent="0.25">
      <c r="B125" s="113" t="s">
        <v>70</v>
      </c>
      <c r="C125" s="168">
        <v>-6316</v>
      </c>
      <c r="D125" s="168">
        <v>-12581</v>
      </c>
      <c r="E125" s="168">
        <v>-5869</v>
      </c>
      <c r="F125" s="4"/>
      <c r="G125" s="168">
        <v>-3036</v>
      </c>
      <c r="H125" s="1">
        <f>-7795-G125</f>
        <v>-4759</v>
      </c>
      <c r="I125" s="1">
        <f>-10644-H125-G125</f>
        <v>-2849</v>
      </c>
      <c r="J125" s="177">
        <f>SUM(D125-SUM(G125:I125))</f>
        <v>-1937</v>
      </c>
      <c r="K125" s="168">
        <v>-2299</v>
      </c>
      <c r="L125" s="1">
        <f>-3925-K125</f>
        <v>-1626</v>
      </c>
      <c r="M125" s="1">
        <f>-5025-L125-K125</f>
        <v>-1100</v>
      </c>
      <c r="N125" s="177">
        <f>SUM(E125-SUM(K125:M125))</f>
        <v>-844</v>
      </c>
      <c r="O125" s="168">
        <v>-1620</v>
      </c>
      <c r="P125" s="1">
        <f>-3228-O125</f>
        <v>-1608</v>
      </c>
      <c r="Q125" s="39"/>
      <c r="R125" s="25">
        <f t="shared" ref="R125:R126" si="87">SUM(I125:L125)</f>
        <v>-8711</v>
      </c>
      <c r="S125" s="25">
        <f t="shared" ref="S125:S126" si="88">SUM(M125:P125)</f>
        <v>-5172</v>
      </c>
      <c r="T125" s="112"/>
      <c r="U125" s="33">
        <f t="shared" ref="U125:U126" si="89">SUM(S125/R125)-1</f>
        <v>-0.40626793709103437</v>
      </c>
    </row>
    <row r="126" spans="2:21" x14ac:dyDescent="0.25">
      <c r="B126" s="113" t="s">
        <v>71</v>
      </c>
      <c r="C126" s="168">
        <v>-7808</v>
      </c>
      <c r="D126" s="168">
        <v>-3020</v>
      </c>
      <c r="E126" s="168">
        <v>0</v>
      </c>
      <c r="F126" s="4"/>
      <c r="G126" s="168">
        <v>-2000</v>
      </c>
      <c r="H126" s="1">
        <f>-2000-G126</f>
        <v>0</v>
      </c>
      <c r="I126" s="1">
        <f>-2000-H126-G126</f>
        <v>0</v>
      </c>
      <c r="J126" s="177">
        <f>SUM(D126-SUM(G126:I126))</f>
        <v>-1020</v>
      </c>
      <c r="K126" s="169"/>
      <c r="L126" s="4"/>
      <c r="M126" s="4"/>
      <c r="N126" s="4"/>
      <c r="O126" s="169">
        <v>0</v>
      </c>
      <c r="P126" s="4">
        <v>0</v>
      </c>
      <c r="Q126" s="39"/>
      <c r="R126" s="25">
        <f t="shared" si="87"/>
        <v>-1020</v>
      </c>
      <c r="S126" s="25">
        <f t="shared" si="88"/>
        <v>0</v>
      </c>
      <c r="T126" s="112"/>
      <c r="U126" s="33">
        <f t="shared" si="89"/>
        <v>-1</v>
      </c>
    </row>
    <row r="127" spans="2:21" ht="15.75" x14ac:dyDescent="0.25">
      <c r="B127" s="117" t="s">
        <v>72</v>
      </c>
      <c r="C127" s="115">
        <f>SUM(C125:C126)</f>
        <v>-14124</v>
      </c>
      <c r="D127" s="115">
        <f>SUM(D125:D126)</f>
        <v>-15601</v>
      </c>
      <c r="E127" s="115">
        <f>SUM(E125:E126)</f>
        <v>-5869</v>
      </c>
      <c r="F127" s="39"/>
      <c r="G127" s="115">
        <f>SUM(G125:G126)</f>
        <v>-5036</v>
      </c>
      <c r="H127" s="115">
        <f>SUM(H125:H126)</f>
        <v>-4759</v>
      </c>
      <c r="I127" s="115">
        <f>SUM(I125:I126)</f>
        <v>-2849</v>
      </c>
      <c r="J127" s="115">
        <f>SUM(J125:J126)</f>
        <v>-2957</v>
      </c>
      <c r="K127" s="115">
        <f>SUM(K125:K126)</f>
        <v>-2299</v>
      </c>
      <c r="L127" s="115">
        <f>SUM(L125:L126)</f>
        <v>-1626</v>
      </c>
      <c r="M127" s="115">
        <f>SUM(M125:M126)</f>
        <v>-1100</v>
      </c>
      <c r="N127" s="115">
        <f>SUM(N125:N126)</f>
        <v>-844</v>
      </c>
      <c r="O127" s="115">
        <f>SUM(O125:O126)</f>
        <v>-1620</v>
      </c>
      <c r="P127" s="115">
        <f>SUM(P125:P126)</f>
        <v>-1608</v>
      </c>
      <c r="Q127" s="39"/>
      <c r="R127" s="115">
        <f>SUM(R125:R126)</f>
        <v>-9731</v>
      </c>
      <c r="S127" s="115">
        <f>SUM(S125:S126)</f>
        <v>-5172</v>
      </c>
      <c r="T127" s="32"/>
      <c r="U127" s="33">
        <f>SUM(S127/R127)-1</f>
        <v>-0.46850272325557496</v>
      </c>
    </row>
    <row r="128" spans="2:21" ht="15.75" x14ac:dyDescent="0.25">
      <c r="B128" s="118"/>
      <c r="C128" s="116"/>
      <c r="D128" s="116"/>
      <c r="E128" s="116"/>
      <c r="F128" s="39"/>
      <c r="G128" s="116"/>
      <c r="H128" s="116"/>
      <c r="I128" s="116"/>
      <c r="J128" s="116"/>
      <c r="K128" s="116"/>
      <c r="L128" s="116"/>
      <c r="M128" s="116"/>
      <c r="N128" s="116"/>
      <c r="O128" s="116"/>
      <c r="P128" s="116"/>
      <c r="Q128" s="39"/>
      <c r="R128" s="32"/>
      <c r="S128" s="32"/>
      <c r="T128" s="32"/>
      <c r="U128" s="43"/>
    </row>
    <row r="129" spans="2:21" ht="15.75" x14ac:dyDescent="0.25">
      <c r="B129" s="69" t="s">
        <v>129</v>
      </c>
      <c r="C129" s="119"/>
      <c r="D129" s="119"/>
      <c r="E129" s="119"/>
      <c r="F129" s="39"/>
      <c r="G129" s="119"/>
      <c r="H129" s="119"/>
      <c r="I129" s="119"/>
      <c r="J129" s="119"/>
      <c r="K129" s="119"/>
      <c r="L129" s="119"/>
      <c r="M129" s="119"/>
      <c r="N129" s="120"/>
      <c r="O129" s="119"/>
      <c r="P129" s="119"/>
      <c r="Q129" s="39"/>
      <c r="R129" s="119"/>
      <c r="S129" s="119"/>
      <c r="T129" s="121"/>
    </row>
    <row r="130" spans="2:21" x14ac:dyDescent="0.25">
      <c r="B130" s="113" t="s">
        <v>73</v>
      </c>
      <c r="C130" s="168">
        <v>94961</v>
      </c>
      <c r="D130" s="168">
        <v>0</v>
      </c>
      <c r="E130" s="168">
        <v>12541</v>
      </c>
      <c r="F130" s="4"/>
      <c r="G130" s="169"/>
      <c r="H130" s="1">
        <v>0</v>
      </c>
      <c r="I130" s="1">
        <v>0</v>
      </c>
      <c r="J130" s="177">
        <f>SUM(D130-SUM(G130:I130))</f>
        <v>0</v>
      </c>
      <c r="K130" s="168">
        <v>14100</v>
      </c>
      <c r="L130" s="1">
        <f>14083-K130</f>
        <v>-17</v>
      </c>
      <c r="M130" s="1">
        <f>14083-L130-K130</f>
        <v>0</v>
      </c>
      <c r="N130" s="177">
        <f>SUM(E130-SUM(K130:M130))</f>
        <v>-1542</v>
      </c>
      <c r="O130" s="169"/>
      <c r="P130" s="1">
        <v>24655</v>
      </c>
      <c r="Q130" s="39"/>
      <c r="R130" s="25">
        <f t="shared" ref="R130" si="90">SUM(I130:L130)</f>
        <v>14083</v>
      </c>
      <c r="S130" s="25">
        <f t="shared" ref="S130" si="91">SUM(M130:P130)</f>
        <v>23113</v>
      </c>
      <c r="T130" s="25"/>
      <c r="U130" s="27">
        <f t="shared" ref="U130:U134" si="92">SUM(S130/R130)-1</f>
        <v>0.64119860825108277</v>
      </c>
    </row>
    <row r="131" spans="2:21" x14ac:dyDescent="0.25">
      <c r="B131" s="113" t="s">
        <v>87</v>
      </c>
      <c r="C131" s="168">
        <v>-94301</v>
      </c>
      <c r="D131" s="168">
        <v>-24596</v>
      </c>
      <c r="E131" s="168">
        <v>-5747</v>
      </c>
      <c r="F131" s="4"/>
      <c r="G131" s="168">
        <v>-20846</v>
      </c>
      <c r="H131" s="1">
        <f>-22096-G131</f>
        <v>-1250</v>
      </c>
      <c r="I131" s="1">
        <f>-23346-H131-G131</f>
        <v>-1250</v>
      </c>
      <c r="J131" s="177">
        <f>SUM(D131-SUM(G131:I131))</f>
        <v>-1250</v>
      </c>
      <c r="K131" s="168">
        <v>-1997</v>
      </c>
      <c r="L131" s="1">
        <f>-3247-K131</f>
        <v>-1250</v>
      </c>
      <c r="M131" s="1">
        <f>-4497-L131</f>
        <v>-3247</v>
      </c>
      <c r="N131" s="177">
        <f>SUM(E131-SUM(K131:M131))</f>
        <v>747</v>
      </c>
      <c r="O131" s="168">
        <v>-13537</v>
      </c>
      <c r="P131" s="1">
        <f>-13537-O131</f>
        <v>0</v>
      </c>
      <c r="Q131" s="39"/>
      <c r="R131" s="25">
        <f t="shared" ref="R131:R134" si="93">SUM(I131:L131)</f>
        <v>-5747</v>
      </c>
      <c r="S131" s="25">
        <f t="shared" ref="S131:S134" si="94">SUM(M131:P131)</f>
        <v>-16037</v>
      </c>
      <c r="T131" s="25"/>
      <c r="U131" s="27">
        <f t="shared" si="92"/>
        <v>1.7904993909866018</v>
      </c>
    </row>
    <row r="132" spans="2:21" x14ac:dyDescent="0.25">
      <c r="B132" s="113" t="s">
        <v>74</v>
      </c>
      <c r="C132" s="168">
        <v>309000</v>
      </c>
      <c r="D132" s="168">
        <v>497280</v>
      </c>
      <c r="E132" s="168">
        <v>421623</v>
      </c>
      <c r="F132" s="4"/>
      <c r="G132" s="168">
        <v>109740</v>
      </c>
      <c r="H132" s="1">
        <f>229605-G132</f>
        <v>119865</v>
      </c>
      <c r="I132" s="1">
        <f>363103-H132-G132</f>
        <v>133498</v>
      </c>
      <c r="J132" s="177">
        <f>SUM(D132-SUM(G132:I132))</f>
        <v>134177</v>
      </c>
      <c r="K132" s="168">
        <v>108186</v>
      </c>
      <c r="L132" s="1">
        <f>217084-K132</f>
        <v>108898</v>
      </c>
      <c r="M132" s="1">
        <f>318223-L132-K132</f>
        <v>101139</v>
      </c>
      <c r="N132" s="177">
        <f>SUM(E132-SUM(K132:M132))</f>
        <v>103400</v>
      </c>
      <c r="O132" s="168">
        <v>105568</v>
      </c>
      <c r="P132" s="1">
        <f>209852-O132</f>
        <v>104284</v>
      </c>
      <c r="Q132" s="39"/>
      <c r="R132" s="25">
        <f t="shared" si="93"/>
        <v>484759</v>
      </c>
      <c r="S132" s="25">
        <f t="shared" si="94"/>
        <v>414391</v>
      </c>
      <c r="T132" s="25"/>
      <c r="U132" s="27">
        <f t="shared" si="92"/>
        <v>-0.14516079123853298</v>
      </c>
    </row>
    <row r="133" spans="2:21" x14ac:dyDescent="0.25">
      <c r="B133" s="113" t="s">
        <v>88</v>
      </c>
      <c r="C133" s="168">
        <v>-291265</v>
      </c>
      <c r="D133" s="168">
        <v>-498665</v>
      </c>
      <c r="E133" s="168">
        <v>-412704</v>
      </c>
      <c r="F133" s="4"/>
      <c r="G133" s="168">
        <v>-110575</v>
      </c>
      <c r="H133" s="1">
        <f>-226240-G133</f>
        <v>-115665</v>
      </c>
      <c r="I133" s="1">
        <f>-353502-H133-G133</f>
        <v>-127262</v>
      </c>
      <c r="J133" s="177">
        <f>SUM(D133-SUM(G133:I133))</f>
        <v>-145163</v>
      </c>
      <c r="K133" s="168">
        <v>-107834</v>
      </c>
      <c r="L133" s="1">
        <f>-213082-K133</f>
        <v>-105248</v>
      </c>
      <c r="M133" s="1">
        <f>-303671-L133-K133</f>
        <v>-90589</v>
      </c>
      <c r="N133" s="177">
        <f>SUM(E133-SUM(K133:M133))</f>
        <v>-109033</v>
      </c>
      <c r="O133" s="168">
        <v>-96829</v>
      </c>
      <c r="P133" s="1">
        <f>-209445-O133</f>
        <v>-112616</v>
      </c>
      <c r="Q133" s="39"/>
      <c r="R133" s="25">
        <f t="shared" si="93"/>
        <v>-485507</v>
      </c>
      <c r="S133" s="25">
        <f t="shared" si="94"/>
        <v>-409067</v>
      </c>
      <c r="T133" s="25"/>
      <c r="U133" s="27">
        <f t="shared" si="92"/>
        <v>-0.15744366198633597</v>
      </c>
    </row>
    <row r="134" spans="2:21" x14ac:dyDescent="0.25">
      <c r="B134" s="113" t="s">
        <v>75</v>
      </c>
      <c r="C134" s="168">
        <v>1762</v>
      </c>
      <c r="D134" s="168">
        <v>67146</v>
      </c>
      <c r="E134" s="168">
        <v>0</v>
      </c>
      <c r="F134" s="4"/>
      <c r="G134" s="168">
        <v>66324</v>
      </c>
      <c r="H134" s="1">
        <f>66723-G134</f>
        <v>399</v>
      </c>
      <c r="I134" s="1">
        <f>66718-H134-G134</f>
        <v>-5</v>
      </c>
      <c r="J134" s="177">
        <f>SUM(D134-SUM(G134:I134))</f>
        <v>428</v>
      </c>
      <c r="K134" s="168">
        <v>-9</v>
      </c>
      <c r="L134" s="4"/>
      <c r="M134" s="4"/>
      <c r="N134" s="177">
        <f>SUM(E134-SUM(K134:M134))</f>
        <v>9</v>
      </c>
      <c r="O134" s="169"/>
      <c r="P134" s="4"/>
      <c r="Q134" s="39"/>
      <c r="R134" s="25">
        <f t="shared" si="93"/>
        <v>414</v>
      </c>
      <c r="S134" s="25">
        <f t="shared" si="94"/>
        <v>9</v>
      </c>
      <c r="T134" s="25"/>
      <c r="U134" s="27">
        <f t="shared" si="92"/>
        <v>-0.97826086956521741</v>
      </c>
    </row>
    <row r="135" spans="2:21" ht="15.75" x14ac:dyDescent="0.25">
      <c r="B135" s="114" t="s">
        <v>76</v>
      </c>
      <c r="C135" s="115">
        <f>SUM(C130:C134)</f>
        <v>20157</v>
      </c>
      <c r="D135" s="115">
        <f>SUM(D130:D134)</f>
        <v>41165</v>
      </c>
      <c r="E135" s="115">
        <f>SUM(E130:E134)</f>
        <v>15713</v>
      </c>
      <c r="F135" s="39"/>
      <c r="G135" s="115">
        <f>SUM(G130:G134)</f>
        <v>44643</v>
      </c>
      <c r="H135" s="115">
        <f>SUM(H130:H134)</f>
        <v>3349</v>
      </c>
      <c r="I135" s="115">
        <f>SUM(I130:I134)</f>
        <v>4981</v>
      </c>
      <c r="J135" s="115">
        <f>SUM(J130:J134)</f>
        <v>-11808</v>
      </c>
      <c r="K135" s="115">
        <f>SUM(K130:K134)</f>
        <v>12446</v>
      </c>
      <c r="L135" s="115">
        <f>SUM(L130:L134)</f>
        <v>2383</v>
      </c>
      <c r="M135" s="115">
        <f>SUM(M130:M134)</f>
        <v>7303</v>
      </c>
      <c r="N135" s="115">
        <f>SUM(N130:N134)</f>
        <v>-6419</v>
      </c>
      <c r="O135" s="115">
        <f>SUM(O130:O134)</f>
        <v>-4798</v>
      </c>
      <c r="P135" s="115">
        <f>SUM(P130:P134)</f>
        <v>16323</v>
      </c>
      <c r="Q135" s="39"/>
      <c r="R135" s="115">
        <f>SUM(R130:R134)</f>
        <v>8002</v>
      </c>
      <c r="S135" s="115">
        <f>SUM(S130:S134)</f>
        <v>12409</v>
      </c>
      <c r="T135" s="32"/>
      <c r="U135" s="27">
        <f>SUM(S135/R135)-1</f>
        <v>0.55073731567108219</v>
      </c>
    </row>
    <row r="136" spans="2:21" ht="15.75" x14ac:dyDescent="0.25">
      <c r="B136" s="69"/>
      <c r="C136" s="116"/>
      <c r="D136" s="116"/>
      <c r="E136" s="116"/>
      <c r="F136" s="39"/>
      <c r="G136" s="116"/>
      <c r="H136" s="116"/>
      <c r="I136" s="116"/>
      <c r="J136" s="116"/>
      <c r="K136" s="116"/>
      <c r="L136" s="116"/>
      <c r="M136" s="116"/>
      <c r="N136" s="116"/>
      <c r="O136" s="116"/>
      <c r="P136" s="116"/>
      <c r="Q136" s="39"/>
      <c r="R136" s="32"/>
      <c r="S136" s="32"/>
      <c r="T136" s="32"/>
      <c r="U136" s="43"/>
    </row>
    <row r="137" spans="2:21" x14ac:dyDescent="0.25">
      <c r="B137" t="s">
        <v>77</v>
      </c>
      <c r="C137" s="168">
        <v>51</v>
      </c>
      <c r="D137" s="168">
        <v>12</v>
      </c>
      <c r="E137" s="168">
        <v>-3</v>
      </c>
      <c r="F137" s="4"/>
      <c r="G137" s="168">
        <v>29</v>
      </c>
      <c r="H137" s="1">
        <f>166-G137</f>
        <v>137</v>
      </c>
      <c r="I137" s="1">
        <f>21-H137-G137</f>
        <v>-145</v>
      </c>
      <c r="J137" s="177">
        <f>SUM(D137-SUM(G137:I137))</f>
        <v>-9</v>
      </c>
      <c r="K137" s="168">
        <v>-2</v>
      </c>
      <c r="L137" s="1">
        <f>11-K137</f>
        <v>13</v>
      </c>
      <c r="M137" s="1">
        <f>-12-L137-K137</f>
        <v>-23</v>
      </c>
      <c r="N137" s="177">
        <f>SUM(E137-SUM(K137:M137))</f>
        <v>9</v>
      </c>
      <c r="O137" s="168">
        <v>-3</v>
      </c>
      <c r="P137" s="1">
        <f>-3-O137</f>
        <v>0</v>
      </c>
      <c r="Q137" s="25"/>
      <c r="R137" s="25">
        <f t="shared" ref="R137" si="95">SUM(I137:L137)</f>
        <v>-143</v>
      </c>
      <c r="S137" s="25">
        <f t="shared" ref="S137" si="96">SUM(M137:P137)</f>
        <v>-17</v>
      </c>
      <c r="T137" s="25"/>
      <c r="U137" s="43"/>
    </row>
    <row r="138" spans="2:21" x14ac:dyDescent="0.25">
      <c r="B138" t="s">
        <v>78</v>
      </c>
      <c r="C138" s="168">
        <v>-27644</v>
      </c>
      <c r="D138" s="168">
        <v>20682</v>
      </c>
      <c r="E138" s="168">
        <v>-315</v>
      </c>
      <c r="F138" s="4"/>
      <c r="G138" s="168">
        <v>21290</v>
      </c>
      <c r="H138" s="168">
        <v>20428</v>
      </c>
      <c r="I138" s="168">
        <v>20754</v>
      </c>
      <c r="J138" s="177"/>
      <c r="K138" s="168">
        <v>-510</v>
      </c>
      <c r="L138" s="168">
        <v>-421</v>
      </c>
      <c r="M138" s="168">
        <v>-1626</v>
      </c>
      <c r="N138" s="177"/>
      <c r="O138" s="168">
        <v>-8317</v>
      </c>
      <c r="P138" s="168">
        <v>-8900</v>
      </c>
      <c r="Q138" s="25"/>
      <c r="R138" s="25"/>
      <c r="S138" s="25"/>
      <c r="T138" s="25"/>
      <c r="U138" s="43"/>
    </row>
    <row r="139" spans="2:21" x14ac:dyDescent="0.25">
      <c r="B139" t="s">
        <v>79</v>
      </c>
      <c r="C139" s="168">
        <v>33137</v>
      </c>
      <c r="D139" s="168">
        <v>5493</v>
      </c>
      <c r="E139" s="168">
        <v>26175</v>
      </c>
      <c r="F139" s="4"/>
      <c r="G139" s="168">
        <v>5493</v>
      </c>
      <c r="H139" s="168">
        <v>5493</v>
      </c>
      <c r="I139" s="168">
        <v>5493</v>
      </c>
      <c r="J139" s="177"/>
      <c r="K139" s="168">
        <v>26175</v>
      </c>
      <c r="L139" s="168">
        <v>26175</v>
      </c>
      <c r="M139" s="168">
        <v>26175</v>
      </c>
      <c r="N139" s="177"/>
      <c r="O139" s="168">
        <v>25860</v>
      </c>
      <c r="P139" s="168">
        <v>25860</v>
      </c>
      <c r="Q139" s="25"/>
      <c r="R139" s="25"/>
      <c r="S139" s="25"/>
      <c r="T139" s="25"/>
      <c r="U139" s="43"/>
    </row>
    <row r="140" spans="2:21" x14ac:dyDescent="0.25">
      <c r="B140" t="s">
        <v>80</v>
      </c>
      <c r="C140" s="168">
        <v>5493</v>
      </c>
      <c r="D140" s="168">
        <v>26175</v>
      </c>
      <c r="E140" s="168">
        <v>25860</v>
      </c>
      <c r="F140" s="4"/>
      <c r="G140" s="168">
        <v>26783</v>
      </c>
      <c r="H140" s="168">
        <v>25921</v>
      </c>
      <c r="I140" s="168">
        <v>26247</v>
      </c>
      <c r="J140" s="177"/>
      <c r="K140" s="168">
        <v>25665</v>
      </c>
      <c r="L140" s="168">
        <v>25754</v>
      </c>
      <c r="M140" s="168">
        <v>24549</v>
      </c>
      <c r="N140" s="177"/>
      <c r="O140" s="168">
        <v>17543</v>
      </c>
      <c r="P140" s="168">
        <v>16960</v>
      </c>
      <c r="Q140" s="25"/>
      <c r="R140" s="25"/>
      <c r="S140" s="25"/>
      <c r="T140" s="25"/>
      <c r="U140" s="43"/>
    </row>
    <row r="141" spans="2:21" x14ac:dyDescent="0.25">
      <c r="B141"/>
      <c r="C141" s="122"/>
      <c r="D141" s="122"/>
      <c r="E141" s="122"/>
      <c r="F141" s="25"/>
      <c r="G141" s="122"/>
      <c r="H141" s="122"/>
      <c r="I141" s="122"/>
      <c r="J141" s="122"/>
      <c r="K141" s="122"/>
      <c r="L141" s="122"/>
      <c r="M141" s="122"/>
      <c r="N141" s="122"/>
      <c r="O141" s="176"/>
      <c r="P141" s="122"/>
      <c r="Q141" s="39"/>
      <c r="R141" s="25"/>
      <c r="S141" s="25"/>
      <c r="T141" s="25"/>
      <c r="U141" s="43"/>
    </row>
    <row r="142" spans="2:21" x14ac:dyDescent="0.25">
      <c r="B142" s="123" t="s">
        <v>81</v>
      </c>
      <c r="C142" s="111"/>
      <c r="D142" s="111"/>
      <c r="E142" s="111"/>
      <c r="F142" s="25"/>
      <c r="G142" s="111"/>
      <c r="H142" s="111"/>
      <c r="I142" s="111"/>
      <c r="J142" s="111"/>
      <c r="K142" s="111"/>
      <c r="L142" s="111"/>
      <c r="M142" s="111"/>
      <c r="N142" s="111"/>
      <c r="O142" s="109"/>
      <c r="P142" s="111"/>
      <c r="Q142" s="39"/>
      <c r="R142" s="111"/>
      <c r="S142" s="111"/>
      <c r="T142" s="124"/>
    </row>
    <row r="143" spans="2:21" x14ac:dyDescent="0.25">
      <c r="B143" t="s">
        <v>82</v>
      </c>
      <c r="C143" s="168">
        <v>9140</v>
      </c>
      <c r="D143" s="168">
        <v>8701</v>
      </c>
      <c r="E143" s="168">
        <v>12314</v>
      </c>
      <c r="F143" s="4"/>
      <c r="G143" s="168">
        <v>1863</v>
      </c>
      <c r="H143" s="1">
        <f>4114-G143</f>
        <v>2251</v>
      </c>
      <c r="I143" s="1">
        <f>6270-H143-G143</f>
        <v>2156</v>
      </c>
      <c r="J143" s="177">
        <f t="shared" ref="J143:J144" si="97">SUM(D143-SUM(G143:I143))</f>
        <v>2431</v>
      </c>
      <c r="K143" s="1">
        <v>1863</v>
      </c>
      <c r="L143" s="1">
        <f>6079-K143</f>
        <v>4216</v>
      </c>
      <c r="M143" s="1">
        <f>9154-L143-K143</f>
        <v>3075</v>
      </c>
      <c r="N143" s="177">
        <f>SUM(E143-SUM(K143:M143))</f>
        <v>3160</v>
      </c>
      <c r="O143" s="168">
        <v>2134</v>
      </c>
      <c r="P143" s="1">
        <f>5539-O143</f>
        <v>3405</v>
      </c>
      <c r="Q143" s="39"/>
      <c r="R143" s="25">
        <f t="shared" ref="R143" si="98">SUM(I143:L143)</f>
        <v>10666</v>
      </c>
      <c r="S143" s="25">
        <f t="shared" ref="S143" si="99">SUM(M143:P143)</f>
        <v>11774</v>
      </c>
      <c r="T143" s="25"/>
      <c r="U143" s="27">
        <f t="shared" ref="U143" si="100">SUM(S143/R143)-1</f>
        <v>0.10388149259328716</v>
      </c>
    </row>
    <row r="144" spans="2:21" x14ac:dyDescent="0.25">
      <c r="B144" s="6" t="s">
        <v>83</v>
      </c>
      <c r="C144" s="168">
        <v>944</v>
      </c>
      <c r="D144" s="168">
        <v>1418</v>
      </c>
      <c r="E144" s="168">
        <v>1776</v>
      </c>
      <c r="F144" s="4"/>
      <c r="G144" s="168">
        <v>115</v>
      </c>
      <c r="H144" s="1">
        <f>465-G144</f>
        <v>350</v>
      </c>
      <c r="I144" s="1">
        <f>837-H144-G144</f>
        <v>372</v>
      </c>
      <c r="J144" s="177">
        <f t="shared" si="97"/>
        <v>581</v>
      </c>
      <c r="K144" s="1">
        <v>307</v>
      </c>
      <c r="L144" s="1">
        <f>831-K144</f>
        <v>524</v>
      </c>
      <c r="M144" s="1">
        <f>1136-L144-K144</f>
        <v>305</v>
      </c>
      <c r="N144" s="177">
        <f>SUM(E144-SUM(K144:M144))</f>
        <v>640</v>
      </c>
      <c r="O144" s="168">
        <v>495</v>
      </c>
      <c r="P144" s="1">
        <f>1304-O144</f>
        <v>809</v>
      </c>
    </row>
    <row r="145" spans="2:21" ht="15.75" thickBot="1" x14ac:dyDescent="0.3">
      <c r="C145" s="104"/>
      <c r="D145" s="104"/>
      <c r="E145" s="104"/>
    </row>
    <row r="146" spans="2:21" x14ac:dyDescent="0.25">
      <c r="B146" s="125" t="s">
        <v>130</v>
      </c>
      <c r="C146" s="126"/>
      <c r="D146" s="126"/>
      <c r="E146" s="127"/>
      <c r="F146" s="39"/>
      <c r="G146" s="128"/>
      <c r="H146" s="129"/>
      <c r="I146" s="129"/>
      <c r="J146" s="129"/>
      <c r="K146" s="129"/>
      <c r="L146" s="129"/>
      <c r="M146" s="129"/>
      <c r="N146" s="129"/>
      <c r="O146" s="129"/>
      <c r="P146" s="130"/>
      <c r="Q146" s="39"/>
      <c r="R146" s="128"/>
      <c r="S146" s="130"/>
    </row>
    <row r="147" spans="2:21" x14ac:dyDescent="0.25">
      <c r="B147" s="131" t="s">
        <v>131</v>
      </c>
      <c r="C147" s="132">
        <f>SUM(C122-C125)</f>
        <v>-17412</v>
      </c>
      <c r="D147" s="132">
        <f>SUM(D122-D125)</f>
        <v>7687</v>
      </c>
      <c r="E147" s="133">
        <f>SUM(E122-E125)</f>
        <v>-9424</v>
      </c>
      <c r="F147" s="39"/>
      <c r="G147" s="134">
        <f>SUM(G122-G125)</f>
        <v>-15310</v>
      </c>
      <c r="H147" s="132">
        <f>SUM(H122-H125)</f>
        <v>5170</v>
      </c>
      <c r="I147" s="132">
        <f>SUM(I122-I125)</f>
        <v>1188</v>
      </c>
      <c r="J147" s="132">
        <f>SUM(J122-J125)</f>
        <v>16639</v>
      </c>
      <c r="K147" s="132">
        <f>SUM(K122-K125)</f>
        <v>-8356</v>
      </c>
      <c r="L147" s="132">
        <f>SUM(L122-L125)</f>
        <v>936</v>
      </c>
      <c r="M147" s="132">
        <f>SUM(M122-M125)</f>
        <v>-8282</v>
      </c>
      <c r="N147" s="132">
        <f>SUM(N122-N125)</f>
        <v>6278</v>
      </c>
      <c r="O147" s="132">
        <f>SUM(O122-O125)</f>
        <v>-276</v>
      </c>
      <c r="P147" s="133">
        <f>SUM(P122-P125)</f>
        <v>-34510</v>
      </c>
      <c r="Q147" s="39"/>
      <c r="R147" s="135">
        <f t="shared" ref="R147" si="101">SUM(I147:L147)</f>
        <v>10407</v>
      </c>
      <c r="S147" s="136">
        <f t="shared" ref="S147" si="102">SUM(M147:P147)</f>
        <v>-36790</v>
      </c>
      <c r="U147" s="27">
        <f t="shared" ref="U147" si="103">SUM(S147/R147)-1</f>
        <v>-4.5351205919092923</v>
      </c>
    </row>
    <row r="148" spans="2:21" ht="15.75" thickBot="1" x14ac:dyDescent="0.3">
      <c r="B148" s="137" t="s">
        <v>101</v>
      </c>
      <c r="C148" s="138"/>
      <c r="D148" s="139">
        <f>D147/C147-1</f>
        <v>-1.441477142200781</v>
      </c>
      <c r="E148" s="140">
        <f>E147/D147-1</f>
        <v>-2.2259659164823731</v>
      </c>
      <c r="G148" s="141"/>
      <c r="H148" s="139">
        <f t="shared" ref="H148:P148" si="104">H147/G147-1</f>
        <v>-1.3376877857609406</v>
      </c>
      <c r="I148" s="139">
        <f t="shared" si="104"/>
        <v>-0.77021276595744681</v>
      </c>
      <c r="J148" s="139">
        <f t="shared" si="104"/>
        <v>13.005892255892256</v>
      </c>
      <c r="K148" s="139">
        <f t="shared" si="104"/>
        <v>-1.5021936414447983</v>
      </c>
      <c r="L148" s="139">
        <f t="shared" si="104"/>
        <v>-1.1120153183341313</v>
      </c>
      <c r="M148" s="139">
        <f t="shared" si="104"/>
        <v>-9.8482905982905979</v>
      </c>
      <c r="N148" s="139">
        <f t="shared" si="104"/>
        <v>-1.7580294614827336</v>
      </c>
      <c r="O148" s="139">
        <f t="shared" si="104"/>
        <v>-1.0439630455559095</v>
      </c>
      <c r="P148" s="140">
        <f t="shared" si="104"/>
        <v>124.03623188405797</v>
      </c>
      <c r="R148" s="141"/>
      <c r="S148" s="140">
        <f t="shared" ref="S148" si="105">S147/R147-1</f>
        <v>-4.5351205919092923</v>
      </c>
    </row>
    <row r="149" spans="2:21" x14ac:dyDescent="0.25">
      <c r="C149" s="104"/>
      <c r="D149" s="104"/>
      <c r="E149" s="104"/>
    </row>
    <row r="150" spans="2:21" x14ac:dyDescent="0.25">
      <c r="B150" s="102"/>
      <c r="C150" s="142"/>
      <c r="D150" s="142"/>
      <c r="E150" s="142"/>
    </row>
    <row r="151" spans="2:21" ht="3.75" customHeight="1" x14ac:dyDescent="0.25">
      <c r="B151" s="102"/>
      <c r="C151" s="142"/>
      <c r="D151" s="142"/>
      <c r="E151" s="142"/>
    </row>
    <row r="152" spans="2:21" x14ac:dyDescent="0.25">
      <c r="C152" s="104"/>
      <c r="D152" s="104"/>
      <c r="E152" s="104"/>
    </row>
    <row r="153" spans="2:21" x14ac:dyDescent="0.25">
      <c r="C153" s="104"/>
      <c r="D153" s="104"/>
      <c r="E153" s="104"/>
    </row>
    <row r="154" spans="2:21" x14ac:dyDescent="0.25">
      <c r="C154" s="104"/>
      <c r="D154" s="104"/>
      <c r="E154" s="104"/>
    </row>
    <row r="155" spans="2:21" x14ac:dyDescent="0.25">
      <c r="C155" s="104"/>
      <c r="D155" s="104"/>
      <c r="E155" s="104"/>
    </row>
    <row r="156" spans="2:21" x14ac:dyDescent="0.25">
      <c r="C156" s="104"/>
      <c r="D156" s="104"/>
      <c r="E156" s="104"/>
    </row>
    <row r="157" spans="2:21" x14ac:dyDescent="0.25">
      <c r="C157" s="104"/>
      <c r="D157" s="104"/>
      <c r="E157" s="104"/>
    </row>
    <row r="158" spans="2:21" x14ac:dyDescent="0.25">
      <c r="C158" s="104"/>
      <c r="D158" s="104"/>
      <c r="E158" s="104"/>
    </row>
  </sheetData>
  <mergeCells count="1">
    <mergeCell ref="U7:U8"/>
  </mergeCells>
  <conditionalFormatting sqref="C8:P9">
    <cfRule type="timePeriod" dxfId="3" priority="2" timePeriod="lastWeek">
      <formula>AND(TODAY()-ROUNDDOWN(C8,0)&gt;=(WEEKDAY(TODAY())),TODAY()-ROUNDDOWN(C8,0)&lt;(WEEKDAY(TODAY())+7))</formula>
    </cfRule>
  </conditionalFormatting>
  <conditionalFormatting sqref="R8:S8">
    <cfRule type="timePeriod" dxfId="2" priority="1" timePeriod="lastWeek">
      <formula>AND(TODAY()-ROUNDDOWN(R8,0)&gt;=(WEEKDAY(TODAY())),TODAY()-ROUNDDOWN(R8,0)&lt;(WEEKDAY(TODAY())+7))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094F6-74FE-4040-A848-785E57806080}">
  <dimension ref="A2:X36"/>
  <sheetViews>
    <sheetView showGridLines="0" topLeftCell="C1" zoomScale="115" zoomScaleNormal="115" workbookViewId="0">
      <selection activeCell="R7" sqref="R7"/>
    </sheetView>
  </sheetViews>
  <sheetFormatPr defaultRowHeight="15" x14ac:dyDescent="0.25"/>
  <cols>
    <col min="1" max="1" width="4.5703125" customWidth="1"/>
    <col min="2" max="2" width="60.5703125" bestFit="1" customWidth="1"/>
    <col min="3" max="5" width="12.5703125" bestFit="1" customWidth="1"/>
    <col min="6" max="6" width="1" customWidth="1"/>
    <col min="7" max="8" width="10.7109375" bestFit="1" customWidth="1"/>
    <col min="9" max="9" width="11.85546875" bestFit="1" customWidth="1"/>
    <col min="10" max="12" width="10.7109375" bestFit="1" customWidth="1"/>
    <col min="13" max="13" width="11.85546875" bestFit="1" customWidth="1"/>
    <col min="14" max="16" width="10.7109375" bestFit="1" customWidth="1"/>
    <col min="17" max="17" width="1.28515625" customWidth="1"/>
    <col min="18" max="19" width="10.7109375" bestFit="1" customWidth="1"/>
    <col min="20" max="20" width="2.28515625" customWidth="1"/>
  </cols>
  <sheetData>
    <row r="2" spans="1:24" x14ac:dyDescent="0.25">
      <c r="A2" s="6"/>
      <c r="B2" s="7" t="s">
        <v>150</v>
      </c>
      <c r="C2" s="8"/>
      <c r="D2" s="8"/>
      <c r="E2" s="8"/>
      <c r="F2" s="8"/>
      <c r="G2" s="8"/>
      <c r="H2" s="8"/>
      <c r="I2" s="8"/>
      <c r="J2" s="8"/>
      <c r="K2" s="8"/>
      <c r="L2" s="8"/>
      <c r="M2" s="8"/>
      <c r="N2" s="8"/>
      <c r="O2" s="8"/>
      <c r="P2" s="8"/>
      <c r="Q2" s="8"/>
      <c r="R2" s="8"/>
      <c r="S2" s="8"/>
      <c r="T2" s="6"/>
      <c r="U2" s="6"/>
      <c r="V2" s="6"/>
      <c r="W2" s="6"/>
      <c r="X2" s="6"/>
    </row>
    <row r="3" spans="1:24" x14ac:dyDescent="0.25">
      <c r="A3" s="6"/>
      <c r="B3" s="9" t="s">
        <v>91</v>
      </c>
      <c r="C3" s="8"/>
      <c r="D3" s="8"/>
      <c r="E3" s="8"/>
      <c r="F3" s="8"/>
      <c r="G3" s="8"/>
      <c r="H3" s="8"/>
      <c r="I3" s="8"/>
      <c r="J3" s="8"/>
      <c r="K3" s="8"/>
      <c r="L3" s="8"/>
      <c r="M3" s="8"/>
      <c r="N3" s="8"/>
      <c r="O3" s="8"/>
      <c r="P3" s="8"/>
      <c r="Q3" s="8"/>
      <c r="R3" s="8"/>
      <c r="S3" s="8"/>
      <c r="T3" s="6"/>
      <c r="U3" s="6"/>
      <c r="V3" s="6"/>
      <c r="W3" s="6"/>
      <c r="X3" s="6"/>
    </row>
    <row r="4" spans="1:24" ht="3" customHeight="1" x14ac:dyDescent="0.25">
      <c r="A4" s="6"/>
      <c r="B4" s="10"/>
      <c r="C4" s="6"/>
      <c r="D4" s="6"/>
      <c r="E4" s="6"/>
      <c r="F4" s="6"/>
      <c r="G4" s="6"/>
      <c r="H4" s="6"/>
      <c r="I4" s="6"/>
      <c r="J4" s="6"/>
      <c r="K4" s="6"/>
      <c r="L4" s="6"/>
      <c r="M4" s="6"/>
      <c r="N4" s="6"/>
      <c r="O4" s="6"/>
      <c r="P4" s="6"/>
      <c r="Q4" s="6"/>
      <c r="R4" s="6"/>
      <c r="S4" s="6"/>
      <c r="T4" s="6"/>
      <c r="U4" s="6"/>
      <c r="V4" s="6"/>
      <c r="W4" s="6"/>
      <c r="X4" s="6"/>
    </row>
    <row r="5" spans="1:24" ht="15.75" thickBot="1" x14ac:dyDescent="0.3">
      <c r="A5" s="6"/>
      <c r="B5" s="11"/>
      <c r="C5" s="11" t="s">
        <v>30</v>
      </c>
      <c r="D5" s="11"/>
      <c r="E5" s="11"/>
      <c r="F5" s="6"/>
      <c r="G5" s="11" t="s">
        <v>31</v>
      </c>
      <c r="H5" s="11"/>
      <c r="I5" s="11"/>
      <c r="J5" s="11"/>
      <c r="K5" s="11"/>
      <c r="L5" s="11"/>
      <c r="M5" s="11"/>
      <c r="N5" s="11"/>
      <c r="O5" s="11"/>
      <c r="P5" s="11"/>
      <c r="Q5" s="6"/>
      <c r="R5" s="11" t="s">
        <v>40</v>
      </c>
      <c r="S5" s="11"/>
      <c r="T5" s="12"/>
      <c r="U5" s="11" t="s">
        <v>92</v>
      </c>
      <c r="V5" s="6"/>
      <c r="W5" s="6"/>
      <c r="X5" s="6"/>
    </row>
    <row r="6" spans="1:24" ht="6" customHeight="1" x14ac:dyDescent="0.25">
      <c r="A6" s="6"/>
      <c r="B6" s="6"/>
      <c r="C6" s="6"/>
      <c r="D6" s="6"/>
      <c r="E6" s="6"/>
      <c r="F6" s="6"/>
      <c r="G6" s="6"/>
      <c r="H6" s="6"/>
      <c r="I6" s="6"/>
      <c r="J6" s="6"/>
      <c r="K6" s="6"/>
      <c r="L6" s="6"/>
      <c r="M6" s="6"/>
      <c r="N6" s="6"/>
      <c r="O6" s="6"/>
      <c r="P6" s="6"/>
      <c r="Q6" s="6"/>
      <c r="R6" s="6"/>
      <c r="S6" s="6"/>
      <c r="T6" s="6"/>
      <c r="U6" s="6"/>
      <c r="V6" s="6"/>
      <c r="W6" s="6"/>
      <c r="X6" s="6"/>
    </row>
    <row r="7" spans="1:24" x14ac:dyDescent="0.25">
      <c r="A7" s="6" t="s">
        <v>93</v>
      </c>
      <c r="B7" s="143" t="s">
        <v>132</v>
      </c>
      <c r="C7" s="144" t="s">
        <v>95</v>
      </c>
      <c r="D7" s="144" t="s">
        <v>96</v>
      </c>
      <c r="E7" s="144" t="s">
        <v>97</v>
      </c>
      <c r="G7" s="13" t="s">
        <v>32</v>
      </c>
      <c r="H7" s="13" t="s">
        <v>33</v>
      </c>
      <c r="I7" s="13" t="s">
        <v>34</v>
      </c>
      <c r="J7" s="13" t="s">
        <v>35</v>
      </c>
      <c r="K7" s="13" t="s">
        <v>36</v>
      </c>
      <c r="L7" s="13" t="s">
        <v>37</v>
      </c>
      <c r="M7" s="13" t="s">
        <v>38</v>
      </c>
      <c r="N7" s="13" t="s">
        <v>39</v>
      </c>
      <c r="O7" s="13" t="s">
        <v>84</v>
      </c>
      <c r="P7" s="13" t="s">
        <v>85</v>
      </c>
      <c r="R7" s="144" t="str">
        <f>L7</f>
        <v>Q2'24</v>
      </c>
      <c r="S7" s="144" t="str">
        <f>P7</f>
        <v>Q2'25</v>
      </c>
      <c r="T7" s="14"/>
      <c r="U7" s="15" t="s">
        <v>98</v>
      </c>
      <c r="V7" s="6"/>
      <c r="W7" s="6"/>
      <c r="X7" s="6"/>
    </row>
    <row r="8" spans="1:24" x14ac:dyDescent="0.25">
      <c r="A8" s="6"/>
      <c r="B8" s="16" t="s">
        <v>99</v>
      </c>
      <c r="C8" s="145"/>
      <c r="D8" s="145"/>
      <c r="E8" s="145"/>
      <c r="G8" s="146"/>
      <c r="H8" s="146"/>
      <c r="I8" s="146"/>
      <c r="J8" s="146"/>
      <c r="K8" s="146"/>
      <c r="L8" s="146"/>
      <c r="M8" s="146"/>
      <c r="N8" s="146"/>
      <c r="O8" s="146"/>
      <c r="P8" s="146"/>
      <c r="R8" s="146"/>
      <c r="S8" s="146"/>
      <c r="T8" s="19"/>
      <c r="U8" s="15"/>
      <c r="V8" s="6"/>
      <c r="W8" s="6"/>
      <c r="X8" s="6"/>
    </row>
    <row r="9" spans="1:24" x14ac:dyDescent="0.25">
      <c r="A9" s="6"/>
      <c r="B9" s="2" t="s">
        <v>41</v>
      </c>
      <c r="C9" s="147">
        <f>'Base Financials '!C10</f>
        <v>383432</v>
      </c>
      <c r="D9" s="147">
        <f>'Base Financials '!D10</f>
        <v>422077</v>
      </c>
      <c r="E9" s="147">
        <f>'Base Financials '!E10</f>
        <v>311600</v>
      </c>
      <c r="F9" s="147">
        <f>'Base Financials '!F10</f>
        <v>0</v>
      </c>
      <c r="G9" s="147">
        <f>'Base Financials '!G10</f>
        <v>97074</v>
      </c>
      <c r="H9" s="147">
        <f>'Base Financials '!H10</f>
        <v>99137</v>
      </c>
      <c r="I9" s="147">
        <f>'Base Financials '!I10</f>
        <v>111196</v>
      </c>
      <c r="J9" s="147">
        <f>'Base Financials '!J10</f>
        <v>114670</v>
      </c>
      <c r="K9" s="147">
        <f>'Base Financials '!K10</f>
        <v>91787</v>
      </c>
      <c r="L9" s="147">
        <f>'Base Financials '!L10</f>
        <v>75680</v>
      </c>
      <c r="M9" s="147">
        <f>'Base Financials '!M10</f>
        <v>71926</v>
      </c>
      <c r="N9" s="147">
        <f>'Base Financials '!N10</f>
        <v>72207</v>
      </c>
      <c r="O9" s="147">
        <f>'Base Financials '!O10</f>
        <v>71343</v>
      </c>
      <c r="P9" s="147">
        <f>'Base Financials '!P10</f>
        <v>70469</v>
      </c>
      <c r="Q9" s="6"/>
      <c r="R9" s="25">
        <f t="shared" ref="R9:R10" si="0">SUM(I9:L9)</f>
        <v>393333</v>
      </c>
      <c r="S9" s="25">
        <f t="shared" ref="S9:S10" si="1">SUM(M9:P9)</f>
        <v>285945</v>
      </c>
      <c r="T9" s="19"/>
      <c r="U9" s="27">
        <f t="shared" ref="U9:U11" si="2">SUM(S9/R9)-1</f>
        <v>-0.27302057035641558</v>
      </c>
      <c r="V9" s="6"/>
      <c r="W9" s="6"/>
      <c r="X9" s="6"/>
    </row>
    <row r="10" spans="1:24" x14ac:dyDescent="0.25">
      <c r="A10" s="6"/>
      <c r="B10" s="2" t="s">
        <v>42</v>
      </c>
      <c r="C10" s="147">
        <f>'Base Financials '!C11</f>
        <v>-225792</v>
      </c>
      <c r="D10" s="147">
        <f>'Base Financials '!D11</f>
        <v>-278813</v>
      </c>
      <c r="E10" s="147">
        <f>'Base Financials '!E11</f>
        <v>-186711</v>
      </c>
      <c r="F10" s="147">
        <f>'Base Financials '!F11</f>
        <v>0</v>
      </c>
      <c r="G10" s="147">
        <f>'Base Financials '!G11</f>
        <v>-63026</v>
      </c>
      <c r="H10" s="147">
        <f>'Base Financials '!H11</f>
        <v>-71306</v>
      </c>
      <c r="I10" s="147">
        <f>'Base Financials '!I11</f>
        <v>-70907</v>
      </c>
      <c r="J10" s="147">
        <f>'Base Financials '!J11</f>
        <v>-73574</v>
      </c>
      <c r="K10" s="147">
        <f>'Base Financials '!K11</f>
        <v>-56854</v>
      </c>
      <c r="L10" s="147">
        <f>'Base Financials '!L11</f>
        <v>-42944</v>
      </c>
      <c r="M10" s="147">
        <f>'Base Financials '!M11</f>
        <v>-42745</v>
      </c>
      <c r="N10" s="147">
        <f>'Base Financials '!N11</f>
        <v>-44168</v>
      </c>
      <c r="O10" s="147">
        <f>'Base Financials '!O11</f>
        <v>-45208</v>
      </c>
      <c r="P10" s="147">
        <f>'Base Financials '!P11</f>
        <v>-41201</v>
      </c>
      <c r="Q10" s="6"/>
      <c r="R10" s="25">
        <f t="shared" si="0"/>
        <v>-244279</v>
      </c>
      <c r="S10" s="25">
        <f t="shared" si="1"/>
        <v>-173322</v>
      </c>
      <c r="T10" s="19"/>
      <c r="U10" s="27">
        <f t="shared" si="2"/>
        <v>-0.29047523528424468</v>
      </c>
      <c r="V10" s="6"/>
      <c r="W10" s="6"/>
      <c r="X10" s="6"/>
    </row>
    <row r="11" spans="1:24" x14ac:dyDescent="0.25">
      <c r="A11" s="6"/>
      <c r="B11" s="44" t="s">
        <v>100</v>
      </c>
      <c r="C11" s="30">
        <f>SUM(C9:C10)</f>
        <v>157640</v>
      </c>
      <c r="D11" s="30">
        <f t="shared" ref="D11:E11" si="3">SUM(D9:D10)</f>
        <v>143264</v>
      </c>
      <c r="E11" s="30">
        <f t="shared" si="3"/>
        <v>124889</v>
      </c>
      <c r="F11" s="23"/>
      <c r="G11" s="30">
        <f t="shared" ref="G11:P11" si="4">SUM(G9:G10)</f>
        <v>34048</v>
      </c>
      <c r="H11" s="30">
        <f t="shared" si="4"/>
        <v>27831</v>
      </c>
      <c r="I11" s="30">
        <f t="shared" si="4"/>
        <v>40289</v>
      </c>
      <c r="J11" s="30">
        <f t="shared" si="4"/>
        <v>41096</v>
      </c>
      <c r="K11" s="30">
        <f t="shared" si="4"/>
        <v>34933</v>
      </c>
      <c r="L11" s="30">
        <f t="shared" si="4"/>
        <v>32736</v>
      </c>
      <c r="M11" s="30">
        <f t="shared" si="4"/>
        <v>29181</v>
      </c>
      <c r="N11" s="30">
        <f t="shared" si="4"/>
        <v>28039</v>
      </c>
      <c r="O11" s="30">
        <f t="shared" si="4"/>
        <v>26135</v>
      </c>
      <c r="P11" s="30">
        <f t="shared" si="4"/>
        <v>29268</v>
      </c>
      <c r="Q11" s="6"/>
      <c r="R11" s="30">
        <f t="shared" ref="R11:S11" si="5">SUM(R9:R10)</f>
        <v>149054</v>
      </c>
      <c r="S11" s="30">
        <f t="shared" si="5"/>
        <v>112623</v>
      </c>
      <c r="T11" s="19"/>
      <c r="U11" s="33">
        <f t="shared" si="2"/>
        <v>-0.2444147758530465</v>
      </c>
      <c r="V11" s="6"/>
      <c r="W11" s="6"/>
      <c r="X11" s="6"/>
    </row>
    <row r="12" spans="1:24" ht="15.75" x14ac:dyDescent="0.25">
      <c r="A12" s="6"/>
      <c r="B12" s="41"/>
      <c r="C12" s="147"/>
      <c r="D12" s="147"/>
      <c r="E12" s="147"/>
      <c r="F12" s="23"/>
      <c r="G12" s="147"/>
      <c r="H12" s="147"/>
      <c r="I12" s="147"/>
      <c r="J12" s="147"/>
      <c r="K12" s="147"/>
      <c r="L12" s="147"/>
      <c r="M12" s="147"/>
      <c r="N12" s="147"/>
      <c r="O12" s="147"/>
      <c r="P12" s="147"/>
      <c r="Q12" s="6"/>
      <c r="R12" s="147"/>
      <c r="S12" s="147"/>
      <c r="T12" s="19"/>
      <c r="U12" s="148"/>
      <c r="V12" s="6"/>
      <c r="W12" s="6"/>
      <c r="X12" s="6"/>
    </row>
    <row r="13" spans="1:24" x14ac:dyDescent="0.25">
      <c r="B13" s="41" t="s">
        <v>104</v>
      </c>
      <c r="C13" s="19"/>
      <c r="D13" s="19"/>
      <c r="E13" s="19"/>
      <c r="F13" s="6"/>
      <c r="G13" s="21"/>
      <c r="H13" s="149"/>
      <c r="I13" s="149"/>
      <c r="J13" s="36"/>
      <c r="K13" s="36"/>
      <c r="L13" s="36"/>
      <c r="M13" s="36"/>
      <c r="N13" s="36"/>
      <c r="O13" s="36"/>
      <c r="P13" s="36"/>
      <c r="Q13" s="6"/>
      <c r="R13" s="21"/>
      <c r="S13" s="21"/>
    </row>
    <row r="14" spans="1:24" x14ac:dyDescent="0.25">
      <c r="B14" s="28" t="s">
        <v>43</v>
      </c>
      <c r="C14" s="147">
        <f>'Base Financials '!C17</f>
        <v>-62957</v>
      </c>
      <c r="D14" s="147">
        <f>'Base Financials '!D17</f>
        <v>-66034</v>
      </c>
      <c r="E14" s="147">
        <f>'Base Financials '!E17</f>
        <v>-60893</v>
      </c>
      <c r="F14" s="147">
        <f>'Base Financials '!F17</f>
        <v>0</v>
      </c>
      <c r="G14" s="147">
        <f>'Base Financials '!G17</f>
        <v>-15962</v>
      </c>
      <c r="H14" s="147">
        <f>'Base Financials '!H17</f>
        <v>-15593</v>
      </c>
      <c r="I14" s="147">
        <f>'Base Financials '!I17</f>
        <v>-16339</v>
      </c>
      <c r="J14" s="147">
        <f>'Base Financials '!J17</f>
        <v>-18140</v>
      </c>
      <c r="K14" s="147">
        <f>'Base Financials '!K17</f>
        <v>-15839</v>
      </c>
      <c r="L14" s="147">
        <f>'Base Financials '!L17</f>
        <v>-15717</v>
      </c>
      <c r="M14" s="147">
        <f>'Base Financials '!M17</f>
        <v>-14244</v>
      </c>
      <c r="N14" s="147">
        <f>'Base Financials '!N17</f>
        <v>-15093</v>
      </c>
      <c r="O14" s="147">
        <f>'Base Financials '!O17</f>
        <v>-13295</v>
      </c>
      <c r="P14" s="147">
        <f>'Base Financials '!P17</f>
        <v>-13578</v>
      </c>
      <c r="Q14" s="6"/>
      <c r="R14" s="25">
        <f t="shared" ref="R14" si="6">SUM(I14:L14)</f>
        <v>-66035</v>
      </c>
      <c r="S14" s="25">
        <f t="shared" ref="S14" si="7">SUM(M14:P14)</f>
        <v>-56210</v>
      </c>
      <c r="U14" s="27">
        <f t="shared" ref="U14:U18" si="8">SUM(S14/R14)-1</f>
        <v>-0.14878473536760806</v>
      </c>
    </row>
    <row r="15" spans="1:24" x14ac:dyDescent="0.25">
      <c r="B15" s="28" t="s">
        <v>44</v>
      </c>
      <c r="C15" s="147">
        <f>'Base Financials '!C18</f>
        <v>-45256</v>
      </c>
      <c r="D15" s="147">
        <f>'Base Financials '!D18</f>
        <v>-47752</v>
      </c>
      <c r="E15" s="147">
        <f>'Base Financials '!E18</f>
        <v>-51547</v>
      </c>
      <c r="F15" s="147">
        <f>'Base Financials '!F18</f>
        <v>0</v>
      </c>
      <c r="G15" s="147">
        <f>'Base Financials '!G18</f>
        <v>-12314</v>
      </c>
      <c r="H15" s="147">
        <f>'Base Financials '!H18</f>
        <v>-11940</v>
      </c>
      <c r="I15" s="147">
        <f>'Base Financials '!I18</f>
        <v>-10969</v>
      </c>
      <c r="J15" s="147">
        <f>'Base Financials '!J18</f>
        <v>-12529</v>
      </c>
      <c r="K15" s="147">
        <f>'Base Financials '!K18</f>
        <v>-12699</v>
      </c>
      <c r="L15" s="147">
        <f>'Base Financials '!L18</f>
        <v>-10241</v>
      </c>
      <c r="M15" s="147">
        <f>'Base Financials '!M18</f>
        <v>-11893</v>
      </c>
      <c r="N15" s="147">
        <f>'Base Financials '!N18</f>
        <v>-16714</v>
      </c>
      <c r="O15" s="147">
        <f>'Base Financials '!O18</f>
        <v>-21065</v>
      </c>
      <c r="P15" s="147">
        <f>'Base Financials '!P18</f>
        <v>-13977</v>
      </c>
      <c r="Q15" s="6"/>
      <c r="R15" s="25">
        <f t="shared" ref="R15:R17" si="9">SUM(I15:L15)</f>
        <v>-46438</v>
      </c>
      <c r="S15" s="25">
        <f t="shared" ref="S15:S17" si="10">SUM(M15:P15)</f>
        <v>-63649</v>
      </c>
      <c r="U15" s="27">
        <f t="shared" si="8"/>
        <v>0.37062319652009124</v>
      </c>
    </row>
    <row r="16" spans="1:24" x14ac:dyDescent="0.25">
      <c r="B16" s="28" t="s">
        <v>45</v>
      </c>
      <c r="C16" s="147">
        <f>'Base Financials '!C19</f>
        <v>-51812</v>
      </c>
      <c r="D16" s="147">
        <f>'Base Financials '!D19</f>
        <v>-44555</v>
      </c>
      <c r="E16" s="147">
        <f>'Base Financials '!E19</f>
        <v>-38046</v>
      </c>
      <c r="F16" s="147">
        <f>'Base Financials '!F19</f>
        <v>0</v>
      </c>
      <c r="G16" s="147">
        <f>'Base Financials '!G19</f>
        <v>-12125</v>
      </c>
      <c r="H16" s="147">
        <f>'Base Financials '!H19</f>
        <v>-10546</v>
      </c>
      <c r="I16" s="147">
        <f>'Base Financials '!I19</f>
        <v>-11254</v>
      </c>
      <c r="J16" s="147">
        <f>'Base Financials '!J19</f>
        <v>-10630</v>
      </c>
      <c r="K16" s="147">
        <f>'Base Financials '!K19</f>
        <v>-10913</v>
      </c>
      <c r="L16" s="147">
        <f>'Base Financials '!L19</f>
        <v>-9152</v>
      </c>
      <c r="M16" s="147">
        <f>'Base Financials '!M19</f>
        <v>-8763</v>
      </c>
      <c r="N16" s="147">
        <f>'Base Financials '!N19</f>
        <v>-9218</v>
      </c>
      <c r="O16" s="147">
        <f>'Base Financials '!O19</f>
        <v>-8308</v>
      </c>
      <c r="P16" s="147">
        <f>'Base Financials '!P19</f>
        <v>-8264</v>
      </c>
      <c r="Q16" s="6"/>
      <c r="R16" s="25">
        <f t="shared" si="9"/>
        <v>-41949</v>
      </c>
      <c r="S16" s="25">
        <f t="shared" si="10"/>
        <v>-34553</v>
      </c>
      <c r="U16" s="27">
        <f t="shared" si="8"/>
        <v>-0.17630932799351595</v>
      </c>
    </row>
    <row r="17" spans="2:21" x14ac:dyDescent="0.25">
      <c r="B17" s="28" t="s">
        <v>46</v>
      </c>
      <c r="C17" s="147">
        <f>'Base Financials '!C20</f>
        <v>-850</v>
      </c>
      <c r="D17" s="147">
        <f>'Base Financials '!D20</f>
        <v>-1605</v>
      </c>
      <c r="E17" s="147">
        <f>'Base Financials '!E20</f>
        <v>-3280</v>
      </c>
      <c r="F17" s="147">
        <f>'Base Financials '!F20</f>
        <v>0</v>
      </c>
      <c r="G17" s="147">
        <f>'Base Financials '!G20</f>
        <v>-725</v>
      </c>
      <c r="H17" s="147">
        <f>'Base Financials '!H20</f>
        <v>-921</v>
      </c>
      <c r="I17" s="147">
        <f>'Base Financials '!I20</f>
        <v>-41</v>
      </c>
      <c r="J17" s="147">
        <f>'Base Financials '!J20</f>
        <v>82</v>
      </c>
      <c r="K17" s="147">
        <f>'Base Financials '!K20</f>
        <v>-1329</v>
      </c>
      <c r="L17" s="147">
        <f>'Base Financials '!L20</f>
        <v>-1338</v>
      </c>
      <c r="M17" s="147">
        <f>'Base Financials '!M20</f>
        <v>-497</v>
      </c>
      <c r="N17" s="147">
        <f>'Base Financials '!N20</f>
        <v>-116</v>
      </c>
      <c r="O17" s="147">
        <f>'Base Financials '!O20</f>
        <v>-1192</v>
      </c>
      <c r="P17" s="147">
        <f>'Base Financials '!P20</f>
        <v>-383</v>
      </c>
      <c r="Q17" s="6"/>
      <c r="R17" s="25">
        <f t="shared" si="9"/>
        <v>-2626</v>
      </c>
      <c r="S17" s="25">
        <f t="shared" si="10"/>
        <v>-2188</v>
      </c>
      <c r="U17" s="27">
        <f t="shared" si="8"/>
        <v>-0.16679360243716679</v>
      </c>
    </row>
    <row r="18" spans="2:21" x14ac:dyDescent="0.25">
      <c r="B18" s="44" t="s">
        <v>105</v>
      </c>
      <c r="C18" s="30">
        <f>SUM(C11+SUM((C14:C17)))</f>
        <v>-3235</v>
      </c>
      <c r="D18" s="30">
        <f t="shared" ref="D18:E18" si="11">SUM(D11+SUM((D14:D17)))</f>
        <v>-16682</v>
      </c>
      <c r="E18" s="30">
        <f t="shared" si="11"/>
        <v>-28877</v>
      </c>
      <c r="F18" s="23"/>
      <c r="G18" s="30">
        <f t="shared" ref="G18:P18" si="12">SUM(G11+SUM((G14:G17)))</f>
        <v>-7078</v>
      </c>
      <c r="H18" s="30">
        <f t="shared" si="12"/>
        <v>-11169</v>
      </c>
      <c r="I18" s="30">
        <f t="shared" si="12"/>
        <v>1686</v>
      </c>
      <c r="J18" s="30">
        <f t="shared" si="12"/>
        <v>-121</v>
      </c>
      <c r="K18" s="30">
        <f t="shared" si="12"/>
        <v>-5847</v>
      </c>
      <c r="L18" s="30">
        <f t="shared" si="12"/>
        <v>-3712</v>
      </c>
      <c r="M18" s="30">
        <f t="shared" si="12"/>
        <v>-6216</v>
      </c>
      <c r="N18" s="30">
        <f t="shared" si="12"/>
        <v>-13102</v>
      </c>
      <c r="O18" s="30">
        <f t="shared" si="12"/>
        <v>-17725</v>
      </c>
      <c r="P18" s="30">
        <f t="shared" si="12"/>
        <v>-6934</v>
      </c>
      <c r="Q18" s="6"/>
      <c r="R18" s="30">
        <f t="shared" ref="R18:S18" si="13">SUM(R11+SUM((R14:R17)))</f>
        <v>-7994</v>
      </c>
      <c r="S18" s="30">
        <f t="shared" si="13"/>
        <v>-43977</v>
      </c>
      <c r="U18" s="33">
        <f t="shared" si="8"/>
        <v>4.5012509382036523</v>
      </c>
    </row>
    <row r="19" spans="2:21" x14ac:dyDescent="0.25">
      <c r="B19" s="34" t="s">
        <v>101</v>
      </c>
      <c r="C19" s="35"/>
      <c r="D19" s="36">
        <f>D18/C18-1</f>
        <v>4.1567233384853166</v>
      </c>
      <c r="E19" s="36">
        <f>E18/D18-1</f>
        <v>0.73102745474163777</v>
      </c>
      <c r="F19" s="36"/>
      <c r="G19" s="36"/>
      <c r="H19" s="36">
        <f t="shared" ref="H19:P19" si="14">H18/G18-1</f>
        <v>0.57798813224074608</v>
      </c>
      <c r="I19" s="36">
        <f t="shared" si="14"/>
        <v>-1.1509535320977706</v>
      </c>
      <c r="J19" s="36">
        <f t="shared" si="14"/>
        <v>-1.0717674970344009</v>
      </c>
      <c r="K19" s="36">
        <f t="shared" si="14"/>
        <v>47.32231404958678</v>
      </c>
      <c r="L19" s="36">
        <f t="shared" si="14"/>
        <v>-0.36514451855652474</v>
      </c>
      <c r="M19" s="36">
        <f t="shared" si="14"/>
        <v>0.67456896551724133</v>
      </c>
      <c r="N19" s="36">
        <f>N18/M18-1</f>
        <v>1.1077863577863578</v>
      </c>
      <c r="O19" s="36">
        <f t="shared" si="14"/>
        <v>0.35284689360402988</v>
      </c>
      <c r="P19" s="36">
        <f t="shared" si="14"/>
        <v>-0.6088011283497885</v>
      </c>
      <c r="Q19" s="6"/>
      <c r="R19" s="6"/>
      <c r="S19" s="36">
        <f>S18/R18-1</f>
        <v>4.5012509382036523</v>
      </c>
    </row>
    <row r="20" spans="2:21" x14ac:dyDescent="0.25">
      <c r="B20" s="41" t="s">
        <v>47</v>
      </c>
    </row>
    <row r="21" spans="2:21" x14ac:dyDescent="0.25">
      <c r="B21" s="28" t="s">
        <v>47</v>
      </c>
      <c r="C21" s="147">
        <f>'Base Financials '!C26</f>
        <v>-251</v>
      </c>
      <c r="D21" s="147">
        <f>'Base Financials '!D26</f>
        <v>1956</v>
      </c>
      <c r="E21" s="147">
        <f>'Base Financials '!E26</f>
        <v>-1746</v>
      </c>
      <c r="F21" s="147">
        <f>'Base Financials '!F26</f>
        <v>0</v>
      </c>
      <c r="G21" s="147">
        <f>'Base Financials '!G26</f>
        <v>751</v>
      </c>
      <c r="H21" s="147">
        <f>'Base Financials '!H26</f>
        <v>2431</v>
      </c>
      <c r="I21" s="147">
        <f>'Base Financials '!I26</f>
        <v>-544</v>
      </c>
      <c r="J21" s="147">
        <f>'Base Financials '!J26</f>
        <v>-682</v>
      </c>
      <c r="K21" s="147">
        <f>'Base Financials '!K26</f>
        <v>-998</v>
      </c>
      <c r="L21" s="147">
        <f>'Base Financials '!L26</f>
        <v>367</v>
      </c>
      <c r="M21" s="147">
        <f>'Base Financials '!M26</f>
        <v>-1419</v>
      </c>
      <c r="N21" s="147">
        <f>'Base Financials '!N26</f>
        <v>304</v>
      </c>
      <c r="O21" s="147">
        <f>'Base Financials '!O26</f>
        <v>-41</v>
      </c>
      <c r="P21" s="147">
        <f>'Base Financials '!P26</f>
        <v>-1334</v>
      </c>
      <c r="Q21" s="6"/>
      <c r="R21" s="25">
        <f t="shared" ref="R21:R23" si="15">SUM(I21:L21)</f>
        <v>-1857</v>
      </c>
      <c r="S21" s="25">
        <f t="shared" ref="S21:S23" si="16">SUM(M21:P21)</f>
        <v>-2490</v>
      </c>
      <c r="U21" s="27">
        <f t="shared" ref="U21:U24" si="17">SUM(S21/R21)-1</f>
        <v>0.34087237479806132</v>
      </c>
    </row>
    <row r="22" spans="2:21" x14ac:dyDescent="0.25">
      <c r="B22" s="28" t="s">
        <v>49</v>
      </c>
      <c r="C22" s="147">
        <f>'Base Financials '!C28</f>
        <v>60030</v>
      </c>
      <c r="D22" s="147">
        <f>'Base Financials '!D28</f>
        <v>10250</v>
      </c>
      <c r="E22" s="147">
        <f>'Base Financials '!E28</f>
        <v>5137</v>
      </c>
      <c r="F22" s="147">
        <f>'Base Financials '!F28</f>
        <v>0</v>
      </c>
      <c r="G22" s="147">
        <f>'Base Financials '!G28</f>
        <v>0</v>
      </c>
      <c r="H22" s="147">
        <f>'Base Financials '!H28</f>
        <v>0</v>
      </c>
      <c r="I22" s="147">
        <f>'Base Financials '!I28</f>
        <v>0</v>
      </c>
      <c r="J22" s="147">
        <f>'Base Financials '!J28</f>
        <v>10250</v>
      </c>
      <c r="K22" s="147">
        <f>'Base Financials '!K28</f>
        <v>0</v>
      </c>
      <c r="L22" s="147">
        <f>'Base Financials '!L28</f>
        <v>0</v>
      </c>
      <c r="M22" s="147">
        <f>'Base Financials '!M28</f>
        <v>2213</v>
      </c>
      <c r="N22" s="147">
        <f>'Base Financials '!N28</f>
        <v>2924</v>
      </c>
      <c r="O22" s="147">
        <f>'Base Financials '!O28</f>
        <v>1666</v>
      </c>
      <c r="P22" s="147">
        <f>'Base Financials '!P28</f>
        <v>3550</v>
      </c>
      <c r="Q22" s="6"/>
      <c r="R22" s="25">
        <f t="shared" si="15"/>
        <v>10250</v>
      </c>
      <c r="S22" s="25">
        <f t="shared" si="16"/>
        <v>10353</v>
      </c>
      <c r="U22" s="27">
        <f t="shared" si="17"/>
        <v>1.0048780487804887E-2</v>
      </c>
    </row>
    <row r="23" spans="2:21" x14ac:dyDescent="0.25">
      <c r="B23" s="28" t="s">
        <v>50</v>
      </c>
      <c r="C23" s="147">
        <f>'Base Financials '!C29</f>
        <v>-4960</v>
      </c>
      <c r="D23" s="147">
        <f>'Base Financials '!D29</f>
        <v>-1392</v>
      </c>
      <c r="E23" s="147">
        <f>'Base Financials '!E29</f>
        <v>0</v>
      </c>
      <c r="F23" s="147">
        <f>'Base Financials '!F29</f>
        <v>0</v>
      </c>
      <c r="G23" s="147">
        <f>'Base Financials '!G29</f>
        <v>-1392</v>
      </c>
      <c r="H23" s="147">
        <f>'Base Financials '!H29</f>
        <v>0</v>
      </c>
      <c r="I23" s="147">
        <f>'Base Financials '!I29</f>
        <v>0</v>
      </c>
      <c r="J23" s="147">
        <f>'Base Financials '!J29</f>
        <v>0</v>
      </c>
      <c r="K23" s="147">
        <f>'Base Financials '!K29</f>
        <v>0</v>
      </c>
      <c r="L23" s="147">
        <f>'Base Financials '!L29</f>
        <v>4402</v>
      </c>
      <c r="M23" s="147">
        <f>'Base Financials '!M29</f>
        <v>0</v>
      </c>
      <c r="N23" s="147">
        <f>'Base Financials '!N29</f>
        <v>-4402</v>
      </c>
      <c r="O23" s="147">
        <f>'Base Financials '!O29</f>
        <v>-695</v>
      </c>
      <c r="P23" s="147">
        <f>'Base Financials '!P29</f>
        <v>-2308</v>
      </c>
      <c r="Q23" s="6"/>
      <c r="R23" s="25">
        <f t="shared" si="15"/>
        <v>4402</v>
      </c>
      <c r="S23" s="25">
        <f t="shared" si="16"/>
        <v>-7405</v>
      </c>
      <c r="U23" s="27">
        <f t="shared" si="17"/>
        <v>-2.682189913675602</v>
      </c>
    </row>
    <row r="24" spans="2:21" x14ac:dyDescent="0.25">
      <c r="B24" s="44" t="s">
        <v>133</v>
      </c>
      <c r="C24" s="30">
        <f>SUM(C18+SUM(C21:C23))</f>
        <v>51584</v>
      </c>
      <c r="D24" s="30">
        <f>SUM(D18+SUM(D21:D23))</f>
        <v>-5868</v>
      </c>
      <c r="E24" s="30">
        <f>SUM(E18+SUM(E21:E23))</f>
        <v>-25486</v>
      </c>
      <c r="F24" s="6"/>
      <c r="G24" s="30">
        <f>SUM(G18+SUM(G21:G23))</f>
        <v>-7719</v>
      </c>
      <c r="H24" s="30">
        <f>SUM(H18+SUM(H21:H23))</f>
        <v>-8738</v>
      </c>
      <c r="I24" s="30">
        <f>SUM(I18+SUM(I21:I23))</f>
        <v>1142</v>
      </c>
      <c r="J24" s="30">
        <f>SUM(J18+SUM(J21:J23))</f>
        <v>9447</v>
      </c>
      <c r="K24" s="30">
        <f>SUM(K18+SUM(K21:K23))</f>
        <v>-6845</v>
      </c>
      <c r="L24" s="30">
        <f>SUM(L18+SUM(L21:L23))</f>
        <v>1057</v>
      </c>
      <c r="M24" s="30">
        <f>SUM(M18+SUM(M21:M23))</f>
        <v>-5422</v>
      </c>
      <c r="N24" s="30">
        <f>SUM(N18+SUM(N21:N23))</f>
        <v>-14276</v>
      </c>
      <c r="O24" s="30">
        <f>SUM(O18+SUM(O21:O23))</f>
        <v>-16795</v>
      </c>
      <c r="P24" s="30">
        <f>SUM(P18+SUM(P21:P23))</f>
        <v>-7026</v>
      </c>
      <c r="Q24" s="6"/>
      <c r="R24" s="30">
        <f>SUM(R18+SUM(R21:R23))</f>
        <v>4801</v>
      </c>
      <c r="S24" s="30">
        <f>SUM(S18+SUM(S21:S23))</f>
        <v>-43519</v>
      </c>
      <c r="U24" s="33">
        <f t="shared" si="17"/>
        <v>-10.064569881274734</v>
      </c>
    </row>
    <row r="25" spans="2:21" x14ac:dyDescent="0.25">
      <c r="B25" s="34" t="s">
        <v>101</v>
      </c>
      <c r="C25" s="45"/>
      <c r="D25" s="36">
        <f>D24/C24-1</f>
        <v>-1.1137562034739454</v>
      </c>
      <c r="E25" s="36">
        <f>E24/D24-1</f>
        <v>3.3432174505794139</v>
      </c>
      <c r="F25" s="36"/>
      <c r="G25" s="36"/>
      <c r="H25" s="36">
        <f t="shared" ref="H25:P25" si="18">H24/G24-1</f>
        <v>0.13201191864231121</v>
      </c>
      <c r="I25" s="36">
        <f t="shared" si="18"/>
        <v>-1.1306935225452048</v>
      </c>
      <c r="J25" s="36">
        <f t="shared" si="18"/>
        <v>7.2723292469352021</v>
      </c>
      <c r="K25" s="36">
        <f t="shared" si="18"/>
        <v>-1.724568646131047</v>
      </c>
      <c r="L25" s="36">
        <f t="shared" si="18"/>
        <v>-1.154419284149014</v>
      </c>
      <c r="M25" s="36">
        <f t="shared" si="18"/>
        <v>-6.1296121097445599</v>
      </c>
      <c r="N25" s="36">
        <f t="shared" si="18"/>
        <v>1.632976761342678</v>
      </c>
      <c r="O25" s="36">
        <f t="shared" si="18"/>
        <v>0.17644998599047357</v>
      </c>
      <c r="P25" s="36">
        <f t="shared" si="18"/>
        <v>-0.58166120869306348</v>
      </c>
      <c r="Q25" s="6"/>
      <c r="R25" s="6"/>
      <c r="S25" s="36">
        <f>S24/R24-1</f>
        <v>-10.064569881274734</v>
      </c>
    </row>
    <row r="26" spans="2:21" x14ac:dyDescent="0.25">
      <c r="B26" s="3" t="s">
        <v>134</v>
      </c>
      <c r="C26" s="45"/>
      <c r="D26" s="36"/>
      <c r="E26" s="36"/>
      <c r="F26" s="36"/>
      <c r="G26" s="36"/>
      <c r="H26" s="36"/>
      <c r="I26" s="36"/>
      <c r="J26" s="36"/>
      <c r="K26" s="36"/>
      <c r="L26" s="36"/>
      <c r="M26" s="36"/>
      <c r="N26" s="36"/>
      <c r="O26" s="36"/>
      <c r="P26" s="36"/>
      <c r="Q26" s="6"/>
      <c r="R26" s="6"/>
      <c r="S26" s="36"/>
    </row>
    <row r="27" spans="2:21" x14ac:dyDescent="0.25">
      <c r="B27" s="113" t="str">
        <f>'[1]3-Statement Model '!B101</f>
        <v>Depreciation and amortization</v>
      </c>
      <c r="C27" s="147">
        <f>'Base Financials '!C100</f>
        <v>9418</v>
      </c>
      <c r="D27" s="147">
        <f>'Base Financials '!D100</f>
        <v>10118</v>
      </c>
      <c r="E27" s="147">
        <f>'Base Financials '!E100</f>
        <v>9313</v>
      </c>
      <c r="F27" s="147">
        <f>'Base Financials '!F100</f>
        <v>0</v>
      </c>
      <c r="G27" s="147">
        <f>'Base Financials '!G100</f>
        <v>2586</v>
      </c>
      <c r="H27" s="147">
        <f>'Base Financials '!H100</f>
        <v>2547</v>
      </c>
      <c r="I27" s="147">
        <f>'Base Financials '!I100</f>
        <v>2102</v>
      </c>
      <c r="J27" s="147">
        <f>'Base Financials '!J100</f>
        <v>2883</v>
      </c>
      <c r="K27" s="147">
        <f>'Base Financials '!K100</f>
        <v>2752</v>
      </c>
      <c r="L27" s="147">
        <f>'Base Financials '!L100</f>
        <v>2543</v>
      </c>
      <c r="M27" s="147">
        <f>'Base Financials '!M100</f>
        <v>2298</v>
      </c>
      <c r="N27" s="147">
        <f>'Base Financials '!N100</f>
        <v>1720</v>
      </c>
      <c r="O27" s="147">
        <f>'Base Financials '!O100</f>
        <v>1780</v>
      </c>
      <c r="P27" s="147">
        <f>'Base Financials '!P100</f>
        <v>1567</v>
      </c>
      <c r="Q27" s="6"/>
      <c r="R27" s="25">
        <f t="shared" ref="R27" si="19">SUM(I27:L27)</f>
        <v>10280</v>
      </c>
      <c r="S27" s="25">
        <f t="shared" ref="S27" si="20">SUM(M27:P27)</f>
        <v>7365</v>
      </c>
      <c r="U27" s="27">
        <f t="shared" ref="U27:U28" si="21">SUM(S27/R27)-1</f>
        <v>-0.28356031128404668</v>
      </c>
    </row>
    <row r="28" spans="2:21" x14ac:dyDescent="0.25">
      <c r="B28" s="48" t="s">
        <v>135</v>
      </c>
      <c r="C28" s="150">
        <f>SUM(C24+C27)</f>
        <v>61002</v>
      </c>
      <c r="D28" s="150">
        <f t="shared" ref="D28:E28" si="22">SUM(D24+D27)</f>
        <v>4250</v>
      </c>
      <c r="E28" s="150">
        <f t="shared" si="22"/>
        <v>-16173</v>
      </c>
      <c r="G28" s="150">
        <f t="shared" ref="G28:P28" si="23">SUM(G24+G27)</f>
        <v>-5133</v>
      </c>
      <c r="H28" s="150">
        <f t="shared" si="23"/>
        <v>-6191</v>
      </c>
      <c r="I28" s="150">
        <f t="shared" si="23"/>
        <v>3244</v>
      </c>
      <c r="J28" s="150">
        <f t="shared" si="23"/>
        <v>12330</v>
      </c>
      <c r="K28" s="150">
        <f t="shared" si="23"/>
        <v>-4093</v>
      </c>
      <c r="L28" s="150">
        <f t="shared" si="23"/>
        <v>3600</v>
      </c>
      <c r="M28" s="150">
        <f t="shared" si="23"/>
        <v>-3124</v>
      </c>
      <c r="N28" s="150">
        <f t="shared" si="23"/>
        <v>-12556</v>
      </c>
      <c r="O28" s="150">
        <f t="shared" si="23"/>
        <v>-15015</v>
      </c>
      <c r="P28" s="150">
        <f t="shared" si="23"/>
        <v>-5459</v>
      </c>
      <c r="R28" s="30">
        <f>SUM(R12+SUM(R15:R19))</f>
        <v>-99007</v>
      </c>
      <c r="S28" s="30">
        <f>SUM(S12+SUM(S15:S19))</f>
        <v>-144362.49874906181</v>
      </c>
      <c r="U28" s="33">
        <f t="shared" si="21"/>
        <v>0.45810395981154683</v>
      </c>
    </row>
    <row r="29" spans="2:21" x14ac:dyDescent="0.25">
      <c r="B29" s="34" t="s">
        <v>101</v>
      </c>
      <c r="C29" s="45"/>
      <c r="D29" s="36">
        <f>D28/C28-1</f>
        <v>-0.9303301531097341</v>
      </c>
      <c r="E29" s="36">
        <f>E28/D28-1</f>
        <v>-4.805411764705882</v>
      </c>
      <c r="F29" s="36"/>
      <c r="G29" s="36"/>
      <c r="H29" s="36">
        <f t="shared" ref="H29:P29" si="24">H28/G28-1</f>
        <v>0.20611728034287946</v>
      </c>
      <c r="I29" s="36">
        <f t="shared" si="24"/>
        <v>-1.5239864319172993</v>
      </c>
      <c r="J29" s="36">
        <f t="shared" si="24"/>
        <v>2.8008631319358814</v>
      </c>
      <c r="K29" s="36">
        <f t="shared" si="24"/>
        <v>-1.3319545823195458</v>
      </c>
      <c r="L29" s="36">
        <f t="shared" si="24"/>
        <v>-1.8795504519912045</v>
      </c>
      <c r="M29" s="36">
        <f t="shared" si="24"/>
        <v>-1.8677777777777778</v>
      </c>
      <c r="N29" s="36">
        <f t="shared" si="24"/>
        <v>3.0192061459667094</v>
      </c>
      <c r="O29" s="36">
        <f t="shared" si="24"/>
        <v>0.19584262503982153</v>
      </c>
      <c r="P29" s="36">
        <f t="shared" si="24"/>
        <v>-0.63643023643023644</v>
      </c>
      <c r="Q29" s="6"/>
      <c r="R29" s="6"/>
      <c r="S29" s="36">
        <f>S28/R28-1</f>
        <v>0.45810395981154683</v>
      </c>
    </row>
    <row r="30" spans="2:21" x14ac:dyDescent="0.25">
      <c r="B30" s="34" t="s">
        <v>136</v>
      </c>
      <c r="C30" s="36">
        <f>SUM(C28/C9)</f>
        <v>0.15909470258090092</v>
      </c>
      <c r="D30" s="36">
        <f>SUM(D28/D9)</f>
        <v>1.0069252766675274E-2</v>
      </c>
      <c r="E30" s="36">
        <f>SUM(E28/E9)</f>
        <v>-5.1903080872913995E-2</v>
      </c>
      <c r="F30" s="36"/>
      <c r="G30" s="36">
        <f>SUM(G28/G9)</f>
        <v>-5.2877186476296432E-2</v>
      </c>
      <c r="H30" s="36">
        <f>SUM(H28/H9)</f>
        <v>-6.2448934303035192E-2</v>
      </c>
      <c r="I30" s="36">
        <f>SUM(I28/I9)</f>
        <v>2.9173711284578581E-2</v>
      </c>
      <c r="J30" s="36">
        <f>SUM(J28/J9)</f>
        <v>0.10752594401325542</v>
      </c>
      <c r="K30" s="36">
        <f>SUM(K28/K9)</f>
        <v>-4.4592371468726508E-2</v>
      </c>
      <c r="L30" s="36">
        <f>SUM(L28/L9)</f>
        <v>4.7568710359408031E-2</v>
      </c>
      <c r="M30" s="36">
        <f>SUM(M28/M9)</f>
        <v>-4.3433528904707613E-2</v>
      </c>
      <c r="N30" s="36">
        <f>SUM(N28/N9)</f>
        <v>-0.17388895813425292</v>
      </c>
      <c r="O30" s="36">
        <f>SUM(O28/O9)</f>
        <v>-0.21046213363609603</v>
      </c>
      <c r="P30" s="36">
        <f>SUM(P28/P9)</f>
        <v>-7.7466687479600962E-2</v>
      </c>
      <c r="Q30" s="6"/>
      <c r="R30" s="36">
        <f>SUM(R28/R9)</f>
        <v>-0.25171292518044508</v>
      </c>
      <c r="S30" s="36">
        <f>SUM(S28/S9)</f>
        <v>-0.50486107030744309</v>
      </c>
    </row>
    <row r="31" spans="2:21" x14ac:dyDescent="0.25">
      <c r="B31" s="3" t="s">
        <v>137</v>
      </c>
      <c r="C31" s="45"/>
      <c r="D31" s="36"/>
      <c r="E31" s="36"/>
      <c r="F31" s="36"/>
      <c r="G31" s="36"/>
      <c r="H31" s="36"/>
      <c r="I31" s="36"/>
      <c r="J31" s="36"/>
      <c r="K31" s="36"/>
      <c r="L31" s="36"/>
      <c r="M31" s="36"/>
      <c r="N31" s="36"/>
      <c r="O31" s="36"/>
      <c r="P31" s="36"/>
      <c r="Q31" s="6"/>
      <c r="R31" s="6"/>
      <c r="S31" s="36"/>
    </row>
    <row r="32" spans="2:21" x14ac:dyDescent="0.25">
      <c r="B32" s="113" t="str">
        <f>'[1]3-Statement Model '!B102</f>
        <v>Stock-based compensation</v>
      </c>
      <c r="C32" s="147">
        <f>'Base Financials '!C104</f>
        <v>13829</v>
      </c>
      <c r="D32" s="147">
        <f>'Base Financials '!D104</f>
        <v>10750</v>
      </c>
      <c r="E32" s="147">
        <f>'Base Financials '!E104</f>
        <v>4721</v>
      </c>
      <c r="F32" s="147">
        <f>'Base Financials '!F104</f>
        <v>0</v>
      </c>
      <c r="G32" s="147">
        <f>'Base Financials '!G104</f>
        <v>3069</v>
      </c>
      <c r="H32" s="147">
        <f>'Base Financials '!H104</f>
        <v>2288</v>
      </c>
      <c r="I32" s="147">
        <f>'Base Financials '!I104</f>
        <v>2983</v>
      </c>
      <c r="J32" s="147">
        <f>'Base Financials '!J104</f>
        <v>2410</v>
      </c>
      <c r="K32" s="147">
        <f>'Base Financials '!K104</f>
        <v>1901</v>
      </c>
      <c r="L32" s="147">
        <f>'Base Financials '!L104</f>
        <v>930</v>
      </c>
      <c r="M32" s="147">
        <f>'Base Financials '!M104</f>
        <v>910</v>
      </c>
      <c r="N32" s="147">
        <f>'Base Financials '!N104</f>
        <v>980</v>
      </c>
      <c r="O32" s="147">
        <f>'Base Financials '!O104</f>
        <v>925</v>
      </c>
      <c r="P32" s="147">
        <f>'Base Financials '!P104</f>
        <v>716</v>
      </c>
      <c r="R32" s="25">
        <f t="shared" ref="R32" si="25">SUM(I32:L32)</f>
        <v>8224</v>
      </c>
      <c r="S32" s="25">
        <f t="shared" ref="S32" si="26">SUM(M32:P32)</f>
        <v>3531</v>
      </c>
      <c r="U32" s="27">
        <f t="shared" ref="U32:U33" si="27">SUM(S32/R32)-1</f>
        <v>-0.57064688715953316</v>
      </c>
    </row>
    <row r="33" spans="2:21" x14ac:dyDescent="0.25">
      <c r="B33" s="48" t="s">
        <v>138</v>
      </c>
      <c r="C33" s="150">
        <f>SUM(C28+C32)</f>
        <v>74831</v>
      </c>
      <c r="D33" s="150">
        <f t="shared" ref="D33:E33" si="28">SUM(D28+D32)</f>
        <v>15000</v>
      </c>
      <c r="E33" s="150">
        <f t="shared" si="28"/>
        <v>-11452</v>
      </c>
      <c r="G33" s="150">
        <f t="shared" ref="G33:P33" si="29">SUM(G28+G32)</f>
        <v>-2064</v>
      </c>
      <c r="H33" s="150">
        <f t="shared" si="29"/>
        <v>-3903</v>
      </c>
      <c r="I33" s="150">
        <f t="shared" si="29"/>
        <v>6227</v>
      </c>
      <c r="J33" s="150">
        <f t="shared" si="29"/>
        <v>14740</v>
      </c>
      <c r="K33" s="150">
        <f t="shared" si="29"/>
        <v>-2192</v>
      </c>
      <c r="L33" s="150">
        <f t="shared" si="29"/>
        <v>4530</v>
      </c>
      <c r="M33" s="150">
        <f t="shared" si="29"/>
        <v>-2214</v>
      </c>
      <c r="N33" s="150">
        <f t="shared" si="29"/>
        <v>-11576</v>
      </c>
      <c r="O33" s="150">
        <f t="shared" si="29"/>
        <v>-14090</v>
      </c>
      <c r="P33" s="150">
        <f t="shared" si="29"/>
        <v>-4743</v>
      </c>
      <c r="R33" s="30">
        <f>SUM(R18+SUM(R21:R23))</f>
        <v>4801</v>
      </c>
      <c r="S33" s="30">
        <f>SUM(S18+SUM(S21:S23))</f>
        <v>-43519</v>
      </c>
      <c r="U33" s="33">
        <f t="shared" si="27"/>
        <v>-10.064569881274734</v>
      </c>
    </row>
    <row r="34" spans="2:21" x14ac:dyDescent="0.25">
      <c r="B34" s="34" t="s">
        <v>101</v>
      </c>
      <c r="C34" s="45"/>
      <c r="D34" s="36">
        <f>D33/C33-1</f>
        <v>-0.79954831553767824</v>
      </c>
      <c r="E34" s="36">
        <f>E33/D33-1</f>
        <v>-1.7634666666666665</v>
      </c>
      <c r="F34" s="36"/>
      <c r="G34" s="36"/>
      <c r="H34" s="36">
        <f t="shared" ref="H34:P34" si="30">H33/G33-1</f>
        <v>0.89098837209302317</v>
      </c>
      <c r="I34" s="36">
        <f t="shared" si="30"/>
        <v>-2.5954394055854468</v>
      </c>
      <c r="J34" s="36">
        <f t="shared" si="30"/>
        <v>1.367110968363578</v>
      </c>
      <c r="K34" s="36">
        <f t="shared" si="30"/>
        <v>-1.1487109905020354</v>
      </c>
      <c r="L34" s="36">
        <f t="shared" si="30"/>
        <v>-3.0666058394160585</v>
      </c>
      <c r="M34" s="36">
        <f t="shared" si="30"/>
        <v>-1.4887417218543046</v>
      </c>
      <c r="N34" s="36">
        <f t="shared" si="30"/>
        <v>4.2285456187895214</v>
      </c>
      <c r="O34" s="36">
        <f t="shared" si="30"/>
        <v>0.21717346233586721</v>
      </c>
      <c r="P34" s="36">
        <f t="shared" si="30"/>
        <v>-0.66337828246983677</v>
      </c>
      <c r="Q34" s="6"/>
      <c r="R34" s="6"/>
      <c r="S34" s="36">
        <f>S33/R33-1</f>
        <v>-10.064569881274734</v>
      </c>
    </row>
    <row r="35" spans="2:21" x14ac:dyDescent="0.25">
      <c r="B35" s="34" t="s">
        <v>139</v>
      </c>
      <c r="C35" s="36">
        <f>C33/C9</f>
        <v>0.19516107158505289</v>
      </c>
      <c r="D35" s="36">
        <f>D33/D9</f>
        <v>3.5538539176500968E-2</v>
      </c>
      <c r="E35" s="36">
        <f>E33/E9</f>
        <v>-3.6752246469833119E-2</v>
      </c>
      <c r="F35" s="36"/>
      <c r="G35" s="36">
        <f>G33/G9</f>
        <v>-2.1262129921503184E-2</v>
      </c>
      <c r="H35" s="36">
        <f>H33/H9</f>
        <v>-3.9369761037755836E-2</v>
      </c>
      <c r="I35" s="36">
        <f>I33/I9</f>
        <v>5.600021583510198E-2</v>
      </c>
      <c r="J35" s="36">
        <f>J33/J9</f>
        <v>0.12854277491933375</v>
      </c>
      <c r="K35" s="36">
        <f>K33/K9</f>
        <v>-2.3881377537123993E-2</v>
      </c>
      <c r="L35" s="36">
        <f>L33/L9</f>
        <v>5.9857293868921774E-2</v>
      </c>
      <c r="M35" s="36">
        <f>M33/M9</f>
        <v>-3.0781636682145539E-2</v>
      </c>
      <c r="N35" s="36">
        <f>N33/N9</f>
        <v>-0.1603168667857687</v>
      </c>
      <c r="O35" s="36">
        <f>O33/O9</f>
        <v>-0.19749660092791163</v>
      </c>
      <c r="P35" s="36">
        <f>P33/P9</f>
        <v>-6.7306191374930824E-2</v>
      </c>
      <c r="R35" s="36">
        <f>R33/R9</f>
        <v>1.2205942547408938E-2</v>
      </c>
      <c r="S35" s="36">
        <f>S33/S9</f>
        <v>-0.15219360366504048</v>
      </c>
    </row>
    <row r="36" spans="2:21" x14ac:dyDescent="0.25">
      <c r="B36" s="3"/>
    </row>
  </sheetData>
  <mergeCells count="1">
    <mergeCell ref="U7:U8"/>
  </mergeCells>
  <conditionalFormatting sqref="K13:P13 C13:I13 C8:P8">
    <cfRule type="timePeriod" dxfId="1" priority="1" timePeriod="lastWeek">
      <formula>AND(TODAY()-ROUNDDOWN(C8,0)&gt;=(WEEKDAY(TODAY())),TODAY()-ROUNDDOWN(C8,0)&lt;(WEEKDAY(TODAY())+7))</formula>
    </cfRule>
  </conditionalFormatting>
  <conditionalFormatting sqref="R8:S8">
    <cfRule type="timePeriod" dxfId="0" priority="2" timePeriod="lastWeek">
      <formula>AND(TODAY()-ROUNDDOWN(R8,0)&gt;=(WEEKDAY(TODAY())),TODAY()-ROUNDDOWN(R8,0)&lt;(WEEKDAY(TODAY())+7))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Firm Background</vt:lpstr>
      <vt:lpstr>Base Financials </vt:lpstr>
      <vt:lpstr>EBITDA &amp; FCF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Garcia</dc:creator>
  <cp:lastModifiedBy>Felix Garcia</cp:lastModifiedBy>
  <dcterms:created xsi:type="dcterms:W3CDTF">2024-12-28T10:46:35Z</dcterms:created>
  <dcterms:modified xsi:type="dcterms:W3CDTF">2024-12-28T22:41:38Z</dcterms:modified>
</cp:coreProperties>
</file>