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122F06F0-BC60-4BE9-A999-5510F6200378}" xr6:coauthVersionLast="47" xr6:coauthVersionMax="47" xr10:uidLastSave="{00000000-0000-0000-0000-000000000000}"/>
  <bookViews>
    <workbookView xWindow="-120" yWindow="-120" windowWidth="29040" windowHeight="15720" activeTab="1" xr2:uid="{D8DF2202-62BF-453D-A849-EFD132DF8234}"/>
  </bookViews>
  <sheets>
    <sheet name="Firm Background" sheetId="6" r:id="rId1"/>
    <sheet name="Base Financials " sheetId="4" r:id="rId2"/>
    <sheet name="Adjusted EBITDA Analysis" sheetId="5" r:id="rId3"/>
  </sheets>
  <externalReferences>
    <externalReference r:id="rId4"/>
  </externalReferenc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5" i="4" l="1"/>
  <c r="Q106" i="4"/>
  <c r="Q107" i="4"/>
  <c r="Q108" i="4"/>
  <c r="Q109" i="4"/>
  <c r="Q110" i="4"/>
  <c r="P110" i="4"/>
  <c r="P109" i="4"/>
  <c r="P108" i="4"/>
  <c r="P107" i="4"/>
  <c r="P106" i="4"/>
  <c r="P105" i="4"/>
  <c r="Q95" i="4"/>
  <c r="Q96" i="4"/>
  <c r="Q97" i="4"/>
  <c r="Q98" i="4"/>
  <c r="Q99" i="4"/>
  <c r="Q100" i="4"/>
  <c r="P100" i="4"/>
  <c r="P99" i="4"/>
  <c r="P98" i="4"/>
  <c r="P97" i="4"/>
  <c r="P32" i="5" s="1"/>
  <c r="P96" i="4"/>
  <c r="P95" i="4"/>
  <c r="Q131" i="4"/>
  <c r="P131" i="4"/>
  <c r="M132" i="4"/>
  <c r="L132" i="4"/>
  <c r="Q132" i="4"/>
  <c r="P132" i="4"/>
  <c r="N132" i="4"/>
  <c r="J132" i="4"/>
  <c r="H132" i="4"/>
  <c r="I132" i="4" s="1"/>
  <c r="Q83" i="4"/>
  <c r="P83" i="4"/>
  <c r="O83" i="4"/>
  <c r="N83" i="4"/>
  <c r="M83" i="4"/>
  <c r="L83" i="4"/>
  <c r="K83" i="4"/>
  <c r="J83" i="4"/>
  <c r="I83" i="4"/>
  <c r="H83" i="4"/>
  <c r="G83" i="4"/>
  <c r="E83" i="4"/>
  <c r="D83" i="4"/>
  <c r="C83" i="4"/>
  <c r="N31" i="4"/>
  <c r="T31" i="4" s="1"/>
  <c r="J31" i="4"/>
  <c r="V22" i="5"/>
  <c r="T22" i="5"/>
  <c r="S22" i="5"/>
  <c r="Q123" i="4"/>
  <c r="Q124" i="4"/>
  <c r="P124" i="4"/>
  <c r="P123" i="4"/>
  <c r="M123" i="4"/>
  <c r="N123" i="4" s="1"/>
  <c r="M124" i="4"/>
  <c r="L124" i="4"/>
  <c r="L123" i="4"/>
  <c r="H125" i="4"/>
  <c r="I125" i="4" s="1"/>
  <c r="H126" i="4"/>
  <c r="I126" i="4"/>
  <c r="J126" i="4" s="1"/>
  <c r="S126" i="4" s="1"/>
  <c r="I123" i="4"/>
  <c r="J123" i="4" s="1"/>
  <c r="H123" i="4"/>
  <c r="V119" i="4"/>
  <c r="V118" i="4"/>
  <c r="V117" i="4"/>
  <c r="V116" i="4"/>
  <c r="T119" i="4"/>
  <c r="S119" i="4"/>
  <c r="T118" i="4"/>
  <c r="S118" i="4"/>
  <c r="T117" i="4"/>
  <c r="S117" i="4"/>
  <c r="T116" i="4"/>
  <c r="S116" i="4"/>
  <c r="Q114" i="4"/>
  <c r="Q115" i="4"/>
  <c r="Q116" i="4"/>
  <c r="Q117" i="4"/>
  <c r="Q118" i="4"/>
  <c r="P118" i="4"/>
  <c r="P117" i="4"/>
  <c r="P116" i="4"/>
  <c r="P115" i="4"/>
  <c r="P114" i="4"/>
  <c r="M114" i="4"/>
  <c r="M115" i="4"/>
  <c r="M116" i="4"/>
  <c r="N116" i="4" s="1"/>
  <c r="M117" i="4"/>
  <c r="M118" i="4"/>
  <c r="L118" i="4"/>
  <c r="L117" i="4"/>
  <c r="L116" i="4"/>
  <c r="L115" i="4"/>
  <c r="N115" i="4" s="1"/>
  <c r="L114" i="4"/>
  <c r="I114" i="4"/>
  <c r="I115" i="4"/>
  <c r="I116" i="4"/>
  <c r="I117" i="4"/>
  <c r="J117" i="4" s="1"/>
  <c r="I118" i="4"/>
  <c r="H118" i="4"/>
  <c r="H117" i="4"/>
  <c r="H116" i="4"/>
  <c r="H115" i="4"/>
  <c r="H114" i="4"/>
  <c r="M92" i="4"/>
  <c r="M95" i="4"/>
  <c r="M96" i="4"/>
  <c r="M97" i="4"/>
  <c r="M98" i="4"/>
  <c r="N98" i="4" s="1"/>
  <c r="M99" i="4"/>
  <c r="M100" i="4"/>
  <c r="N100" i="4" s="1"/>
  <c r="M105" i="4"/>
  <c r="N105" i="4" s="1"/>
  <c r="M106" i="4"/>
  <c r="M107" i="4"/>
  <c r="M108" i="4"/>
  <c r="M109" i="4"/>
  <c r="M110" i="4"/>
  <c r="L110" i="4"/>
  <c r="L109" i="4"/>
  <c r="L108" i="4"/>
  <c r="L107" i="4"/>
  <c r="L106" i="4"/>
  <c r="N106" i="4" s="1"/>
  <c r="L105" i="4"/>
  <c r="L100" i="4"/>
  <c r="L99" i="4"/>
  <c r="L98" i="4"/>
  <c r="L97" i="4"/>
  <c r="L32" i="5" s="1"/>
  <c r="L96" i="4"/>
  <c r="L95" i="4"/>
  <c r="L27" i="5" s="1"/>
  <c r="L92" i="4"/>
  <c r="I105" i="4"/>
  <c r="I106" i="4"/>
  <c r="I107" i="4"/>
  <c r="I108" i="4"/>
  <c r="I109" i="4"/>
  <c r="I110" i="4"/>
  <c r="H110" i="4"/>
  <c r="H109" i="4"/>
  <c r="H108" i="4"/>
  <c r="H107" i="4"/>
  <c r="H106" i="4"/>
  <c r="J106" i="4" s="1"/>
  <c r="H105" i="4"/>
  <c r="I100" i="4"/>
  <c r="I98" i="4"/>
  <c r="I97" i="4"/>
  <c r="I32" i="5" s="1"/>
  <c r="I96" i="4"/>
  <c r="I95" i="4"/>
  <c r="I92" i="4"/>
  <c r="H92" i="4"/>
  <c r="H95" i="4"/>
  <c r="H27" i="5" s="1"/>
  <c r="H96" i="4"/>
  <c r="H97" i="4"/>
  <c r="H98" i="4"/>
  <c r="H100" i="4"/>
  <c r="J100" i="4" s="1"/>
  <c r="J98" i="4"/>
  <c r="Q32" i="5"/>
  <c r="O32" i="5"/>
  <c r="M32" i="5"/>
  <c r="K32" i="5"/>
  <c r="G32" i="5"/>
  <c r="F32" i="5"/>
  <c r="E32" i="5"/>
  <c r="D32" i="5"/>
  <c r="C32" i="5"/>
  <c r="Q27" i="5"/>
  <c r="P27" i="5"/>
  <c r="O27" i="5"/>
  <c r="M27" i="5"/>
  <c r="K27" i="5"/>
  <c r="I27" i="5"/>
  <c r="G27" i="5"/>
  <c r="F27" i="5"/>
  <c r="E27" i="5"/>
  <c r="D27" i="5"/>
  <c r="C27" i="5"/>
  <c r="Q23" i="5"/>
  <c r="P23" i="5"/>
  <c r="O23" i="5"/>
  <c r="M23" i="5"/>
  <c r="L23" i="5"/>
  <c r="K23" i="5"/>
  <c r="I23" i="5"/>
  <c r="H23" i="5"/>
  <c r="G23" i="5"/>
  <c r="F23" i="5"/>
  <c r="E23" i="5"/>
  <c r="D23" i="5"/>
  <c r="C23" i="5"/>
  <c r="Q22" i="5"/>
  <c r="P22" i="5"/>
  <c r="O22" i="5"/>
  <c r="M22" i="5"/>
  <c r="L22" i="5"/>
  <c r="K22" i="5"/>
  <c r="I22" i="5"/>
  <c r="H22" i="5"/>
  <c r="G22" i="5"/>
  <c r="F22" i="5"/>
  <c r="E22" i="5"/>
  <c r="D22" i="5"/>
  <c r="C22" i="5"/>
  <c r="Q21" i="5"/>
  <c r="P21" i="5"/>
  <c r="O21" i="5"/>
  <c r="M21" i="5"/>
  <c r="L21" i="5"/>
  <c r="K21" i="5"/>
  <c r="I21" i="5"/>
  <c r="H21" i="5"/>
  <c r="G21" i="5"/>
  <c r="F21" i="5"/>
  <c r="E21" i="5"/>
  <c r="D21" i="5"/>
  <c r="C21" i="5"/>
  <c r="B23" i="5"/>
  <c r="B22" i="5"/>
  <c r="B21" i="5"/>
  <c r="Q17" i="5"/>
  <c r="P17" i="5"/>
  <c r="O17" i="5"/>
  <c r="M17" i="5"/>
  <c r="L17" i="5"/>
  <c r="K17" i="5"/>
  <c r="I17" i="5"/>
  <c r="H17" i="5"/>
  <c r="G17" i="5"/>
  <c r="F17" i="5"/>
  <c r="E17" i="5"/>
  <c r="D17" i="5"/>
  <c r="C17" i="5"/>
  <c r="Q16" i="5"/>
  <c r="P16" i="5"/>
  <c r="O16" i="5"/>
  <c r="M16" i="5"/>
  <c r="L16" i="5"/>
  <c r="K16" i="5"/>
  <c r="I16" i="5"/>
  <c r="H16" i="5"/>
  <c r="G16" i="5"/>
  <c r="F16" i="5"/>
  <c r="E16" i="5"/>
  <c r="D16" i="5"/>
  <c r="C16" i="5"/>
  <c r="Q15" i="5"/>
  <c r="P15" i="5"/>
  <c r="O15" i="5"/>
  <c r="M15" i="5"/>
  <c r="L15" i="5"/>
  <c r="K15" i="5"/>
  <c r="I15" i="5"/>
  <c r="H15" i="5"/>
  <c r="G15" i="5"/>
  <c r="F15" i="5"/>
  <c r="E15" i="5"/>
  <c r="D15" i="5"/>
  <c r="C15" i="5"/>
  <c r="Q14" i="5"/>
  <c r="P14" i="5"/>
  <c r="O14" i="5"/>
  <c r="M14" i="5"/>
  <c r="L14" i="5"/>
  <c r="K14" i="5"/>
  <c r="I14" i="5"/>
  <c r="H14" i="5"/>
  <c r="G14" i="5"/>
  <c r="F14" i="5"/>
  <c r="E14" i="5"/>
  <c r="D14" i="5"/>
  <c r="C14" i="5"/>
  <c r="B17" i="5"/>
  <c r="B16" i="5"/>
  <c r="B15" i="5"/>
  <c r="B14" i="5"/>
  <c r="N92" i="4"/>
  <c r="N97" i="4"/>
  <c r="N32" i="5" s="1"/>
  <c r="N96" i="4"/>
  <c r="N102" i="4"/>
  <c r="N101" i="4"/>
  <c r="N99" i="4"/>
  <c r="J92" i="4"/>
  <c r="J96" i="4"/>
  <c r="J95" i="4"/>
  <c r="J27" i="5" s="1"/>
  <c r="J102" i="4"/>
  <c r="J101" i="4"/>
  <c r="J99" i="4"/>
  <c r="N109" i="4"/>
  <c r="N108" i="4"/>
  <c r="N107" i="4"/>
  <c r="J110" i="4"/>
  <c r="J109" i="4"/>
  <c r="J108" i="4"/>
  <c r="J107" i="4"/>
  <c r="J105" i="4"/>
  <c r="N119" i="4"/>
  <c r="N118" i="4"/>
  <c r="N117" i="4"/>
  <c r="J119" i="4"/>
  <c r="J118" i="4"/>
  <c r="J116" i="4"/>
  <c r="J115" i="4"/>
  <c r="N128" i="4"/>
  <c r="T128" i="4" s="1"/>
  <c r="N127" i="4"/>
  <c r="T127" i="4" s="1"/>
  <c r="N126" i="4"/>
  <c r="N125" i="4"/>
  <c r="N124" i="4"/>
  <c r="J128" i="4"/>
  <c r="S128" i="4" s="1"/>
  <c r="J127" i="4"/>
  <c r="S127" i="4" s="1"/>
  <c r="J124" i="4"/>
  <c r="S124" i="4" s="1"/>
  <c r="J131" i="4"/>
  <c r="N78" i="4"/>
  <c r="T78" i="4" s="1"/>
  <c r="N77" i="4"/>
  <c r="T77" i="4" s="1"/>
  <c r="N76" i="4"/>
  <c r="T76" i="4" s="1"/>
  <c r="N75" i="4"/>
  <c r="T75" i="4" s="1"/>
  <c r="J78" i="4"/>
  <c r="S78" i="4" s="1"/>
  <c r="J77" i="4"/>
  <c r="S77" i="4" s="1"/>
  <c r="J76" i="4"/>
  <c r="S76" i="4" s="1"/>
  <c r="J75" i="4"/>
  <c r="S75" i="4" s="1"/>
  <c r="N71" i="4"/>
  <c r="T71" i="4" s="1"/>
  <c r="N70" i="4"/>
  <c r="T70" i="4" s="1"/>
  <c r="N69" i="4"/>
  <c r="T69" i="4" s="1"/>
  <c r="N68" i="4"/>
  <c r="T68" i="4" s="1"/>
  <c r="N67" i="4"/>
  <c r="T67" i="4" s="1"/>
  <c r="J71" i="4"/>
  <c r="S71" i="4" s="1"/>
  <c r="J70" i="4"/>
  <c r="S70" i="4" s="1"/>
  <c r="J69" i="4"/>
  <c r="S69" i="4" s="1"/>
  <c r="J68" i="4"/>
  <c r="S68" i="4" s="1"/>
  <c r="J67" i="4"/>
  <c r="S67" i="4" s="1"/>
  <c r="N63" i="4"/>
  <c r="T63" i="4" s="1"/>
  <c r="N62" i="4"/>
  <c r="N61" i="4"/>
  <c r="T61" i="4" s="1"/>
  <c r="N60" i="4"/>
  <c r="T60" i="4" s="1"/>
  <c r="N59" i="4"/>
  <c r="T59" i="4" s="1"/>
  <c r="J63" i="4"/>
  <c r="S63" i="4" s="1"/>
  <c r="J62" i="4"/>
  <c r="S62" i="4" s="1"/>
  <c r="J61" i="4"/>
  <c r="S61" i="4" s="1"/>
  <c r="J60" i="4"/>
  <c r="S60" i="4" s="1"/>
  <c r="J59" i="4"/>
  <c r="S59" i="4" s="1"/>
  <c r="N55" i="4"/>
  <c r="T55" i="4" s="1"/>
  <c r="N54" i="4"/>
  <c r="T54" i="4" s="1"/>
  <c r="N53" i="4"/>
  <c r="N52" i="4"/>
  <c r="T52" i="4" s="1"/>
  <c r="N51" i="4"/>
  <c r="T51" i="4" s="1"/>
  <c r="N50" i="4"/>
  <c r="T50" i="4" s="1"/>
  <c r="J55" i="4"/>
  <c r="S55" i="4" s="1"/>
  <c r="J54" i="4"/>
  <c r="S54" i="4" s="1"/>
  <c r="J53" i="4"/>
  <c r="S53" i="4" s="1"/>
  <c r="J52" i="4"/>
  <c r="S52" i="4" s="1"/>
  <c r="J51" i="4"/>
  <c r="S51" i="4" s="1"/>
  <c r="J50" i="4"/>
  <c r="S50" i="4" s="1"/>
  <c r="N46" i="4"/>
  <c r="T46" i="4" s="1"/>
  <c r="N45" i="4"/>
  <c r="T45" i="4" s="1"/>
  <c r="N44" i="4"/>
  <c r="T44" i="4" s="1"/>
  <c r="N43" i="4"/>
  <c r="T43" i="4" s="1"/>
  <c r="C17" i="6" s="1"/>
  <c r="C19" i="6" s="1"/>
  <c r="J46" i="4"/>
  <c r="S46" i="4" s="1"/>
  <c r="J45" i="4"/>
  <c r="S45" i="4" s="1"/>
  <c r="J44" i="4"/>
  <c r="S44" i="4" s="1"/>
  <c r="J43" i="4"/>
  <c r="S43" i="4" s="1"/>
  <c r="N37" i="4"/>
  <c r="J37" i="4"/>
  <c r="N29" i="4"/>
  <c r="T29" i="4" s="1"/>
  <c r="N28" i="4"/>
  <c r="T28" i="4" s="1"/>
  <c r="N27" i="4"/>
  <c r="T27" i="4" s="1"/>
  <c r="N26" i="4"/>
  <c r="T26" i="4" s="1"/>
  <c r="J29" i="4"/>
  <c r="S29" i="4" s="1"/>
  <c r="J28" i="4"/>
  <c r="S28" i="4" s="1"/>
  <c r="J27" i="4"/>
  <c r="S27" i="4" s="1"/>
  <c r="J26" i="4"/>
  <c r="S26" i="4" s="1"/>
  <c r="N20" i="4"/>
  <c r="T20" i="4" s="1"/>
  <c r="N19" i="4"/>
  <c r="T19" i="4" s="1"/>
  <c r="N18" i="4"/>
  <c r="T18" i="4" s="1"/>
  <c r="N17" i="4"/>
  <c r="T17" i="4" s="1"/>
  <c r="J20" i="4"/>
  <c r="S20" i="4" s="1"/>
  <c r="J19" i="4"/>
  <c r="S19" i="4" s="1"/>
  <c r="J18" i="4"/>
  <c r="S18" i="4" s="1"/>
  <c r="J17" i="4"/>
  <c r="S17" i="4" s="1"/>
  <c r="Q11" i="4"/>
  <c r="Q10" i="5" s="1"/>
  <c r="N11" i="4"/>
  <c r="N10" i="4"/>
  <c r="J11" i="4"/>
  <c r="J10" i="4"/>
  <c r="C7" i="6" a="1"/>
  <c r="C7" i="6" s="1"/>
  <c r="C8" i="6" a="1"/>
  <c r="C8" i="6" s="1"/>
  <c r="C6" i="6" a="1"/>
  <c r="C6" i="6" s="1"/>
  <c r="T8" i="5"/>
  <c r="S8" i="5"/>
  <c r="T7" i="5"/>
  <c r="S7" i="5"/>
  <c r="F10" i="5"/>
  <c r="F9" i="5"/>
  <c r="T126" i="4"/>
  <c r="Q79" i="4"/>
  <c r="Q64" i="4"/>
  <c r="Q86" i="4" s="1"/>
  <c r="Q47" i="4"/>
  <c r="Q56" i="4" s="1"/>
  <c r="T37" i="4"/>
  <c r="S37" i="4"/>
  <c r="S7" i="4"/>
  <c r="S8" i="4"/>
  <c r="T8" i="4"/>
  <c r="T7" i="4"/>
  <c r="S31" i="4"/>
  <c r="P10" i="5"/>
  <c r="O10" i="5"/>
  <c r="M10" i="5"/>
  <c r="L10" i="5"/>
  <c r="K10" i="5"/>
  <c r="I10" i="5"/>
  <c r="H10" i="5"/>
  <c r="G10" i="5"/>
  <c r="E10" i="5"/>
  <c r="D10" i="5"/>
  <c r="C10" i="5"/>
  <c r="P9" i="5"/>
  <c r="O9" i="5"/>
  <c r="M9" i="5"/>
  <c r="L9" i="5"/>
  <c r="K9" i="5"/>
  <c r="I9" i="5"/>
  <c r="G9" i="5"/>
  <c r="D9" i="5"/>
  <c r="C9" i="5"/>
  <c r="B32" i="5"/>
  <c r="B27" i="5"/>
  <c r="E129" i="4"/>
  <c r="D129" i="4"/>
  <c r="C129" i="4"/>
  <c r="G129" i="4"/>
  <c r="G120" i="4"/>
  <c r="E120" i="4"/>
  <c r="D120" i="4"/>
  <c r="C120" i="4"/>
  <c r="E111" i="4"/>
  <c r="E137" i="4" s="1"/>
  <c r="D111" i="4"/>
  <c r="D137" i="4" s="1"/>
  <c r="C111" i="4"/>
  <c r="C137" i="4" s="1"/>
  <c r="P79" i="4"/>
  <c r="O79" i="4"/>
  <c r="M79" i="4"/>
  <c r="L79" i="4"/>
  <c r="K79" i="4"/>
  <c r="I79" i="4"/>
  <c r="H79" i="4"/>
  <c r="G79" i="4"/>
  <c r="E79" i="4"/>
  <c r="D79" i="4"/>
  <c r="C79" i="4"/>
  <c r="P64" i="4"/>
  <c r="P72" i="4" s="1"/>
  <c r="O64" i="4"/>
  <c r="O72" i="4" s="1"/>
  <c r="M64" i="4"/>
  <c r="M72" i="4" s="1"/>
  <c r="L64" i="4"/>
  <c r="L72" i="4" s="1"/>
  <c r="K64" i="4"/>
  <c r="K72" i="4" s="1"/>
  <c r="I64" i="4"/>
  <c r="I72" i="4" s="1"/>
  <c r="H64" i="4"/>
  <c r="H72" i="4" s="1"/>
  <c r="G64" i="4"/>
  <c r="G72" i="4" s="1"/>
  <c r="E64" i="4"/>
  <c r="E72" i="4" s="1"/>
  <c r="D64" i="4"/>
  <c r="D72" i="4" s="1"/>
  <c r="C64" i="4"/>
  <c r="C72" i="4" s="1"/>
  <c r="P47" i="4"/>
  <c r="P56" i="4" s="1"/>
  <c r="O47" i="4"/>
  <c r="O56" i="4" s="1"/>
  <c r="M47" i="4"/>
  <c r="M56" i="4" s="1"/>
  <c r="L47" i="4"/>
  <c r="K47" i="4"/>
  <c r="K56" i="4" s="1"/>
  <c r="I47" i="4"/>
  <c r="I56" i="4" s="1"/>
  <c r="H47" i="4"/>
  <c r="H56" i="4" s="1"/>
  <c r="G47" i="4"/>
  <c r="G56" i="4" s="1"/>
  <c r="E47" i="4"/>
  <c r="D47" i="4"/>
  <c r="C47" i="4"/>
  <c r="C56" i="4" s="1"/>
  <c r="U32" i="4"/>
  <c r="S123" i="4" l="1"/>
  <c r="J125" i="4"/>
  <c r="S125" i="4" s="1"/>
  <c r="N114" i="4"/>
  <c r="J114" i="4"/>
  <c r="N110" i="4"/>
  <c r="N95" i="4"/>
  <c r="N27" i="5" s="1"/>
  <c r="J97" i="4"/>
  <c r="J32" i="5" s="1"/>
  <c r="H32" i="5"/>
  <c r="N16" i="5"/>
  <c r="T16" i="5" s="1"/>
  <c r="J22" i="5"/>
  <c r="N22" i="5"/>
  <c r="J16" i="5"/>
  <c r="J17" i="5"/>
  <c r="S17" i="5" s="1"/>
  <c r="J23" i="5"/>
  <c r="S23" i="5" s="1"/>
  <c r="J21" i="5"/>
  <c r="S21" i="5" s="1"/>
  <c r="N17" i="5"/>
  <c r="T17" i="5" s="1"/>
  <c r="N23" i="5"/>
  <c r="N15" i="5"/>
  <c r="N21" i="5"/>
  <c r="J15" i="5"/>
  <c r="S15" i="5" s="1"/>
  <c r="J14" i="5"/>
  <c r="S14" i="5" s="1"/>
  <c r="N14" i="5"/>
  <c r="T14" i="5" s="1"/>
  <c r="C20" i="6"/>
  <c r="V51" i="4"/>
  <c r="D56" i="4"/>
  <c r="T83" i="4"/>
  <c r="E56" i="4"/>
  <c r="T53" i="4"/>
  <c r="V53" i="4" s="1"/>
  <c r="S83" i="4"/>
  <c r="L56" i="4"/>
  <c r="T98" i="4"/>
  <c r="T124" i="4"/>
  <c r="V124" i="4" s="1"/>
  <c r="Q120" i="4"/>
  <c r="E12" i="4"/>
  <c r="E21" i="4" s="1"/>
  <c r="T110" i="4"/>
  <c r="T97" i="4"/>
  <c r="T102" i="4"/>
  <c r="T23" i="5"/>
  <c r="S107" i="4"/>
  <c r="T105" i="4"/>
  <c r="T96" i="4"/>
  <c r="T101" i="4"/>
  <c r="T123" i="4"/>
  <c r="S16" i="5"/>
  <c r="S96" i="4"/>
  <c r="T106" i="4"/>
  <c r="S110" i="4"/>
  <c r="T92" i="4"/>
  <c r="S114" i="4"/>
  <c r="T107" i="4"/>
  <c r="H12" i="4"/>
  <c r="H21" i="4" s="1"/>
  <c r="T109" i="4"/>
  <c r="S105" i="4"/>
  <c r="T108" i="4"/>
  <c r="T99" i="4"/>
  <c r="E9" i="5"/>
  <c r="E11" i="5" s="1"/>
  <c r="E18" i="5" s="1"/>
  <c r="S92" i="4"/>
  <c r="S102" i="4"/>
  <c r="H9" i="5"/>
  <c r="H11" i="5" s="1"/>
  <c r="H18" i="5" s="1"/>
  <c r="H24" i="5" s="1"/>
  <c r="T21" i="5"/>
  <c r="G12" i="4"/>
  <c r="G21" i="4" s="1"/>
  <c r="G30" i="4" s="1"/>
  <c r="G32" i="4" s="1"/>
  <c r="G36" i="4" s="1"/>
  <c r="S101" i="4"/>
  <c r="Q12" i="4"/>
  <c r="Q14" i="4" s="1"/>
  <c r="Q9" i="5"/>
  <c r="Q11" i="5" s="1"/>
  <c r="Q18" i="5" s="1"/>
  <c r="Q24" i="5" s="1"/>
  <c r="D12" i="4"/>
  <c r="D21" i="4" s="1"/>
  <c r="O12" i="4"/>
  <c r="O21" i="4" s="1"/>
  <c r="O30" i="4" s="1"/>
  <c r="O32" i="4" s="1"/>
  <c r="O36" i="4" s="1"/>
  <c r="S98" i="4"/>
  <c r="T115" i="4"/>
  <c r="T15" i="5"/>
  <c r="D84" i="4"/>
  <c r="T131" i="4"/>
  <c r="T125" i="4"/>
  <c r="V125" i="4" s="1"/>
  <c r="V127" i="4"/>
  <c r="V126" i="4"/>
  <c r="V128" i="4"/>
  <c r="S115" i="4"/>
  <c r="N120" i="4"/>
  <c r="T114" i="4"/>
  <c r="C84" i="4"/>
  <c r="Q129" i="4"/>
  <c r="V75" i="4"/>
  <c r="V76" i="4"/>
  <c r="V77" i="4"/>
  <c r="M84" i="4"/>
  <c r="E84" i="4"/>
  <c r="L84" i="4"/>
  <c r="S84" i="4" s="1"/>
  <c r="T62" i="4"/>
  <c r="G84" i="4"/>
  <c r="O84" i="4"/>
  <c r="H84" i="4"/>
  <c r="P84" i="4"/>
  <c r="T84" i="4" s="1"/>
  <c r="I84" i="4"/>
  <c r="Q84" i="4"/>
  <c r="K84" i="4"/>
  <c r="Q72" i="4"/>
  <c r="Q80" i="4" s="1"/>
  <c r="Q85" i="4"/>
  <c r="K12" i="4"/>
  <c r="K21" i="4" s="1"/>
  <c r="K23" i="4" s="1"/>
  <c r="P12" i="4"/>
  <c r="P14" i="4" s="1"/>
  <c r="D11" i="5"/>
  <c r="D18" i="5" s="1"/>
  <c r="D24" i="5" s="1"/>
  <c r="D28" i="5" s="1"/>
  <c r="D33" i="5" s="1"/>
  <c r="C12" i="4"/>
  <c r="C21" i="4" s="1"/>
  <c r="M12" i="4"/>
  <c r="M14" i="4" s="1"/>
  <c r="L12" i="4"/>
  <c r="I12" i="4"/>
  <c r="I21" i="4" s="1"/>
  <c r="I30" i="4" s="1"/>
  <c r="I32" i="4" s="1"/>
  <c r="I36" i="4" s="1"/>
  <c r="K11" i="5"/>
  <c r="K18" i="5" s="1"/>
  <c r="G11" i="5"/>
  <c r="G18" i="5" s="1"/>
  <c r="G24" i="5" s="1"/>
  <c r="H120" i="4"/>
  <c r="M11" i="5"/>
  <c r="M18" i="5" s="1"/>
  <c r="M24" i="5" s="1"/>
  <c r="O11" i="5"/>
  <c r="O18" i="5" s="1"/>
  <c r="O24" i="5" s="1"/>
  <c r="L11" i="5"/>
  <c r="L18" i="5" s="1"/>
  <c r="P11" i="5"/>
  <c r="P18" i="5" s="1"/>
  <c r="P24" i="5" s="1"/>
  <c r="I11" i="5"/>
  <c r="I18" i="5" s="1"/>
  <c r="I24" i="5" s="1"/>
  <c r="C11" i="5"/>
  <c r="C18" i="5" s="1"/>
  <c r="C24" i="5" s="1"/>
  <c r="C28" i="5" s="1"/>
  <c r="C30" i="5" s="1"/>
  <c r="J120" i="4"/>
  <c r="G85" i="4"/>
  <c r="J64" i="4"/>
  <c r="J72" i="4" s="1"/>
  <c r="N79" i="4"/>
  <c r="S64" i="4"/>
  <c r="S72" i="4" s="1"/>
  <c r="V60" i="4"/>
  <c r="J79" i="4"/>
  <c r="N64" i="4"/>
  <c r="N86" i="4" s="1"/>
  <c r="O85" i="4"/>
  <c r="J47" i="4"/>
  <c r="J56" i="4" s="1"/>
  <c r="V67" i="4"/>
  <c r="N47" i="4"/>
  <c r="V45" i="4"/>
  <c r="V54" i="4"/>
  <c r="V44" i="4"/>
  <c r="V71" i="4"/>
  <c r="H85" i="4"/>
  <c r="P85" i="4"/>
  <c r="T85" i="4" s="1"/>
  <c r="V55" i="4"/>
  <c r="V78" i="4"/>
  <c r="E138" i="4"/>
  <c r="V43" i="4"/>
  <c r="V69" i="4"/>
  <c r="V50" i="4"/>
  <c r="V70" i="4"/>
  <c r="V20" i="4"/>
  <c r="V59" i="4"/>
  <c r="I80" i="4"/>
  <c r="V26" i="4"/>
  <c r="V68" i="4"/>
  <c r="H86" i="4"/>
  <c r="K80" i="4"/>
  <c r="I86" i="4"/>
  <c r="V29" i="4"/>
  <c r="V63" i="4"/>
  <c r="V52" i="4"/>
  <c r="S131" i="4"/>
  <c r="V17" i="4"/>
  <c r="V19" i="4"/>
  <c r="V28" i="4"/>
  <c r="V31" i="4"/>
  <c r="H80" i="4"/>
  <c r="P80" i="4"/>
  <c r="G86" i="4"/>
  <c r="O86" i="4"/>
  <c r="V46" i="4"/>
  <c r="P86" i="4"/>
  <c r="T86" i="4" s="1"/>
  <c r="K120" i="4"/>
  <c r="S47" i="4"/>
  <c r="S56" i="4" s="1"/>
  <c r="C80" i="4"/>
  <c r="I85" i="4"/>
  <c r="G80" i="4"/>
  <c r="O80" i="4"/>
  <c r="O120" i="4"/>
  <c r="P120" i="4"/>
  <c r="O129" i="4"/>
  <c r="P129" i="4"/>
  <c r="O111" i="4"/>
  <c r="O137" i="4" s="1"/>
  <c r="V18" i="4"/>
  <c r="T79" i="4"/>
  <c r="C86" i="4"/>
  <c r="K86" i="4"/>
  <c r="G111" i="4"/>
  <c r="G137" i="4" s="1"/>
  <c r="D138" i="4"/>
  <c r="K129" i="4"/>
  <c r="D86" i="4"/>
  <c r="L86" i="4"/>
  <c r="S86" i="4" s="1"/>
  <c r="D80" i="4"/>
  <c r="L80" i="4"/>
  <c r="L129" i="4"/>
  <c r="E86" i="4"/>
  <c r="M86" i="4"/>
  <c r="E80" i="4"/>
  <c r="M80" i="4"/>
  <c r="C85" i="4"/>
  <c r="K85" i="4"/>
  <c r="D85" i="4"/>
  <c r="L85" i="4"/>
  <c r="S85" i="4" s="1"/>
  <c r="E85" i="4"/>
  <c r="M85" i="4"/>
  <c r="V102" i="4" l="1"/>
  <c r="S106" i="4"/>
  <c r="V106" i="4" s="1"/>
  <c r="Q21" i="4"/>
  <c r="Q30" i="4" s="1"/>
  <c r="Q32" i="4" s="1"/>
  <c r="Q36" i="4" s="1"/>
  <c r="T36" i="4" s="1"/>
  <c r="N56" i="4"/>
  <c r="V115" i="4"/>
  <c r="H14" i="4"/>
  <c r="E14" i="4"/>
  <c r="V23" i="5"/>
  <c r="Q111" i="4"/>
  <c r="Q137" i="4" s="1"/>
  <c r="S109" i="4"/>
  <c r="V109" i="4" s="1"/>
  <c r="S97" i="4"/>
  <c r="V97" i="4" s="1"/>
  <c r="T32" i="5"/>
  <c r="V21" i="5"/>
  <c r="D14" i="4"/>
  <c r="Q13" i="4"/>
  <c r="E13" i="4"/>
  <c r="H13" i="4"/>
  <c r="G14" i="4"/>
  <c r="T95" i="4"/>
  <c r="T27" i="5"/>
  <c r="S99" i="4"/>
  <c r="S108" i="4"/>
  <c r="V108" i="4" s="1"/>
  <c r="T10" i="4"/>
  <c r="C21" i="6" s="1"/>
  <c r="N9" i="5"/>
  <c r="T9" i="5" s="1"/>
  <c r="S11" i="4"/>
  <c r="J10" i="5"/>
  <c r="S10" i="5" s="1"/>
  <c r="S27" i="5"/>
  <c r="S95" i="4"/>
  <c r="V62" i="4"/>
  <c r="T11" i="4"/>
  <c r="N10" i="5"/>
  <c r="T10" i="5" s="1"/>
  <c r="O23" i="4"/>
  <c r="O14" i="4"/>
  <c r="S10" i="4"/>
  <c r="J9" i="5"/>
  <c r="S9" i="5" s="1"/>
  <c r="Q19" i="5"/>
  <c r="Q28" i="5"/>
  <c r="Q25" i="5"/>
  <c r="V84" i="4"/>
  <c r="V86" i="4"/>
  <c r="C14" i="4"/>
  <c r="M21" i="4"/>
  <c r="M23" i="4" s="1"/>
  <c r="J84" i="4"/>
  <c r="N84" i="4"/>
  <c r="V85" i="4"/>
  <c r="M13" i="4"/>
  <c r="I14" i="4"/>
  <c r="I13" i="4"/>
  <c r="P21" i="4"/>
  <c r="P30" i="4" s="1"/>
  <c r="P32" i="4" s="1"/>
  <c r="K14" i="4"/>
  <c r="P13" i="4"/>
  <c r="L13" i="4"/>
  <c r="G23" i="4"/>
  <c r="L21" i="4"/>
  <c r="L14" i="4"/>
  <c r="I23" i="4"/>
  <c r="J12" i="4"/>
  <c r="K13" i="4" s="1"/>
  <c r="N12" i="4"/>
  <c r="N21" i="4" s="1"/>
  <c r="N23" i="4" s="1"/>
  <c r="I28" i="5"/>
  <c r="I34" i="4"/>
  <c r="D13" i="4"/>
  <c r="V17" i="5"/>
  <c r="V14" i="5"/>
  <c r="V15" i="5"/>
  <c r="L19" i="5"/>
  <c r="V107" i="4"/>
  <c r="J129" i="4"/>
  <c r="E19" i="5"/>
  <c r="E24" i="5"/>
  <c r="E25" i="5" s="1"/>
  <c r="C33" i="5"/>
  <c r="C35" i="5" s="1"/>
  <c r="D19" i="5"/>
  <c r="I19" i="5"/>
  <c r="K24" i="5"/>
  <c r="M19" i="5"/>
  <c r="V16" i="5"/>
  <c r="H19" i="5"/>
  <c r="L24" i="5"/>
  <c r="M25" i="5" s="1"/>
  <c r="P19" i="5"/>
  <c r="V61" i="4"/>
  <c r="N129" i="4"/>
  <c r="J86" i="4"/>
  <c r="J80" i="4"/>
  <c r="N72" i="4"/>
  <c r="N80" i="4" s="1"/>
  <c r="J85" i="4"/>
  <c r="S79" i="4"/>
  <c r="S80" i="4" s="1"/>
  <c r="T64" i="4"/>
  <c r="T72" i="4" s="1"/>
  <c r="V72" i="4" s="1"/>
  <c r="V83" i="4"/>
  <c r="N85" i="4"/>
  <c r="T47" i="4"/>
  <c r="V47" i="4" s="1"/>
  <c r="P111" i="4"/>
  <c r="P137" i="4" s="1"/>
  <c r="I120" i="4"/>
  <c r="V105" i="4"/>
  <c r="V96" i="4"/>
  <c r="L120" i="4"/>
  <c r="V110" i="4"/>
  <c r="H22" i="4"/>
  <c r="H30" i="4"/>
  <c r="H32" i="4" s="1"/>
  <c r="H36" i="4" s="1"/>
  <c r="H23" i="4"/>
  <c r="I22" i="4"/>
  <c r="L111" i="4"/>
  <c r="L137" i="4" s="1"/>
  <c r="C30" i="4"/>
  <c r="C32" i="4" s="1"/>
  <c r="C36" i="4" s="1"/>
  <c r="C23" i="4"/>
  <c r="K30" i="4"/>
  <c r="K32" i="4" s="1"/>
  <c r="K36" i="4" s="1"/>
  <c r="H28" i="5"/>
  <c r="H25" i="5"/>
  <c r="I25" i="5"/>
  <c r="O28" i="5"/>
  <c r="D25" i="5"/>
  <c r="G28" i="5"/>
  <c r="M28" i="5"/>
  <c r="P28" i="5"/>
  <c r="P25" i="5"/>
  <c r="O34" i="4"/>
  <c r="H111" i="4"/>
  <c r="H137" i="4" s="1"/>
  <c r="M129" i="4"/>
  <c r="E30" i="4"/>
  <c r="E32" i="4" s="1"/>
  <c r="E36" i="4" s="1"/>
  <c r="E22" i="4"/>
  <c r="E23" i="4"/>
  <c r="S120" i="4"/>
  <c r="M120" i="4"/>
  <c r="G34" i="4"/>
  <c r="H129" i="4"/>
  <c r="D30" i="4"/>
  <c r="D32" i="4" s="1"/>
  <c r="D36" i="4" s="1"/>
  <c r="D22" i="4"/>
  <c r="D23" i="4"/>
  <c r="K111" i="4"/>
  <c r="K137" i="4" s="1"/>
  <c r="Q23" i="4" l="1"/>
  <c r="Q34" i="4"/>
  <c r="Q33" i="4"/>
  <c r="M30" i="4"/>
  <c r="M32" i="4" s="1"/>
  <c r="M36" i="4" s="1"/>
  <c r="S36" i="4" s="1"/>
  <c r="V36" i="4" s="1"/>
  <c r="T100" i="4"/>
  <c r="S12" i="4"/>
  <c r="S21" i="4" s="1"/>
  <c r="S30" i="4" s="1"/>
  <c r="S32" i="4" s="1"/>
  <c r="S34" i="4" s="1"/>
  <c r="V11" i="4"/>
  <c r="S100" i="4"/>
  <c r="S32" i="5"/>
  <c r="V32" i="5" s="1"/>
  <c r="T12" i="4"/>
  <c r="T21" i="4" s="1"/>
  <c r="T30" i="4" s="1"/>
  <c r="T32" i="4" s="1"/>
  <c r="H138" i="4"/>
  <c r="V10" i="4"/>
  <c r="Q33" i="5"/>
  <c r="Q30" i="5"/>
  <c r="Q29" i="5"/>
  <c r="M22" i="4"/>
  <c r="P22" i="4"/>
  <c r="P138" i="4"/>
  <c r="Q138" i="4"/>
  <c r="Q22" i="4"/>
  <c r="P36" i="4"/>
  <c r="P33" i="4"/>
  <c r="P23" i="4"/>
  <c r="P34" i="4"/>
  <c r="L22" i="4"/>
  <c r="L23" i="4"/>
  <c r="L30" i="4"/>
  <c r="L32" i="4" s="1"/>
  <c r="L36" i="4" s="1"/>
  <c r="J13" i="4"/>
  <c r="J14" i="4"/>
  <c r="J21" i="4"/>
  <c r="J23" i="4" s="1"/>
  <c r="N11" i="5"/>
  <c r="N18" i="5" s="1"/>
  <c r="N19" i="5" s="1"/>
  <c r="T11" i="5"/>
  <c r="T18" i="5" s="1"/>
  <c r="V9" i="5"/>
  <c r="V27" i="5"/>
  <c r="N22" i="4"/>
  <c r="S11" i="5"/>
  <c r="S18" i="5" s="1"/>
  <c r="N13" i="4"/>
  <c r="N14" i="4"/>
  <c r="O22" i="4"/>
  <c r="N30" i="4"/>
  <c r="N32" i="4" s="1"/>
  <c r="O13" i="4"/>
  <c r="J11" i="5"/>
  <c r="J18" i="5" s="1"/>
  <c r="J24" i="5" s="1"/>
  <c r="J25" i="5" s="1"/>
  <c r="V99" i="4"/>
  <c r="V98" i="4"/>
  <c r="E28" i="5"/>
  <c r="E30" i="5" s="1"/>
  <c r="N111" i="4"/>
  <c r="N137" i="4" s="1"/>
  <c r="C34" i="4"/>
  <c r="J111" i="4"/>
  <c r="J137" i="4" s="1"/>
  <c r="L25" i="5"/>
  <c r="L28" i="5"/>
  <c r="L30" i="5" s="1"/>
  <c r="K28" i="5"/>
  <c r="K30" i="5" s="1"/>
  <c r="V79" i="4"/>
  <c r="V64" i="4"/>
  <c r="T56" i="4"/>
  <c r="V56" i="4" s="1"/>
  <c r="I33" i="4"/>
  <c r="H33" i="4"/>
  <c r="H34" i="4"/>
  <c r="K34" i="4"/>
  <c r="T80" i="4"/>
  <c r="V80" i="4" s="1"/>
  <c r="O33" i="5"/>
  <c r="O30" i="5"/>
  <c r="M30" i="5"/>
  <c r="M33" i="5"/>
  <c r="I29" i="5"/>
  <c r="I30" i="5"/>
  <c r="I33" i="5"/>
  <c r="H33" i="5"/>
  <c r="H29" i="5"/>
  <c r="H30" i="5"/>
  <c r="G33" i="5"/>
  <c r="G30" i="5"/>
  <c r="P33" i="5"/>
  <c r="P29" i="5"/>
  <c r="P30" i="5"/>
  <c r="D30" i="5"/>
  <c r="D29" i="5"/>
  <c r="M111" i="4"/>
  <c r="M137" i="4" s="1"/>
  <c r="E34" i="4"/>
  <c r="E33" i="4"/>
  <c r="V92" i="4"/>
  <c r="V114" i="4"/>
  <c r="T120" i="4"/>
  <c r="V120" i="4" s="1"/>
  <c r="D34" i="4"/>
  <c r="D33" i="4"/>
  <c r="I129" i="4"/>
  <c r="L138" i="4"/>
  <c r="M34" i="4" l="1"/>
  <c r="S23" i="4"/>
  <c r="S14" i="4"/>
  <c r="V100" i="4"/>
  <c r="V12" i="4"/>
  <c r="T14" i="4"/>
  <c r="T13" i="4"/>
  <c r="T23" i="4"/>
  <c r="S137" i="4"/>
  <c r="T137" i="4"/>
  <c r="C22" i="6" s="1"/>
  <c r="Q35" i="5"/>
  <c r="Q34" i="5"/>
  <c r="K22" i="4"/>
  <c r="O19" i="5"/>
  <c r="J22" i="4"/>
  <c r="J30" i="4"/>
  <c r="J32" i="4" s="1"/>
  <c r="J36" i="4" s="1"/>
  <c r="K19" i="5"/>
  <c r="M33" i="4"/>
  <c r="L33" i="4"/>
  <c r="L34" i="4"/>
  <c r="O33" i="4"/>
  <c r="N36" i="4"/>
  <c r="N24" i="5"/>
  <c r="O25" i="5" s="1"/>
  <c r="V10" i="5"/>
  <c r="V21" i="4"/>
  <c r="T22" i="4"/>
  <c r="K25" i="5"/>
  <c r="J28" i="5"/>
  <c r="J30" i="5" s="1"/>
  <c r="N34" i="4"/>
  <c r="J19" i="5"/>
  <c r="S24" i="5"/>
  <c r="S28" i="5" s="1"/>
  <c r="S33" i="5" s="1"/>
  <c r="S35" i="5" s="1"/>
  <c r="V11" i="5"/>
  <c r="N33" i="4"/>
  <c r="E29" i="5"/>
  <c r="E33" i="5"/>
  <c r="E35" i="5" s="1"/>
  <c r="L33" i="5"/>
  <c r="L35" i="5" s="1"/>
  <c r="T129" i="4"/>
  <c r="L29" i="5"/>
  <c r="K33" i="5"/>
  <c r="M29" i="5"/>
  <c r="P34" i="5"/>
  <c r="P35" i="5"/>
  <c r="D35" i="5"/>
  <c r="D34" i="5"/>
  <c r="O35" i="5"/>
  <c r="I34" i="5"/>
  <c r="I35" i="5"/>
  <c r="G35" i="5"/>
  <c r="M35" i="5"/>
  <c r="H34" i="5"/>
  <c r="H35" i="5"/>
  <c r="T24" i="5"/>
  <c r="T28" i="5" s="1"/>
  <c r="T33" i="5" s="1"/>
  <c r="T19" i="5"/>
  <c r="V18" i="5"/>
  <c r="S129" i="4"/>
  <c r="V123" i="4"/>
  <c r="I111" i="4"/>
  <c r="I137" i="4" s="1"/>
  <c r="M138" i="4"/>
  <c r="V95" i="4"/>
  <c r="T111" i="4"/>
  <c r="N138" i="4" l="1"/>
  <c r="V23" i="4"/>
  <c r="V14" i="4"/>
  <c r="K138" i="4"/>
  <c r="S30" i="5"/>
  <c r="O138" i="4"/>
  <c r="V33" i="5"/>
  <c r="C23" i="6"/>
  <c r="J34" i="4"/>
  <c r="N25" i="5"/>
  <c r="N28" i="5"/>
  <c r="N33" i="5" s="1"/>
  <c r="K33" i="4"/>
  <c r="J33" i="4"/>
  <c r="V30" i="4"/>
  <c r="J33" i="5"/>
  <c r="J34" i="5" s="1"/>
  <c r="J29" i="5"/>
  <c r="K29" i="5"/>
  <c r="E34" i="5"/>
  <c r="V129" i="4"/>
  <c r="M34" i="5"/>
  <c r="L34" i="5"/>
  <c r="K35" i="5"/>
  <c r="V28" i="5"/>
  <c r="T30" i="5"/>
  <c r="T29" i="5"/>
  <c r="V24" i="5"/>
  <c r="T25" i="5"/>
  <c r="T35" i="5"/>
  <c r="T34" i="5"/>
  <c r="V101" i="4"/>
  <c r="S111" i="4"/>
  <c r="V111" i="4" s="1"/>
  <c r="I138" i="4"/>
  <c r="J138" i="4"/>
  <c r="T34" i="4"/>
  <c r="V34" i="4" s="1"/>
  <c r="T33" i="4"/>
  <c r="V32" i="4"/>
  <c r="N29" i="5" l="1"/>
  <c r="O29" i="5"/>
  <c r="N30" i="5"/>
  <c r="K34" i="5"/>
  <c r="J35" i="5"/>
  <c r="O34" i="5"/>
  <c r="N34" i="5"/>
  <c r="N35" i="5"/>
  <c r="T138" i="4"/>
  <c r="V137"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<sst xmlns="http://schemas.openxmlformats.org/spreadsheetml/2006/main" count="199" uniqueCount="151">
  <si>
    <t>Cash and cash equivalents</t>
  </si>
  <si>
    <t>Total current assets</t>
  </si>
  <si>
    <t>Property and equipment, net</t>
  </si>
  <si>
    <t>Total assets</t>
  </si>
  <si>
    <t>Total current liabilities</t>
  </si>
  <si>
    <t>Additional paid-in capital</t>
  </si>
  <si>
    <t>Accumulated other comprehensive loss</t>
  </si>
  <si>
    <t>FYE</t>
  </si>
  <si>
    <t>Quarterly</t>
  </si>
  <si>
    <t>LTM</t>
  </si>
  <si>
    <t>Revenue</t>
  </si>
  <si>
    <t>Cost of revenue</t>
  </si>
  <si>
    <t>Sales and marketing</t>
  </si>
  <si>
    <t>General and administrative</t>
  </si>
  <si>
    <t>Research and development</t>
  </si>
  <si>
    <t>Other income (expense), net</t>
  </si>
  <si>
    <t>Adjustments to reconcile net income (loss) to net cash used in operating activities:</t>
  </si>
  <si>
    <t>Depreciation and amortization</t>
  </si>
  <si>
    <t>Changes in assets and liabilities, net of effect of acquisitions:</t>
  </si>
  <si>
    <t>Accounts receivable</t>
  </si>
  <si>
    <t>Net cash used in operating activities</t>
  </si>
  <si>
    <t>Purchases of property and equipment</t>
  </si>
  <si>
    <t>Net cash used in investing activities</t>
  </si>
  <si>
    <t>Net cash provided by financing activities</t>
  </si>
  <si>
    <t>V</t>
  </si>
  <si>
    <t>(In Thousands)</t>
  </si>
  <si>
    <t>LTM VAR</t>
  </si>
  <si>
    <t>X</t>
  </si>
  <si>
    <t xml:space="preserve">Income Statement </t>
  </si>
  <si>
    <t>FY2021</t>
  </si>
  <si>
    <t>FY2022</t>
  </si>
  <si>
    <t>FY2023</t>
  </si>
  <si>
    <t>VAR</t>
  </si>
  <si>
    <t>Gross Profit</t>
  </si>
  <si>
    <t>Y/Y Growth, Q/Q Growth</t>
  </si>
  <si>
    <t>Gross Margin</t>
  </si>
  <si>
    <t>Interest income</t>
  </si>
  <si>
    <t>Operating expenses:</t>
  </si>
  <si>
    <t>Profit From Operations</t>
  </si>
  <si>
    <t>Operating Margin</t>
  </si>
  <si>
    <t>Net loss before provision for income taxes</t>
  </si>
  <si>
    <t>Net loss</t>
  </si>
  <si>
    <t>Net Margin</t>
  </si>
  <si>
    <t xml:space="preserve">Balance Sheet Statement </t>
  </si>
  <si>
    <t>Current Assets</t>
  </si>
  <si>
    <t>Long-Term Assets</t>
  </si>
  <si>
    <t>Current Liabilities</t>
  </si>
  <si>
    <t>Long-Term Liabilities</t>
  </si>
  <si>
    <t>Total Liabilities</t>
  </si>
  <si>
    <t>Stockholders’ equity (deficit):</t>
  </si>
  <si>
    <t>Total stockholders' equity</t>
  </si>
  <si>
    <t>Total liabilities and stockholders' equity</t>
  </si>
  <si>
    <t>Ratio Analysis</t>
  </si>
  <si>
    <t>Debt-to Asset</t>
  </si>
  <si>
    <t>Quick Ratio</t>
  </si>
  <si>
    <t>Current Ratio</t>
  </si>
  <si>
    <t>Cash Ratio</t>
  </si>
  <si>
    <t>Cash-Flows Statement</t>
  </si>
  <si>
    <t>CASH FLOWS FROM OPERATING ACTIVITIES:</t>
  </si>
  <si>
    <t>Cash flows from investing activities:</t>
  </si>
  <si>
    <t>Cash flows from financing activities:</t>
  </si>
  <si>
    <t>Cash-Flows Analysis</t>
  </si>
  <si>
    <t>Free-Cash Flow</t>
  </si>
  <si>
    <t>Earnings Before Interest &amp; Taxes (EBIT)</t>
  </si>
  <si>
    <t>EBITDA Add-Backs:</t>
  </si>
  <si>
    <t>EBITDA</t>
  </si>
  <si>
    <t>EBITDA Margin</t>
  </si>
  <si>
    <t>Adjusted EBITDA Add-Backs:</t>
  </si>
  <si>
    <t>Adjusted EBITDA</t>
  </si>
  <si>
    <t>Adjusted EBITDA Margin</t>
  </si>
  <si>
    <t>Company Name</t>
  </si>
  <si>
    <t xml:space="preserve">Ticker </t>
  </si>
  <si>
    <t xml:space="preserve">Background </t>
  </si>
  <si>
    <t xml:space="preserve">Snapshot </t>
  </si>
  <si>
    <t>Equity Value</t>
  </si>
  <si>
    <t xml:space="preserve">Enterprise Value </t>
  </si>
  <si>
    <t>LTM Revenue</t>
  </si>
  <si>
    <t>LTM Adjusted EBITDA</t>
  </si>
  <si>
    <t>1Q22</t>
  </si>
  <si>
    <t>2Q22</t>
  </si>
  <si>
    <t>3Q22</t>
  </si>
  <si>
    <t>4Q22</t>
  </si>
  <si>
    <t>1Q23</t>
  </si>
  <si>
    <t>2Q23</t>
  </si>
  <si>
    <t>3Q23</t>
  </si>
  <si>
    <t>4Q23</t>
  </si>
  <si>
    <t>1Q24</t>
  </si>
  <si>
    <t>2Q24</t>
  </si>
  <si>
    <t>3Q24</t>
  </si>
  <si>
    <t>Operating Expenses</t>
  </si>
  <si>
    <t>Prepaid expenses and other current assets</t>
  </si>
  <si>
    <t xml:space="preserve"> USD ($) shares in Thousands</t>
  </si>
  <si>
    <t>LTM Total Debt</t>
  </si>
  <si>
    <t>LTM Cash Position</t>
  </si>
  <si>
    <t>Equity Data</t>
  </si>
  <si>
    <t>Share Price</t>
  </si>
  <si>
    <t>Shares Outstanding</t>
  </si>
  <si>
    <t>Market Cap</t>
  </si>
  <si>
    <t>Enterprise Value Per Share</t>
  </si>
  <si>
    <t>LTM FCF</t>
  </si>
  <si>
    <t>Cost of revenue (excluding depreciation and amortization)</t>
  </si>
  <si>
    <t>Gain (loss) on change in fair value of warrant liabilities</t>
  </si>
  <si>
    <t>Interest income, net</t>
  </si>
  <si>
    <t>Offering costs associated with warrants</t>
  </si>
  <si>
    <t>Income tax benefit (expense)</t>
  </si>
  <si>
    <t>Net loss per share attributable to common stockholders basic and diluted</t>
  </si>
  <si>
    <t>Weighted average shares used in computing net loss per share attributable to common stockholders-basic and diluted</t>
  </si>
  <si>
    <t>Short-term investments</t>
  </si>
  <si>
    <t>Long-term investments</t>
  </si>
  <si>
    <t>Operating lease right-of-use assets</t>
  </si>
  <si>
    <t>Intangible assets, net</t>
  </si>
  <si>
    <t>Goodwill</t>
  </si>
  <si>
    <t>Other noncurrent assets</t>
  </si>
  <si>
    <t>Accounts payable</t>
  </si>
  <si>
    <t>Accrued expenses</t>
  </si>
  <si>
    <t>Current portion of operating lease liabilities</t>
  </si>
  <si>
    <t>Unearned revenue</t>
  </si>
  <si>
    <t>Current portion of stock option early exercise liabilities</t>
  </si>
  <si>
    <t>Operating lease liabilities, net of current portion</t>
  </si>
  <si>
    <t>Unearned revenue, net of current portion</t>
  </si>
  <si>
    <t>Stock option early exercise liabilities, net of current portion</t>
  </si>
  <si>
    <t>Warrant liabilities</t>
  </si>
  <si>
    <t>Other noncurrent liabilities</t>
  </si>
  <si>
    <t>Common stock $0.0001 par value</t>
  </si>
  <si>
    <t>Accumulated deficit</t>
  </si>
  <si>
    <t>Effect of foreign exchange rate changes on cash, cash equivalents and restricted cash</t>
  </si>
  <si>
    <t>Net change in cash, cash equivalents and restricted cash</t>
  </si>
  <si>
    <t>Cash, cash equivalents and restricted cash at the beginning of the period</t>
  </si>
  <si>
    <t>Cash, cash equivalents and restricted cash at the end of the period</t>
  </si>
  <si>
    <t>Proceeds from stock options exercised</t>
  </si>
  <si>
    <t>Other financing, net</t>
  </si>
  <si>
    <t>Tax withholding receipts (payments) related to vested and released RSUs, net</t>
  </si>
  <si>
    <t>Proceeds from public warrants exercised</t>
  </si>
  <si>
    <t>Repurchase of early exercised stock options</t>
  </si>
  <si>
    <t>Proceeds from merger and PIPE transactions, net of transaction costs</t>
  </si>
  <si>
    <t>Capitalized software development costs</t>
  </si>
  <si>
    <t>Intangible asset acquisition costs</t>
  </si>
  <si>
    <t>Purchases of available-for-sale securities</t>
  </si>
  <si>
    <t>Maturities and sales of available-for-sale securities</t>
  </si>
  <si>
    <t>Business acquired</t>
  </si>
  <si>
    <t>Other assets and liabilities</t>
  </si>
  <si>
    <t>Non-cash research and development arrangements</t>
  </si>
  <si>
    <t>Stock-based compensation</t>
  </si>
  <si>
    <t>Amortization of premiums and accretion of discounts on available-for-sale securities</t>
  </si>
  <si>
    <t>Other, net</t>
  </si>
  <si>
    <t>Amortization of customer warrant</t>
  </si>
  <si>
    <t>IonQ, Inc. (NASDAQ: IONQ)</t>
  </si>
  <si>
    <t>IONQ</t>
  </si>
  <si>
    <t>Change in fair value of warrant liabilities</t>
  </si>
  <si>
    <t>EBITDA Analysis</t>
  </si>
  <si>
    <t xml:space="preserve">We are developing quantum computers designed to solve some of the world’s most complex problems, and transform business, society and the planet for the better. We believe that our proprietary technology, our architecture and the technology exclusively available to us through license agreements will offer us advantages both in terms of research and development, as well as the commercial value of our intended product offerings. 
Today, we sell specialized quantum computing hardware together with related maintenance and support. We also sell access to several quantum computers of various qubit capacities and are in the process of researching and developing technologies for quantum computers with increasing computational capabilities. We currently make access to our quantum computers available via three major cloud platforms, Amazon Web Services’ (“AWS”) Amazon Braket, Microsoft’s Azure Quantum and Google’s Cloud Marketplace, and also to select customers via our own cloud service. This cloud-based approach enables the broad availability of quantum-computing-as-a-service (“QCaaS”). 
We supplement our offerings with professional services focused on assisting our customers in applying quantum computing to their businesses. We also expect to sell full quantum computing systems to customers, either over the cloud or for local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</si>
</sst>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quot;$ &quot;#,##0_);_(&quot;$ &quot;\(#,##0\)"/>
    <numFmt numFmtId="165" formatCode="&quot;$&quot;#,##0"/>
    <numFmt numFmtId="166" formatCode="0.00&quot;x&quot;"/>
    <numFmt numFmtId="167" formatCode="_(* #,##0_);_(* \(#,##0\);_(* &quot;-&quot;??_);_(@_)"/>
    <numFmt numFmtId="168" formatCode="_([$$-409]* #,##0.00_);_([$$-409]* \(#,##0.00\);_([$$-409]* &quot;-&quot;??_);_(@_)"/>
    <numFmt numFmtId="169" formatCode="_([$$-409]* #,##0_);_([$$-409]* \(#,##0\);_([$$-409]* &quot;-&quot;_);_(@_)"/>
  </numFmts>
  <fonts count="32">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
      <i/>
      <sz val="11"/>
      <color theme="0"/>
      <name val="Aptos Narrow"/>
      <family val="2"/>
      <scheme val="minor"/>
    </font>
    <font>
      <b/>
      <sz val="12"/>
      <color theme="0"/>
      <name val="Aptos Narrow"/>
      <family val="2"/>
      <scheme val="minor"/>
    </font>
    <font>
      <i/>
      <sz val="11"/>
      <color theme="0"/>
      <name val="Calibri"/>
      <family val="2"/>
    </font>
    <font>
      <sz val="11"/>
      <color rgb="FF0000CC"/>
      <name val="Calibri"/>
      <family val="2"/>
    </font>
    <font>
      <sz val="11"/>
      <color rgb="FF0000FF"/>
      <name val="Calibri"/>
      <family val="2"/>
    </font>
    <font>
      <sz val="11"/>
      <color theme="1"/>
      <name val="Calibri"/>
      <family val="2"/>
    </font>
    <font>
      <i/>
      <sz val="9"/>
      <color theme="1"/>
      <name val="Aptos Narrow"/>
      <family val="2"/>
      <scheme val="minor"/>
    </font>
    <font>
      <b/>
      <sz val="11"/>
      <color theme="1"/>
      <name val="Calibri"/>
      <family val="2"/>
    </font>
    <font>
      <b/>
      <i/>
      <sz val="9"/>
      <color theme="1"/>
      <name val="Aptos Narrow"/>
      <family val="2"/>
      <scheme val="minor"/>
    </font>
    <font>
      <i/>
      <sz val="10"/>
      <name val="Calibri"/>
      <family val="2"/>
    </font>
    <font>
      <sz val="10"/>
      <name val="Calibri"/>
      <family val="2"/>
    </font>
    <font>
      <sz val="11"/>
      <color rgb="FF0000E1"/>
      <name val="Calibri"/>
      <family val="2"/>
    </font>
    <font>
      <sz val="11"/>
      <color theme="9" tint="-0.249977111117893"/>
      <name val="Calibri"/>
      <family val="2"/>
    </font>
    <font>
      <b/>
      <sz val="11"/>
      <color theme="0"/>
      <name val="Calibri"/>
      <family val="2"/>
    </font>
    <font>
      <b/>
      <sz val="12"/>
      <color theme="1"/>
      <name val="Aptos Narrow"/>
      <family val="2"/>
      <scheme val="minor"/>
    </font>
    <font>
      <b/>
      <sz val="11"/>
      <name val="Aptos Narrow"/>
      <family val="2"/>
      <scheme val="minor"/>
    </font>
    <font>
      <b/>
      <sz val="12"/>
      <name val="Aptos Narrow"/>
      <family val="2"/>
      <scheme val="minor"/>
    </font>
    <font>
      <b/>
      <sz val="11"/>
      <color rgb="FF0000CC"/>
      <name val="Calibri"/>
      <family val="2"/>
    </font>
    <font>
      <sz val="11"/>
      <color rgb="FF0000CC"/>
      <name val="Aptos Narrow"/>
      <family val="2"/>
      <scheme val="minor"/>
    </font>
    <font>
      <b/>
      <sz val="12"/>
      <color indexed="8"/>
      <name val="Calibri"/>
      <family val="2"/>
      <charset val="1"/>
    </font>
    <font>
      <b/>
      <sz val="11"/>
      <color rgb="FF0000FF"/>
      <name val="Calibri"/>
      <family val="2"/>
    </font>
    <font>
      <i/>
      <sz val="11"/>
      <color theme="1"/>
      <name val="Aptos Narrow"/>
      <family val="2"/>
      <scheme val="minor"/>
    </font>
    <font>
      <sz val="11"/>
      <color rgb="FF0000FF"/>
      <name val="Aptos Narrow"/>
      <family val="2"/>
      <scheme val="minor"/>
    </font>
    <font>
      <sz val="11"/>
      <color rgb="FFFF0000"/>
      <name val="Aptos Narrow"/>
      <family val="2"/>
      <scheme val="minor"/>
    </font>
    <font>
      <sz val="11"/>
      <color theme="9" tint="-0.249977111117893"/>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3" tint="0.89999084444715716"/>
        <bgColor indexed="64"/>
      </patternFill>
    </fill>
  </fills>
  <borders count="13">
    <border>
      <left/>
      <right/>
      <top/>
      <bottom/>
      <diagonal/>
    </border>
    <border>
      <left/>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7">
    <xf numFmtId="0" fontId="0" fillId="0" borderId="0" xfId="0"/>
    <xf numFmtId="37" fontId="6" fillId="0" borderId="0" xfId="0" applyNumberFormat="1" applyFont="1" applyAlignment="1">
      <alignment horizontal="right" vertical="top"/>
    </xf>
    <xf numFmtId="0" fontId="6" fillId="0" borderId="0" xfId="0" applyFont="1" applyAlignment="1">
      <alignment vertical="top" wrapText="1"/>
    </xf>
    <xf numFmtId="0" fontId="3" fillId="0" borderId="0" xfId="0" applyFont="1"/>
    <xf numFmtId="37" fontId="0" fillId="0" borderId="0" xfId="0" applyNumberFormat="1"/>
    <xf numFmtId="37" fontId="3" fillId="0" borderId="0" xfId="0" applyNumberFormat="1" applyFont="1"/>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7" fillId="2" borderId="0" xfId="0" applyFont="1" applyFill="1" applyAlignment="1">
      <alignment wrapText="1"/>
    </xf>
    <xf numFmtId="0" fontId="7" fillId="0" borderId="0" xfId="0" applyFont="1" applyAlignment="1">
      <alignment wrapText="1"/>
    </xf>
    <xf numFmtId="0" fontId="3" fillId="0" borderId="2"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0" fontId="9" fillId="2" borderId="0" xfId="0" applyFont="1" applyFill="1" applyAlignment="1">
      <alignment vertical="center"/>
    </xf>
    <xf numFmtId="14" fontId="4" fillId="2" borderId="0" xfId="0" applyNumberFormat="1" applyFont="1" applyFill="1" applyAlignment="1">
      <alignment horizontal="center" wrapText="1"/>
    </xf>
    <xf numFmtId="14" fontId="7" fillId="0" borderId="0" xfId="0" applyNumberFormat="1" applyFont="1" applyAlignment="1">
      <alignment horizontal="center" wrapText="1"/>
    </xf>
    <xf numFmtId="0" fontId="9" fillId="0" borderId="0" xfId="0" applyFont="1" applyAlignment="1">
      <alignment vertical="center" wrapText="1"/>
    </xf>
    <xf numFmtId="14" fontId="2" fillId="0" borderId="0" xfId="0" applyNumberFormat="1" applyFont="1" applyAlignment="1">
      <alignment horizontal="center" wrapText="1"/>
    </xf>
    <xf numFmtId="37" fontId="10" fillId="0" borderId="0" xfId="0" applyNumberFormat="1" applyFont="1" applyAlignment="1">
      <alignment horizontal="right" vertical="top" wrapText="1"/>
    </xf>
    <xf numFmtId="37" fontId="0" fillId="0" borderId="0" xfId="0" applyNumberFormat="1" applyAlignment="1">
      <alignment wrapText="1"/>
    </xf>
    <xf numFmtId="37" fontId="11" fillId="0" borderId="0" xfId="0" applyNumberFormat="1" applyFont="1" applyAlignment="1">
      <alignment horizontal="right" vertical="top" wrapText="1"/>
    </xf>
    <xf numFmtId="37" fontId="12" fillId="0" borderId="0" xfId="0" applyNumberFormat="1" applyFont="1" applyAlignment="1">
      <alignment wrapText="1"/>
    </xf>
    <xf numFmtId="164" fontId="12" fillId="0" borderId="0" xfId="0" applyNumberFormat="1" applyFont="1" applyAlignment="1">
      <alignment wrapText="1"/>
    </xf>
    <xf numFmtId="10" fontId="13" fillId="3" borderId="0" xfId="2" applyNumberFormat="1" applyFont="1" applyFill="1" applyAlignment="1">
      <alignment horizontal="center" wrapText="1"/>
    </xf>
    <xf numFmtId="0" fontId="6" fillId="0" borderId="0" xfId="0" applyFont="1" applyAlignment="1">
      <alignment horizontal="left" vertical="top" wrapText="1" indent="1"/>
    </xf>
    <xf numFmtId="165" fontId="5" fillId="0" borderId="1" xfId="0" applyNumberFormat="1" applyFont="1" applyBorder="1" applyAlignment="1">
      <alignment vertical="top" wrapText="1"/>
    </xf>
    <xf numFmtId="37" fontId="5" fillId="0" borderId="1" xfId="0" applyNumberFormat="1" applyFont="1" applyBorder="1" applyAlignment="1">
      <alignment horizontal="right" vertical="top" wrapText="1"/>
    </xf>
    <xf numFmtId="164" fontId="14" fillId="0" borderId="0" xfId="0" applyNumberFormat="1" applyFont="1" applyAlignment="1">
      <alignment wrapText="1"/>
    </xf>
    <xf numFmtId="10" fontId="15" fillId="3" borderId="0" xfId="2" applyNumberFormat="1" applyFont="1" applyFill="1" applyAlignment="1">
      <alignment horizontal="center" wrapText="1"/>
    </xf>
    <xf numFmtId="0" fontId="16" fillId="0" borderId="0" xfId="0" applyFont="1" applyAlignment="1">
      <alignment horizontal="right" vertical="center" wrapText="1"/>
    </xf>
    <xf numFmtId="165" fontId="5" fillId="0" borderId="0" xfId="0" applyNumberFormat="1" applyFont="1" applyAlignment="1">
      <alignment horizontal="right" vertical="top" wrapText="1"/>
    </xf>
    <xf numFmtId="9" fontId="17" fillId="0" borderId="0" xfId="2" applyFont="1" applyBorder="1" applyAlignment="1">
      <alignment horizontal="right" vertical="center" wrapText="1"/>
    </xf>
    <xf numFmtId="10" fontId="15" fillId="0" borderId="0" xfId="2" applyNumberFormat="1" applyFont="1" applyFill="1" applyAlignment="1">
      <alignment horizontal="center" wrapText="1"/>
    </xf>
    <xf numFmtId="165" fontId="5" fillId="0" borderId="0" xfId="0" applyNumberFormat="1" applyFont="1" applyAlignment="1">
      <alignment vertical="top" wrapText="1"/>
    </xf>
    <xf numFmtId="0" fontId="12" fillId="0" borderId="0" xfId="0" applyFont="1" applyAlignment="1">
      <alignment wrapText="1"/>
    </xf>
    <xf numFmtId="0" fontId="0" fillId="0" borderId="0" xfId="0" applyAlignment="1">
      <alignment horizontal="center" wrapText="1"/>
    </xf>
    <xf numFmtId="0" fontId="5" fillId="0" borderId="0" xfId="0" applyFont="1" applyAlignment="1">
      <alignment vertical="top" wrapText="1"/>
    </xf>
    <xf numFmtId="37" fontId="6" fillId="0" borderId="0" xfId="0" applyNumberFormat="1" applyFont="1" applyAlignment="1">
      <alignment horizontal="right" vertical="top" wrapText="1"/>
    </xf>
    <xf numFmtId="10" fontId="13" fillId="0" borderId="0" xfId="2" applyNumberFormat="1" applyFont="1" applyFill="1" applyAlignment="1">
      <alignment horizontal="center" wrapText="1"/>
    </xf>
    <xf numFmtId="0" fontId="5" fillId="0" borderId="1" xfId="0" applyFont="1" applyBorder="1" applyAlignment="1">
      <alignment vertical="top" wrapText="1"/>
    </xf>
    <xf numFmtId="39" fontId="17" fillId="0" borderId="0" xfId="0" applyNumberFormat="1" applyFont="1" applyAlignment="1">
      <alignment horizontal="right" vertical="center" wrapText="1"/>
    </xf>
    <xf numFmtId="9" fontId="17" fillId="0" borderId="0" xfId="2" applyFont="1" applyFill="1" applyBorder="1" applyAlignment="1">
      <alignment horizontal="right" vertical="center" wrapText="1"/>
    </xf>
    <xf numFmtId="0" fontId="6" fillId="0" borderId="0" xfId="0" applyFont="1" applyAlignment="1">
      <alignment horizontal="left" vertical="top" wrapText="1"/>
    </xf>
    <xf numFmtId="0" fontId="3" fillId="0" borderId="1" xfId="0" applyFont="1" applyBorder="1"/>
    <xf numFmtId="0" fontId="0" fillId="0" borderId="3" xfId="0" applyBorder="1"/>
    <xf numFmtId="9" fontId="6" fillId="0" borderId="0" xfId="2" applyFont="1" applyBorder="1" applyAlignment="1">
      <alignment horizontal="right" vertical="center"/>
    </xf>
    <xf numFmtId="0" fontId="0" fillId="0" borderId="6" xfId="0" applyBorder="1"/>
    <xf numFmtId="37" fontId="18" fillId="0" borderId="2" xfId="0" applyNumberFormat="1" applyFont="1" applyBorder="1" applyAlignment="1">
      <alignment horizontal="right" vertical="center"/>
    </xf>
    <xf numFmtId="37" fontId="18" fillId="0" borderId="2" xfId="2" applyNumberFormat="1" applyFont="1" applyBorder="1" applyAlignment="1">
      <alignment horizontal="right" vertical="center"/>
    </xf>
    <xf numFmtId="37" fontId="18" fillId="0" borderId="7" xfId="2" applyNumberFormat="1" applyFont="1" applyBorder="1" applyAlignment="1">
      <alignment horizontal="right" vertical="center"/>
    </xf>
    <xf numFmtId="37" fontId="19" fillId="0" borderId="2" xfId="2" applyNumberFormat="1" applyFont="1" applyBorder="1" applyAlignment="1">
      <alignment horizontal="right" vertical="center"/>
    </xf>
    <xf numFmtId="0" fontId="20" fillId="2" borderId="0" xfId="0" applyFont="1" applyFill="1" applyAlignment="1">
      <alignment horizontal="center" vertical="center" wrapText="1"/>
    </xf>
    <xf numFmtId="0" fontId="9" fillId="2" borderId="0" xfId="0" applyFont="1" applyFill="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37" fontId="3" fillId="0" borderId="1" xfId="0" applyNumberFormat="1" applyFont="1" applyBorder="1" applyAlignment="1">
      <alignment wrapText="1"/>
    </xf>
    <xf numFmtId="37" fontId="21" fillId="0" borderId="0" xfId="0" applyNumberFormat="1" applyFont="1" applyAlignment="1">
      <alignment wrapText="1"/>
    </xf>
    <xf numFmtId="37" fontId="3" fillId="0" borderId="0" xfId="0" applyNumberFormat="1" applyFont="1" applyAlignment="1">
      <alignment wrapText="1"/>
    </xf>
    <xf numFmtId="37" fontId="5" fillId="0" borderId="0" xfId="0" applyNumberFormat="1" applyFont="1" applyAlignment="1">
      <alignment horizontal="right" vertical="top" wrapText="1"/>
    </xf>
    <xf numFmtId="37" fontId="18" fillId="0" borderId="0" xfId="0" applyNumberFormat="1" applyFont="1" applyAlignment="1">
      <alignment horizontal="right" vertical="top" wrapText="1"/>
    </xf>
    <xf numFmtId="37" fontId="22" fillId="0" borderId="1" xfId="0" applyNumberFormat="1" applyFont="1" applyBorder="1" applyAlignment="1">
      <alignment wrapText="1"/>
    </xf>
    <xf numFmtId="37" fontId="23" fillId="0" borderId="0" xfId="0" applyNumberFormat="1" applyFont="1" applyAlignment="1">
      <alignment wrapText="1"/>
    </xf>
    <xf numFmtId="37" fontId="24" fillId="0" borderId="0" xfId="0" applyNumberFormat="1" applyFont="1" applyAlignment="1">
      <alignment horizontal="right" vertical="top" wrapText="1"/>
    </xf>
    <xf numFmtId="0" fontId="21" fillId="0" borderId="0" xfId="0" applyFont="1" applyAlignment="1">
      <alignment wrapText="1"/>
    </xf>
    <xf numFmtId="0" fontId="6" fillId="0" borderId="0" xfId="0" applyFont="1" applyAlignment="1">
      <alignment horizontal="left" vertical="top" indent="1"/>
    </xf>
    <xf numFmtId="37" fontId="22" fillId="0" borderId="0" xfId="0" applyNumberFormat="1" applyFont="1" applyAlignment="1">
      <alignment wrapText="1"/>
    </xf>
    <xf numFmtId="37" fontId="11" fillId="0" borderId="0" xfId="0" applyNumberFormat="1" applyFont="1" applyAlignment="1">
      <alignment wrapText="1"/>
    </xf>
    <xf numFmtId="0" fontId="11" fillId="0" borderId="0" xfId="0" applyFont="1" applyAlignment="1">
      <alignment wrapText="1"/>
    </xf>
    <xf numFmtId="37" fontId="25" fillId="0" borderId="0" xfId="0" applyNumberFormat="1" applyFont="1" applyAlignment="1">
      <alignment wrapText="1"/>
    </xf>
    <xf numFmtId="0" fontId="18" fillId="0" borderId="0" xfId="0" applyFont="1" applyAlignment="1">
      <alignment wrapText="1"/>
    </xf>
    <xf numFmtId="37" fontId="18" fillId="0" borderId="0" xfId="0" applyNumberFormat="1" applyFont="1" applyAlignment="1">
      <alignment wrapText="1"/>
    </xf>
    <xf numFmtId="37" fontId="5" fillId="0" borderId="1" xfId="0" applyNumberFormat="1" applyFont="1" applyBorder="1" applyAlignment="1">
      <alignment wrapText="1"/>
    </xf>
    <xf numFmtId="0" fontId="5" fillId="0" borderId="0" xfId="0" applyFont="1" applyAlignment="1">
      <alignment wrapText="1"/>
    </xf>
    <xf numFmtId="37" fontId="6" fillId="0" borderId="0" xfId="0" applyNumberFormat="1" applyFont="1" applyAlignment="1">
      <alignment wrapText="1"/>
    </xf>
    <xf numFmtId="0" fontId="5" fillId="4" borderId="3" xfId="0" applyFont="1" applyFill="1" applyBorder="1" applyAlignment="1">
      <alignment vertical="top"/>
    </xf>
    <xf numFmtId="37" fontId="6" fillId="4" borderId="4" xfId="0" applyNumberFormat="1" applyFont="1" applyFill="1" applyBorder="1"/>
    <xf numFmtId="37" fontId="6" fillId="4" borderId="5" xfId="0" applyNumberFormat="1" applyFont="1" applyFill="1" applyBorder="1"/>
    <xf numFmtId="37" fontId="6" fillId="4" borderId="3" xfId="0" applyNumberFormat="1" applyFont="1" applyFill="1" applyBorder="1"/>
    <xf numFmtId="37" fontId="6" fillId="4" borderId="3" xfId="0" applyNumberFormat="1" applyFont="1" applyFill="1" applyBorder="1" applyAlignment="1">
      <alignment wrapText="1"/>
    </xf>
    <xf numFmtId="37" fontId="6" fillId="4" borderId="5" xfId="0" applyNumberFormat="1" applyFont="1" applyFill="1" applyBorder="1" applyAlignment="1">
      <alignment wrapText="1"/>
    </xf>
    <xf numFmtId="0" fontId="6" fillId="4" borderId="8" xfId="0" applyFont="1" applyFill="1" applyBorder="1" applyAlignment="1">
      <alignment horizontal="left" vertical="top" indent="1"/>
    </xf>
    <xf numFmtId="166" fontId="6" fillId="4" borderId="9" xfId="0" applyNumberFormat="1" applyFont="1" applyFill="1" applyBorder="1" applyAlignment="1">
      <alignment horizontal="center" vertical="center"/>
    </xf>
    <xf numFmtId="166" fontId="6" fillId="4" borderId="8" xfId="0" applyNumberFormat="1" applyFont="1" applyFill="1" applyBorder="1" applyAlignment="1">
      <alignment horizontal="center" vertical="center"/>
    </xf>
    <xf numFmtId="0" fontId="0" fillId="4" borderId="8" xfId="0" applyFill="1" applyBorder="1" applyAlignment="1">
      <alignment horizontal="left" indent="1"/>
    </xf>
    <xf numFmtId="0" fontId="6" fillId="4" borderId="6" xfId="0" applyFont="1" applyFill="1" applyBorder="1" applyAlignment="1">
      <alignment horizontal="left" vertical="top" indent="1"/>
    </xf>
    <xf numFmtId="166" fontId="6" fillId="4" borderId="2" xfId="0" applyNumberFormat="1" applyFont="1" applyFill="1" applyBorder="1" applyAlignment="1">
      <alignment horizontal="center" vertical="center"/>
    </xf>
    <xf numFmtId="166" fontId="6" fillId="4" borderId="7" xfId="0" applyNumberFormat="1" applyFont="1" applyFill="1" applyBorder="1" applyAlignment="1">
      <alignment horizontal="center" vertical="center"/>
    </xf>
    <xf numFmtId="166" fontId="6" fillId="4" borderId="6" xfId="0" applyNumberFormat="1" applyFont="1" applyFill="1" applyBorder="1" applyAlignment="1">
      <alignment horizontal="center"/>
    </xf>
    <xf numFmtId="166" fontId="6" fillId="4" borderId="2" xfId="0" applyNumberFormat="1" applyFont="1" applyFill="1" applyBorder="1" applyAlignment="1">
      <alignment horizontal="center"/>
    </xf>
    <xf numFmtId="166" fontId="6" fillId="4" borderId="7" xfId="0" applyNumberFormat="1" applyFont="1" applyFill="1" applyBorder="1" applyAlignment="1">
      <alignment horizontal="center"/>
    </xf>
    <xf numFmtId="0" fontId="3" fillId="0" borderId="0" xfId="0" applyFont="1" applyAlignment="1">
      <alignment wrapText="1"/>
    </xf>
    <xf numFmtId="0" fontId="26" fillId="0" borderId="0" xfId="0" applyFont="1" applyAlignment="1">
      <alignment wrapText="1"/>
    </xf>
    <xf numFmtId="167" fontId="0" fillId="0" borderId="0" xfId="1" applyNumberFormat="1" applyFont="1" applyBorder="1" applyAlignment="1">
      <alignment wrapText="1"/>
    </xf>
    <xf numFmtId="0" fontId="0" fillId="0" borderId="0" xfId="0" applyAlignment="1">
      <alignment horizontal="left" wrapText="1" indent="1"/>
    </xf>
    <xf numFmtId="37" fontId="11" fillId="0" borderId="0" xfId="0" applyNumberFormat="1" applyFont="1"/>
    <xf numFmtId="37" fontId="12" fillId="0" borderId="0" xfId="0" applyNumberFormat="1" applyFont="1"/>
    <xf numFmtId="37" fontId="6" fillId="0" borderId="0" xfId="0" applyNumberFormat="1" applyFont="1"/>
    <xf numFmtId="37" fontId="11" fillId="0" borderId="0" xfId="1" applyNumberFormat="1" applyFont="1" applyBorder="1" applyAlignment="1">
      <alignment wrapText="1"/>
    </xf>
    <xf numFmtId="37" fontId="10" fillId="0" borderId="0" xfId="1" applyNumberFormat="1" applyFont="1" applyBorder="1" applyAlignment="1">
      <alignment wrapText="1"/>
    </xf>
    <xf numFmtId="37" fontId="6" fillId="0" borderId="0" xfId="1" applyNumberFormat="1" applyFont="1" applyBorder="1" applyAlignment="1">
      <alignment wrapText="1"/>
    </xf>
    <xf numFmtId="37" fontId="10" fillId="0" borderId="0" xfId="1" applyNumberFormat="1" applyFont="1" applyFill="1" applyBorder="1" applyAlignment="1">
      <alignment wrapText="1"/>
    </xf>
    <xf numFmtId="0" fontId="0" fillId="0" borderId="0" xfId="0" applyAlignment="1">
      <alignment horizontal="left" indent="1"/>
    </xf>
    <xf numFmtId="0" fontId="21" fillId="0" borderId="1" xfId="0" applyFont="1" applyBorder="1" applyAlignment="1">
      <alignment wrapText="1"/>
    </xf>
    <xf numFmtId="37" fontId="5" fillId="0" borderId="1" xfId="1" applyNumberFormat="1" applyFont="1" applyBorder="1" applyAlignment="1">
      <alignment wrapText="1"/>
    </xf>
    <xf numFmtId="37" fontId="5" fillId="0" borderId="0" xfId="1" applyNumberFormat="1" applyFont="1" applyBorder="1" applyAlignment="1">
      <alignment wrapText="1"/>
    </xf>
    <xf numFmtId="0" fontId="23" fillId="0" borderId="1" xfId="0" applyFont="1" applyBorder="1" applyAlignment="1">
      <alignment wrapText="1"/>
    </xf>
    <xf numFmtId="0" fontId="23" fillId="0" borderId="0" xfId="0" applyFont="1" applyAlignment="1">
      <alignment wrapText="1"/>
    </xf>
    <xf numFmtId="37" fontId="14" fillId="0" borderId="0" xfId="1" applyNumberFormat="1" applyFont="1" applyBorder="1" applyAlignment="1">
      <alignment wrapText="1"/>
    </xf>
    <xf numFmtId="37" fontId="27" fillId="0" borderId="0" xfId="1" applyNumberFormat="1" applyFont="1" applyBorder="1" applyAlignment="1">
      <alignment wrapText="1"/>
    </xf>
    <xf numFmtId="37" fontId="14" fillId="0" borderId="0" xfId="1" applyNumberFormat="1" applyFont="1" applyFill="1" applyBorder="1" applyAlignment="1">
      <alignment wrapText="1"/>
    </xf>
    <xf numFmtId="37" fontId="18" fillId="0" borderId="0" xfId="1" applyNumberFormat="1" applyFont="1" applyFill="1" applyBorder="1" applyAlignment="1">
      <alignment wrapText="1"/>
    </xf>
    <xf numFmtId="0" fontId="14" fillId="4" borderId="3" xfId="0" applyFont="1" applyFill="1" applyBorder="1" applyAlignment="1">
      <alignment wrapText="1"/>
    </xf>
    <xf numFmtId="167" fontId="12" fillId="4" borderId="4" xfId="1" applyNumberFormat="1" applyFont="1" applyFill="1" applyBorder="1" applyAlignment="1">
      <alignment wrapText="1"/>
    </xf>
    <xf numFmtId="167" fontId="12" fillId="4" borderId="5" xfId="1" applyNumberFormat="1" applyFont="1" applyFill="1" applyBorder="1" applyAlignment="1">
      <alignment wrapText="1"/>
    </xf>
    <xf numFmtId="0" fontId="12" fillId="4" borderId="3" xfId="0" applyFont="1" applyFill="1" applyBorder="1" applyAlignment="1">
      <alignment wrapText="1"/>
    </xf>
    <xf numFmtId="0" fontId="12" fillId="4" borderId="4" xfId="0" applyFont="1" applyFill="1" applyBorder="1" applyAlignment="1">
      <alignment wrapText="1"/>
    </xf>
    <xf numFmtId="0" fontId="12" fillId="4" borderId="5" xfId="0" applyFont="1" applyFill="1" applyBorder="1" applyAlignment="1">
      <alignment wrapText="1"/>
    </xf>
    <xf numFmtId="0" fontId="12" fillId="4" borderId="8" xfId="0" applyFont="1" applyFill="1" applyBorder="1" applyAlignment="1">
      <alignment horizontal="left" wrapText="1" indent="1"/>
    </xf>
    <xf numFmtId="167" fontId="12" fillId="4" borderId="0" xfId="1" applyNumberFormat="1" applyFont="1" applyFill="1" applyBorder="1" applyAlignment="1">
      <alignment wrapText="1"/>
    </xf>
    <xf numFmtId="167" fontId="12" fillId="4" borderId="9" xfId="1" applyNumberFormat="1" applyFont="1" applyFill="1" applyBorder="1" applyAlignment="1">
      <alignment wrapText="1"/>
    </xf>
    <xf numFmtId="167" fontId="12" fillId="4" borderId="8" xfId="1" applyNumberFormat="1" applyFont="1" applyFill="1" applyBorder="1" applyAlignment="1">
      <alignment wrapText="1"/>
    </xf>
    <xf numFmtId="37" fontId="14" fillId="4" borderId="8" xfId="0" applyNumberFormat="1" applyFont="1" applyFill="1" applyBorder="1" applyAlignment="1">
      <alignment wrapText="1"/>
    </xf>
    <xf numFmtId="37" fontId="14" fillId="4" borderId="9" xfId="0" applyNumberFormat="1" applyFont="1" applyFill="1" applyBorder="1" applyAlignment="1">
      <alignment wrapText="1"/>
    </xf>
    <xf numFmtId="0" fontId="16" fillId="4" borderId="6" xfId="0" applyFont="1" applyFill="1" applyBorder="1" applyAlignment="1">
      <alignment horizontal="right" vertical="center" wrapText="1"/>
    </xf>
    <xf numFmtId="165" fontId="5" fillId="4" borderId="2" xfId="0" applyNumberFormat="1" applyFont="1" applyFill="1" applyBorder="1" applyAlignment="1">
      <alignment horizontal="right" vertical="top" wrapText="1"/>
    </xf>
    <xf numFmtId="9" fontId="17" fillId="4" borderId="2" xfId="2" applyFont="1" applyFill="1" applyBorder="1" applyAlignment="1">
      <alignment horizontal="right" vertical="center" wrapText="1"/>
    </xf>
    <xf numFmtId="9" fontId="17" fillId="4" borderId="7" xfId="2" applyFont="1" applyFill="1" applyBorder="1" applyAlignment="1">
      <alignment horizontal="right" vertical="center" wrapText="1"/>
    </xf>
    <xf numFmtId="9" fontId="17" fillId="4" borderId="6" xfId="2" applyFont="1" applyFill="1" applyBorder="1" applyAlignment="1">
      <alignment horizontal="right" vertical="center" wrapText="1"/>
    </xf>
    <xf numFmtId="167" fontId="3" fillId="0" borderId="0" xfId="1" applyNumberFormat="1" applyFont="1" applyBorder="1" applyAlignment="1">
      <alignment wrapText="1"/>
    </xf>
    <xf numFmtId="0" fontId="2" fillId="2" borderId="0" xfId="0" applyFont="1" applyFill="1"/>
    <xf numFmtId="0" fontId="2" fillId="2" borderId="0" xfId="0" applyFont="1" applyFill="1" applyAlignment="1">
      <alignment horizontal="center"/>
    </xf>
    <xf numFmtId="14" fontId="7" fillId="2" borderId="0" xfId="0" applyNumberFormat="1" applyFont="1" applyFill="1" applyAlignment="1">
      <alignment horizontal="center"/>
    </xf>
    <xf numFmtId="14" fontId="4" fillId="2" borderId="0" xfId="0" applyNumberFormat="1" applyFont="1" applyFill="1" applyAlignment="1">
      <alignment horizontal="center"/>
    </xf>
    <xf numFmtId="37" fontId="19" fillId="0" borderId="0" xfId="0" applyNumberFormat="1" applyFont="1" applyAlignment="1">
      <alignment horizontal="right" vertical="top" wrapText="1"/>
    </xf>
    <xf numFmtId="0" fontId="8" fillId="0" borderId="0" xfId="0" applyFont="1" applyAlignment="1">
      <alignment horizontal="center" vertical="center" wrapText="1"/>
    </xf>
    <xf numFmtId="10" fontId="22" fillId="0" borderId="0" xfId="0" applyNumberFormat="1" applyFont="1" applyAlignment="1">
      <alignment horizontal="center" wrapText="1"/>
    </xf>
    <xf numFmtId="37" fontId="3" fillId="0" borderId="1" xfId="0" applyNumberFormat="1" applyFont="1" applyBorder="1"/>
    <xf numFmtId="0" fontId="2" fillId="2" borderId="3" xfId="0" applyFont="1" applyFill="1" applyBorder="1"/>
    <xf numFmtId="0" fontId="2" fillId="2" borderId="5" xfId="0" applyFont="1" applyFill="1" applyBorder="1"/>
    <xf numFmtId="0" fontId="0" fillId="0" borderId="7" xfId="0" applyBorder="1"/>
    <xf numFmtId="0" fontId="2" fillId="2" borderId="10" xfId="0" applyFont="1" applyFill="1" applyBorder="1"/>
    <xf numFmtId="0" fontId="4" fillId="2" borderId="11" xfId="0" applyFont="1" applyFill="1" applyBorder="1"/>
    <xf numFmtId="0" fontId="4" fillId="2" borderId="12" xfId="0" applyFont="1" applyFill="1" applyBorder="1"/>
    <xf numFmtId="0" fontId="0" fillId="0" borderId="8" xfId="0" applyBorder="1"/>
    <xf numFmtId="37" fontId="11" fillId="0" borderId="0" xfId="0" applyNumberFormat="1" applyFont="1" applyAlignment="1">
      <alignment horizontal="right" vertical="top"/>
    </xf>
    <xf numFmtId="37" fontId="29" fillId="0" borderId="0" xfId="0" applyNumberFormat="1" applyFont="1"/>
    <xf numFmtId="37" fontId="17" fillId="0" borderId="0" xfId="2" applyNumberFormat="1" applyFont="1" applyBorder="1" applyAlignment="1">
      <alignment horizontal="right" vertical="center" wrapText="1"/>
    </xf>
    <xf numFmtId="0" fontId="29" fillId="0" borderId="0" xfId="0" applyFont="1"/>
    <xf numFmtId="37" fontId="11" fillId="0" borderId="0" xfId="0" applyNumberFormat="1" applyFont="1" applyAlignment="1">
      <alignment vertical="top"/>
    </xf>
    <xf numFmtId="37" fontId="11" fillId="0" borderId="0" xfId="1" applyNumberFormat="1" applyFont="1" applyFill="1" applyBorder="1" applyAlignment="1">
      <alignment wrapText="1"/>
    </xf>
    <xf numFmtId="37" fontId="11" fillId="0" borderId="2" xfId="2" applyNumberFormat="1" applyFont="1" applyBorder="1" applyAlignment="1">
      <alignment horizontal="right" vertical="center"/>
    </xf>
    <xf numFmtId="37" fontId="11" fillId="0" borderId="7" xfId="2" applyNumberFormat="1" applyFont="1" applyBorder="1" applyAlignment="1">
      <alignment horizontal="right" vertical="center"/>
    </xf>
    <xf numFmtId="37" fontId="11" fillId="0" borderId="6" xfId="2" applyNumberFormat="1" applyFont="1" applyBorder="1" applyAlignment="1">
      <alignment horizontal="right" vertical="center"/>
    </xf>
    <xf numFmtId="39" fontId="6" fillId="0" borderId="3" xfId="2" applyNumberFormat="1" applyFont="1" applyBorder="1" applyAlignment="1">
      <alignment horizontal="right" vertical="center"/>
    </xf>
    <xf numFmtId="39" fontId="6" fillId="0" borderId="4" xfId="2" applyNumberFormat="1" applyFont="1" applyBorder="1" applyAlignment="1">
      <alignment horizontal="right" vertical="center"/>
    </xf>
    <xf numFmtId="39" fontId="6" fillId="0" borderId="5" xfId="2" applyNumberFormat="1" applyFont="1" applyBorder="1" applyAlignment="1">
      <alignment horizontal="right" vertical="center"/>
    </xf>
    <xf numFmtId="0" fontId="2" fillId="0" borderId="0" xfId="0" applyFont="1" applyAlignment="1">
      <alignment horizontal="center"/>
    </xf>
    <xf numFmtId="14" fontId="4" fillId="0" borderId="0" xfId="0" applyNumberFormat="1" applyFont="1" applyAlignment="1">
      <alignment horizontal="center"/>
    </xf>
    <xf numFmtId="37" fontId="14" fillId="0" borderId="0" xfId="0" applyNumberFormat="1" applyFont="1" applyAlignment="1">
      <alignment wrapText="1"/>
    </xf>
    <xf numFmtId="39" fontId="0" fillId="0" borderId="3" xfId="0" applyNumberFormat="1" applyBorder="1" applyAlignment="1">
      <alignment wrapText="1"/>
    </xf>
    <xf numFmtId="37" fontId="0" fillId="0" borderId="6" xfId="0" applyNumberFormat="1" applyBorder="1" applyAlignment="1">
      <alignment wrapText="1"/>
    </xf>
    <xf numFmtId="39" fontId="0" fillId="0" borderId="5" xfId="0" applyNumberFormat="1" applyBorder="1" applyAlignment="1">
      <alignment wrapText="1"/>
    </xf>
    <xf numFmtId="37" fontId="0" fillId="0" borderId="7" xfId="0" applyNumberFormat="1" applyBorder="1" applyAlignment="1">
      <alignment wrapText="1"/>
    </xf>
    <xf numFmtId="166" fontId="14" fillId="4" borderId="8" xfId="0" applyNumberFormat="1" applyFont="1" applyFill="1" applyBorder="1" applyAlignment="1">
      <alignment horizontal="center" vertical="center"/>
    </xf>
    <xf numFmtId="166" fontId="14" fillId="4" borderId="9" xfId="0" applyNumberFormat="1" applyFont="1" applyFill="1" applyBorder="1" applyAlignment="1">
      <alignment horizontal="center" vertical="center"/>
    </xf>
    <xf numFmtId="166" fontId="14" fillId="4" borderId="6" xfId="0" applyNumberFormat="1" applyFont="1" applyFill="1" applyBorder="1" applyAlignment="1">
      <alignment horizontal="center" vertical="center"/>
    </xf>
    <xf numFmtId="166" fontId="14" fillId="4" borderId="7" xfId="0" applyNumberFormat="1" applyFont="1" applyFill="1" applyBorder="1" applyAlignment="1">
      <alignment horizontal="center" vertical="center"/>
    </xf>
    <xf numFmtId="37" fontId="31" fillId="0" borderId="9" xfId="0" applyNumberFormat="1" applyFont="1" applyBorder="1"/>
    <xf numFmtId="37" fontId="31" fillId="0" borderId="7" xfId="0" applyNumberFormat="1" applyFont="1" applyBorder="1"/>
    <xf numFmtId="168" fontId="30" fillId="0" borderId="9" xfId="0" applyNumberFormat="1" applyFont="1" applyBorder="1"/>
    <xf numFmtId="3" fontId="30" fillId="0" borderId="9" xfId="0" applyNumberFormat="1" applyFont="1" applyBorder="1"/>
    <xf numFmtId="169" fontId="30" fillId="0" borderId="7" xfId="0" applyNumberFormat="1" applyFont="1" applyBorder="1"/>
    <xf numFmtId="169" fontId="0" fillId="0" borderId="9" xfId="0" applyNumberFormat="1" applyBorder="1"/>
    <xf numFmtId="168" fontId="0" fillId="0" borderId="9" xfId="0" applyNumberFormat="1" applyBorder="1"/>
    <xf numFmtId="166" fontId="6" fillId="4" borderId="0" xfId="0" applyNumberFormat="1" applyFont="1" applyFill="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5" xfId="0" applyFont="1" applyBorder="1" applyAlignment="1">
      <alignment horizontal="center" vertical="center" wrapText="1"/>
    </xf>
    <xf numFmtId="0" fontId="28" fillId="0" borderId="8" xfId="0" applyFont="1" applyBorder="1" applyAlignment="1">
      <alignment horizontal="center" vertical="center" wrapText="1"/>
    </xf>
    <xf numFmtId="0" fontId="28" fillId="0" borderId="0" xfId="0" applyFont="1" applyAlignment="1">
      <alignment horizontal="center" vertical="center" wrapText="1"/>
    </xf>
    <xf numFmtId="0" fontId="28" fillId="0" borderId="9" xfId="0" applyFont="1" applyBorder="1" applyAlignment="1">
      <alignment horizontal="center" vertical="center" wrapText="1"/>
    </xf>
    <xf numFmtId="0" fontId="28" fillId="0" borderId="6"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7" xfId="0" applyFont="1" applyBorder="1" applyAlignment="1">
      <alignment horizontal="center" vertical="center" wrapText="1"/>
    </xf>
    <xf numFmtId="0" fontId="8" fillId="2" borderId="0" xfId="0" applyFont="1" applyFill="1" applyAlignment="1">
      <alignment horizontal="center" vertical="center" wrapText="1"/>
    </xf>
  </cellXfs>
  <cellStyles count="3">
    <cellStyle name="Comma" xfId="1" builtinId="3"/>
    <cellStyle name="Normal" xfId="0" builtinId="0"/>
    <cellStyle name="Percent" xfId="2"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ix\Downloads\Rigetti%20Computing%20Financials.xlsx" TargetMode="External"/><Relationship Id="rId1" Type="http://schemas.openxmlformats.org/officeDocument/2006/relationships/externalLinkPath" Target="Rigetti%20Computing%20Financi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rm Background"/>
      <sheetName val="3-Statement Model "/>
      <sheetName val="EBITDA &amp; FCF Analysis"/>
      <sheetName val="DCF"/>
      <sheetName val="Peer Comps "/>
    </sheetNames>
    <sheetDataSet>
      <sheetData sheetId="0"/>
      <sheetData sheetId="1">
        <row r="101">
          <cell r="B101" t="str">
            <v>Depreciation and amortization</v>
          </cell>
        </row>
        <row r="102">
          <cell r="B102" t="str">
            <v>Stock-based compensation</v>
          </cell>
        </row>
      </sheetData>
      <sheetData sheetId="2"/>
      <sheetData sheetId="3"/>
      <sheetData sheetId="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https://www.bing.com/financeapi/forcetrigger?t=bxb5m7&amp;q=XNYS%3aIONQ&amp;form=skydnc</v>
    <v>Learn more on Bing</v>
  </rv>
  <rv s="1">
    <v>en-US</v>
    <v>bxb5m7</v>
    <v>268435456</v>
    <v>1</v>
    <v>Powered by Refinitiv</v>
    <v>0</v>
    <v>IONQ, INC. (XNYS:IONQ)</v>
    <v>2</v>
    <v>3</v>
    <v>Finance</v>
    <v>4</v>
    <v>54.74</v>
    <v>6.22</v>
    <v>2.4163000000000001</v>
    <v>-2.66</v>
    <v>1.0543E-2</v>
    <v>-6.4019000000000006E-2</v>
    <v>0.41</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42.35</v>
    <v>Software &amp; IT Services</v>
    <v>Stock</v>
    <v>45675.041632858592</v>
    <v>0</v>
    <v>38.770000000000003</v>
    <v>8415494000</v>
    <v>IONQ, INC.</v>
    <v>IONQ, INC.</v>
    <v>40.03</v>
    <v>41.55</v>
    <v>38.89</v>
    <v>39.299999999999997</v>
    <v>216392200</v>
    <v>IONQ</v>
    <v>IONQ, INC. (XNYS:IONQ)</v>
    <v>30697677</v>
    <v>37523272</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CD6C-843F-44AC-AD48-EC47A9951368}">
  <dimension ref="B1:F23"/>
  <sheetViews>
    <sheetView showGridLines="0" topLeftCell="A12" zoomScale="115" zoomScaleNormal="115" workbookViewId="0">
      <selection activeCell="E24" sqref="E24"/>
    </sheetView>
  </sheetViews>
  <sheetFormatPr defaultRowHeight="15"/>
  <cols>
    <col min="1" max="1" width="3.140625" customWidth="1"/>
    <col min="2" max="2" width="44.85546875" bestFit="1" customWidth="1"/>
    <col min="3" max="3" width="20.5703125" bestFit="1" customWidth="1"/>
    <col min="4" max="4" width="29.140625" bestFit="1" customWidth="1"/>
    <col min="6" max="6" width="12.42578125" bestFit="1" customWidth="1"/>
  </cols>
  <sheetData>
    <row r="1" spans="2:6" ht="15.75" thickBot="1"/>
    <row r="2" spans="2:6">
      <c r="B2" s="139" t="s">
        <v>70</v>
      </c>
      <c r="C2" s="140" t="s">
        <v>71</v>
      </c>
    </row>
    <row r="3" spans="2:6" ht="15.75" thickBot="1">
      <c r="B3" s="48" t="e" vm="1">
        <v>#VALUE!</v>
      </c>
      <c r="C3" s="141" t="s">
        <v>147</v>
      </c>
    </row>
    <row r="4" spans="2:6" ht="15.75" thickBot="1"/>
    <row r="5" spans="2:6">
      <c r="B5" s="139" t="s">
        <v>94</v>
      </c>
      <c r="C5" s="140"/>
    </row>
    <row r="6" spans="2:6">
      <c r="B6" s="145" t="s">
        <v>95</v>
      </c>
      <c r="C6" s="171" cm="1">
        <f t="array" aca="1" ref="C6" ca="1">_FV(B3,"Price")</f>
        <v>38.89</v>
      </c>
    </row>
    <row r="7" spans="2:6">
      <c r="B7" s="145" t="s">
        <v>96</v>
      </c>
      <c r="C7" s="172" cm="1">
        <f t="array" aca="1" ref="C7" ca="1">_FV(B3,"Shares outstanding",TRUE)</f>
        <v>216392200</v>
      </c>
    </row>
    <row r="8" spans="2:6" ht="15.75" thickBot="1">
      <c r="B8" s="48" t="s">
        <v>97</v>
      </c>
      <c r="C8" s="173" cm="1">
        <f t="array" aca="1" ref="C8" ca="1">_FV(B3,"Market cap",TRUE)</f>
        <v>8415494000</v>
      </c>
    </row>
    <row r="9" spans="2:6" ht="15.75" thickBot="1"/>
    <row r="10" spans="2:6" ht="15.75" thickBot="1">
      <c r="B10" s="142" t="s">
        <v>72</v>
      </c>
      <c r="C10" s="143"/>
      <c r="D10" s="143"/>
      <c r="E10" s="143"/>
      <c r="F10" s="144"/>
    </row>
    <row r="11" spans="2:6" ht="109.5" customHeight="1">
      <c r="B11" s="177" t="s">
        <v>150</v>
      </c>
      <c r="C11" s="178"/>
      <c r="D11" s="178"/>
      <c r="E11" s="178"/>
      <c r="F11" s="179"/>
    </row>
    <row r="12" spans="2:6" ht="67.5" customHeight="1">
      <c r="B12" s="180"/>
      <c r="C12" s="181"/>
      <c r="D12" s="181"/>
      <c r="E12" s="181"/>
      <c r="F12" s="182"/>
    </row>
    <row r="13" spans="2:6" ht="54" customHeight="1" thickBot="1">
      <c r="B13" s="183"/>
      <c r="C13" s="184"/>
      <c r="D13" s="184"/>
      <c r="E13" s="184"/>
      <c r="F13" s="185"/>
    </row>
    <row r="14" spans="2:6" ht="15.75" thickBot="1"/>
    <row r="15" spans="2:6">
      <c r="B15" s="139" t="s">
        <v>73</v>
      </c>
      <c r="C15" s="140"/>
    </row>
    <row r="16" spans="2:6">
      <c r="B16" s="145" t="s">
        <v>74</v>
      </c>
      <c r="C16" s="174">
        <v>965974780.79999995</v>
      </c>
    </row>
    <row r="17" spans="2:3">
      <c r="B17" s="145" t="s">
        <v>93</v>
      </c>
      <c r="C17" s="169">
        <f>'Base Financials '!T43</f>
        <v>167663</v>
      </c>
    </row>
    <row r="18" spans="2:3">
      <c r="B18" s="145" t="s">
        <v>92</v>
      </c>
      <c r="C18" s="169">
        <v>0</v>
      </c>
    </row>
    <row r="19" spans="2:3">
      <c r="B19" s="145" t="s">
        <v>75</v>
      </c>
      <c r="C19" s="174">
        <f>SUM(C16+C18-C17)</f>
        <v>965807117.79999995</v>
      </c>
    </row>
    <row r="20" spans="2:3">
      <c r="B20" s="145" t="s">
        <v>98</v>
      </c>
      <c r="C20" s="175">
        <f ca="1">C19/C7</f>
        <v>4.463225189262829</v>
      </c>
    </row>
    <row r="21" spans="2:3">
      <c r="B21" s="145" t="s">
        <v>76</v>
      </c>
      <c r="C21" s="169">
        <f>'Base Financials '!T10</f>
        <v>37469</v>
      </c>
    </row>
    <row r="22" spans="2:3">
      <c r="B22" s="145" t="s">
        <v>99</v>
      </c>
      <c r="C22" s="169">
        <f>'Base Financials '!T137</f>
        <v>-186502</v>
      </c>
    </row>
    <row r="23" spans="2:3" ht="15.75" thickBot="1">
      <c r="B23" s="48" t="s">
        <v>77</v>
      </c>
      <c r="C23" s="170">
        <f>'Adjusted EBITDA Analysis'!T33</f>
        <v>-62333</v>
      </c>
    </row>
  </sheetData>
  <mergeCells count="1">
    <mergeCell ref="B11: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19A9-859E-45EB-AC60-BF3EE31E83E5}">
  <dimension ref="A1:V148"/>
  <sheetViews>
    <sheetView showGridLines="0" tabSelected="1" zoomScale="85" zoomScaleNormal="85" workbookViewId="0">
      <selection activeCell="C20" sqref="C20"/>
    </sheetView>
  </sheetViews>
  <sheetFormatPr defaultRowHeight="15"/>
  <cols>
    <col min="1" max="1" width="2.42578125" style="6" customWidth="1"/>
    <col min="2" max="2" width="60" style="6" customWidth="1"/>
    <col min="3" max="5" width="15.85546875" style="6" bestFit="1" customWidth="1"/>
    <col min="6" max="6" width="3.140625" style="6" customWidth="1"/>
    <col min="7" max="12" width="13.5703125" style="6" bestFit="1" customWidth="1"/>
    <col min="13" max="13" width="13" style="6" bestFit="1" customWidth="1"/>
    <col min="14" max="14" width="13.5703125" style="6" bestFit="1" customWidth="1"/>
    <col min="15" max="15" width="13" style="6" bestFit="1" customWidth="1"/>
    <col min="16" max="16" width="13.5703125" style="6" bestFit="1" customWidth="1"/>
    <col min="17" max="17" width="11.140625" style="6" bestFit="1" customWidth="1"/>
    <col min="18" max="18" width="3.140625" style="6" customWidth="1"/>
    <col min="19" max="19" width="11.85546875" style="6" bestFit="1" customWidth="1"/>
    <col min="20" max="20" width="11.7109375" style="6" bestFit="1" customWidth="1"/>
    <col min="21" max="21" width="1.42578125" style="6" customWidth="1"/>
    <col min="22" max="22" width="11.42578125" style="6" bestFit="1" customWidth="1"/>
    <col min="23" max="23" width="1.5703125" style="6" customWidth="1"/>
    <col min="24" max="16384" width="9.140625" style="6"/>
  </cols>
  <sheetData>
    <row r="1" spans="1:22" ht="6" customHeight="1">
      <c r="A1" s="6" t="s">
        <v>24</v>
      </c>
    </row>
    <row r="2" spans="1:22">
      <c r="B2" s="7" t="s">
        <v>146</v>
      </c>
      <c r="C2" s="8"/>
      <c r="D2" s="8"/>
      <c r="E2" s="8"/>
      <c r="F2" s="8"/>
      <c r="G2" s="8"/>
      <c r="H2" s="8"/>
      <c r="I2" s="8"/>
      <c r="J2" s="8"/>
      <c r="K2" s="8"/>
      <c r="L2" s="8"/>
      <c r="M2" s="8"/>
      <c r="N2" s="8"/>
      <c r="O2" s="8"/>
      <c r="P2" s="8"/>
      <c r="Q2" s="8"/>
      <c r="R2" s="8"/>
      <c r="S2" s="8"/>
      <c r="T2" s="8"/>
      <c r="U2" s="8"/>
      <c r="V2" s="8"/>
    </row>
    <row r="3" spans="1:22">
      <c r="B3" s="9" t="s">
        <v>25</v>
      </c>
      <c r="C3" s="8"/>
      <c r="D3" s="8"/>
      <c r="E3" s="8"/>
      <c r="F3" s="8"/>
      <c r="G3" s="8"/>
      <c r="H3" s="8"/>
      <c r="I3" s="8"/>
      <c r="J3" s="8"/>
      <c r="K3" s="8"/>
      <c r="L3" s="8"/>
      <c r="M3" s="8"/>
      <c r="N3" s="8"/>
      <c r="O3" s="8"/>
      <c r="P3" s="8"/>
      <c r="Q3" s="8"/>
      <c r="R3" s="8"/>
      <c r="S3" s="8"/>
      <c r="T3" s="8"/>
      <c r="U3" s="8"/>
      <c r="V3" s="8"/>
    </row>
    <row r="4" spans="1:22" ht="5.25" customHeight="1">
      <c r="B4" s="10"/>
    </row>
    <row r="5" spans="1:22" ht="15.75" thickBot="1">
      <c r="B5" s="11"/>
      <c r="C5" s="11" t="s">
        <v>7</v>
      </c>
      <c r="D5" s="11"/>
      <c r="E5" s="11"/>
      <c r="G5" s="11" t="s">
        <v>8</v>
      </c>
      <c r="H5" s="11"/>
      <c r="I5" s="11"/>
      <c r="J5" s="11"/>
      <c r="K5" s="11"/>
      <c r="L5" s="11"/>
      <c r="M5" s="11"/>
      <c r="N5" s="11"/>
      <c r="O5" s="11"/>
      <c r="P5" s="11"/>
      <c r="Q5" s="11"/>
      <c r="S5" s="11" t="s">
        <v>9</v>
      </c>
      <c r="T5" s="11"/>
      <c r="U5" s="12"/>
      <c r="V5" s="11" t="s">
        <v>26</v>
      </c>
    </row>
    <row r="6" spans="1:22" ht="4.5" customHeight="1"/>
    <row r="7" spans="1:22">
      <c r="A7" s="6" t="s">
        <v>27</v>
      </c>
      <c r="B7" s="7" t="s">
        <v>28</v>
      </c>
      <c r="C7" s="132" t="s">
        <v>29</v>
      </c>
      <c r="D7" s="132" t="s">
        <v>30</v>
      </c>
      <c r="E7" s="132" t="s">
        <v>31</v>
      </c>
      <c r="G7" s="132" t="s">
        <v>78</v>
      </c>
      <c r="H7" s="132" t="s">
        <v>79</v>
      </c>
      <c r="I7" s="132" t="s">
        <v>80</v>
      </c>
      <c r="J7" s="132" t="s">
        <v>81</v>
      </c>
      <c r="K7" s="132" t="s">
        <v>82</v>
      </c>
      <c r="L7" s="132" t="s">
        <v>83</v>
      </c>
      <c r="M7" s="132" t="s">
        <v>84</v>
      </c>
      <c r="N7" s="132" t="s">
        <v>85</v>
      </c>
      <c r="O7" s="132" t="s">
        <v>86</v>
      </c>
      <c r="P7" s="132" t="s">
        <v>87</v>
      </c>
      <c r="Q7" s="132" t="s">
        <v>88</v>
      </c>
      <c r="R7" s="158"/>
      <c r="S7" s="13" t="str">
        <f>M7</f>
        <v>3Q23</v>
      </c>
      <c r="T7" s="13" t="str">
        <f>Q7</f>
        <v>3Q24</v>
      </c>
      <c r="U7" s="14"/>
      <c r="V7" s="186" t="s">
        <v>32</v>
      </c>
    </row>
    <row r="8" spans="1:22">
      <c r="B8" s="15" t="s">
        <v>91</v>
      </c>
      <c r="C8" s="133">
        <v>44561</v>
      </c>
      <c r="D8" s="133">
        <v>44926</v>
      </c>
      <c r="E8" s="133">
        <v>45291</v>
      </c>
      <c r="G8" s="134">
        <v>44651</v>
      </c>
      <c r="H8" s="134">
        <v>44742</v>
      </c>
      <c r="I8" s="134">
        <v>44834</v>
      </c>
      <c r="J8" s="134">
        <v>44926</v>
      </c>
      <c r="K8" s="134">
        <v>45016</v>
      </c>
      <c r="L8" s="134">
        <v>45107</v>
      </c>
      <c r="M8" s="134">
        <v>45199</v>
      </c>
      <c r="N8" s="134">
        <v>45291</v>
      </c>
      <c r="O8" s="134">
        <v>45382</v>
      </c>
      <c r="P8" s="134">
        <v>45473</v>
      </c>
      <c r="Q8" s="134">
        <v>45565</v>
      </c>
      <c r="R8" s="159"/>
      <c r="S8" s="16">
        <f>M8</f>
        <v>45199</v>
      </c>
      <c r="T8" s="16">
        <f>Q8</f>
        <v>45565</v>
      </c>
      <c r="U8" s="17"/>
      <c r="V8" s="186"/>
    </row>
    <row r="9" spans="1:22" ht="3.75" customHeight="1">
      <c r="B9" s="18"/>
      <c r="C9" s="17"/>
      <c r="D9" s="17"/>
      <c r="E9" s="17"/>
      <c r="G9" s="19"/>
      <c r="H9" s="19"/>
      <c r="I9" s="19"/>
      <c r="J9" s="19"/>
      <c r="K9" s="19"/>
      <c r="L9" s="19"/>
      <c r="M9" s="19"/>
      <c r="N9" s="19"/>
      <c r="O9" s="19"/>
      <c r="P9" s="19"/>
      <c r="S9" s="19"/>
      <c r="T9" s="19"/>
      <c r="U9" s="19"/>
    </row>
    <row r="10" spans="1:22">
      <c r="B10" s="2" t="s">
        <v>10</v>
      </c>
      <c r="C10" s="146">
        <v>2099</v>
      </c>
      <c r="D10" s="146">
        <v>11131</v>
      </c>
      <c r="E10" s="146">
        <v>22042</v>
      </c>
      <c r="F10" s="23"/>
      <c r="G10" s="146">
        <v>1953</v>
      </c>
      <c r="H10" s="146">
        <v>2608</v>
      </c>
      <c r="I10" s="146">
        <v>2763</v>
      </c>
      <c r="J10" s="97">
        <f t="shared" ref="J10:J11" si="0">SUM(D10-SUM(G10:I10))</f>
        <v>3807</v>
      </c>
      <c r="K10" s="146">
        <v>4285</v>
      </c>
      <c r="L10" s="146">
        <v>5515</v>
      </c>
      <c r="M10" s="146">
        <v>6136</v>
      </c>
      <c r="N10" s="97">
        <f t="shared" ref="N10:N11" si="1">SUM(E10-SUM(K10:M10))</f>
        <v>6106</v>
      </c>
      <c r="O10" s="146">
        <v>7582</v>
      </c>
      <c r="P10" s="146">
        <v>11381</v>
      </c>
      <c r="Q10" s="146">
        <v>12400</v>
      </c>
      <c r="S10" s="160">
        <f>SUM(J10:M10)</f>
        <v>19743</v>
      </c>
      <c r="T10" s="160">
        <f>SUM(N10:Q10)</f>
        <v>37469</v>
      </c>
      <c r="U10" s="24"/>
      <c r="V10" s="25">
        <f>SUM(T10/S10)-1</f>
        <v>0.8978372081243986</v>
      </c>
    </row>
    <row r="11" spans="1:22">
      <c r="B11" s="44" t="s">
        <v>100</v>
      </c>
      <c r="C11" s="146">
        <v>-1040</v>
      </c>
      <c r="D11" s="146">
        <v>-2944</v>
      </c>
      <c r="E11" s="146">
        <v>-8108</v>
      </c>
      <c r="F11" s="23"/>
      <c r="G11" s="146">
        <v>-568</v>
      </c>
      <c r="H11" s="146">
        <v>-742</v>
      </c>
      <c r="I11" s="146">
        <v>-733</v>
      </c>
      <c r="J11" s="97">
        <f t="shared" si="0"/>
        <v>-901</v>
      </c>
      <c r="K11" s="146">
        <v>-1036</v>
      </c>
      <c r="L11" s="146">
        <v>-1901</v>
      </c>
      <c r="M11" s="146">
        <v>-2008</v>
      </c>
      <c r="N11" s="97">
        <f t="shared" si="1"/>
        <v>-3163</v>
      </c>
      <c r="O11" s="146">
        <v>-3414</v>
      </c>
      <c r="P11" s="146">
        <v>-5623</v>
      </c>
      <c r="Q11" s="146">
        <f>--6515</f>
        <v>6515</v>
      </c>
      <c r="S11" s="160">
        <f t="shared" ref="S11" si="2">SUM(J11:M11)</f>
        <v>-5846</v>
      </c>
      <c r="T11" s="160">
        <f t="shared" ref="T11" si="3">SUM(N11:Q11)</f>
        <v>-5685</v>
      </c>
      <c r="U11" s="23"/>
      <c r="V11" s="25">
        <f t="shared" ref="V11" si="4">SUM(T11/S11)-1</f>
        <v>-2.754019842627442E-2</v>
      </c>
    </row>
    <row r="12" spans="1:22">
      <c r="B12" s="27" t="s">
        <v>33</v>
      </c>
      <c r="C12" s="28">
        <f>SUM(C10+C11)</f>
        <v>1059</v>
      </c>
      <c r="D12" s="28">
        <f>SUM(D10+D11)</f>
        <v>8187</v>
      </c>
      <c r="E12" s="28">
        <f>SUM(E10+E11)</f>
        <v>13934</v>
      </c>
      <c r="F12" s="21"/>
      <c r="G12" s="28">
        <f t="shared" ref="G12:Q12" si="5">SUM(G10+G11)</f>
        <v>1385</v>
      </c>
      <c r="H12" s="28">
        <f t="shared" si="5"/>
        <v>1866</v>
      </c>
      <c r="I12" s="28">
        <f t="shared" si="5"/>
        <v>2030</v>
      </c>
      <c r="J12" s="28">
        <f t="shared" si="5"/>
        <v>2906</v>
      </c>
      <c r="K12" s="28">
        <f t="shared" si="5"/>
        <v>3249</v>
      </c>
      <c r="L12" s="28">
        <f t="shared" si="5"/>
        <v>3614</v>
      </c>
      <c r="M12" s="28">
        <f t="shared" si="5"/>
        <v>4128</v>
      </c>
      <c r="N12" s="28">
        <f t="shared" si="5"/>
        <v>2943</v>
      </c>
      <c r="O12" s="28">
        <f t="shared" si="5"/>
        <v>4168</v>
      </c>
      <c r="P12" s="28">
        <f t="shared" si="5"/>
        <v>5758</v>
      </c>
      <c r="Q12" s="28">
        <f t="shared" si="5"/>
        <v>18915</v>
      </c>
      <c r="S12" s="28">
        <f>SUM(S10+S11)</f>
        <v>13897</v>
      </c>
      <c r="T12" s="28">
        <f>SUM(T10+T11)</f>
        <v>31784</v>
      </c>
      <c r="U12" s="29"/>
      <c r="V12" s="30">
        <f>SUM(T12/S12)-1</f>
        <v>1.2871123264013815</v>
      </c>
    </row>
    <row r="13" spans="1:22">
      <c r="B13" s="31" t="s">
        <v>34</v>
      </c>
      <c r="C13" s="32"/>
      <c r="D13" s="33">
        <f>D12/C12-1</f>
        <v>6.7308781869688383</v>
      </c>
      <c r="E13" s="33">
        <f>E12/D12-1</f>
        <v>0.70196653230731654</v>
      </c>
      <c r="F13" s="33"/>
      <c r="G13" s="33"/>
      <c r="H13" s="33">
        <f t="shared" ref="H13:Q13" si="6">H12/G12-1</f>
        <v>0.34729241877256323</v>
      </c>
      <c r="I13" s="33">
        <f t="shared" si="6"/>
        <v>8.7888531618435239E-2</v>
      </c>
      <c r="J13" s="33">
        <f t="shared" si="6"/>
        <v>0.43152709359605912</v>
      </c>
      <c r="K13" s="33">
        <f t="shared" si="6"/>
        <v>0.11803165863730203</v>
      </c>
      <c r="L13" s="33">
        <f t="shared" si="6"/>
        <v>0.11234225915666363</v>
      </c>
      <c r="M13" s="33">
        <f t="shared" si="6"/>
        <v>0.14222468179302705</v>
      </c>
      <c r="N13" s="33">
        <f>N12/M12-1</f>
        <v>-0.2870639534883721</v>
      </c>
      <c r="O13" s="33">
        <f t="shared" si="6"/>
        <v>0.41624193000339793</v>
      </c>
      <c r="P13" s="33">
        <f t="shared" si="6"/>
        <v>0.38147792706333972</v>
      </c>
      <c r="Q13" s="33">
        <f t="shared" si="6"/>
        <v>2.2849947898575893</v>
      </c>
      <c r="T13" s="33">
        <f>T12/S12-1</f>
        <v>1.2871123264013815</v>
      </c>
      <c r="U13" s="29"/>
      <c r="V13" s="34"/>
    </row>
    <row r="14" spans="1:22">
      <c r="B14" s="31" t="s">
        <v>35</v>
      </c>
      <c r="C14" s="33">
        <f>SUM(C12/C10)</f>
        <v>0.50452596474511668</v>
      </c>
      <c r="D14" s="33">
        <f>SUM(D12/D10)</f>
        <v>0.73551343095858412</v>
      </c>
      <c r="E14" s="33">
        <f>SUM(E12/E10)</f>
        <v>0.6321567915797115</v>
      </c>
      <c r="F14" s="33"/>
      <c r="G14" s="33">
        <f t="shared" ref="G14:Q14" si="7">SUM(G12/G10)</f>
        <v>0.70916538658474138</v>
      </c>
      <c r="H14" s="33">
        <f t="shared" si="7"/>
        <v>0.7154907975460123</v>
      </c>
      <c r="I14" s="33">
        <f t="shared" si="7"/>
        <v>0.73470865001809627</v>
      </c>
      <c r="J14" s="33">
        <f t="shared" si="7"/>
        <v>0.76333070659311797</v>
      </c>
      <c r="K14" s="33">
        <f t="shared" si="7"/>
        <v>0.75822637106184365</v>
      </c>
      <c r="L14" s="33">
        <f t="shared" si="7"/>
        <v>0.65530371713508617</v>
      </c>
      <c r="M14" s="33">
        <f t="shared" si="7"/>
        <v>0.67275097783572357</v>
      </c>
      <c r="N14" s="33">
        <f t="shared" si="7"/>
        <v>0.48198493285293154</v>
      </c>
      <c r="O14" s="33">
        <f t="shared" si="7"/>
        <v>0.54972302822474284</v>
      </c>
      <c r="P14" s="33">
        <f t="shared" si="7"/>
        <v>0.50593093752745799</v>
      </c>
      <c r="Q14" s="33">
        <f t="shared" si="7"/>
        <v>1.5254032258064516</v>
      </c>
      <c r="S14" s="33">
        <f>SUM(S12/S10)</f>
        <v>0.70389505141062658</v>
      </c>
      <c r="T14" s="33">
        <f>SUM(T12/T10)</f>
        <v>0.84827457364754866</v>
      </c>
      <c r="U14" s="29"/>
      <c r="V14" s="25">
        <f>SUM(T14/S14)-1</f>
        <v>0.20511512610804861</v>
      </c>
    </row>
    <row r="15" spans="1:22" ht="2.25" customHeight="1">
      <c r="B15" s="35" t="s">
        <v>36</v>
      </c>
      <c r="C15" s="32">
        <v>49</v>
      </c>
      <c r="D15" s="32">
        <v>2777</v>
      </c>
      <c r="E15" s="32">
        <v>7833</v>
      </c>
      <c r="G15" s="32"/>
      <c r="H15" s="32"/>
      <c r="I15" s="32"/>
      <c r="J15" s="32"/>
      <c r="K15" s="32">
        <v>-28777</v>
      </c>
      <c r="L15" s="32">
        <v>-27879</v>
      </c>
      <c r="M15" s="32"/>
      <c r="N15" s="32">
        <v>-19934</v>
      </c>
      <c r="O15" s="32">
        <v>-61402</v>
      </c>
      <c r="P15" s="32"/>
      <c r="S15" s="36"/>
      <c r="T15" s="36"/>
      <c r="U15" s="36"/>
      <c r="V15" s="37"/>
    </row>
    <row r="16" spans="1:22">
      <c r="B16" s="38" t="s">
        <v>89</v>
      </c>
      <c r="C16" s="20"/>
      <c r="D16" s="20"/>
      <c r="E16" s="20"/>
      <c r="G16" s="20"/>
      <c r="H16" s="20"/>
      <c r="I16" s="39"/>
      <c r="J16" s="20"/>
      <c r="K16" s="20"/>
      <c r="L16" s="20"/>
      <c r="M16" s="39"/>
      <c r="N16" s="20"/>
      <c r="O16" s="20"/>
      <c r="P16" s="20"/>
      <c r="S16" s="23"/>
      <c r="T16" s="23"/>
      <c r="U16" s="23"/>
      <c r="V16" s="40"/>
    </row>
    <row r="17" spans="2:22">
      <c r="B17" s="26" t="s">
        <v>14</v>
      </c>
      <c r="C17" s="146">
        <v>-20228</v>
      </c>
      <c r="D17" s="146">
        <v>-43978</v>
      </c>
      <c r="E17" s="146">
        <v>-92321</v>
      </c>
      <c r="F17" s="147"/>
      <c r="G17" s="146">
        <v>-7338</v>
      </c>
      <c r="H17" s="146">
        <v>-9653</v>
      </c>
      <c r="I17" s="146">
        <v>-13292</v>
      </c>
      <c r="J17" s="97">
        <f t="shared" ref="J17:J20" si="8">SUM(D17-SUM(G17:I17))</f>
        <v>-13695</v>
      </c>
      <c r="K17" s="146">
        <v>-16233</v>
      </c>
      <c r="L17" s="146">
        <v>-19869</v>
      </c>
      <c r="M17" s="146">
        <v>-24599</v>
      </c>
      <c r="N17" s="97">
        <f t="shared" ref="N17:N20" si="9">SUM(E17-SUM(K17:M17))</f>
        <v>-31620</v>
      </c>
      <c r="O17" s="146">
        <v>-32368</v>
      </c>
      <c r="P17" s="146">
        <v>-31204</v>
      </c>
      <c r="Q17" s="146">
        <v>-33178</v>
      </c>
      <c r="S17" s="23">
        <f t="shared" ref="S17:S20" si="10">SUM(J17:M17)</f>
        <v>-74396</v>
      </c>
      <c r="T17" s="23">
        <f t="shared" ref="T17:T20" si="11">SUM(N17:Q17)</f>
        <v>-128370</v>
      </c>
      <c r="U17" s="23"/>
      <c r="V17" s="25">
        <f t="shared" ref="V17:V20" si="12">SUM(T17/S17)-1</f>
        <v>0.72549599440830148</v>
      </c>
    </row>
    <row r="18" spans="2:22">
      <c r="B18" s="26" t="s">
        <v>12</v>
      </c>
      <c r="C18" s="146">
        <v>-3233</v>
      </c>
      <c r="D18" s="146">
        <v>-8385</v>
      </c>
      <c r="E18" s="146">
        <v>-18270</v>
      </c>
      <c r="F18" s="147"/>
      <c r="G18" s="146">
        <v>-1871</v>
      </c>
      <c r="H18" s="146">
        <v>-2132</v>
      </c>
      <c r="I18" s="146">
        <v>-1969</v>
      </c>
      <c r="J18" s="97">
        <f t="shared" si="8"/>
        <v>-2413</v>
      </c>
      <c r="K18" s="146">
        <v>-2667</v>
      </c>
      <c r="L18" s="146">
        <v>-3575</v>
      </c>
      <c r="M18" s="146">
        <v>-5047</v>
      </c>
      <c r="N18" s="97">
        <f t="shared" si="9"/>
        <v>-6981</v>
      </c>
      <c r="O18" s="146">
        <v>-6701</v>
      </c>
      <c r="P18" s="146">
        <v>-6137</v>
      </c>
      <c r="Q18" s="146">
        <v>-6630</v>
      </c>
      <c r="S18" s="23">
        <f t="shared" si="10"/>
        <v>-13702</v>
      </c>
      <c r="T18" s="23">
        <f t="shared" si="11"/>
        <v>-26449</v>
      </c>
      <c r="U18" s="23"/>
      <c r="V18" s="25">
        <f t="shared" si="12"/>
        <v>0.93030214567216474</v>
      </c>
    </row>
    <row r="19" spans="2:22">
      <c r="B19" s="26" t="s">
        <v>13</v>
      </c>
      <c r="C19" s="146">
        <v>-13737</v>
      </c>
      <c r="D19" s="146">
        <v>-35966</v>
      </c>
      <c r="E19" s="146">
        <v>-50722</v>
      </c>
      <c r="F19" s="147"/>
      <c r="G19" s="146">
        <v>-9194</v>
      </c>
      <c r="H19" s="146">
        <v>-7558</v>
      </c>
      <c r="I19" s="146">
        <v>-10149</v>
      </c>
      <c r="J19" s="97">
        <f t="shared" si="8"/>
        <v>-9065</v>
      </c>
      <c r="K19" s="146">
        <v>-10581</v>
      </c>
      <c r="L19" s="146">
        <v>-10930</v>
      </c>
      <c r="M19" s="146">
        <v>-13927</v>
      </c>
      <c r="N19" s="97">
        <f t="shared" si="9"/>
        <v>-15284</v>
      </c>
      <c r="O19" s="146">
        <v>-14020</v>
      </c>
      <c r="P19" s="146">
        <v>-13053</v>
      </c>
      <c r="Q19" s="146">
        <v>-14322</v>
      </c>
      <c r="S19" s="23">
        <f t="shared" si="10"/>
        <v>-44503</v>
      </c>
      <c r="T19" s="23">
        <f t="shared" si="11"/>
        <v>-56679</v>
      </c>
      <c r="U19" s="23"/>
      <c r="V19" s="25">
        <f t="shared" si="12"/>
        <v>0.27359953261577874</v>
      </c>
    </row>
    <row r="20" spans="2:22">
      <c r="B20" s="26" t="s">
        <v>17</v>
      </c>
      <c r="C20" s="146">
        <v>-2548</v>
      </c>
      <c r="D20" s="146">
        <v>-5604</v>
      </c>
      <c r="E20" s="146">
        <v>-10375</v>
      </c>
      <c r="F20" s="147"/>
      <c r="G20" s="146">
        <v>-1266</v>
      </c>
      <c r="H20" s="146">
        <v>-1451</v>
      </c>
      <c r="I20" s="146">
        <v>-1531</v>
      </c>
      <c r="J20" s="97">
        <f t="shared" si="8"/>
        <v>-1356</v>
      </c>
      <c r="K20" s="146">
        <v>-1791</v>
      </c>
      <c r="L20" s="146">
        <v>-2329</v>
      </c>
      <c r="M20" s="146">
        <v>-2749</v>
      </c>
      <c r="N20" s="97">
        <f t="shared" si="9"/>
        <v>-3506</v>
      </c>
      <c r="O20" s="146">
        <v>-3955</v>
      </c>
      <c r="P20" s="146">
        <v>-4305</v>
      </c>
      <c r="Q20" s="146">
        <v>-4890</v>
      </c>
      <c r="S20" s="23">
        <f t="shared" si="10"/>
        <v>-8225</v>
      </c>
      <c r="T20" s="23">
        <f t="shared" si="11"/>
        <v>-16656</v>
      </c>
      <c r="U20" s="23"/>
      <c r="V20" s="25">
        <f t="shared" si="12"/>
        <v>1.0250455927051672</v>
      </c>
    </row>
    <row r="21" spans="2:22">
      <c r="B21" s="41" t="s">
        <v>38</v>
      </c>
      <c r="C21" s="28">
        <f>SUM(C12+SUM(C17:C20))</f>
        <v>-38687</v>
      </c>
      <c r="D21" s="28">
        <f t="shared" ref="D21:E21" si="13">SUM(D12+SUM(D17:D20))</f>
        <v>-85746</v>
      </c>
      <c r="E21" s="28">
        <f t="shared" si="13"/>
        <v>-157754</v>
      </c>
      <c r="G21" s="28">
        <f t="shared" ref="G21:P21" si="14">SUM(G12+SUM(G17:G20))</f>
        <v>-18284</v>
      </c>
      <c r="H21" s="28">
        <f t="shared" si="14"/>
        <v>-18928</v>
      </c>
      <c r="I21" s="28">
        <f t="shared" si="14"/>
        <v>-24911</v>
      </c>
      <c r="J21" s="28">
        <f t="shared" si="14"/>
        <v>-23623</v>
      </c>
      <c r="K21" s="28">
        <f t="shared" si="14"/>
        <v>-28023</v>
      </c>
      <c r="L21" s="28">
        <f t="shared" si="14"/>
        <v>-33089</v>
      </c>
      <c r="M21" s="28">
        <f t="shared" si="14"/>
        <v>-42194</v>
      </c>
      <c r="N21" s="28">
        <f t="shared" si="14"/>
        <v>-54448</v>
      </c>
      <c r="O21" s="28">
        <f t="shared" si="14"/>
        <v>-52876</v>
      </c>
      <c r="P21" s="28">
        <f t="shared" si="14"/>
        <v>-48941</v>
      </c>
      <c r="Q21" s="28">
        <f t="shared" ref="Q21:T21" si="15">SUM(Q12+SUM(Q17:Q20))</f>
        <v>-40105</v>
      </c>
      <c r="S21" s="28">
        <f t="shared" si="15"/>
        <v>-126929</v>
      </c>
      <c r="T21" s="28">
        <f t="shared" si="15"/>
        <v>-196370</v>
      </c>
      <c r="U21" s="29"/>
      <c r="V21" s="30">
        <f>SUM(T21/S21)-1</f>
        <v>0.54708537843991523</v>
      </c>
    </row>
    <row r="22" spans="2:22">
      <c r="B22" s="31" t="s">
        <v>34</v>
      </c>
      <c r="C22" s="42"/>
      <c r="D22" s="33">
        <f>D21/C21-1</f>
        <v>1.2164034430170343</v>
      </c>
      <c r="E22" s="33">
        <f>E21/D21-1</f>
        <v>0.83978261376623986</v>
      </c>
      <c r="F22" s="33"/>
      <c r="G22" s="33"/>
      <c r="H22" s="33">
        <f t="shared" ref="H22:Q22" si="16">H21/G21-1</f>
        <v>3.5222052067381382E-2</v>
      </c>
      <c r="I22" s="33">
        <f t="shared" si="16"/>
        <v>0.31609256128486907</v>
      </c>
      <c r="J22" s="33">
        <f t="shared" si="16"/>
        <v>-5.1704066476656929E-2</v>
      </c>
      <c r="K22" s="33">
        <f t="shared" si="16"/>
        <v>0.18625915421411343</v>
      </c>
      <c r="L22" s="33">
        <f t="shared" si="16"/>
        <v>0.18078007351104453</v>
      </c>
      <c r="M22" s="33">
        <f t="shared" si="16"/>
        <v>0.27516697391882494</v>
      </c>
      <c r="N22" s="33">
        <f t="shared" si="16"/>
        <v>0.29042043892496561</v>
      </c>
      <c r="O22" s="33">
        <f t="shared" si="16"/>
        <v>-2.8871583896561859E-2</v>
      </c>
      <c r="P22" s="33">
        <f t="shared" si="16"/>
        <v>-7.441939632347383E-2</v>
      </c>
      <c r="Q22" s="33">
        <f t="shared" si="16"/>
        <v>-0.1805439202304816</v>
      </c>
      <c r="T22" s="33">
        <f>T21/S21-1</f>
        <v>0.54708537843991523</v>
      </c>
      <c r="U22" s="43"/>
      <c r="V22" s="40"/>
    </row>
    <row r="23" spans="2:22">
      <c r="B23" s="31" t="s">
        <v>39</v>
      </c>
      <c r="C23" s="33">
        <f>SUM(C21/C10)</f>
        <v>-18.431157694140065</v>
      </c>
      <c r="D23" s="33">
        <f>SUM(D21/D10)</f>
        <v>-7.7033510017069444</v>
      </c>
      <c r="E23" s="33">
        <f>SUM(E21/E10)</f>
        <v>-7.1569730514472374</v>
      </c>
      <c r="F23" s="33"/>
      <c r="G23" s="33">
        <f t="shared" ref="G23:Q23" si="17">SUM(G21/G10)</f>
        <v>-9.3620071684587813</v>
      </c>
      <c r="H23" s="33">
        <f t="shared" si="17"/>
        <v>-7.257668711656442</v>
      </c>
      <c r="I23" s="33">
        <f t="shared" si="17"/>
        <v>-9.0159247195077814</v>
      </c>
      <c r="J23" s="33">
        <f t="shared" si="17"/>
        <v>-6.2051484108221695</v>
      </c>
      <c r="K23" s="33">
        <f t="shared" si="17"/>
        <v>-6.5397899649941653</v>
      </c>
      <c r="L23" s="33">
        <f t="shared" si="17"/>
        <v>-5.9998186763372621</v>
      </c>
      <c r="M23" s="33">
        <f t="shared" si="17"/>
        <v>-6.8764667535853974</v>
      </c>
      <c r="N23" s="33">
        <f t="shared" si="17"/>
        <v>-8.9171306911234858</v>
      </c>
      <c r="O23" s="33">
        <f t="shared" si="17"/>
        <v>-6.9738855183328941</v>
      </c>
      <c r="P23" s="33">
        <f t="shared" si="17"/>
        <v>-4.300237237501098</v>
      </c>
      <c r="Q23" s="33">
        <f t="shared" si="17"/>
        <v>-3.2342741935483872</v>
      </c>
      <c r="S23" s="33">
        <f>SUM(S21/S10)</f>
        <v>-6.4290634655320877</v>
      </c>
      <c r="T23" s="33">
        <f>SUM(T21/T10)</f>
        <v>-5.2408657823801006</v>
      </c>
      <c r="U23" s="43"/>
      <c r="V23" s="25">
        <f>SUM(T23/S23)-1</f>
        <v>-0.18481660501910269</v>
      </c>
    </row>
    <row r="24" spans="2:22" ht="2.25" customHeight="1">
      <c r="B24" s="35" t="s">
        <v>36</v>
      </c>
      <c r="C24" s="32">
        <v>49</v>
      </c>
      <c r="D24" s="32">
        <v>2777</v>
      </c>
      <c r="E24" s="32">
        <v>7833</v>
      </c>
      <c r="G24" s="32"/>
      <c r="H24" s="32"/>
      <c r="I24" s="32"/>
      <c r="J24" s="32"/>
      <c r="K24" s="32">
        <v>-28777</v>
      </c>
      <c r="L24" s="32">
        <v>-27879</v>
      </c>
      <c r="M24" s="32"/>
      <c r="N24" s="32">
        <v>-19934</v>
      </c>
      <c r="O24" s="32">
        <v>-61402</v>
      </c>
      <c r="P24" s="32"/>
      <c r="Q24" s="32"/>
      <c r="S24" s="36"/>
      <c r="T24" s="36"/>
      <c r="U24" s="36"/>
      <c r="V24" s="37"/>
    </row>
    <row r="25" spans="2:22">
      <c r="B25" s="38" t="s">
        <v>15</v>
      </c>
      <c r="C25" s="42"/>
      <c r="D25" s="33"/>
      <c r="E25" s="33"/>
      <c r="F25" s="33"/>
      <c r="G25" s="33"/>
      <c r="H25" s="33"/>
      <c r="I25" s="33"/>
      <c r="J25" s="33"/>
      <c r="K25" s="33"/>
      <c r="L25" s="33"/>
      <c r="M25" s="33"/>
      <c r="N25" s="33"/>
      <c r="O25" s="33"/>
      <c r="P25" s="33"/>
      <c r="Q25" s="33"/>
      <c r="T25" s="33"/>
      <c r="U25" s="43"/>
      <c r="V25" s="40"/>
    </row>
    <row r="26" spans="2:22">
      <c r="B26" s="26" t="s">
        <v>101</v>
      </c>
      <c r="C26" s="146">
        <v>-63332</v>
      </c>
      <c r="D26" s="146">
        <v>30136</v>
      </c>
      <c r="E26" s="146">
        <v>-19206</v>
      </c>
      <c r="F26" s="4"/>
      <c r="G26" s="146">
        <v>13448</v>
      </c>
      <c r="H26" s="146">
        <v>16061</v>
      </c>
      <c r="I26" s="146">
        <v>-1151</v>
      </c>
      <c r="J26" s="97">
        <f t="shared" ref="J26:J31" si="18">SUM(D26-SUM(G26:I26))</f>
        <v>1778</v>
      </c>
      <c r="K26" s="146">
        <v>-3610</v>
      </c>
      <c r="L26" s="146">
        <v>-15537</v>
      </c>
      <c r="M26" s="146">
        <v>-7640</v>
      </c>
      <c r="N26" s="97">
        <f t="shared" ref="N26:N31" si="19">SUM(E26-SUM(K26:M26))</f>
        <v>7581</v>
      </c>
      <c r="O26" s="146">
        <v>8627</v>
      </c>
      <c r="P26" s="146">
        <v>6639</v>
      </c>
      <c r="Q26" s="146">
        <v>-3868</v>
      </c>
      <c r="S26" s="23">
        <f t="shared" ref="S26:S29" si="20">SUM(J26:M26)</f>
        <v>-25009</v>
      </c>
      <c r="T26" s="23">
        <f t="shared" ref="T26:T29" si="21">SUM(K26:N26)</f>
        <v>-19206</v>
      </c>
      <c r="U26" s="43"/>
      <c r="V26" s="25">
        <f t="shared" ref="V26:V31" si="22">SUM(T26/S26)-1</f>
        <v>-0.23203646687192614</v>
      </c>
    </row>
    <row r="27" spans="2:22">
      <c r="B27" s="26" t="s">
        <v>102</v>
      </c>
      <c r="C27" s="146">
        <v>64</v>
      </c>
      <c r="D27" s="146">
        <v>7093</v>
      </c>
      <c r="E27" s="146">
        <v>19322</v>
      </c>
      <c r="F27" s="4"/>
      <c r="G27" s="146"/>
      <c r="H27" s="146">
        <v>1259</v>
      </c>
      <c r="I27" s="146">
        <v>2059</v>
      </c>
      <c r="J27" s="97">
        <f t="shared" si="18"/>
        <v>3775</v>
      </c>
      <c r="K27" s="146">
        <v>4231</v>
      </c>
      <c r="L27" s="146">
        <v>4877</v>
      </c>
      <c r="M27" s="146">
        <v>5007</v>
      </c>
      <c r="N27" s="97">
        <f t="shared" si="19"/>
        <v>5207</v>
      </c>
      <c r="O27" s="146">
        <v>4799</v>
      </c>
      <c r="P27" s="146">
        <v>4801</v>
      </c>
      <c r="Q27" s="146">
        <v>4508</v>
      </c>
      <c r="S27" s="23">
        <f t="shared" ref="S27" si="23">SUM(J27:M27)</f>
        <v>17890</v>
      </c>
      <c r="T27" s="23">
        <f t="shared" ref="T27" si="24">SUM(K27:N27)</f>
        <v>19322</v>
      </c>
      <c r="U27" s="43"/>
      <c r="V27" s="25"/>
    </row>
    <row r="28" spans="2:22">
      <c r="B28" s="26" t="s">
        <v>15</v>
      </c>
      <c r="C28" s="146">
        <v>28</v>
      </c>
      <c r="D28" s="146">
        <v>6</v>
      </c>
      <c r="E28" s="146">
        <v>-85</v>
      </c>
      <c r="F28" s="4"/>
      <c r="G28" s="146">
        <v>609</v>
      </c>
      <c r="H28" s="146">
        <v>-46</v>
      </c>
      <c r="I28" s="146">
        <v>20</v>
      </c>
      <c r="J28" s="97">
        <f t="shared" si="18"/>
        <v>-577</v>
      </c>
      <c r="K28" s="146">
        <v>64</v>
      </c>
      <c r="L28" s="146">
        <v>31</v>
      </c>
      <c r="M28" s="146">
        <v>55</v>
      </c>
      <c r="N28" s="97">
        <f t="shared" si="19"/>
        <v>-235</v>
      </c>
      <c r="O28" s="146">
        <v>-134</v>
      </c>
      <c r="P28" s="146">
        <v>-45</v>
      </c>
      <c r="Q28" s="146">
        <v>15</v>
      </c>
      <c r="S28" s="23">
        <f t="shared" si="20"/>
        <v>-427</v>
      </c>
      <c r="T28" s="23">
        <f t="shared" si="21"/>
        <v>-85</v>
      </c>
      <c r="U28" s="43"/>
      <c r="V28" s="25">
        <f t="shared" si="22"/>
        <v>-0.80093676814988291</v>
      </c>
    </row>
    <row r="29" spans="2:22">
      <c r="B29" s="26" t="s">
        <v>103</v>
      </c>
      <c r="C29" s="146">
        <v>-4259</v>
      </c>
      <c r="D29" s="146"/>
      <c r="E29" s="146"/>
      <c r="F29" s="4"/>
      <c r="G29" s="147"/>
      <c r="H29" s="147"/>
      <c r="I29" s="147"/>
      <c r="J29" s="97">
        <f t="shared" si="18"/>
        <v>0</v>
      </c>
      <c r="K29" s="146"/>
      <c r="L29" s="146"/>
      <c r="M29" s="146"/>
      <c r="N29" s="97">
        <f t="shared" si="19"/>
        <v>0</v>
      </c>
      <c r="O29" s="146"/>
      <c r="P29" s="146"/>
      <c r="Q29" s="146"/>
      <c r="S29" s="23">
        <f t="shared" si="20"/>
        <v>0</v>
      </c>
      <c r="T29" s="23">
        <f t="shared" si="21"/>
        <v>0</v>
      </c>
      <c r="U29" s="43"/>
      <c r="V29" s="25" t="e">
        <f t="shared" si="22"/>
        <v>#DIV/0!</v>
      </c>
    </row>
    <row r="30" spans="2:22">
      <c r="B30" s="41" t="s">
        <v>40</v>
      </c>
      <c r="C30" s="138">
        <f>SUM(C26:C29)+C21</f>
        <v>-106186</v>
      </c>
      <c r="D30" s="138">
        <f>SUM(D26:D29)+D21</f>
        <v>-48511</v>
      </c>
      <c r="E30" s="138">
        <f>SUM(E26:E29)+E21</f>
        <v>-157723</v>
      </c>
      <c r="F30" s="148"/>
      <c r="G30" s="138">
        <f t="shared" ref="G30:Q30" si="25">SUM(G26:G29)+G21</f>
        <v>-4227</v>
      </c>
      <c r="H30" s="138">
        <f t="shared" si="25"/>
        <v>-1654</v>
      </c>
      <c r="I30" s="138">
        <f t="shared" si="25"/>
        <v>-23983</v>
      </c>
      <c r="J30" s="138">
        <f t="shared" si="25"/>
        <v>-18647</v>
      </c>
      <c r="K30" s="138">
        <f t="shared" si="25"/>
        <v>-27338</v>
      </c>
      <c r="L30" s="138">
        <f t="shared" si="25"/>
        <v>-43718</v>
      </c>
      <c r="M30" s="138">
        <f t="shared" si="25"/>
        <v>-44772</v>
      </c>
      <c r="N30" s="138">
        <f t="shared" si="25"/>
        <v>-41895</v>
      </c>
      <c r="O30" s="138">
        <f t="shared" si="25"/>
        <v>-39584</v>
      </c>
      <c r="P30" s="138">
        <f t="shared" si="25"/>
        <v>-37546</v>
      </c>
      <c r="Q30" s="138">
        <f t="shared" si="25"/>
        <v>-39450</v>
      </c>
      <c r="S30" s="138">
        <f t="shared" ref="S30:T30" si="26">SUM(S26:S29)+S21</f>
        <v>-134475</v>
      </c>
      <c r="T30" s="138">
        <f t="shared" si="26"/>
        <v>-196339</v>
      </c>
      <c r="U30" s="43"/>
      <c r="V30" s="30">
        <f>SUM(T30/S30)-1</f>
        <v>0.460040899795501</v>
      </c>
    </row>
    <row r="31" spans="2:22">
      <c r="B31" s="44" t="s">
        <v>104</v>
      </c>
      <c r="C31" s="146">
        <v>0</v>
      </c>
      <c r="D31" s="146">
        <v>0</v>
      </c>
      <c r="E31" s="146">
        <v>-48</v>
      </c>
      <c r="F31" s="149"/>
      <c r="G31" s="146">
        <v>0</v>
      </c>
      <c r="H31" s="146">
        <v>0</v>
      </c>
      <c r="I31" s="146">
        <v>0</v>
      </c>
      <c r="J31" s="97">
        <f t="shared" si="18"/>
        <v>0</v>
      </c>
      <c r="K31" s="146">
        <v>0</v>
      </c>
      <c r="L31" s="146">
        <v>0</v>
      </c>
      <c r="M31" s="146">
        <v>-39</v>
      </c>
      <c r="N31" s="97">
        <f t="shared" si="19"/>
        <v>-9</v>
      </c>
      <c r="O31" s="146">
        <v>-8</v>
      </c>
      <c r="P31" s="146">
        <v>-15</v>
      </c>
      <c r="Q31" s="146">
        <v>-16</v>
      </c>
      <c r="S31" s="23">
        <f t="shared" ref="S31" si="27">SUM(J31:M31)</f>
        <v>-39</v>
      </c>
      <c r="T31" s="23">
        <f t="shared" ref="T31" si="28">SUM(K31:N31)</f>
        <v>-48</v>
      </c>
      <c r="U31" s="43"/>
      <c r="V31" s="25">
        <f t="shared" si="22"/>
        <v>0.23076923076923084</v>
      </c>
    </row>
    <row r="32" spans="2:22">
      <c r="B32" s="41" t="s">
        <v>41</v>
      </c>
      <c r="C32" s="138">
        <f>SUM(C30+C31)</f>
        <v>-106186</v>
      </c>
      <c r="D32" s="138">
        <f t="shared" ref="D32:E32" si="29">SUM(D30+D31)</f>
        <v>-48511</v>
      </c>
      <c r="E32" s="138">
        <f t="shared" si="29"/>
        <v>-157771</v>
      </c>
      <c r="F32" s="5"/>
      <c r="G32" s="138">
        <f t="shared" ref="G32:P32" si="30">SUM(G30+G31)</f>
        <v>-4227</v>
      </c>
      <c r="H32" s="138">
        <f t="shared" si="30"/>
        <v>-1654</v>
      </c>
      <c r="I32" s="138">
        <f t="shared" si="30"/>
        <v>-23983</v>
      </c>
      <c r="J32" s="138">
        <f t="shared" si="30"/>
        <v>-18647</v>
      </c>
      <c r="K32" s="138">
        <f t="shared" si="30"/>
        <v>-27338</v>
      </c>
      <c r="L32" s="138">
        <f t="shared" si="30"/>
        <v>-43718</v>
      </c>
      <c r="M32" s="138">
        <f t="shared" si="30"/>
        <v>-44811</v>
      </c>
      <c r="N32" s="138">
        <f t="shared" si="30"/>
        <v>-41904</v>
      </c>
      <c r="O32" s="138">
        <f t="shared" si="30"/>
        <v>-39592</v>
      </c>
      <c r="P32" s="138">
        <f t="shared" si="30"/>
        <v>-37561</v>
      </c>
      <c r="Q32" s="138">
        <f t="shared" ref="Q32:T32" si="31">SUM(Q30+Q31)</f>
        <v>-39466</v>
      </c>
      <c r="R32" s="21"/>
      <c r="S32" s="138">
        <f t="shared" si="31"/>
        <v>-134514</v>
      </c>
      <c r="T32" s="138">
        <f t="shared" si="31"/>
        <v>-196387</v>
      </c>
      <c r="U32" s="45">
        <f t="shared" ref="U32" si="32">SUM(U31-U30)</f>
        <v>0</v>
      </c>
      <c r="V32" s="30">
        <f>SUM(T32/S32)-1</f>
        <v>0.45997442645375197</v>
      </c>
    </row>
    <row r="33" spans="1:22">
      <c r="B33" s="31" t="s">
        <v>34</v>
      </c>
      <c r="C33" s="42"/>
      <c r="D33" s="33">
        <f>D32/C32-1</f>
        <v>-0.5431506978321059</v>
      </c>
      <c r="E33" s="33">
        <f>E32/D32-1</f>
        <v>2.2522726804229967</v>
      </c>
      <c r="F33" s="33"/>
      <c r="G33" s="33"/>
      <c r="H33" s="33">
        <f t="shared" ref="H33:Q33" si="33">H32/G32-1</f>
        <v>-0.6087059380175065</v>
      </c>
      <c r="I33" s="33">
        <f t="shared" si="33"/>
        <v>13.5</v>
      </c>
      <c r="J33" s="33">
        <f t="shared" si="33"/>
        <v>-0.22249093107617901</v>
      </c>
      <c r="K33" s="33">
        <f t="shared" si="33"/>
        <v>0.46608033463827958</v>
      </c>
      <c r="L33" s="33">
        <f t="shared" si="33"/>
        <v>0.59916599604945486</v>
      </c>
      <c r="M33" s="33">
        <f t="shared" si="33"/>
        <v>2.5001143693673011E-2</v>
      </c>
      <c r="N33" s="33">
        <f t="shared" si="33"/>
        <v>-6.4872464350271164E-2</v>
      </c>
      <c r="O33" s="33">
        <f t="shared" si="33"/>
        <v>-5.5173730431462342E-2</v>
      </c>
      <c r="P33" s="33">
        <f t="shared" si="33"/>
        <v>-5.1298242069104827E-2</v>
      </c>
      <c r="Q33" s="33">
        <f t="shared" si="33"/>
        <v>5.0717499534091104E-2</v>
      </c>
      <c r="T33" s="33">
        <f>T32/S32-1</f>
        <v>0.45997442645375197</v>
      </c>
      <c r="U33" s="3"/>
      <c r="V33" s="34"/>
    </row>
    <row r="34" spans="1:22">
      <c r="B34" s="31" t="s">
        <v>42</v>
      </c>
      <c r="C34" s="33">
        <f>SUM(C32/C10)</f>
        <v>-50.588851834206764</v>
      </c>
      <c r="D34" s="33">
        <f>SUM(D32/D10)</f>
        <v>-4.3581888419728685</v>
      </c>
      <c r="E34" s="33">
        <f>SUM(E32/E10)</f>
        <v>-7.1577443063242896</v>
      </c>
      <c r="F34" s="33"/>
      <c r="G34" s="33">
        <f t="shared" ref="G34:Q34" si="34">SUM(G32/G10)</f>
        <v>-2.1643625192012288</v>
      </c>
      <c r="H34" s="33">
        <f t="shared" si="34"/>
        <v>-0.63420245398773001</v>
      </c>
      <c r="I34" s="33">
        <f t="shared" si="34"/>
        <v>-8.6800579080709372</v>
      </c>
      <c r="J34" s="33">
        <f t="shared" si="34"/>
        <v>-4.8980824796427633</v>
      </c>
      <c r="K34" s="33">
        <f t="shared" si="34"/>
        <v>-6.3799299883313889</v>
      </c>
      <c r="L34" s="33">
        <f t="shared" si="34"/>
        <v>-7.9271078875793295</v>
      </c>
      <c r="M34" s="33">
        <f t="shared" si="34"/>
        <v>-7.3029661016949152</v>
      </c>
      <c r="N34" s="33">
        <f t="shared" si="34"/>
        <v>-6.8627579430068781</v>
      </c>
      <c r="O34" s="33">
        <f t="shared" si="34"/>
        <v>-5.2218412028488528</v>
      </c>
      <c r="P34" s="33">
        <f t="shared" si="34"/>
        <v>-3.3003251032422458</v>
      </c>
      <c r="Q34" s="33">
        <f t="shared" si="34"/>
        <v>-3.1827419354838709</v>
      </c>
      <c r="S34" s="33">
        <f>SUM(S32/S10)</f>
        <v>-6.8132502659170342</v>
      </c>
      <c r="T34" s="33">
        <f>SUM(T32/T10)</f>
        <v>-5.2413194907790439</v>
      </c>
      <c r="U34" s="43"/>
      <c r="V34" s="25">
        <f t="shared" ref="V34:V36" si="35">SUM(T34/S34)-1</f>
        <v>-0.23071672311840652</v>
      </c>
    </row>
    <row r="35" spans="1:22" ht="15.75" thickBot="1">
      <c r="B35" s="31"/>
      <c r="C35" s="42"/>
      <c r="D35" s="33"/>
      <c r="E35" s="33"/>
      <c r="F35" s="33"/>
      <c r="G35" s="33"/>
      <c r="H35" s="33"/>
      <c r="I35" s="33"/>
      <c r="J35" s="33"/>
      <c r="K35" s="33"/>
      <c r="L35" s="33"/>
      <c r="M35" s="33"/>
      <c r="N35" s="33"/>
      <c r="O35" s="33"/>
      <c r="P35" s="33"/>
      <c r="Q35" s="33"/>
      <c r="T35" s="33"/>
      <c r="U35" s="43"/>
      <c r="V35" s="40"/>
    </row>
    <row r="36" spans="1:22">
      <c r="B36" s="46" t="s">
        <v>105</v>
      </c>
      <c r="C36" s="156">
        <f t="shared" ref="C36:E36" si="36">SUM(C32/C37)</f>
        <v>-0.77164663342577355</v>
      </c>
      <c r="D36" s="156">
        <f t="shared" si="36"/>
        <v>-0.24534253030742156</v>
      </c>
      <c r="E36" s="157">
        <f t="shared" si="36"/>
        <v>-0.77882185855997543</v>
      </c>
      <c r="F36" s="47"/>
      <c r="G36" s="155">
        <f>SUM(G32/G37)</f>
        <v>-2.154618227926465E-2</v>
      </c>
      <c r="H36" s="156">
        <f t="shared" ref="H36:Q36" si="37">SUM(H32/H37)</f>
        <v>-8.386827585718017E-3</v>
      </c>
      <c r="I36" s="156">
        <f t="shared" si="37"/>
        <v>-0.12094225936257383</v>
      </c>
      <c r="J36" s="156">
        <f t="shared" si="37"/>
        <v>-9.4306490541165716E-2</v>
      </c>
      <c r="K36" s="156">
        <f t="shared" si="37"/>
        <v>-0.13661291274865875</v>
      </c>
      <c r="L36" s="156">
        <f t="shared" si="37"/>
        <v>-0.2170365672807848</v>
      </c>
      <c r="M36" s="156">
        <f t="shared" si="37"/>
        <v>-0.22032015151866841</v>
      </c>
      <c r="N36" s="156">
        <f t="shared" si="37"/>
        <v>-0.20685519620904483</v>
      </c>
      <c r="O36" s="156">
        <f t="shared" si="37"/>
        <v>-0.19020035887010628</v>
      </c>
      <c r="P36" s="156">
        <f t="shared" si="37"/>
        <v>-0.17747801654734321</v>
      </c>
      <c r="Q36" s="157">
        <f t="shared" si="37"/>
        <v>-0.1841580468940226</v>
      </c>
      <c r="S36" s="161">
        <f>M36</f>
        <v>-0.22032015151866841</v>
      </c>
      <c r="T36" s="163">
        <f>Q36</f>
        <v>-0.1841580468940226</v>
      </c>
      <c r="U36" s="43"/>
      <c r="V36" s="30">
        <f t="shared" si="35"/>
        <v>-0.16413434892532597</v>
      </c>
    </row>
    <row r="37" spans="1:22" ht="15.75" thickBot="1">
      <c r="B37" s="48" t="s">
        <v>106</v>
      </c>
      <c r="C37" s="49">
        <v>137609.62</v>
      </c>
      <c r="D37" s="50">
        <v>197727.64199999999</v>
      </c>
      <c r="E37" s="51">
        <v>202576.492</v>
      </c>
      <c r="F37" s="47"/>
      <c r="G37" s="154">
        <v>196183.247</v>
      </c>
      <c r="H37" s="152">
        <v>197214.022</v>
      </c>
      <c r="I37" s="152">
        <v>198301.24</v>
      </c>
      <c r="J37" s="52">
        <f>D37</f>
        <v>197727.64199999999</v>
      </c>
      <c r="K37" s="152">
        <v>200112.85500000001</v>
      </c>
      <c r="L37" s="152">
        <v>201431.49400000001</v>
      </c>
      <c r="M37" s="152">
        <v>203390.383</v>
      </c>
      <c r="N37" s="52">
        <f>E37</f>
        <v>202576.492</v>
      </c>
      <c r="O37" s="152">
        <v>208159.43900000001</v>
      </c>
      <c r="P37" s="152">
        <v>211637.47899999999</v>
      </c>
      <c r="Q37" s="153">
        <v>214305.05300000001</v>
      </c>
      <c r="S37" s="162">
        <f>M37</f>
        <v>203390.383</v>
      </c>
      <c r="T37" s="164">
        <f>Q37</f>
        <v>214305.05300000001</v>
      </c>
      <c r="U37" s="43"/>
      <c r="V37" s="40"/>
    </row>
    <row r="38" spans="1:22">
      <c r="B38" s="31"/>
      <c r="C38" s="42"/>
      <c r="D38" s="33"/>
      <c r="E38" s="33"/>
      <c r="F38" s="33"/>
      <c r="G38" s="33"/>
      <c r="H38" s="33"/>
      <c r="I38" s="33"/>
      <c r="J38" s="33"/>
      <c r="K38" s="33"/>
      <c r="L38" s="33"/>
      <c r="M38" s="33"/>
      <c r="N38" s="33"/>
      <c r="O38" s="33"/>
      <c r="P38" s="33"/>
      <c r="T38" s="33"/>
      <c r="U38" s="43"/>
      <c r="V38" s="40"/>
    </row>
    <row r="39" spans="1:22">
      <c r="A39" s="6" t="s">
        <v>27</v>
      </c>
      <c r="B39" s="7" t="s">
        <v>43</v>
      </c>
      <c r="C39" s="53"/>
      <c r="D39" s="53"/>
      <c r="E39" s="53"/>
      <c r="F39" s="8"/>
      <c r="G39" s="8"/>
      <c r="H39" s="8"/>
      <c r="I39" s="8"/>
      <c r="J39" s="8"/>
      <c r="K39" s="8"/>
      <c r="L39" s="8"/>
      <c r="M39" s="8"/>
      <c r="N39" s="8"/>
      <c r="O39" s="8"/>
      <c r="P39" s="8"/>
      <c r="Q39" s="8"/>
      <c r="R39" s="8"/>
      <c r="S39" s="8"/>
      <c r="T39" s="8"/>
      <c r="U39" s="8"/>
      <c r="V39" s="8"/>
    </row>
    <row r="40" spans="1:22">
      <c r="B40" s="15" t="s">
        <v>91</v>
      </c>
      <c r="C40" s="54"/>
      <c r="D40" s="54"/>
      <c r="E40" s="54"/>
      <c r="F40" s="8"/>
      <c r="G40" s="8"/>
      <c r="H40" s="8"/>
      <c r="I40" s="8"/>
      <c r="J40" s="8"/>
      <c r="K40" s="8"/>
      <c r="L40" s="8"/>
      <c r="M40" s="8"/>
      <c r="N40" s="8"/>
      <c r="O40" s="8"/>
      <c r="P40" s="8"/>
      <c r="Q40" s="8"/>
      <c r="R40" s="8"/>
      <c r="S40" s="8"/>
      <c r="T40" s="8"/>
      <c r="U40" s="8"/>
      <c r="V40" s="8"/>
    </row>
    <row r="41" spans="1:22" ht="3.75" customHeight="1">
      <c r="B41" s="55"/>
      <c r="C41" s="56"/>
      <c r="D41" s="56"/>
      <c r="E41" s="56"/>
    </row>
    <row r="42" spans="1:22">
      <c r="B42" s="38" t="s">
        <v>44</v>
      </c>
      <c r="D42" s="20"/>
      <c r="E42" s="20"/>
    </row>
    <row r="43" spans="1:22">
      <c r="B43" s="26" t="s">
        <v>0</v>
      </c>
      <c r="C43" s="72">
        <v>399025</v>
      </c>
      <c r="D43" s="72">
        <v>44367</v>
      </c>
      <c r="E43" s="20">
        <v>35665</v>
      </c>
      <c r="G43" s="22">
        <v>86751</v>
      </c>
      <c r="H43" s="22">
        <v>43968</v>
      </c>
      <c r="I43" s="22">
        <v>57198</v>
      </c>
      <c r="J43" s="135">
        <f t="shared" ref="J43:J46" si="38">D43</f>
        <v>44367</v>
      </c>
      <c r="K43" s="22">
        <v>51901</v>
      </c>
      <c r="L43" s="22">
        <v>13984</v>
      </c>
      <c r="M43" s="22">
        <v>37137</v>
      </c>
      <c r="N43" s="135">
        <f t="shared" ref="N43:N46" si="39">E43</f>
        <v>35665</v>
      </c>
      <c r="O43" s="22">
        <v>60074</v>
      </c>
      <c r="P43" s="22">
        <v>41752</v>
      </c>
      <c r="Q43" s="22">
        <v>30172</v>
      </c>
      <c r="S43" s="23">
        <f t="shared" ref="S43:S46" si="40">SUM(J43:M43)</f>
        <v>147389</v>
      </c>
      <c r="T43" s="23">
        <f t="shared" ref="T43:T46" si="41">SUM(N43:Q43)</f>
        <v>167663</v>
      </c>
      <c r="U43" s="23"/>
      <c r="V43" s="25">
        <f t="shared" ref="V43:V56" si="42">SUM(T43/S43)-1</f>
        <v>0.13755436294431744</v>
      </c>
    </row>
    <row r="44" spans="1:22">
      <c r="B44" s="26" t="s">
        <v>107</v>
      </c>
      <c r="C44" s="72">
        <v>123443</v>
      </c>
      <c r="D44" s="72">
        <v>311430</v>
      </c>
      <c r="E44" s="20">
        <v>319776</v>
      </c>
      <c r="G44" s="22">
        <v>329157</v>
      </c>
      <c r="H44" s="22">
        <v>379383</v>
      </c>
      <c r="I44" s="22">
        <v>348435</v>
      </c>
      <c r="J44" s="135">
        <f t="shared" si="38"/>
        <v>311430</v>
      </c>
      <c r="K44" s="22">
        <v>335966</v>
      </c>
      <c r="L44" s="22">
        <v>361677</v>
      </c>
      <c r="M44" s="22">
        <v>346853</v>
      </c>
      <c r="N44" s="135">
        <f t="shared" si="39"/>
        <v>319776</v>
      </c>
      <c r="O44" s="22">
        <v>315276</v>
      </c>
      <c r="P44" s="22">
        <v>328045</v>
      </c>
      <c r="Q44" s="22">
        <v>335538</v>
      </c>
      <c r="S44" s="23">
        <f t="shared" si="40"/>
        <v>1355926</v>
      </c>
      <c r="T44" s="23">
        <f t="shared" si="41"/>
        <v>1298635</v>
      </c>
      <c r="U44" s="23"/>
      <c r="V44" s="25">
        <f t="shared" si="42"/>
        <v>-4.2252305804299062E-2</v>
      </c>
    </row>
    <row r="45" spans="1:22">
      <c r="B45" s="26" t="s">
        <v>19</v>
      </c>
      <c r="C45" s="72">
        <v>707</v>
      </c>
      <c r="D45" s="72">
        <v>3292</v>
      </c>
      <c r="E45" s="20">
        <v>11467</v>
      </c>
      <c r="G45" s="22">
        <v>569</v>
      </c>
      <c r="H45" s="22">
        <v>1782</v>
      </c>
      <c r="I45" s="22">
        <v>2876</v>
      </c>
      <c r="J45" s="135">
        <f t="shared" si="38"/>
        <v>3292</v>
      </c>
      <c r="K45" s="22">
        <v>1837</v>
      </c>
      <c r="L45" s="22">
        <v>2428</v>
      </c>
      <c r="M45" s="22">
        <v>3033</v>
      </c>
      <c r="N45" s="135">
        <f t="shared" si="39"/>
        <v>11467</v>
      </c>
      <c r="O45" s="22">
        <v>9556</v>
      </c>
      <c r="P45" s="22">
        <v>7893</v>
      </c>
      <c r="Q45" s="22">
        <v>4137</v>
      </c>
      <c r="S45" s="23">
        <f t="shared" si="40"/>
        <v>10590</v>
      </c>
      <c r="T45" s="23">
        <f t="shared" si="41"/>
        <v>33053</v>
      </c>
      <c r="U45" s="23"/>
      <c r="V45" s="25">
        <f t="shared" si="42"/>
        <v>2.121152030217186</v>
      </c>
    </row>
    <row r="46" spans="1:22">
      <c r="B46" s="26" t="s">
        <v>90</v>
      </c>
      <c r="C46" s="72">
        <v>6442</v>
      </c>
      <c r="D46" s="72">
        <v>12539</v>
      </c>
      <c r="E46" s="20">
        <v>23081</v>
      </c>
      <c r="G46" s="22">
        <v>5826</v>
      </c>
      <c r="H46" s="22">
        <v>5113</v>
      </c>
      <c r="I46" s="22">
        <v>8134</v>
      </c>
      <c r="J46" s="135">
        <f t="shared" si="38"/>
        <v>12539</v>
      </c>
      <c r="K46" s="22">
        <v>12638</v>
      </c>
      <c r="L46" s="22">
        <v>13236</v>
      </c>
      <c r="M46" s="22">
        <v>16816</v>
      </c>
      <c r="N46" s="135">
        <f t="shared" si="39"/>
        <v>23081</v>
      </c>
      <c r="O46" s="22">
        <v>25022</v>
      </c>
      <c r="P46" s="22">
        <v>27165</v>
      </c>
      <c r="Q46" s="22">
        <v>25553</v>
      </c>
      <c r="S46" s="23">
        <f t="shared" si="40"/>
        <v>55229</v>
      </c>
      <c r="T46" s="23">
        <f t="shared" si="41"/>
        <v>100821</v>
      </c>
      <c r="U46" s="23"/>
      <c r="V46" s="25">
        <f t="shared" si="42"/>
        <v>0.82550833801082768</v>
      </c>
    </row>
    <row r="47" spans="1:22">
      <c r="B47" s="41" t="s">
        <v>1</v>
      </c>
      <c r="C47" s="57">
        <f>SUM(C43:C46)</f>
        <v>529617</v>
      </c>
      <c r="D47" s="57">
        <f>SUM(D43:D46)</f>
        <v>371628</v>
      </c>
      <c r="E47" s="57">
        <f>SUM(E43:E46)</f>
        <v>389989</v>
      </c>
      <c r="G47" s="57">
        <f t="shared" ref="G47:Q47" si="43">SUM(G43:G46)</f>
        <v>422303</v>
      </c>
      <c r="H47" s="57">
        <f t="shared" si="43"/>
        <v>430246</v>
      </c>
      <c r="I47" s="57">
        <f t="shared" si="43"/>
        <v>416643</v>
      </c>
      <c r="J47" s="57">
        <f t="shared" si="43"/>
        <v>371628</v>
      </c>
      <c r="K47" s="57">
        <f t="shared" si="43"/>
        <v>402342</v>
      </c>
      <c r="L47" s="57">
        <f t="shared" si="43"/>
        <v>391325</v>
      </c>
      <c r="M47" s="57">
        <f t="shared" si="43"/>
        <v>403839</v>
      </c>
      <c r="N47" s="57">
        <f t="shared" si="43"/>
        <v>389989</v>
      </c>
      <c r="O47" s="57">
        <f t="shared" si="43"/>
        <v>409928</v>
      </c>
      <c r="P47" s="57">
        <f t="shared" si="43"/>
        <v>404855</v>
      </c>
      <c r="Q47" s="57">
        <f t="shared" si="43"/>
        <v>395400</v>
      </c>
      <c r="S47" s="57">
        <f>SUM(S43:S46)</f>
        <v>1569134</v>
      </c>
      <c r="T47" s="57">
        <f>SUM(T43:T46)</f>
        <v>1600172</v>
      </c>
      <c r="U47" s="29"/>
      <c r="V47" s="30">
        <f t="shared" si="42"/>
        <v>1.9780337434534001E-2</v>
      </c>
    </row>
    <row r="48" spans="1:22" ht="15.75">
      <c r="B48" s="38"/>
      <c r="C48" s="58"/>
      <c r="D48" s="59"/>
      <c r="E48" s="60"/>
      <c r="G48" s="60"/>
      <c r="H48" s="60"/>
      <c r="I48" s="60"/>
      <c r="J48" s="60"/>
      <c r="K48" s="60"/>
      <c r="L48" s="60"/>
      <c r="M48" s="60"/>
      <c r="N48" s="60"/>
      <c r="O48" s="60"/>
      <c r="P48" s="60"/>
      <c r="S48" s="29"/>
      <c r="T48" s="29"/>
      <c r="U48" s="29"/>
      <c r="V48" s="34"/>
    </row>
    <row r="49" spans="2:22" ht="15.75">
      <c r="B49" s="38" t="s">
        <v>45</v>
      </c>
      <c r="C49" s="58"/>
      <c r="D49" s="59"/>
      <c r="E49" s="60"/>
      <c r="G49" s="60"/>
      <c r="H49" s="60"/>
      <c r="I49" s="60"/>
      <c r="J49" s="60"/>
      <c r="K49" s="60"/>
      <c r="L49" s="60"/>
      <c r="M49" s="60"/>
      <c r="N49" s="60"/>
      <c r="O49" s="60"/>
      <c r="P49" s="60"/>
      <c r="S49" s="29"/>
      <c r="T49" s="29"/>
      <c r="U49" s="29"/>
      <c r="V49" s="34"/>
    </row>
    <row r="50" spans="2:22">
      <c r="B50" s="26" t="s">
        <v>108</v>
      </c>
      <c r="C50" s="72">
        <v>80110</v>
      </c>
      <c r="D50" s="72">
        <v>182001</v>
      </c>
      <c r="E50" s="61">
        <v>100489</v>
      </c>
      <c r="G50" s="22">
        <v>170460</v>
      </c>
      <c r="H50" s="22">
        <v>147992</v>
      </c>
      <c r="I50" s="22">
        <v>150154</v>
      </c>
      <c r="J50" s="135">
        <f t="shared" ref="J50:J55" si="44">D50</f>
        <v>182001</v>
      </c>
      <c r="K50" s="22">
        <v>137646</v>
      </c>
      <c r="L50" s="22">
        <v>133542</v>
      </c>
      <c r="M50" s="22">
        <v>101115</v>
      </c>
      <c r="N50" s="135">
        <f t="shared" ref="N50:N55" si="45">E50</f>
        <v>100489</v>
      </c>
      <c r="O50" s="22">
        <v>59090</v>
      </c>
      <c r="P50" s="22">
        <v>32171</v>
      </c>
      <c r="Q50" s="22">
        <v>17131</v>
      </c>
      <c r="S50" s="23">
        <f t="shared" ref="S50:S55" si="46">SUM(J50:M50)</f>
        <v>554304</v>
      </c>
      <c r="T50" s="23">
        <f t="shared" ref="T50:T55" si="47">SUM(N50:Q50)</f>
        <v>208881</v>
      </c>
      <c r="U50" s="23"/>
      <c r="V50" s="25">
        <f t="shared" si="42"/>
        <v>-0.62316526671285066</v>
      </c>
    </row>
    <row r="51" spans="2:22">
      <c r="B51" s="26" t="s">
        <v>2</v>
      </c>
      <c r="C51" s="72">
        <v>18870</v>
      </c>
      <c r="D51" s="72">
        <v>26014</v>
      </c>
      <c r="E51" s="61">
        <v>37515</v>
      </c>
      <c r="G51" s="22">
        <v>21131</v>
      </c>
      <c r="H51" s="22">
        <v>24872</v>
      </c>
      <c r="I51" s="22">
        <v>25065</v>
      </c>
      <c r="J51" s="135">
        <f t="shared" si="44"/>
        <v>26014</v>
      </c>
      <c r="K51" s="22">
        <v>26488</v>
      </c>
      <c r="L51" s="22">
        <v>29089</v>
      </c>
      <c r="M51" s="22">
        <v>35356</v>
      </c>
      <c r="N51" s="135">
        <f t="shared" si="45"/>
        <v>37515</v>
      </c>
      <c r="O51" s="22">
        <v>42380</v>
      </c>
      <c r="P51" s="22">
        <v>47883</v>
      </c>
      <c r="Q51" s="22">
        <v>49454</v>
      </c>
      <c r="S51" s="23">
        <f t="shared" ref="S51" si="48">SUM(J51:M51)</f>
        <v>116947</v>
      </c>
      <c r="T51" s="23">
        <f t="shared" ref="T51" si="49">SUM(N51:Q51)</f>
        <v>177232</v>
      </c>
      <c r="U51" s="23"/>
      <c r="V51" s="25">
        <f t="shared" si="42"/>
        <v>0.5154899227855354</v>
      </c>
    </row>
    <row r="52" spans="2:22">
      <c r="B52" s="26" t="s">
        <v>109</v>
      </c>
      <c r="C52" s="72">
        <v>4032</v>
      </c>
      <c r="D52" s="72">
        <v>3753</v>
      </c>
      <c r="E52" s="61">
        <v>4613</v>
      </c>
      <c r="G52" s="22">
        <v>3964</v>
      </c>
      <c r="H52" s="22">
        <v>3894</v>
      </c>
      <c r="I52" s="22">
        <v>3824</v>
      </c>
      <c r="J52" s="135">
        <f t="shared" si="44"/>
        <v>3753</v>
      </c>
      <c r="K52" s="22">
        <v>5796</v>
      </c>
      <c r="L52" s="22">
        <v>5605</v>
      </c>
      <c r="M52" s="22">
        <v>5587</v>
      </c>
      <c r="N52" s="135">
        <f t="shared" si="45"/>
        <v>4613</v>
      </c>
      <c r="O52" s="22">
        <v>9261</v>
      </c>
      <c r="P52" s="22">
        <v>9938</v>
      </c>
      <c r="Q52" s="22">
        <v>10029</v>
      </c>
      <c r="S52" s="23">
        <f t="shared" si="46"/>
        <v>20741</v>
      </c>
      <c r="T52" s="23">
        <f t="shared" si="47"/>
        <v>33841</v>
      </c>
      <c r="U52" s="23"/>
      <c r="V52" s="25">
        <f t="shared" si="42"/>
        <v>0.63159924786654442</v>
      </c>
    </row>
    <row r="53" spans="2:22">
      <c r="B53" s="26" t="s">
        <v>110</v>
      </c>
      <c r="C53" s="72">
        <v>5841</v>
      </c>
      <c r="D53" s="72">
        <v>8944</v>
      </c>
      <c r="E53" s="61">
        <v>15077</v>
      </c>
      <c r="G53" s="22">
        <v>6175</v>
      </c>
      <c r="H53" s="22">
        <v>6839</v>
      </c>
      <c r="I53" s="22"/>
      <c r="J53" s="135">
        <f t="shared" si="44"/>
        <v>8944</v>
      </c>
      <c r="K53" s="22">
        <v>10051</v>
      </c>
      <c r="L53" s="22">
        <v>11548</v>
      </c>
      <c r="M53" s="22">
        <v>13059</v>
      </c>
      <c r="N53" s="135">
        <f t="shared" si="45"/>
        <v>15077</v>
      </c>
      <c r="O53" s="22">
        <v>16865</v>
      </c>
      <c r="P53" s="22">
        <v>16969</v>
      </c>
      <c r="Q53" s="22">
        <v>17487</v>
      </c>
      <c r="S53" s="23">
        <f t="shared" si="46"/>
        <v>43602</v>
      </c>
      <c r="T53" s="23">
        <f t="shared" si="47"/>
        <v>66398</v>
      </c>
      <c r="U53" s="23"/>
      <c r="V53" s="25">
        <f t="shared" si="42"/>
        <v>0.52282005412595756</v>
      </c>
    </row>
    <row r="54" spans="2:22">
      <c r="B54" s="26" t="s">
        <v>111</v>
      </c>
      <c r="C54" s="72">
        <v>0</v>
      </c>
      <c r="D54" s="72">
        <v>742</v>
      </c>
      <c r="E54" s="61">
        <v>742</v>
      </c>
      <c r="G54" s="22"/>
      <c r="H54" s="22"/>
      <c r="I54" s="22">
        <v>7600</v>
      </c>
      <c r="J54" s="135">
        <f t="shared" si="44"/>
        <v>742</v>
      </c>
      <c r="K54" s="22">
        <v>742</v>
      </c>
      <c r="L54" s="22">
        <v>742</v>
      </c>
      <c r="M54" s="22">
        <v>742</v>
      </c>
      <c r="N54" s="135">
        <f t="shared" si="45"/>
        <v>742</v>
      </c>
      <c r="O54" s="22">
        <v>726</v>
      </c>
      <c r="P54" s="22">
        <v>719</v>
      </c>
      <c r="Q54" s="22">
        <v>727</v>
      </c>
      <c r="S54" s="23">
        <f t="shared" si="46"/>
        <v>2968</v>
      </c>
      <c r="T54" s="23">
        <f t="shared" si="47"/>
        <v>2914</v>
      </c>
      <c r="U54" s="23"/>
      <c r="V54" s="25">
        <f t="shared" si="42"/>
        <v>-1.819407008086249E-2</v>
      </c>
    </row>
    <row r="55" spans="2:22">
      <c r="B55" s="26" t="s">
        <v>112</v>
      </c>
      <c r="C55" s="72">
        <v>3558</v>
      </c>
      <c r="D55" s="72">
        <v>4910</v>
      </c>
      <c r="E55" s="61">
        <v>5155</v>
      </c>
      <c r="G55" s="22">
        <v>3418</v>
      </c>
      <c r="H55" s="22">
        <v>3149</v>
      </c>
      <c r="I55" s="22">
        <v>3315</v>
      </c>
      <c r="J55" s="135">
        <f t="shared" si="44"/>
        <v>4910</v>
      </c>
      <c r="K55" s="22">
        <v>4857</v>
      </c>
      <c r="L55" s="22">
        <v>5001</v>
      </c>
      <c r="M55" s="22">
        <v>5680</v>
      </c>
      <c r="N55" s="135">
        <f t="shared" si="45"/>
        <v>5155</v>
      </c>
      <c r="O55" s="22">
        <v>5612</v>
      </c>
      <c r="P55" s="22">
        <v>4900</v>
      </c>
      <c r="Q55" s="22">
        <v>7683</v>
      </c>
      <c r="S55" s="23">
        <f t="shared" si="46"/>
        <v>20448</v>
      </c>
      <c r="T55" s="23">
        <f t="shared" si="47"/>
        <v>23350</v>
      </c>
      <c r="U55" s="23"/>
      <c r="V55" s="25">
        <f t="shared" si="42"/>
        <v>0.14192097026604067</v>
      </c>
    </row>
    <row r="56" spans="2:22">
      <c r="B56" s="41" t="s">
        <v>3</v>
      </c>
      <c r="C56" s="62">
        <f>SUM(C50:C55)+C47</f>
        <v>642028</v>
      </c>
      <c r="D56" s="62">
        <f>SUM(D50:D55)+D47</f>
        <v>597992</v>
      </c>
      <c r="E56" s="62">
        <f>SUM(E50:E55)+E47</f>
        <v>553580</v>
      </c>
      <c r="G56" s="62">
        <f t="shared" ref="G56:P56" si="50">SUM(G50:G55)+G47</f>
        <v>627451</v>
      </c>
      <c r="H56" s="62">
        <f t="shared" si="50"/>
        <v>616992</v>
      </c>
      <c r="I56" s="62">
        <f t="shared" si="50"/>
        <v>606601</v>
      </c>
      <c r="J56" s="62">
        <f t="shared" si="50"/>
        <v>597992</v>
      </c>
      <c r="K56" s="62">
        <f t="shared" si="50"/>
        <v>587922</v>
      </c>
      <c r="L56" s="62">
        <f t="shared" si="50"/>
        <v>576852</v>
      </c>
      <c r="M56" s="62">
        <f t="shared" si="50"/>
        <v>565378</v>
      </c>
      <c r="N56" s="62">
        <f t="shared" si="50"/>
        <v>553580</v>
      </c>
      <c r="O56" s="62">
        <f t="shared" si="50"/>
        <v>543862</v>
      </c>
      <c r="P56" s="62">
        <f t="shared" si="50"/>
        <v>517435</v>
      </c>
      <c r="Q56" s="62">
        <f t="shared" ref="Q56" si="51">SUM(Q50:Q55)+Q47</f>
        <v>497911</v>
      </c>
      <c r="S56" s="62">
        <f t="shared" ref="S56:T56" si="52">SUM(S50:S55)+S47</f>
        <v>2328144</v>
      </c>
      <c r="T56" s="62">
        <f t="shared" si="52"/>
        <v>2112788</v>
      </c>
      <c r="U56" s="29"/>
      <c r="V56" s="30">
        <f t="shared" si="42"/>
        <v>-9.2501151131545112E-2</v>
      </c>
    </row>
    <row r="57" spans="2:22" ht="15.75">
      <c r="B57" s="38"/>
      <c r="C57" s="63"/>
      <c r="D57" s="63"/>
      <c r="E57" s="60"/>
      <c r="G57" s="60"/>
      <c r="H57" s="60"/>
      <c r="I57" s="60"/>
      <c r="J57" s="60"/>
      <c r="K57" s="60"/>
      <c r="L57" s="60"/>
      <c r="M57" s="60"/>
      <c r="N57" s="60"/>
      <c r="O57" s="60"/>
      <c r="P57" s="60"/>
      <c r="S57" s="29"/>
      <c r="T57" s="29"/>
      <c r="U57" s="29"/>
      <c r="V57" s="34"/>
    </row>
    <row r="58" spans="2:22" s="65" customFormat="1" ht="15.75">
      <c r="B58" s="38" t="s">
        <v>46</v>
      </c>
      <c r="C58" s="58"/>
      <c r="D58" s="58"/>
      <c r="E58" s="64"/>
      <c r="G58" s="64"/>
      <c r="H58" s="64"/>
      <c r="I58" s="64"/>
      <c r="J58" s="64"/>
      <c r="K58" s="64"/>
      <c r="L58" s="64"/>
      <c r="M58" s="64"/>
      <c r="N58" s="64"/>
      <c r="O58" s="64"/>
      <c r="P58" s="64"/>
      <c r="S58" s="64"/>
      <c r="T58" s="64"/>
      <c r="U58" s="64"/>
    </row>
    <row r="59" spans="2:22">
      <c r="B59" s="66" t="s">
        <v>113</v>
      </c>
      <c r="C59" s="72">
        <v>1882</v>
      </c>
      <c r="D59" s="72">
        <v>3055</v>
      </c>
      <c r="E59" s="61">
        <v>5599</v>
      </c>
      <c r="G59" s="22">
        <v>1967</v>
      </c>
      <c r="H59" s="22">
        <v>3680</v>
      </c>
      <c r="I59" s="22">
        <v>5042</v>
      </c>
      <c r="J59" s="135">
        <f t="shared" ref="J59:J63" si="53">D59</f>
        <v>3055</v>
      </c>
      <c r="K59" s="22">
        <v>3597</v>
      </c>
      <c r="L59" s="22">
        <v>4560</v>
      </c>
      <c r="M59" s="22">
        <v>6408</v>
      </c>
      <c r="N59" s="135">
        <f t="shared" ref="N59:N63" si="54">E59</f>
        <v>5599</v>
      </c>
      <c r="O59" s="22">
        <v>5852</v>
      </c>
      <c r="P59" s="22">
        <v>6324</v>
      </c>
      <c r="Q59" s="22">
        <v>4854</v>
      </c>
      <c r="S59" s="23">
        <f t="shared" ref="S59:S62" si="55">SUM(J59:M59)</f>
        <v>17620</v>
      </c>
      <c r="T59" s="23">
        <f t="shared" ref="T59:T62" si="56">SUM(N59:Q59)</f>
        <v>22629</v>
      </c>
      <c r="U59" s="23"/>
      <c r="V59" s="25">
        <f t="shared" ref="V59:V63" si="57">SUM(T59/S59)-1</f>
        <v>0.28427922814982964</v>
      </c>
    </row>
    <row r="60" spans="2:22">
      <c r="B60" s="66" t="s">
        <v>114</v>
      </c>
      <c r="C60" s="72">
        <v>2647</v>
      </c>
      <c r="D60" s="72">
        <v>6655</v>
      </c>
      <c r="E60" s="61">
        <v>18376</v>
      </c>
      <c r="G60" s="22">
        <v>4298</v>
      </c>
      <c r="H60" s="22">
        <v>4019</v>
      </c>
      <c r="I60" s="22">
        <v>8177</v>
      </c>
      <c r="J60" s="135">
        <f t="shared" si="53"/>
        <v>6655</v>
      </c>
      <c r="K60" s="22">
        <v>9414</v>
      </c>
      <c r="L60" s="22">
        <v>9251</v>
      </c>
      <c r="M60" s="22">
        <v>15703</v>
      </c>
      <c r="N60" s="135">
        <f t="shared" si="54"/>
        <v>18376</v>
      </c>
      <c r="O60" s="22">
        <v>10541</v>
      </c>
      <c r="P60" s="22">
        <v>8925</v>
      </c>
      <c r="Q60" s="22">
        <v>15657</v>
      </c>
      <c r="S60" s="23">
        <f t="shared" si="55"/>
        <v>41023</v>
      </c>
      <c r="T60" s="23">
        <f t="shared" si="56"/>
        <v>53499</v>
      </c>
      <c r="U60" s="23"/>
      <c r="V60" s="25">
        <f t="shared" si="57"/>
        <v>0.30412207785876211</v>
      </c>
    </row>
    <row r="61" spans="2:22">
      <c r="B61" s="66" t="s">
        <v>115</v>
      </c>
      <c r="C61" s="72">
        <v>568</v>
      </c>
      <c r="D61" s="72">
        <v>591</v>
      </c>
      <c r="E61" s="61">
        <v>710</v>
      </c>
      <c r="G61" s="22">
        <v>573</v>
      </c>
      <c r="H61" s="22">
        <v>577</v>
      </c>
      <c r="I61" s="22">
        <v>582</v>
      </c>
      <c r="J61" s="135">
        <f t="shared" si="53"/>
        <v>591</v>
      </c>
      <c r="K61" s="22">
        <v>610</v>
      </c>
      <c r="L61" s="22">
        <v>628</v>
      </c>
      <c r="M61" s="22">
        <v>695</v>
      </c>
      <c r="N61" s="135">
        <f t="shared" si="54"/>
        <v>710</v>
      </c>
      <c r="O61" s="22">
        <v>1178</v>
      </c>
      <c r="P61" s="22">
        <v>1479</v>
      </c>
      <c r="Q61" s="22">
        <v>3089</v>
      </c>
      <c r="S61" s="23">
        <f t="shared" si="55"/>
        <v>2524</v>
      </c>
      <c r="T61" s="23">
        <f t="shared" si="56"/>
        <v>6456</v>
      </c>
      <c r="U61" s="23"/>
      <c r="V61" s="25">
        <f t="shared" si="57"/>
        <v>1.5578446909667196</v>
      </c>
    </row>
    <row r="62" spans="2:22">
      <c r="B62" s="66" t="s">
        <v>116</v>
      </c>
      <c r="C62" s="72">
        <v>3430</v>
      </c>
      <c r="D62" s="72">
        <v>8729</v>
      </c>
      <c r="E62" s="61">
        <v>12087</v>
      </c>
      <c r="G62" s="22">
        <v>3417</v>
      </c>
      <c r="H62" s="22">
        <v>4885</v>
      </c>
      <c r="I62" s="22">
        <v>4700</v>
      </c>
      <c r="J62" s="135">
        <f t="shared" si="53"/>
        <v>8729</v>
      </c>
      <c r="K62" s="22">
        <v>6294</v>
      </c>
      <c r="L62" s="22">
        <v>8428</v>
      </c>
      <c r="M62" s="22">
        <v>5216</v>
      </c>
      <c r="N62" s="135">
        <f t="shared" si="54"/>
        <v>12087</v>
      </c>
      <c r="O62" s="22">
        <v>16742</v>
      </c>
      <c r="P62" s="22">
        <v>13668</v>
      </c>
      <c r="Q62" s="22">
        <v>8332</v>
      </c>
      <c r="S62" s="23">
        <f t="shared" si="55"/>
        <v>28667</v>
      </c>
      <c r="T62" s="23">
        <f t="shared" si="56"/>
        <v>50829</v>
      </c>
      <c r="U62" s="23"/>
      <c r="V62" s="25">
        <f t="shared" si="57"/>
        <v>0.77308403390658254</v>
      </c>
    </row>
    <row r="63" spans="2:22">
      <c r="B63" s="66" t="s">
        <v>117</v>
      </c>
      <c r="C63" s="72">
        <v>1164</v>
      </c>
      <c r="D63" s="72">
        <v>1130</v>
      </c>
      <c r="E63" s="61">
        <v>392</v>
      </c>
      <c r="G63" s="22">
        <v>1130</v>
      </c>
      <c r="H63" s="22"/>
      <c r="I63" s="22">
        <v>1130</v>
      </c>
      <c r="J63" s="135">
        <f t="shared" si="53"/>
        <v>1130</v>
      </c>
      <c r="K63" s="22">
        <v>945</v>
      </c>
      <c r="L63" s="22">
        <v>761</v>
      </c>
      <c r="M63" s="22">
        <v>576</v>
      </c>
      <c r="N63" s="135">
        <f t="shared" si="54"/>
        <v>392</v>
      </c>
      <c r="O63" s="22">
        <v>392</v>
      </c>
      <c r="P63" s="22">
        <v>392</v>
      </c>
      <c r="Q63" s="22">
        <v>392</v>
      </c>
      <c r="S63" s="23">
        <f>SUM(J63:M63)</f>
        <v>3412</v>
      </c>
      <c r="T63" s="23">
        <f>SUM(N63:Q63)</f>
        <v>1568</v>
      </c>
      <c r="U63" s="23"/>
      <c r="V63" s="25">
        <f t="shared" si="57"/>
        <v>-0.54044548651817115</v>
      </c>
    </row>
    <row r="64" spans="2:22">
      <c r="B64" s="41" t="s">
        <v>4</v>
      </c>
      <c r="C64" s="62">
        <f>SUM(C59:C63)</f>
        <v>9691</v>
      </c>
      <c r="D64" s="62">
        <f>SUM(D59:D63)</f>
        <v>20160</v>
      </c>
      <c r="E64" s="62">
        <f>SUM(E59:E63)</f>
        <v>37164</v>
      </c>
      <c r="G64" s="62">
        <f t="shared" ref="G64:Q64" si="58">SUM(G59:G63)</f>
        <v>11385</v>
      </c>
      <c r="H64" s="62">
        <f t="shared" si="58"/>
        <v>13161</v>
      </c>
      <c r="I64" s="62">
        <f t="shared" si="58"/>
        <v>19631</v>
      </c>
      <c r="J64" s="62">
        <f t="shared" si="58"/>
        <v>20160</v>
      </c>
      <c r="K64" s="62">
        <f t="shared" si="58"/>
        <v>20860</v>
      </c>
      <c r="L64" s="62">
        <f t="shared" si="58"/>
        <v>23628</v>
      </c>
      <c r="M64" s="62">
        <f t="shared" si="58"/>
        <v>28598</v>
      </c>
      <c r="N64" s="62">
        <f t="shared" si="58"/>
        <v>37164</v>
      </c>
      <c r="O64" s="62">
        <f t="shared" si="58"/>
        <v>34705</v>
      </c>
      <c r="P64" s="62">
        <f t="shared" si="58"/>
        <v>30788</v>
      </c>
      <c r="Q64" s="62">
        <f t="shared" si="58"/>
        <v>32324</v>
      </c>
      <c r="S64" s="62">
        <f>SUM(S59:S63)</f>
        <v>93246</v>
      </c>
      <c r="T64" s="62">
        <f>SUM(T59:T63)</f>
        <v>134981</v>
      </c>
      <c r="U64" s="29"/>
      <c r="V64" s="30">
        <f>SUM(T64/S64)-1</f>
        <v>0.44757952083735497</v>
      </c>
    </row>
    <row r="65" spans="2:22" ht="15.75">
      <c r="B65" s="38"/>
      <c r="C65" s="63"/>
      <c r="D65" s="67"/>
      <c r="E65" s="60"/>
      <c r="G65" s="60"/>
      <c r="H65" s="60"/>
      <c r="I65" s="60"/>
      <c r="J65" s="60"/>
      <c r="K65" s="60"/>
      <c r="L65" s="60"/>
      <c r="M65" s="60"/>
      <c r="N65" s="60"/>
      <c r="O65" s="60"/>
      <c r="P65" s="60"/>
      <c r="S65" s="29"/>
      <c r="T65" s="29"/>
      <c r="U65" s="29"/>
      <c r="V65" s="34"/>
    </row>
    <row r="66" spans="2:22" ht="15.75">
      <c r="B66" s="38" t="s">
        <v>47</v>
      </c>
      <c r="C66" s="63"/>
      <c r="D66" s="67"/>
      <c r="E66" s="60"/>
      <c r="G66" s="60"/>
      <c r="H66" s="60"/>
      <c r="I66" s="60"/>
      <c r="J66" s="60"/>
      <c r="K66" s="60"/>
      <c r="L66" s="60"/>
      <c r="M66" s="60"/>
      <c r="N66" s="60"/>
      <c r="O66" s="60"/>
      <c r="P66" s="60"/>
      <c r="S66" s="29"/>
      <c r="T66" s="29"/>
      <c r="U66" s="29"/>
      <c r="V66" s="34"/>
    </row>
    <row r="67" spans="2:22">
      <c r="B67" s="26" t="s">
        <v>118</v>
      </c>
      <c r="C67" s="68">
        <v>3643</v>
      </c>
      <c r="D67" s="68">
        <v>3459</v>
      </c>
      <c r="E67" s="22">
        <v>7395</v>
      </c>
      <c r="F67" s="69"/>
      <c r="G67" s="22">
        <v>3600</v>
      </c>
      <c r="H67" s="22">
        <v>3556</v>
      </c>
      <c r="I67" s="22">
        <v>3512</v>
      </c>
      <c r="J67" s="135">
        <f t="shared" ref="J67:J71" si="59">D67</f>
        <v>3459</v>
      </c>
      <c r="K67" s="22">
        <v>5624</v>
      </c>
      <c r="L67" s="22">
        <v>5609</v>
      </c>
      <c r="M67" s="22">
        <v>6500</v>
      </c>
      <c r="N67" s="135">
        <f t="shared" ref="N67:N71" si="60">E67</f>
        <v>7395</v>
      </c>
      <c r="O67" s="22">
        <v>14452</v>
      </c>
      <c r="P67" s="22">
        <v>15152</v>
      </c>
      <c r="Q67" s="22">
        <v>15214</v>
      </c>
      <c r="S67" s="23">
        <f t="shared" ref="S67:S71" si="61">SUM(J67:M67)</f>
        <v>21192</v>
      </c>
      <c r="T67" s="23">
        <f t="shared" ref="T67:T71" si="62">SUM(N67:Q67)</f>
        <v>52213</v>
      </c>
      <c r="U67" s="29"/>
      <c r="V67" s="25">
        <f t="shared" ref="V67:V70" si="63">SUM(T67/S67)-1</f>
        <v>1.4638070970177424</v>
      </c>
    </row>
    <row r="68" spans="2:22">
      <c r="B68" s="26" t="s">
        <v>119</v>
      </c>
      <c r="C68" s="68">
        <v>1533</v>
      </c>
      <c r="D68" s="68">
        <v>1201</v>
      </c>
      <c r="E68" s="22">
        <v>447</v>
      </c>
      <c r="F68" s="69"/>
      <c r="G68" s="22">
        <v>489</v>
      </c>
      <c r="H68" s="22">
        <v>616</v>
      </c>
      <c r="I68" s="22">
        <v>741</v>
      </c>
      <c r="J68" s="135">
        <f t="shared" si="59"/>
        <v>1201</v>
      </c>
      <c r="K68" s="22">
        <v>954</v>
      </c>
      <c r="L68" s="22">
        <v>707</v>
      </c>
      <c r="M68" s="22">
        <v>457</v>
      </c>
      <c r="N68" s="135">
        <f t="shared" si="60"/>
        <v>447</v>
      </c>
      <c r="O68" s="22">
        <v>181</v>
      </c>
      <c r="P68" s="22">
        <v>121</v>
      </c>
      <c r="Q68" s="22">
        <v>60</v>
      </c>
      <c r="S68" s="23">
        <f t="shared" si="61"/>
        <v>3319</v>
      </c>
      <c r="T68" s="23">
        <f t="shared" si="62"/>
        <v>809</v>
      </c>
      <c r="U68" s="29"/>
      <c r="V68" s="25">
        <f t="shared" si="63"/>
        <v>-0.7562518830973185</v>
      </c>
    </row>
    <row r="69" spans="2:22">
      <c r="B69" s="66" t="s">
        <v>120</v>
      </c>
      <c r="C69" s="68">
        <v>1969</v>
      </c>
      <c r="D69" s="68">
        <v>839</v>
      </c>
      <c r="E69" s="22">
        <v>448</v>
      </c>
      <c r="F69" s="69"/>
      <c r="G69" s="22">
        <v>1686</v>
      </c>
      <c r="H69" s="22">
        <v>1404</v>
      </c>
      <c r="I69" s="22">
        <v>1122</v>
      </c>
      <c r="J69" s="135">
        <f t="shared" si="59"/>
        <v>839</v>
      </c>
      <c r="K69" s="22">
        <v>741</v>
      </c>
      <c r="L69" s="22">
        <v>643</v>
      </c>
      <c r="M69" s="22">
        <v>545</v>
      </c>
      <c r="N69" s="135">
        <f t="shared" si="60"/>
        <v>448</v>
      </c>
      <c r="O69" s="22">
        <v>350</v>
      </c>
      <c r="P69" s="22">
        <v>252</v>
      </c>
      <c r="Q69" s="22">
        <v>154</v>
      </c>
      <c r="S69" s="23">
        <f t="shared" si="61"/>
        <v>2768</v>
      </c>
      <c r="T69" s="23">
        <f t="shared" si="62"/>
        <v>1204</v>
      </c>
      <c r="U69" s="23"/>
      <c r="V69" s="25">
        <f t="shared" si="63"/>
        <v>-0.56502890173410403</v>
      </c>
    </row>
    <row r="70" spans="2:22">
      <c r="B70" s="66" t="s">
        <v>121</v>
      </c>
      <c r="C70" s="68">
        <v>33962</v>
      </c>
      <c r="D70" s="68">
        <v>3819</v>
      </c>
      <c r="E70" s="22">
        <v>23004</v>
      </c>
      <c r="F70" s="69"/>
      <c r="G70" s="22">
        <v>20508</v>
      </c>
      <c r="H70" s="22">
        <v>4447</v>
      </c>
      <c r="I70" s="22">
        <v>5598</v>
      </c>
      <c r="J70" s="135">
        <f t="shared" si="59"/>
        <v>3819</v>
      </c>
      <c r="K70" s="22">
        <v>7429</v>
      </c>
      <c r="L70" s="22">
        <v>22966</v>
      </c>
      <c r="M70" s="22">
        <v>30599</v>
      </c>
      <c r="N70" s="135">
        <f t="shared" si="60"/>
        <v>23004</v>
      </c>
      <c r="O70" s="22">
        <v>14378</v>
      </c>
      <c r="P70" s="22">
        <v>7738</v>
      </c>
      <c r="Q70" s="22">
        <v>11607</v>
      </c>
      <c r="S70" s="23">
        <f t="shared" si="61"/>
        <v>64813</v>
      </c>
      <c r="T70" s="23">
        <f t="shared" si="62"/>
        <v>56727</v>
      </c>
      <c r="U70" s="23"/>
      <c r="V70" s="25">
        <f t="shared" si="63"/>
        <v>-0.1247589218212396</v>
      </c>
    </row>
    <row r="71" spans="2:22">
      <c r="B71" s="66" t="s">
        <v>122</v>
      </c>
      <c r="C71" s="68">
        <v>0</v>
      </c>
      <c r="D71" s="68">
        <v>303</v>
      </c>
      <c r="E71" s="22">
        <v>128</v>
      </c>
      <c r="F71" s="69"/>
      <c r="G71" s="22"/>
      <c r="H71" s="22"/>
      <c r="I71" s="22">
        <v>367</v>
      </c>
      <c r="J71" s="135">
        <f t="shared" si="59"/>
        <v>303</v>
      </c>
      <c r="K71" s="22">
        <v>77</v>
      </c>
      <c r="L71" s="22">
        <v>53</v>
      </c>
      <c r="M71" s="22">
        <v>183</v>
      </c>
      <c r="N71" s="135">
        <f t="shared" si="60"/>
        <v>128</v>
      </c>
      <c r="O71" s="22">
        <v>27</v>
      </c>
      <c r="P71" s="22">
        <v>110</v>
      </c>
      <c r="Q71" s="22">
        <v>2869</v>
      </c>
      <c r="S71" s="23">
        <f t="shared" si="61"/>
        <v>616</v>
      </c>
      <c r="T71" s="23">
        <f t="shared" si="62"/>
        <v>3134</v>
      </c>
      <c r="U71" s="23"/>
      <c r="V71" s="25">
        <f>SUM(T71/S71)-1</f>
        <v>4.087662337662338</v>
      </c>
    </row>
    <row r="72" spans="2:22">
      <c r="B72" s="41" t="s">
        <v>48</v>
      </c>
      <c r="C72" s="57">
        <f t="shared" ref="C72:E72" si="64">SUM(C67:C71)+C64</f>
        <v>50798</v>
      </c>
      <c r="D72" s="57">
        <f t="shared" si="64"/>
        <v>29781</v>
      </c>
      <c r="E72" s="57">
        <f t="shared" si="64"/>
        <v>68586</v>
      </c>
      <c r="G72" s="57">
        <f t="shared" ref="G72:O72" si="65">SUM(G67:G71)+G64</f>
        <v>37668</v>
      </c>
      <c r="H72" s="57">
        <f t="shared" si="65"/>
        <v>23184</v>
      </c>
      <c r="I72" s="57">
        <f t="shared" si="65"/>
        <v>30971</v>
      </c>
      <c r="J72" s="57">
        <f t="shared" si="65"/>
        <v>29781</v>
      </c>
      <c r="K72" s="57">
        <f t="shared" si="65"/>
        <v>35685</v>
      </c>
      <c r="L72" s="57">
        <f t="shared" si="65"/>
        <v>53606</v>
      </c>
      <c r="M72" s="57">
        <f t="shared" si="65"/>
        <v>66882</v>
      </c>
      <c r="N72" s="57">
        <f t="shared" si="65"/>
        <v>68586</v>
      </c>
      <c r="O72" s="57">
        <f t="shared" si="65"/>
        <v>64093</v>
      </c>
      <c r="P72" s="57">
        <f>SUM(P67:P71)+P64</f>
        <v>54161</v>
      </c>
      <c r="Q72" s="57">
        <f>SUM(Q67:Q71)+Q64</f>
        <v>62228</v>
      </c>
      <c r="S72" s="57">
        <f t="shared" ref="S72:T72" si="66">SUM(S67:S71)+S64</f>
        <v>185954</v>
      </c>
      <c r="T72" s="57">
        <f t="shared" si="66"/>
        <v>249068</v>
      </c>
      <c r="U72" s="29"/>
      <c r="V72" s="30">
        <f>SUM(T72/S72)-1</f>
        <v>0.3394065198920162</v>
      </c>
    </row>
    <row r="73" spans="2:22" ht="15.75">
      <c r="B73" s="38"/>
      <c r="C73" s="58"/>
      <c r="D73" s="59"/>
      <c r="E73" s="60"/>
      <c r="G73" s="60"/>
      <c r="H73" s="60"/>
      <c r="I73" s="60"/>
      <c r="J73" s="60"/>
      <c r="K73" s="60"/>
      <c r="L73" s="60"/>
      <c r="M73" s="60"/>
      <c r="N73" s="60"/>
      <c r="O73" s="60"/>
      <c r="P73" s="60"/>
      <c r="S73" s="29"/>
      <c r="T73" s="29"/>
      <c r="U73" s="29"/>
      <c r="V73" s="34"/>
    </row>
    <row r="74" spans="2:22">
      <c r="B74" s="38" t="s">
        <v>49</v>
      </c>
      <c r="C74" s="21"/>
      <c r="D74" s="70"/>
      <c r="E74" s="20"/>
      <c r="G74" s="20"/>
      <c r="H74" s="20"/>
      <c r="I74" s="20"/>
      <c r="J74" s="20"/>
      <c r="K74" s="20"/>
      <c r="L74" s="20"/>
      <c r="M74" s="20"/>
      <c r="N74" s="20"/>
      <c r="O74" s="20"/>
      <c r="P74" s="20"/>
    </row>
    <row r="75" spans="2:22">
      <c r="B75" s="66" t="s">
        <v>123</v>
      </c>
      <c r="C75" s="61">
        <v>19</v>
      </c>
      <c r="D75" s="61">
        <v>20</v>
      </c>
      <c r="E75" s="61">
        <v>20</v>
      </c>
      <c r="F75" s="71"/>
      <c r="G75" s="22">
        <v>20</v>
      </c>
      <c r="H75" s="22">
        <v>20</v>
      </c>
      <c r="I75" s="22">
        <v>20</v>
      </c>
      <c r="J75" s="135">
        <f t="shared" ref="J75:J78" si="67">D75</f>
        <v>20</v>
      </c>
      <c r="K75" s="22">
        <v>20</v>
      </c>
      <c r="L75" s="22">
        <v>20</v>
      </c>
      <c r="M75" s="22">
        <v>20</v>
      </c>
      <c r="N75" s="135">
        <f t="shared" ref="N75:N78" si="68">E75</f>
        <v>20</v>
      </c>
      <c r="O75" s="22">
        <v>21</v>
      </c>
      <c r="P75" s="22">
        <v>21</v>
      </c>
      <c r="Q75" s="22">
        <v>22</v>
      </c>
      <c r="S75" s="23">
        <f t="shared" ref="S75:S78" si="69">SUM(J75:M75)</f>
        <v>80</v>
      </c>
      <c r="T75" s="23">
        <f t="shared" ref="T75:T78" si="70">SUM(N75:Q75)</f>
        <v>84</v>
      </c>
      <c r="U75" s="23"/>
      <c r="V75" s="25">
        <f t="shared" ref="V75:V78" si="71">SUM(T75/S75)-1</f>
        <v>5.0000000000000044E-2</v>
      </c>
    </row>
    <row r="76" spans="2:22">
      <c r="B76" s="66" t="s">
        <v>5</v>
      </c>
      <c r="C76" s="61">
        <v>737150</v>
      </c>
      <c r="D76" s="61">
        <v>769848</v>
      </c>
      <c r="E76" s="61">
        <v>839014</v>
      </c>
      <c r="F76" s="71"/>
      <c r="G76" s="22">
        <v>744469</v>
      </c>
      <c r="H76" s="22">
        <v>751259</v>
      </c>
      <c r="I76" s="22">
        <v>760389</v>
      </c>
      <c r="J76" s="135">
        <f t="shared" si="67"/>
        <v>769848</v>
      </c>
      <c r="K76" s="22">
        <v>779286</v>
      </c>
      <c r="L76" s="22">
        <v>794671</v>
      </c>
      <c r="M76" s="22">
        <v>813439</v>
      </c>
      <c r="N76" s="135">
        <f t="shared" si="68"/>
        <v>839014</v>
      </c>
      <c r="O76" s="22">
        <v>873133</v>
      </c>
      <c r="P76" s="22">
        <v>893797</v>
      </c>
      <c r="Q76" s="22">
        <v>917048</v>
      </c>
      <c r="S76" s="23">
        <f t="shared" si="69"/>
        <v>3157244</v>
      </c>
      <c r="T76" s="23">
        <f t="shared" si="70"/>
        <v>3522992</v>
      </c>
      <c r="U76" s="23"/>
      <c r="V76" s="25">
        <f t="shared" si="71"/>
        <v>0.11584407160168797</v>
      </c>
    </row>
    <row r="77" spans="2:22">
      <c r="B77" s="66" t="s">
        <v>124</v>
      </c>
      <c r="C77" s="61">
        <v>-145791</v>
      </c>
      <c r="D77" s="61">
        <v>-194302</v>
      </c>
      <c r="E77" s="61">
        <v>-352073</v>
      </c>
      <c r="F77" s="71"/>
      <c r="G77" s="22">
        <v>-150018</v>
      </c>
      <c r="H77" s="22">
        <v>-151672</v>
      </c>
      <c r="I77" s="22">
        <v>-175655</v>
      </c>
      <c r="J77" s="135">
        <f t="shared" si="67"/>
        <v>-194302</v>
      </c>
      <c r="K77" s="22">
        <v>-221640</v>
      </c>
      <c r="L77" s="22">
        <v>-265358</v>
      </c>
      <c r="M77" s="22">
        <v>-310169</v>
      </c>
      <c r="N77" s="135">
        <f t="shared" si="68"/>
        <v>-352073</v>
      </c>
      <c r="O77" s="22">
        <v>-391665</v>
      </c>
      <c r="P77" s="22">
        <v>-429226</v>
      </c>
      <c r="Q77" s="22">
        <v>-481722</v>
      </c>
      <c r="S77" s="23">
        <f t="shared" si="69"/>
        <v>-991469</v>
      </c>
      <c r="T77" s="23">
        <f t="shared" si="70"/>
        <v>-1654686</v>
      </c>
      <c r="U77" s="23"/>
      <c r="V77" s="25">
        <f t="shared" si="71"/>
        <v>0.66892358712173561</v>
      </c>
    </row>
    <row r="78" spans="2:22">
      <c r="B78" s="66" t="s">
        <v>6</v>
      </c>
      <c r="C78" s="61">
        <v>-148</v>
      </c>
      <c r="D78" s="61">
        <v>-7355</v>
      </c>
      <c r="E78" s="61">
        <v>-1967</v>
      </c>
      <c r="F78" s="71"/>
      <c r="G78" s="22">
        <v>-4688</v>
      </c>
      <c r="H78" s="22">
        <v>-6929</v>
      </c>
      <c r="I78" s="22">
        <v>-9124</v>
      </c>
      <c r="J78" s="135">
        <f t="shared" si="67"/>
        <v>-7355</v>
      </c>
      <c r="K78" s="22">
        <v>-5429</v>
      </c>
      <c r="L78" s="22">
        <v>-6087</v>
      </c>
      <c r="M78" s="22">
        <v>-4794</v>
      </c>
      <c r="N78" s="135">
        <f t="shared" si="68"/>
        <v>-1967</v>
      </c>
      <c r="O78" s="22">
        <v>-1720</v>
      </c>
      <c r="P78" s="22">
        <v>-1318</v>
      </c>
      <c r="Q78" s="22">
        <v>335</v>
      </c>
      <c r="S78" s="23">
        <f t="shared" si="69"/>
        <v>-23665</v>
      </c>
      <c r="T78" s="23">
        <f t="shared" si="70"/>
        <v>-4670</v>
      </c>
      <c r="U78" s="23"/>
      <c r="V78" s="25">
        <f t="shared" si="71"/>
        <v>-0.80266215930699347</v>
      </c>
    </row>
    <row r="79" spans="2:22">
      <c r="B79" s="41" t="s">
        <v>50</v>
      </c>
      <c r="C79" s="73">
        <f>SUM(C75:C78)</f>
        <v>591230</v>
      </c>
      <c r="D79" s="73">
        <f>SUM(D75:D78)</f>
        <v>568211</v>
      </c>
      <c r="E79" s="73">
        <f>SUM(E75:E78)</f>
        <v>484994</v>
      </c>
      <c r="F79" s="74"/>
      <c r="G79" s="73">
        <f t="shared" ref="G79:Q79" si="72">SUM(G75:G78)</f>
        <v>589783</v>
      </c>
      <c r="H79" s="73">
        <f t="shared" si="72"/>
        <v>592678</v>
      </c>
      <c r="I79" s="73">
        <f t="shared" si="72"/>
        <v>575630</v>
      </c>
      <c r="J79" s="73">
        <f t="shared" si="72"/>
        <v>568211</v>
      </c>
      <c r="K79" s="73">
        <f t="shared" si="72"/>
        <v>552237</v>
      </c>
      <c r="L79" s="73">
        <f t="shared" si="72"/>
        <v>523246</v>
      </c>
      <c r="M79" s="73">
        <f t="shared" si="72"/>
        <v>498496</v>
      </c>
      <c r="N79" s="73">
        <f t="shared" si="72"/>
        <v>484994</v>
      </c>
      <c r="O79" s="73">
        <f t="shared" si="72"/>
        <v>479769</v>
      </c>
      <c r="P79" s="73">
        <f t="shared" si="72"/>
        <v>463274</v>
      </c>
      <c r="Q79" s="73">
        <f t="shared" si="72"/>
        <v>435683</v>
      </c>
      <c r="S79" s="73">
        <f>SUM(S75:S78)</f>
        <v>2142190</v>
      </c>
      <c r="T79" s="73">
        <f>SUM(T75:T78)</f>
        <v>1863720</v>
      </c>
      <c r="U79" s="29"/>
      <c r="V79" s="25">
        <f>SUM(T79/S79)-1</f>
        <v>-0.12999313786358824</v>
      </c>
    </row>
    <row r="80" spans="2:22">
      <c r="B80" s="2" t="s">
        <v>51</v>
      </c>
      <c r="C80" s="75">
        <f>SUM(C79+C72)</f>
        <v>642028</v>
      </c>
      <c r="D80" s="75">
        <f>SUM(D79+D72)</f>
        <v>597992</v>
      </c>
      <c r="E80" s="75">
        <f>SUM(E79+E72)</f>
        <v>553580</v>
      </c>
      <c r="F80" s="71"/>
      <c r="G80" s="75">
        <f t="shared" ref="G80:Q80" si="73">SUM(G79+G72)</f>
        <v>627451</v>
      </c>
      <c r="H80" s="75">
        <f t="shared" si="73"/>
        <v>615862</v>
      </c>
      <c r="I80" s="75">
        <f t="shared" si="73"/>
        <v>606601</v>
      </c>
      <c r="J80" s="75">
        <f t="shared" si="73"/>
        <v>597992</v>
      </c>
      <c r="K80" s="75">
        <f t="shared" si="73"/>
        <v>587922</v>
      </c>
      <c r="L80" s="75">
        <f t="shared" si="73"/>
        <v>576852</v>
      </c>
      <c r="M80" s="75">
        <f t="shared" si="73"/>
        <v>565378</v>
      </c>
      <c r="N80" s="75">
        <f t="shared" si="73"/>
        <v>553580</v>
      </c>
      <c r="O80" s="75">
        <f t="shared" si="73"/>
        <v>543862</v>
      </c>
      <c r="P80" s="75">
        <f t="shared" si="73"/>
        <v>517435</v>
      </c>
      <c r="Q80" s="75">
        <f t="shared" si="73"/>
        <v>497911</v>
      </c>
      <c r="S80" s="75">
        <f>SUM(S79+S72)</f>
        <v>2328144</v>
      </c>
      <c r="T80" s="75">
        <f>SUM(T79+T72)</f>
        <v>2112788</v>
      </c>
      <c r="U80" s="23"/>
      <c r="V80" s="25">
        <f>SUM(T80/S80)-1</f>
        <v>-9.2501151131545112E-2</v>
      </c>
    </row>
    <row r="81" spans="1:22" ht="15.75" thickBot="1">
      <c r="B81" s="2"/>
      <c r="C81" s="75"/>
      <c r="D81" s="75"/>
      <c r="E81" s="75"/>
      <c r="F81" s="71"/>
      <c r="G81" s="75"/>
      <c r="H81" s="75"/>
      <c r="I81" s="75"/>
      <c r="J81" s="75"/>
      <c r="K81" s="75"/>
      <c r="L81" s="75"/>
      <c r="M81" s="75"/>
      <c r="N81" s="75"/>
      <c r="O81" s="75"/>
      <c r="P81" s="75"/>
      <c r="Q81" s="75"/>
      <c r="S81" s="75"/>
      <c r="T81" s="75"/>
      <c r="U81" s="23"/>
      <c r="V81" s="40"/>
    </row>
    <row r="82" spans="1:22">
      <c r="B82" s="76" t="s">
        <v>52</v>
      </c>
      <c r="C82" s="77"/>
      <c r="D82" s="77"/>
      <c r="E82" s="78"/>
      <c r="F82" s="71"/>
      <c r="G82" s="79"/>
      <c r="H82" s="77"/>
      <c r="I82" s="77"/>
      <c r="J82" s="77"/>
      <c r="K82" s="77"/>
      <c r="L82" s="77"/>
      <c r="M82" s="77"/>
      <c r="N82" s="77"/>
      <c r="O82" s="77"/>
      <c r="P82" s="77"/>
      <c r="Q82" s="78"/>
      <c r="S82" s="80"/>
      <c r="T82" s="81"/>
      <c r="U82" s="23"/>
      <c r="V82" s="40"/>
    </row>
    <row r="83" spans="1:22">
      <c r="B83" s="82" t="s">
        <v>53</v>
      </c>
      <c r="C83" s="176">
        <f>SUM(C61+C67/C56)</f>
        <v>568.00567420735547</v>
      </c>
      <c r="D83" s="176">
        <f t="shared" ref="D83:Q83" si="74">SUM(D61+D67/D56)</f>
        <v>591.00578435831915</v>
      </c>
      <c r="E83" s="83">
        <f t="shared" si="74"/>
        <v>710.01335850283613</v>
      </c>
      <c r="F83" s="71"/>
      <c r="G83" s="84">
        <f t="shared" si="74"/>
        <v>573.00573749982073</v>
      </c>
      <c r="H83" s="176">
        <f t="shared" si="74"/>
        <v>577.00576344587932</v>
      </c>
      <c r="I83" s="176">
        <f t="shared" si="74"/>
        <v>582.00578963766952</v>
      </c>
      <c r="J83" s="176">
        <f t="shared" si="74"/>
        <v>591.00578435831915</v>
      </c>
      <c r="K83" s="176">
        <f t="shared" si="74"/>
        <v>610.00956589479551</v>
      </c>
      <c r="L83" s="176">
        <f t="shared" si="74"/>
        <v>628.00972346459753</v>
      </c>
      <c r="M83" s="176">
        <f t="shared" si="74"/>
        <v>695.01149673315911</v>
      </c>
      <c r="N83" s="176">
        <f t="shared" si="74"/>
        <v>710.01335850283613</v>
      </c>
      <c r="O83" s="176">
        <f t="shared" si="74"/>
        <v>1178.0265729173946</v>
      </c>
      <c r="P83" s="176">
        <f t="shared" si="74"/>
        <v>1479.0292829050991</v>
      </c>
      <c r="Q83" s="83">
        <f t="shared" si="74"/>
        <v>3089.030555661554</v>
      </c>
      <c r="S83" s="165">
        <f>M83</f>
        <v>695.01149673315911</v>
      </c>
      <c r="T83" s="166">
        <f>Q83</f>
        <v>3089.030555661554</v>
      </c>
      <c r="U83" s="23"/>
      <c r="V83" s="25">
        <f t="shared" ref="V83:V86" si="75">SUM(T83/S83)-1</f>
        <v>3.4445747590957456</v>
      </c>
    </row>
    <row r="84" spans="1:22">
      <c r="B84" s="82" t="s">
        <v>54</v>
      </c>
      <c r="C84" s="176">
        <f>SUM(C43+C44)/C64</f>
        <v>53.912702507481171</v>
      </c>
      <c r="D84" s="176">
        <f>SUM(D43+D44)/D64</f>
        <v>17.648660714285715</v>
      </c>
      <c r="E84" s="83">
        <f>SUM(E43+E44)/E64</f>
        <v>9.5641211925519318</v>
      </c>
      <c r="F84" s="71"/>
      <c r="G84" s="84">
        <f t="shared" ref="G84:Q84" si="76">SUM(G43+G44)/G64</f>
        <v>36.531225296442685</v>
      </c>
      <c r="H84" s="176">
        <f t="shared" si="76"/>
        <v>32.167084568041943</v>
      </c>
      <c r="I84" s="176">
        <f t="shared" si="76"/>
        <v>20.662880138556364</v>
      </c>
      <c r="J84" s="176">
        <f t="shared" si="76"/>
        <v>17.648660714285715</v>
      </c>
      <c r="K84" s="176">
        <f t="shared" si="76"/>
        <v>18.593815915627996</v>
      </c>
      <c r="L84" s="176">
        <f t="shared" si="76"/>
        <v>15.898975791433893</v>
      </c>
      <c r="M84" s="176">
        <f t="shared" si="76"/>
        <v>13.427162738653053</v>
      </c>
      <c r="N84" s="176">
        <f t="shared" si="76"/>
        <v>9.5641211925519318</v>
      </c>
      <c r="O84" s="176">
        <f t="shared" si="76"/>
        <v>10.815444460452385</v>
      </c>
      <c r="P84" s="176">
        <f t="shared" si="76"/>
        <v>12.011075743796285</v>
      </c>
      <c r="Q84" s="83">
        <f t="shared" si="76"/>
        <v>11.313884420245019</v>
      </c>
      <c r="S84" s="165">
        <f t="shared" ref="S84:S86" si="77">L84</f>
        <v>15.898975791433893</v>
      </c>
      <c r="T84" s="166">
        <f t="shared" ref="T84:T86" si="78">P84</f>
        <v>12.011075743796285</v>
      </c>
      <c r="U84" s="23"/>
      <c r="V84" s="25">
        <f t="shared" si="75"/>
        <v>-0.24453776762980828</v>
      </c>
    </row>
    <row r="85" spans="1:22">
      <c r="B85" s="85" t="s">
        <v>55</v>
      </c>
      <c r="C85" s="176">
        <f>SUM(C47/C64)</f>
        <v>54.650397275822925</v>
      </c>
      <c r="D85" s="176">
        <f>SUM(D47/D64)</f>
        <v>18.43392857142857</v>
      </c>
      <c r="E85" s="83">
        <f>SUM(E47/E64)</f>
        <v>10.493730491873857</v>
      </c>
      <c r="G85" s="84">
        <f t="shared" ref="G85:Q85" si="79">SUM(G47/G64)</f>
        <v>37.092929292929291</v>
      </c>
      <c r="H85" s="176">
        <f t="shared" si="79"/>
        <v>32.690980928500871</v>
      </c>
      <c r="I85" s="176">
        <f t="shared" si="79"/>
        <v>21.22372777749478</v>
      </c>
      <c r="J85" s="176">
        <f t="shared" si="79"/>
        <v>18.43392857142857</v>
      </c>
      <c r="K85" s="176">
        <f t="shared" si="79"/>
        <v>19.287727708533076</v>
      </c>
      <c r="L85" s="176">
        <f t="shared" si="79"/>
        <v>16.56191806331471</v>
      </c>
      <c r="M85" s="176">
        <f t="shared" si="79"/>
        <v>14.121232254003777</v>
      </c>
      <c r="N85" s="176">
        <f t="shared" si="79"/>
        <v>10.493730491873857</v>
      </c>
      <c r="O85" s="176">
        <f t="shared" si="79"/>
        <v>11.811785045382509</v>
      </c>
      <c r="P85" s="176">
        <f t="shared" si="79"/>
        <v>13.149766142652982</v>
      </c>
      <c r="Q85" s="83">
        <f t="shared" si="79"/>
        <v>12.232396980571711</v>
      </c>
      <c r="S85" s="165">
        <f t="shared" si="77"/>
        <v>16.56191806331471</v>
      </c>
      <c r="T85" s="166">
        <f t="shared" si="78"/>
        <v>13.149766142652982</v>
      </c>
      <c r="V85" s="25">
        <f t="shared" si="75"/>
        <v>-0.20602395855464206</v>
      </c>
    </row>
    <row r="86" spans="1:22" ht="15.75" thickBot="1">
      <c r="B86" s="86" t="s">
        <v>56</v>
      </c>
      <c r="C86" s="87">
        <f>SUM(C43+C44)/C64</f>
        <v>53.912702507481171</v>
      </c>
      <c r="D86" s="87">
        <f>SUM(D43+D44)/D64</f>
        <v>17.648660714285715</v>
      </c>
      <c r="E86" s="88">
        <f>SUM(E43+E44)/E64</f>
        <v>9.5641211925519318</v>
      </c>
      <c r="F86" s="71"/>
      <c r="G86" s="89">
        <f t="shared" ref="G86:Q86" si="80">SUM(G43+G44)/G64</f>
        <v>36.531225296442685</v>
      </c>
      <c r="H86" s="90">
        <f t="shared" si="80"/>
        <v>32.167084568041943</v>
      </c>
      <c r="I86" s="90">
        <f t="shared" si="80"/>
        <v>20.662880138556364</v>
      </c>
      <c r="J86" s="90">
        <f t="shared" si="80"/>
        <v>17.648660714285715</v>
      </c>
      <c r="K86" s="90">
        <f t="shared" si="80"/>
        <v>18.593815915627996</v>
      </c>
      <c r="L86" s="90">
        <f t="shared" si="80"/>
        <v>15.898975791433893</v>
      </c>
      <c r="M86" s="90">
        <f t="shared" si="80"/>
        <v>13.427162738653053</v>
      </c>
      <c r="N86" s="90">
        <f t="shared" si="80"/>
        <v>9.5641211925519318</v>
      </c>
      <c r="O86" s="90">
        <f t="shared" si="80"/>
        <v>10.815444460452385</v>
      </c>
      <c r="P86" s="90">
        <f t="shared" si="80"/>
        <v>12.011075743796285</v>
      </c>
      <c r="Q86" s="91">
        <f t="shared" si="80"/>
        <v>11.313884420245019</v>
      </c>
      <c r="S86" s="167">
        <f t="shared" si="77"/>
        <v>15.898975791433893</v>
      </c>
      <c r="T86" s="168">
        <f t="shared" si="78"/>
        <v>12.011075743796285</v>
      </c>
      <c r="U86" s="23"/>
      <c r="V86" s="25">
        <f t="shared" si="75"/>
        <v>-0.24453776762980828</v>
      </c>
    </row>
    <row r="87" spans="1:22">
      <c r="B87" s="38"/>
      <c r="C87" s="92"/>
      <c r="D87" s="39"/>
      <c r="E87" s="39"/>
      <c r="F87" s="92"/>
    </row>
    <row r="88" spans="1:22">
      <c r="A88" s="6" t="s">
        <v>27</v>
      </c>
      <c r="B88" s="7" t="s">
        <v>57</v>
      </c>
      <c r="C88" s="13"/>
      <c r="D88" s="13"/>
      <c r="E88" s="13"/>
      <c r="F88" s="8"/>
      <c r="G88" s="8"/>
      <c r="H88" s="8"/>
      <c r="I88" s="8"/>
      <c r="J88" s="8"/>
      <c r="K88" s="8"/>
      <c r="L88" s="8"/>
      <c r="M88" s="8"/>
      <c r="N88" s="8"/>
      <c r="O88" s="8"/>
      <c r="P88" s="8"/>
      <c r="Q88" s="8"/>
      <c r="R88" s="8"/>
      <c r="S88" s="8"/>
      <c r="T88" s="8"/>
      <c r="U88" s="8"/>
      <c r="V88" s="8"/>
    </row>
    <row r="89" spans="1:22">
      <c r="B89" s="15" t="s">
        <v>91</v>
      </c>
      <c r="C89" s="54"/>
      <c r="D89" s="54"/>
      <c r="E89" s="54"/>
      <c r="F89" s="8"/>
      <c r="G89" s="8"/>
      <c r="H89" s="8"/>
      <c r="I89" s="8"/>
      <c r="J89" s="8"/>
      <c r="K89" s="8"/>
      <c r="L89" s="8"/>
      <c r="M89" s="8"/>
      <c r="N89" s="8"/>
      <c r="O89" s="8"/>
      <c r="P89" s="8"/>
      <c r="Q89" s="8"/>
      <c r="R89" s="8"/>
      <c r="S89" s="8"/>
      <c r="T89" s="8"/>
      <c r="U89" s="8"/>
      <c r="V89" s="8"/>
    </row>
    <row r="90" spans="1:22" ht="3" customHeight="1">
      <c r="B90" s="10"/>
      <c r="C90" s="56"/>
      <c r="D90" s="56"/>
      <c r="E90" s="56"/>
    </row>
    <row r="91" spans="1:22" ht="15.75">
      <c r="B91" s="93" t="s">
        <v>58</v>
      </c>
      <c r="C91" s="94"/>
      <c r="D91" s="94"/>
      <c r="E91" s="94"/>
    </row>
    <row r="92" spans="1:22">
      <c r="B92" s="95" t="s">
        <v>41</v>
      </c>
      <c r="C92" s="146">
        <v>-106186</v>
      </c>
      <c r="D92" s="146">
        <v>-48511</v>
      </c>
      <c r="E92" s="146">
        <v>-157771</v>
      </c>
      <c r="F92" s="4"/>
      <c r="G92" s="146">
        <v>-4227</v>
      </c>
      <c r="H92" s="1">
        <f>-5881-G92</f>
        <v>-1654</v>
      </c>
      <c r="I92" s="1">
        <f>-29864-H92-G92</f>
        <v>-23983</v>
      </c>
      <c r="J92" s="4">
        <f t="shared" ref="J92" si="81">SUM(D92-SUM(G92:I92))</f>
        <v>-18647</v>
      </c>
      <c r="K92" s="146">
        <v>-27338</v>
      </c>
      <c r="L92" s="1">
        <f>-71056-K92</f>
        <v>-43718</v>
      </c>
      <c r="M92" s="1">
        <f>-115867-L92-K92</f>
        <v>-44811</v>
      </c>
      <c r="N92" s="4">
        <f t="shared" ref="N92" si="82">SUM(E92-SUM(K92:M92))</f>
        <v>-41904</v>
      </c>
      <c r="O92" s="146">
        <v>-39592</v>
      </c>
      <c r="P92" s="1">
        <v>-77153</v>
      </c>
      <c r="Q92" s="1">
        <v>-129649</v>
      </c>
      <c r="R92" s="36"/>
      <c r="S92" s="23">
        <f t="shared" ref="S92" si="83">SUM(J92:M92)</f>
        <v>-134514</v>
      </c>
      <c r="T92" s="23">
        <f t="shared" ref="T92" si="84">SUM(N92:Q92)</f>
        <v>-288298</v>
      </c>
      <c r="U92" s="23"/>
      <c r="V92" s="30">
        <f>SUM(T92/S92)-1</f>
        <v>1.1432564640111811</v>
      </c>
    </row>
    <row r="93" spans="1:22">
      <c r="C93" s="96"/>
      <c r="D93" s="96"/>
      <c r="E93" s="96"/>
      <c r="F93" s="23"/>
      <c r="G93" s="96"/>
      <c r="H93" s="97"/>
      <c r="I93" s="98"/>
      <c r="J93" s="96"/>
      <c r="K93" s="96"/>
      <c r="L93" s="97"/>
      <c r="M93" s="97"/>
      <c r="N93" s="96"/>
      <c r="O93" s="96"/>
      <c r="P93" s="97"/>
      <c r="Q93" s="97"/>
      <c r="R93" s="36"/>
      <c r="S93" s="23"/>
      <c r="T93" s="23"/>
      <c r="U93" s="23"/>
      <c r="V93" s="40"/>
    </row>
    <row r="94" spans="1:22">
      <c r="B94" s="3" t="s">
        <v>16</v>
      </c>
      <c r="C94" s="99"/>
      <c r="D94" s="99"/>
      <c r="E94" s="99"/>
      <c r="F94" s="23"/>
      <c r="G94" s="99"/>
      <c r="H94" s="100"/>
      <c r="I94" s="101"/>
      <c r="J94" s="99"/>
      <c r="K94" s="99"/>
      <c r="L94" s="100"/>
      <c r="M94" s="101"/>
      <c r="N94" s="99"/>
      <c r="O94" s="99"/>
      <c r="P94" s="100"/>
      <c r="Q94" s="100"/>
      <c r="R94" s="36"/>
      <c r="S94" s="100"/>
      <c r="T94" s="100"/>
      <c r="U94" s="102"/>
    </row>
    <row r="95" spans="1:22">
      <c r="B95" s="103" t="s">
        <v>17</v>
      </c>
      <c r="C95" s="146">
        <v>2548</v>
      </c>
      <c r="D95" s="146">
        <v>5604</v>
      </c>
      <c r="E95" s="146">
        <v>10375</v>
      </c>
      <c r="F95" s="4"/>
      <c r="G95" s="146">
        <v>1266</v>
      </c>
      <c r="H95" s="1">
        <f>2717-G95</f>
        <v>1451</v>
      </c>
      <c r="I95" s="1">
        <f>4248-H95-G95</f>
        <v>1531</v>
      </c>
      <c r="J95" s="4">
        <f t="shared" ref="J95:J98" si="85">SUM(D95-SUM(G95:I95))</f>
        <v>1356</v>
      </c>
      <c r="K95" s="146">
        <v>1791</v>
      </c>
      <c r="L95" s="1">
        <f>4120-K95</f>
        <v>2329</v>
      </c>
      <c r="M95" s="1">
        <f>6869-L95-K95</f>
        <v>2749</v>
      </c>
      <c r="N95" s="4">
        <f t="shared" ref="N95:N98" si="86">SUM(E95-SUM(K95:M95))</f>
        <v>3506</v>
      </c>
      <c r="O95" s="146">
        <v>3955</v>
      </c>
      <c r="P95" s="1">
        <f>8260-O95</f>
        <v>4305</v>
      </c>
      <c r="Q95" s="1">
        <f>13150-P95-O95</f>
        <v>4890</v>
      </c>
      <c r="R95" s="36"/>
      <c r="S95" s="23">
        <f t="shared" ref="S95:S102" si="87">SUM(J95:M95)</f>
        <v>8225</v>
      </c>
      <c r="T95" s="23">
        <f t="shared" ref="T95:T102" si="88">SUM(N95:Q95)</f>
        <v>16656</v>
      </c>
      <c r="U95" s="23"/>
      <c r="V95" s="25">
        <f>SUM(T95/S95)-1</f>
        <v>1.0250455927051672</v>
      </c>
    </row>
    <row r="96" spans="1:22">
      <c r="B96" s="103" t="s">
        <v>141</v>
      </c>
      <c r="C96" s="146">
        <v>1335</v>
      </c>
      <c r="D96" s="146">
        <v>520</v>
      </c>
      <c r="E96" s="146">
        <v>520</v>
      </c>
      <c r="F96" s="4"/>
      <c r="G96" s="146">
        <v>130</v>
      </c>
      <c r="H96" s="1">
        <f>260-G96</f>
        <v>130</v>
      </c>
      <c r="I96" s="1">
        <f>390-H96-G96</f>
        <v>130</v>
      </c>
      <c r="J96" s="4">
        <f t="shared" si="85"/>
        <v>130</v>
      </c>
      <c r="K96" s="146">
        <v>130</v>
      </c>
      <c r="L96" s="1">
        <f>260-K96</f>
        <v>130</v>
      </c>
      <c r="M96" s="1">
        <f>390-L96-K96</f>
        <v>130</v>
      </c>
      <c r="N96" s="4">
        <f t="shared" si="86"/>
        <v>130</v>
      </c>
      <c r="O96" s="146">
        <v>130</v>
      </c>
      <c r="P96" s="1">
        <f>260-O96</f>
        <v>130</v>
      </c>
      <c r="Q96" s="1">
        <f>390-P96-O96</f>
        <v>130</v>
      </c>
      <c r="R96" s="36"/>
      <c r="S96" s="23">
        <f t="shared" si="87"/>
        <v>520</v>
      </c>
      <c r="T96" s="23">
        <f t="shared" si="88"/>
        <v>520</v>
      </c>
      <c r="U96" s="23"/>
      <c r="V96" s="25">
        <f>SUM(T96/S96)-1</f>
        <v>0</v>
      </c>
    </row>
    <row r="97" spans="2:22">
      <c r="B97" s="103" t="s">
        <v>142</v>
      </c>
      <c r="C97" s="146">
        <v>7748</v>
      </c>
      <c r="D97" s="146">
        <v>31456</v>
      </c>
      <c r="E97" s="146">
        <v>69743</v>
      </c>
      <c r="F97" s="4"/>
      <c r="G97" s="146">
        <v>6672</v>
      </c>
      <c r="H97" s="1">
        <f>12556-G97</f>
        <v>5884</v>
      </c>
      <c r="I97" s="1">
        <f>22561-H97-G97</f>
        <v>10005</v>
      </c>
      <c r="J97" s="4">
        <f t="shared" si="85"/>
        <v>8895</v>
      </c>
      <c r="K97" s="146">
        <v>10268</v>
      </c>
      <c r="L97" s="1">
        <f>21572-K97</f>
        <v>11304</v>
      </c>
      <c r="M97" s="1">
        <f>38549-L97-K97</f>
        <v>16977</v>
      </c>
      <c r="N97" s="4">
        <f t="shared" si="86"/>
        <v>31194</v>
      </c>
      <c r="O97" s="146">
        <v>22061</v>
      </c>
      <c r="P97" s="1">
        <f>43040-O97</f>
        <v>20979</v>
      </c>
      <c r="Q97" s="1">
        <f>67607-P97-O97</f>
        <v>24567</v>
      </c>
      <c r="R97" s="36"/>
      <c r="S97" s="23">
        <f t="shared" si="87"/>
        <v>47444</v>
      </c>
      <c r="T97" s="23">
        <f t="shared" si="88"/>
        <v>98801</v>
      </c>
      <c r="U97" s="23"/>
      <c r="V97" s="25">
        <f>SUM(T97/S97)-1</f>
        <v>1.082476182446674</v>
      </c>
    </row>
    <row r="98" spans="2:22">
      <c r="B98" s="103" t="s">
        <v>148</v>
      </c>
      <c r="C98" s="146">
        <v>63332</v>
      </c>
      <c r="D98" s="146">
        <v>-30136</v>
      </c>
      <c r="E98" s="146">
        <v>19206</v>
      </c>
      <c r="F98" s="4"/>
      <c r="G98" s="146">
        <v>-13448</v>
      </c>
      <c r="H98" s="1">
        <f>-29509-G98</f>
        <v>-16061</v>
      </c>
      <c r="I98" s="1">
        <f>-28358-H98-G98</f>
        <v>1151</v>
      </c>
      <c r="J98" s="4">
        <f t="shared" si="85"/>
        <v>-1778</v>
      </c>
      <c r="K98" s="146">
        <v>3610</v>
      </c>
      <c r="L98" s="1">
        <f>19147-K98</f>
        <v>15537</v>
      </c>
      <c r="M98" s="1">
        <f>26787-L98-K98</f>
        <v>7640</v>
      </c>
      <c r="N98" s="4">
        <f t="shared" si="86"/>
        <v>-7581</v>
      </c>
      <c r="O98" s="146">
        <v>-8627</v>
      </c>
      <c r="P98" s="1">
        <f>-15266-O98</f>
        <v>-6639</v>
      </c>
      <c r="Q98" s="1">
        <f>-11398-P98-O98</f>
        <v>3868</v>
      </c>
      <c r="R98" s="36"/>
      <c r="S98" s="23">
        <f t="shared" si="87"/>
        <v>25009</v>
      </c>
      <c r="T98" s="23">
        <f t="shared" si="88"/>
        <v>-18979</v>
      </c>
      <c r="U98" s="23"/>
      <c r="V98" s="25">
        <f t="shared" ref="V98:V102" si="89">SUM(T98/S98)-1</f>
        <v>-1.7588868007517293</v>
      </c>
    </row>
    <row r="99" spans="2:22">
      <c r="B99" s="103" t="s">
        <v>143</v>
      </c>
      <c r="C99" s="146"/>
      <c r="D99" s="146">
        <v>-1577</v>
      </c>
      <c r="E99" s="146">
        <v>-9746</v>
      </c>
      <c r="F99" s="4"/>
      <c r="G99" s="146"/>
      <c r="H99" s="1"/>
      <c r="I99" s="1"/>
      <c r="J99" s="4">
        <f t="shared" ref="J99:J102" si="90">SUM(D99-SUM(G99:I99))</f>
        <v>-1577</v>
      </c>
      <c r="K99" s="146"/>
      <c r="L99" s="1">
        <f>-4593-K99</f>
        <v>-4593</v>
      </c>
      <c r="M99" s="1">
        <f>-7287-L99-K99</f>
        <v>-2694</v>
      </c>
      <c r="N99" s="4">
        <f t="shared" ref="N99:N102" si="91">SUM(E99-SUM(K99:M99))</f>
        <v>-2459</v>
      </c>
      <c r="O99" s="146">
        <v>-2302</v>
      </c>
      <c r="P99" s="1">
        <f>-4787-O99</f>
        <v>-2485</v>
      </c>
      <c r="Q99" s="1">
        <f>-7086-P99-O99</f>
        <v>-2299</v>
      </c>
      <c r="R99" s="36"/>
      <c r="S99" s="23">
        <f t="shared" si="87"/>
        <v>-8864</v>
      </c>
      <c r="T99" s="23">
        <f t="shared" si="88"/>
        <v>-9545</v>
      </c>
      <c r="U99" s="23"/>
      <c r="V99" s="25">
        <f t="shared" si="89"/>
        <v>7.6827617328519837E-2</v>
      </c>
    </row>
    <row r="100" spans="2:22">
      <c r="B100" s="103" t="s">
        <v>144</v>
      </c>
      <c r="C100" s="146">
        <v>101</v>
      </c>
      <c r="D100" s="146">
        <v>441</v>
      </c>
      <c r="E100" s="146">
        <v>1474</v>
      </c>
      <c r="F100" s="4"/>
      <c r="G100" s="147">
        <v>-490</v>
      </c>
      <c r="H100" s="4">
        <f>-1618-G100</f>
        <v>-1128</v>
      </c>
      <c r="I100" s="4">
        <f>-38-H100-G100</f>
        <v>1580</v>
      </c>
      <c r="J100" s="4">
        <f t="shared" si="90"/>
        <v>479</v>
      </c>
      <c r="K100" s="147">
        <v>-1570</v>
      </c>
      <c r="L100" s="4">
        <f>736-K100</f>
        <v>2306</v>
      </c>
      <c r="M100" s="4">
        <f>1036-L100-K1003</f>
        <v>-1270</v>
      </c>
      <c r="N100" s="4">
        <f t="shared" si="91"/>
        <v>2008</v>
      </c>
      <c r="O100" s="147">
        <v>809</v>
      </c>
      <c r="P100" s="1">
        <f>1896-O100</f>
        <v>1087</v>
      </c>
      <c r="Q100" s="1">
        <f>3901-P100-O100</f>
        <v>2005</v>
      </c>
      <c r="R100" s="36"/>
      <c r="S100" s="23">
        <f t="shared" si="87"/>
        <v>-55</v>
      </c>
      <c r="T100" s="23">
        <f t="shared" si="88"/>
        <v>5909</v>
      </c>
      <c r="U100" s="23"/>
      <c r="V100" s="25">
        <f t="shared" si="89"/>
        <v>-108.43636363636364</v>
      </c>
    </row>
    <row r="101" spans="2:22">
      <c r="B101" s="103" t="s">
        <v>145</v>
      </c>
      <c r="C101" s="146">
        <v>528</v>
      </c>
      <c r="D101" s="146"/>
      <c r="E101" s="146"/>
      <c r="F101" s="4"/>
      <c r="G101" s="147"/>
      <c r="H101" s="4"/>
      <c r="I101" s="4"/>
      <c r="J101" s="4">
        <f t="shared" si="90"/>
        <v>0</v>
      </c>
      <c r="K101" s="147"/>
      <c r="L101" s="1"/>
      <c r="M101" s="1"/>
      <c r="N101" s="4">
        <f t="shared" si="91"/>
        <v>0</v>
      </c>
      <c r="O101" s="146"/>
      <c r="P101" s="1"/>
      <c r="Q101" s="1"/>
      <c r="R101" s="36"/>
      <c r="S101" s="23">
        <f t="shared" si="87"/>
        <v>0</v>
      </c>
      <c r="T101" s="23">
        <f t="shared" si="88"/>
        <v>0</v>
      </c>
      <c r="U101" s="23"/>
      <c r="V101" s="25" t="e">
        <f t="shared" si="89"/>
        <v>#DIV/0!</v>
      </c>
    </row>
    <row r="102" spans="2:22">
      <c r="B102" s="103" t="s">
        <v>103</v>
      </c>
      <c r="C102" s="150">
        <v>4259</v>
      </c>
      <c r="D102" s="150"/>
      <c r="E102" s="146"/>
      <c r="F102" s="4"/>
      <c r="G102" s="147"/>
      <c r="H102" s="4"/>
      <c r="I102" s="4"/>
      <c r="J102" s="4">
        <f t="shared" si="90"/>
        <v>0</v>
      </c>
      <c r="K102" s="147"/>
      <c r="L102" s="4"/>
      <c r="M102" s="4"/>
      <c r="N102" s="4">
        <f t="shared" si="91"/>
        <v>0</v>
      </c>
      <c r="O102" s="147"/>
      <c r="P102" s="4"/>
      <c r="Q102" s="4"/>
      <c r="R102" s="36"/>
      <c r="S102" s="23">
        <f t="shared" si="87"/>
        <v>0</v>
      </c>
      <c r="T102" s="23">
        <f t="shared" si="88"/>
        <v>0</v>
      </c>
      <c r="U102" s="23"/>
      <c r="V102" s="25" t="e">
        <f t="shared" si="89"/>
        <v>#DIV/0!</v>
      </c>
    </row>
    <row r="103" spans="2:22">
      <c r="B103"/>
      <c r="C103" s="99"/>
      <c r="D103" s="99"/>
      <c r="E103" s="99"/>
      <c r="F103" s="23"/>
      <c r="G103" s="99"/>
      <c r="H103" s="100"/>
      <c r="I103" s="101"/>
      <c r="J103" s="99"/>
      <c r="K103" s="99"/>
      <c r="L103" s="100"/>
      <c r="M103" s="101"/>
      <c r="N103" s="99"/>
      <c r="O103" s="100"/>
      <c r="P103" s="100"/>
      <c r="Q103" s="100"/>
      <c r="R103" s="36"/>
      <c r="S103" s="23"/>
      <c r="T103" s="23"/>
      <c r="U103" s="23"/>
      <c r="V103" s="40"/>
    </row>
    <row r="104" spans="2:22">
      <c r="B104" s="3" t="s">
        <v>18</v>
      </c>
      <c r="C104" s="99"/>
      <c r="D104" s="99"/>
      <c r="E104" s="99"/>
      <c r="F104" s="23"/>
      <c r="G104" s="99"/>
      <c r="H104" s="100"/>
      <c r="I104" s="101"/>
      <c r="J104" s="99"/>
      <c r="K104" s="99"/>
      <c r="L104" s="100"/>
      <c r="M104" s="101"/>
      <c r="N104" s="99"/>
      <c r="O104" s="100"/>
      <c r="P104" s="100"/>
      <c r="Q104" s="100"/>
      <c r="R104" s="36"/>
      <c r="S104" s="100"/>
      <c r="T104" s="100"/>
      <c r="U104" s="102"/>
    </row>
    <row r="105" spans="2:22">
      <c r="B105" s="103" t="s">
        <v>19</v>
      </c>
      <c r="C105" s="146">
        <v>-317</v>
      </c>
      <c r="D105" s="146">
        <v>-1510</v>
      </c>
      <c r="E105" s="146">
        <v>-8175</v>
      </c>
      <c r="F105" s="4"/>
      <c r="G105" s="146">
        <v>138</v>
      </c>
      <c r="H105" s="1">
        <f>-801-G105</f>
        <v>-939</v>
      </c>
      <c r="I105" s="1">
        <f>-1135-H105-G105</f>
        <v>-334</v>
      </c>
      <c r="J105" s="4">
        <f t="shared" ref="J105:J110" si="92">SUM(D105-SUM(G105:I105))</f>
        <v>-375</v>
      </c>
      <c r="K105" s="146">
        <v>2044</v>
      </c>
      <c r="L105" s="1">
        <f>2074-K105</f>
        <v>30</v>
      </c>
      <c r="M105" s="1">
        <f>946-L105-K105</f>
        <v>-1128</v>
      </c>
      <c r="N105" s="4">
        <f t="shared" ref="N105:N110" si="93">SUM(E105-SUM(K105:M105))</f>
        <v>-9121</v>
      </c>
      <c r="O105" s="146">
        <v>1897</v>
      </c>
      <c r="P105" s="1">
        <f>3558-O105</f>
        <v>1661</v>
      </c>
      <c r="Q105" s="1">
        <f>7341-P105-O105</f>
        <v>3783</v>
      </c>
      <c r="R105" s="36"/>
      <c r="S105" s="23">
        <f t="shared" ref="S105:S110" si="94">SUM(J105:M105)</f>
        <v>571</v>
      </c>
      <c r="T105" s="23">
        <f t="shared" ref="T105:T110" si="95">SUM(N105:Q105)</f>
        <v>-1780</v>
      </c>
      <c r="U105" s="102"/>
      <c r="V105" s="25">
        <f t="shared" ref="V105:V110" si="96">SUM(T105/S105)-1</f>
        <v>-4.1173380035026268</v>
      </c>
    </row>
    <row r="106" spans="2:22">
      <c r="B106" s="103" t="s">
        <v>90</v>
      </c>
      <c r="C106" s="146">
        <v>-3790</v>
      </c>
      <c r="D106" s="146">
        <v>-7012</v>
      </c>
      <c r="E106" s="146">
        <v>-14413</v>
      </c>
      <c r="F106" s="4"/>
      <c r="G106" s="146">
        <v>1516</v>
      </c>
      <c r="H106" s="1">
        <f>3576-G106</f>
        <v>2060</v>
      </c>
      <c r="I106" s="1">
        <f>-1842-H106-G106</f>
        <v>-5418</v>
      </c>
      <c r="J106" s="4">
        <f t="shared" si="92"/>
        <v>-5170</v>
      </c>
      <c r="K106" s="146">
        <v>-939</v>
      </c>
      <c r="L106" s="1">
        <f>-2928-K106</f>
        <v>-1989</v>
      </c>
      <c r="M106" s="1">
        <f>-7545-L106-K106</f>
        <v>-4617</v>
      </c>
      <c r="N106" s="4">
        <f t="shared" si="93"/>
        <v>-6868</v>
      </c>
      <c r="O106" s="146">
        <v>-4656</v>
      </c>
      <c r="P106" s="1">
        <f>-8341-O106</f>
        <v>-3685</v>
      </c>
      <c r="Q106" s="1">
        <f>-9899-P106-O106</f>
        <v>-1558</v>
      </c>
      <c r="R106" s="36"/>
      <c r="S106" s="23">
        <f t="shared" si="94"/>
        <v>-12715</v>
      </c>
      <c r="T106" s="23">
        <f t="shared" si="95"/>
        <v>-16767</v>
      </c>
      <c r="U106" s="102"/>
      <c r="V106" s="25">
        <f t="shared" si="96"/>
        <v>0.31867872591427449</v>
      </c>
    </row>
    <row r="107" spans="2:22">
      <c r="B107" s="103" t="s">
        <v>113</v>
      </c>
      <c r="C107" s="146">
        <v>763</v>
      </c>
      <c r="D107" s="146">
        <v>1060</v>
      </c>
      <c r="E107" s="146">
        <v>2188</v>
      </c>
      <c r="F107" s="4"/>
      <c r="G107" s="146">
        <v>-291</v>
      </c>
      <c r="H107" s="1">
        <f>1156-G107</f>
        <v>1447</v>
      </c>
      <c r="I107" s="1">
        <f>2992-H107-G107</f>
        <v>1836</v>
      </c>
      <c r="J107" s="4">
        <f t="shared" si="92"/>
        <v>-1932</v>
      </c>
      <c r="K107" s="146">
        <v>728</v>
      </c>
      <c r="L107" s="1">
        <f>479-K107</f>
        <v>-249</v>
      </c>
      <c r="M107" s="1">
        <f>975-L107-K107</f>
        <v>496</v>
      </c>
      <c r="N107" s="4">
        <f t="shared" si="93"/>
        <v>1213</v>
      </c>
      <c r="O107" s="146">
        <v>-521</v>
      </c>
      <c r="P107" s="1">
        <f>-165-O107</f>
        <v>356</v>
      </c>
      <c r="Q107" s="1">
        <f>-463-P107-O107</f>
        <v>-298</v>
      </c>
      <c r="R107" s="36"/>
      <c r="S107" s="23">
        <f t="shared" si="94"/>
        <v>-957</v>
      </c>
      <c r="T107" s="23">
        <f t="shared" si="95"/>
        <v>750</v>
      </c>
      <c r="U107" s="102"/>
      <c r="V107" s="25">
        <f t="shared" si="96"/>
        <v>-1.7836990595611284</v>
      </c>
    </row>
    <row r="108" spans="2:22">
      <c r="B108" s="103" t="s">
        <v>114</v>
      </c>
      <c r="C108" s="146">
        <v>1259</v>
      </c>
      <c r="D108" s="146">
        <v>1344</v>
      </c>
      <c r="E108" s="146">
        <v>3319</v>
      </c>
      <c r="F108" s="4"/>
      <c r="G108" s="146">
        <v>1571</v>
      </c>
      <c r="H108" s="1">
        <f>484-G108</f>
        <v>-1087</v>
      </c>
      <c r="I108" s="1">
        <f>1996-H108-G108</f>
        <v>1512</v>
      </c>
      <c r="J108" s="4">
        <f t="shared" si="92"/>
        <v>-652</v>
      </c>
      <c r="K108" s="146">
        <v>920</v>
      </c>
      <c r="L108" s="1">
        <f>2267-K108</f>
        <v>1347</v>
      </c>
      <c r="M108" s="1">
        <f>8066-L108-K108</f>
        <v>5799</v>
      </c>
      <c r="N108" s="4">
        <f t="shared" si="93"/>
        <v>-4747</v>
      </c>
      <c r="O108" s="146">
        <v>-554</v>
      </c>
      <c r="P108" s="1">
        <f>-2116-O108</f>
        <v>-1562</v>
      </c>
      <c r="Q108" s="1">
        <f>612-P108-O108</f>
        <v>2728</v>
      </c>
      <c r="R108" s="36"/>
      <c r="S108" s="23">
        <f t="shared" si="94"/>
        <v>7414</v>
      </c>
      <c r="T108" s="23">
        <f t="shared" si="95"/>
        <v>-4135</v>
      </c>
      <c r="U108" s="102"/>
      <c r="V108" s="25">
        <f t="shared" si="96"/>
        <v>-1.5577286215268411</v>
      </c>
    </row>
    <row r="109" spans="2:22">
      <c r="B109" s="103" t="s">
        <v>116</v>
      </c>
      <c r="C109" s="146">
        <v>3605</v>
      </c>
      <c r="D109" s="146">
        <v>3892</v>
      </c>
      <c r="E109" s="146">
        <v>2604</v>
      </c>
      <c r="F109" s="4"/>
      <c r="G109" s="147">
        <v>-1058</v>
      </c>
      <c r="H109" s="1">
        <f>264-G109</f>
        <v>1322</v>
      </c>
      <c r="I109" s="1">
        <f>-555-H109-G109</f>
        <v>-819</v>
      </c>
      <c r="J109" s="4">
        <f t="shared" si="92"/>
        <v>4447</v>
      </c>
      <c r="K109" s="146">
        <v>-3271</v>
      </c>
      <c r="L109" s="1">
        <f>-2005-K109</f>
        <v>1266</v>
      </c>
      <c r="M109" s="1">
        <f>-4944-L109-K109</f>
        <v>-2939</v>
      </c>
      <c r="N109" s="4">
        <f t="shared" si="93"/>
        <v>7548</v>
      </c>
      <c r="O109" s="146">
        <v>4389</v>
      </c>
      <c r="P109" s="1">
        <f>1262-O109</f>
        <v>-3127</v>
      </c>
      <c r="Q109" s="1">
        <f>-4232-P109-O109</f>
        <v>-5494</v>
      </c>
      <c r="R109" s="36"/>
      <c r="S109" s="23">
        <f t="shared" si="94"/>
        <v>-497</v>
      </c>
      <c r="T109" s="23">
        <f t="shared" si="95"/>
        <v>3316</v>
      </c>
      <c r="U109" s="102"/>
      <c r="V109" s="25">
        <f t="shared" si="96"/>
        <v>-7.6720321931589535</v>
      </c>
    </row>
    <row r="110" spans="2:22">
      <c r="B110" s="103" t="s">
        <v>140</v>
      </c>
      <c r="C110" s="146">
        <v>-1722</v>
      </c>
      <c r="D110" s="146">
        <v>-269</v>
      </c>
      <c r="E110" s="146">
        <v>1865</v>
      </c>
      <c r="F110" s="4"/>
      <c r="G110" s="146">
        <v>-103</v>
      </c>
      <c r="H110" s="1">
        <f>-133-G110</f>
        <v>-30</v>
      </c>
      <c r="I110" s="1">
        <f>-180-H110-G110</f>
        <v>-47</v>
      </c>
      <c r="J110" s="4">
        <f t="shared" si="92"/>
        <v>-89</v>
      </c>
      <c r="K110" s="146">
        <v>-188</v>
      </c>
      <c r="L110" s="1">
        <f>26-K110</f>
        <v>214</v>
      </c>
      <c r="M110" s="1">
        <f>-156-L110-K110</f>
        <v>-182</v>
      </c>
      <c r="N110" s="4">
        <f t="shared" si="93"/>
        <v>2021</v>
      </c>
      <c r="O110" s="146">
        <v>2546</v>
      </c>
      <c r="P110" s="1">
        <f>2508-O110</f>
        <v>-38</v>
      </c>
      <c r="Q110" s="1">
        <f>3471-P110-O110</f>
        <v>963</v>
      </c>
      <c r="R110" s="36"/>
      <c r="S110" s="23">
        <f t="shared" si="94"/>
        <v>-245</v>
      </c>
      <c r="T110" s="23">
        <f t="shared" si="95"/>
        <v>5492</v>
      </c>
      <c r="U110" s="102"/>
      <c r="V110" s="25">
        <f t="shared" si="96"/>
        <v>-23.416326530612245</v>
      </c>
    </row>
    <row r="111" spans="2:22" ht="15.75">
      <c r="B111" s="104" t="s">
        <v>20</v>
      </c>
      <c r="C111" s="105">
        <f>SUM(C92:C110)</f>
        <v>-26537</v>
      </c>
      <c r="D111" s="105">
        <f>SUM(D92:D110)</f>
        <v>-44698</v>
      </c>
      <c r="E111" s="105">
        <f>SUM(E92:E110)</f>
        <v>-78811</v>
      </c>
      <c r="F111" s="36"/>
      <c r="G111" s="105">
        <f t="shared" ref="G111:Q111" si="97">SUM(G92:G110)</f>
        <v>-8324</v>
      </c>
      <c r="H111" s="105">
        <f t="shared" si="97"/>
        <v>-8605</v>
      </c>
      <c r="I111" s="105">
        <f t="shared" si="97"/>
        <v>-12856</v>
      </c>
      <c r="J111" s="105">
        <f t="shared" si="97"/>
        <v>-14913</v>
      </c>
      <c r="K111" s="105">
        <f t="shared" si="97"/>
        <v>-13815</v>
      </c>
      <c r="L111" s="105">
        <f t="shared" si="97"/>
        <v>-16086</v>
      </c>
      <c r="M111" s="105">
        <f t="shared" si="97"/>
        <v>-23850</v>
      </c>
      <c r="N111" s="105">
        <f t="shared" si="97"/>
        <v>-25060</v>
      </c>
      <c r="O111" s="105">
        <f t="shared" si="97"/>
        <v>-20465</v>
      </c>
      <c r="P111" s="105">
        <f t="shared" si="97"/>
        <v>-66171</v>
      </c>
      <c r="Q111" s="105">
        <f t="shared" si="97"/>
        <v>-96364</v>
      </c>
      <c r="R111" s="36"/>
      <c r="S111" s="105">
        <f>SUM(S92:S110)</f>
        <v>-68664</v>
      </c>
      <c r="T111" s="105">
        <f>SUM(T92:T110)</f>
        <v>-208060</v>
      </c>
      <c r="U111" s="29"/>
      <c r="V111" s="30">
        <f>SUM(T111/S111)-1</f>
        <v>2.0301176744727951</v>
      </c>
    </row>
    <row r="112" spans="2:22" ht="15.75">
      <c r="B112" s="65"/>
      <c r="C112" s="106"/>
      <c r="D112" s="106"/>
      <c r="E112" s="106"/>
      <c r="F112" s="36"/>
      <c r="G112" s="106"/>
      <c r="H112" s="106"/>
      <c r="I112" s="106"/>
      <c r="J112" s="106"/>
      <c r="K112" s="106"/>
      <c r="L112" s="106"/>
      <c r="M112" s="106"/>
      <c r="N112" s="106"/>
      <c r="O112" s="106"/>
      <c r="P112" s="106"/>
      <c r="Q112" s="106"/>
      <c r="R112" s="36"/>
      <c r="S112" s="29"/>
      <c r="T112" s="29"/>
      <c r="U112" s="29"/>
      <c r="V112" s="40"/>
    </row>
    <row r="113" spans="2:22" ht="15.75">
      <c r="B113" s="65" t="s">
        <v>59</v>
      </c>
      <c r="C113" s="100"/>
      <c r="D113" s="100"/>
      <c r="E113" s="100"/>
      <c r="F113" s="36"/>
      <c r="G113" s="100"/>
      <c r="H113" s="100"/>
      <c r="I113" s="101"/>
      <c r="J113" s="100"/>
      <c r="K113" s="100"/>
      <c r="L113" s="100"/>
      <c r="M113" s="101"/>
      <c r="N113" s="100"/>
      <c r="O113" s="100"/>
      <c r="P113" s="100"/>
      <c r="Q113" s="100"/>
      <c r="R113" s="36"/>
      <c r="S113" s="100"/>
      <c r="T113" s="100"/>
      <c r="U113" s="102"/>
    </row>
    <row r="114" spans="2:22">
      <c r="B114" s="103" t="s">
        <v>21</v>
      </c>
      <c r="C114" s="146">
        <v>-7783</v>
      </c>
      <c r="D114" s="146">
        <v>-9336</v>
      </c>
      <c r="E114" s="146">
        <v>-13703</v>
      </c>
      <c r="F114" s="4"/>
      <c r="G114" s="146">
        <v>-2672</v>
      </c>
      <c r="H114" s="1">
        <f>-7022-G114</f>
        <v>-4350</v>
      </c>
      <c r="I114" s="1">
        <f>-8381-H114-G114</f>
        <v>-1359</v>
      </c>
      <c r="J114" s="4">
        <f t="shared" ref="J114:J119" si="98">SUM(D114-SUM(G114:I114))</f>
        <v>-955</v>
      </c>
      <c r="K114" s="146">
        <v>-1185</v>
      </c>
      <c r="L114" s="1">
        <f>-2411-K114</f>
        <v>-1226</v>
      </c>
      <c r="M114" s="1">
        <f>-6544-L114-K114</f>
        <v>-4133</v>
      </c>
      <c r="N114" s="4">
        <f t="shared" ref="N114:N119" si="99">SUM(E114-SUM(K114:M114))</f>
        <v>-7159</v>
      </c>
      <c r="O114" s="146">
        <v>-3140</v>
      </c>
      <c r="P114" s="1">
        <f>-10629-O114</f>
        <v>-7489</v>
      </c>
      <c r="Q114" s="1">
        <f>-14399-P114-O114</f>
        <v>-3770</v>
      </c>
      <c r="R114" s="36"/>
      <c r="S114" s="23">
        <f t="shared" ref="S114:S115" si="100">SUM(J114:M114)</f>
        <v>-7499</v>
      </c>
      <c r="T114" s="23">
        <f t="shared" ref="T114:T115" si="101">SUM(N114:Q114)</f>
        <v>-21558</v>
      </c>
      <c r="U114" s="102"/>
      <c r="V114" s="25">
        <f t="shared" ref="V114:V119" si="102">SUM(T114/S114)-1</f>
        <v>1.8747833044405922</v>
      </c>
    </row>
    <row r="115" spans="2:22">
      <c r="B115" s="103" t="s">
        <v>135</v>
      </c>
      <c r="C115" s="146">
        <v>-1621</v>
      </c>
      <c r="D115" s="146">
        <v>-2179</v>
      </c>
      <c r="E115" s="146">
        <v>-4558</v>
      </c>
      <c r="F115" s="4"/>
      <c r="G115" s="146">
        <v>-457</v>
      </c>
      <c r="H115" s="1">
        <f>-982-G115</f>
        <v>-525</v>
      </c>
      <c r="I115" s="1">
        <f>-1491-H115-G115</f>
        <v>-509</v>
      </c>
      <c r="J115" s="4">
        <f t="shared" si="98"/>
        <v>-688</v>
      </c>
      <c r="K115" s="146">
        <v>-843</v>
      </c>
      <c r="L115" s="1">
        <f>-1950-K115</f>
        <v>-1107</v>
      </c>
      <c r="M115" s="1">
        <f>-3134-L115-K115</f>
        <v>-1184</v>
      </c>
      <c r="N115" s="4">
        <f t="shared" si="99"/>
        <v>-1424</v>
      </c>
      <c r="O115" s="146">
        <v>-1400</v>
      </c>
      <c r="P115" s="1">
        <f>-2129-O115</f>
        <v>-729</v>
      </c>
      <c r="Q115" s="1">
        <f>-3064-P115-O115</f>
        <v>-935</v>
      </c>
      <c r="R115" s="36"/>
      <c r="S115" s="23">
        <f t="shared" si="100"/>
        <v>-3822</v>
      </c>
      <c r="T115" s="23">
        <f t="shared" si="101"/>
        <v>-4488</v>
      </c>
      <c r="U115" s="102"/>
      <c r="V115" s="25">
        <f t="shared" si="102"/>
        <v>0.17425431711145989</v>
      </c>
    </row>
    <row r="116" spans="2:22">
      <c r="B116" s="103" t="s">
        <v>136</v>
      </c>
      <c r="C116" s="146">
        <v>-620</v>
      </c>
      <c r="D116" s="146">
        <v>-1049</v>
      </c>
      <c r="E116" s="146">
        <v>-1288</v>
      </c>
      <c r="F116" s="4"/>
      <c r="G116" s="146">
        <v>-134</v>
      </c>
      <c r="H116" s="1">
        <f>-370-G116</f>
        <v>-236</v>
      </c>
      <c r="I116" s="1">
        <f>-598-H116-G116</f>
        <v>-228</v>
      </c>
      <c r="J116" s="4">
        <f t="shared" si="98"/>
        <v>-451</v>
      </c>
      <c r="K116" s="146">
        <v>-318</v>
      </c>
      <c r="L116" s="1">
        <f>-628-K116</f>
        <v>-310</v>
      </c>
      <c r="M116" s="1">
        <f>-1057-L116-K116</f>
        <v>-429</v>
      </c>
      <c r="N116" s="4">
        <f t="shared" si="99"/>
        <v>-231</v>
      </c>
      <c r="O116" s="146">
        <v>-357</v>
      </c>
      <c r="P116" s="1">
        <f>-892-O116</f>
        <v>-535</v>
      </c>
      <c r="Q116" s="1">
        <f>-1201-P116-O116</f>
        <v>-309</v>
      </c>
      <c r="R116" s="36"/>
      <c r="S116" s="23">
        <f t="shared" ref="S116:S119" si="103">SUM(J116:M116)</f>
        <v>-1508</v>
      </c>
      <c r="T116" s="23">
        <f t="shared" ref="T116:T119" si="104">SUM(N116:Q116)</f>
        <v>-1432</v>
      </c>
      <c r="U116" s="102"/>
      <c r="V116" s="25">
        <f t="shared" si="102"/>
        <v>-5.0397877984084904E-2</v>
      </c>
    </row>
    <row r="117" spans="2:22">
      <c r="B117" s="103" t="s">
        <v>137</v>
      </c>
      <c r="C117" s="146">
        <v>-203761</v>
      </c>
      <c r="D117" s="146">
        <v>-605689</v>
      </c>
      <c r="E117" s="146">
        <v>-298445</v>
      </c>
      <c r="F117" s="4"/>
      <c r="G117" s="146">
        <v>-311235</v>
      </c>
      <c r="H117" s="1">
        <f>-403899-G117</f>
        <v>-92664</v>
      </c>
      <c r="I117" s="1">
        <f>-488887-H117-G117</f>
        <v>-84988</v>
      </c>
      <c r="J117" s="4">
        <f t="shared" si="98"/>
        <v>-116802</v>
      </c>
      <c r="K117" s="146">
        <v>-64430</v>
      </c>
      <c r="L117" s="1">
        <f>-185377-K117</f>
        <v>-120947</v>
      </c>
      <c r="M117" s="1">
        <f>-230350-L117-K117</f>
        <v>-44973</v>
      </c>
      <c r="N117" s="4">
        <f t="shared" si="99"/>
        <v>-68095</v>
      </c>
      <c r="O117" s="146">
        <v>-66619</v>
      </c>
      <c r="P117" s="1">
        <f>-146098-O117</f>
        <v>-79479</v>
      </c>
      <c r="Q117" s="1">
        <f>-241162-P117-O117</f>
        <v>-95064</v>
      </c>
      <c r="R117" s="36"/>
      <c r="S117" s="23">
        <f t="shared" si="103"/>
        <v>-347152</v>
      </c>
      <c r="T117" s="23">
        <f t="shared" si="104"/>
        <v>-309257</v>
      </c>
      <c r="U117" s="102"/>
      <c r="V117" s="25">
        <f t="shared" si="102"/>
        <v>-0.10915967645296587</v>
      </c>
    </row>
    <row r="118" spans="2:22">
      <c r="B118" s="103" t="s">
        <v>138</v>
      </c>
      <c r="C118" s="146"/>
      <c r="D118" s="146">
        <v>310045</v>
      </c>
      <c r="E118" s="146">
        <v>386760</v>
      </c>
      <c r="F118" s="4"/>
      <c r="G118" s="146">
        <v>10400</v>
      </c>
      <c r="H118" s="1">
        <f>73090-G118</f>
        <v>62690</v>
      </c>
      <c r="I118" s="1">
        <f>185150-H118-G118</f>
        <v>112060</v>
      </c>
      <c r="J118" s="4">
        <f t="shared" si="98"/>
        <v>124895</v>
      </c>
      <c r="K118" s="146">
        <v>88091</v>
      </c>
      <c r="L118" s="1">
        <f>189446-K118</f>
        <v>101355</v>
      </c>
      <c r="M118" s="1">
        <f>285665-L118-K118</f>
        <v>96219</v>
      </c>
      <c r="N118" s="4">
        <f t="shared" si="99"/>
        <v>101095</v>
      </c>
      <c r="O118" s="146">
        <v>115045</v>
      </c>
      <c r="P118" s="1">
        <f>211572-O118</f>
        <v>96527</v>
      </c>
      <c r="Q118" s="1">
        <f>318192-P118-O118</f>
        <v>106620</v>
      </c>
      <c r="R118" s="36"/>
      <c r="S118" s="23">
        <f t="shared" si="103"/>
        <v>410560</v>
      </c>
      <c r="T118" s="23">
        <f t="shared" si="104"/>
        <v>419287</v>
      </c>
      <c r="U118" s="102"/>
      <c r="V118" s="25">
        <f t="shared" si="102"/>
        <v>2.125633281371786E-2</v>
      </c>
    </row>
    <row r="119" spans="2:22">
      <c r="B119" s="103" t="s">
        <v>139</v>
      </c>
      <c r="C119" s="146"/>
      <c r="D119" s="146">
        <v>-848</v>
      </c>
      <c r="E119" s="146">
        <v>0</v>
      </c>
      <c r="F119" s="4"/>
      <c r="G119" s="146"/>
      <c r="H119" s="1"/>
      <c r="I119" s="1"/>
      <c r="J119" s="4">
        <f t="shared" si="98"/>
        <v>-848</v>
      </c>
      <c r="K119" s="146"/>
      <c r="L119" s="1"/>
      <c r="M119" s="1"/>
      <c r="N119" s="4">
        <f t="shared" si="99"/>
        <v>0</v>
      </c>
      <c r="O119" s="146"/>
      <c r="P119" s="1"/>
      <c r="Q119" s="1"/>
      <c r="R119" s="36"/>
      <c r="S119" s="23">
        <f t="shared" si="103"/>
        <v>-848</v>
      </c>
      <c r="T119" s="23">
        <f t="shared" si="104"/>
        <v>0</v>
      </c>
      <c r="U119" s="102"/>
      <c r="V119" s="25">
        <f t="shared" si="102"/>
        <v>-1</v>
      </c>
    </row>
    <row r="120" spans="2:22" ht="15.75">
      <c r="B120" s="107" t="s">
        <v>22</v>
      </c>
      <c r="C120" s="105">
        <f>SUM(C114:C119)</f>
        <v>-213785</v>
      </c>
      <c r="D120" s="105">
        <f>SUM(D114:D119)</f>
        <v>-309056</v>
      </c>
      <c r="E120" s="105">
        <f>SUM(E114:E119)</f>
        <v>68766</v>
      </c>
      <c r="F120" s="36"/>
      <c r="G120" s="105">
        <f t="shared" ref="G120:Q120" si="105">SUM(G114:G119)</f>
        <v>-304098</v>
      </c>
      <c r="H120" s="105">
        <f t="shared" si="105"/>
        <v>-35085</v>
      </c>
      <c r="I120" s="105">
        <f t="shared" si="105"/>
        <v>24976</v>
      </c>
      <c r="J120" s="105">
        <f t="shared" si="105"/>
        <v>5151</v>
      </c>
      <c r="K120" s="105">
        <f t="shared" si="105"/>
        <v>21315</v>
      </c>
      <c r="L120" s="105">
        <f t="shared" si="105"/>
        <v>-22235</v>
      </c>
      <c r="M120" s="105">
        <f t="shared" si="105"/>
        <v>45500</v>
      </c>
      <c r="N120" s="105">
        <f t="shared" si="105"/>
        <v>24186</v>
      </c>
      <c r="O120" s="105">
        <f t="shared" si="105"/>
        <v>43529</v>
      </c>
      <c r="P120" s="105">
        <f t="shared" si="105"/>
        <v>8295</v>
      </c>
      <c r="Q120" s="105">
        <f t="shared" si="105"/>
        <v>6542</v>
      </c>
      <c r="R120" s="36"/>
      <c r="S120" s="105">
        <f>SUM(S114:S119)</f>
        <v>49731</v>
      </c>
      <c r="T120" s="105">
        <f>SUM(T114:T119)</f>
        <v>82552</v>
      </c>
      <c r="U120" s="29"/>
      <c r="V120" s="30">
        <f>SUM(T120/S120)-1</f>
        <v>0.65997064205425193</v>
      </c>
    </row>
    <row r="121" spans="2:22" ht="15.75">
      <c r="B121" s="108"/>
      <c r="C121" s="106"/>
      <c r="D121" s="106"/>
      <c r="E121" s="106"/>
      <c r="F121" s="36"/>
      <c r="G121" s="106"/>
      <c r="H121" s="106"/>
      <c r="I121" s="106"/>
      <c r="J121" s="106"/>
      <c r="K121" s="106"/>
      <c r="L121" s="106"/>
      <c r="M121" s="106"/>
      <c r="N121" s="106"/>
      <c r="O121" s="106"/>
      <c r="P121" s="106"/>
      <c r="Q121" s="106"/>
      <c r="R121" s="36"/>
      <c r="S121" s="29"/>
      <c r="T121" s="29"/>
      <c r="U121" s="29"/>
      <c r="V121" s="40"/>
    </row>
    <row r="122" spans="2:22" ht="15.75">
      <c r="B122" s="65" t="s">
        <v>60</v>
      </c>
      <c r="C122" s="109"/>
      <c r="D122" s="109"/>
      <c r="E122" s="109"/>
      <c r="F122" s="36"/>
      <c r="G122" s="109"/>
      <c r="H122" s="109"/>
      <c r="I122" s="109"/>
      <c r="J122" s="109"/>
      <c r="K122" s="109"/>
      <c r="L122" s="109"/>
      <c r="M122" s="109"/>
      <c r="N122" s="110"/>
      <c r="O122" s="109"/>
      <c r="P122" s="109"/>
      <c r="Q122" s="109"/>
      <c r="R122" s="36"/>
      <c r="S122" s="109"/>
      <c r="T122" s="109"/>
      <c r="U122" s="111"/>
    </row>
    <row r="123" spans="2:22">
      <c r="B123" s="103" t="s">
        <v>129</v>
      </c>
      <c r="C123" s="146">
        <v>5457</v>
      </c>
      <c r="D123" s="146">
        <v>1059</v>
      </c>
      <c r="E123" s="146">
        <v>1954</v>
      </c>
      <c r="F123" s="4"/>
      <c r="G123" s="147">
        <v>132</v>
      </c>
      <c r="H123" s="1">
        <f>567-G123</f>
        <v>435</v>
      </c>
      <c r="I123" s="1">
        <f>953-H123-G123</f>
        <v>386</v>
      </c>
      <c r="J123" s="4">
        <f t="shared" ref="J123:J128" si="106">SUM(D123-SUM(G123:I123))</f>
        <v>106</v>
      </c>
      <c r="K123" s="146">
        <v>52</v>
      </c>
      <c r="L123" s="1">
        <f>541-K123</f>
        <v>489</v>
      </c>
      <c r="M123" s="1">
        <f>775-L123-K123</f>
        <v>234</v>
      </c>
      <c r="N123" s="4">
        <f t="shared" ref="N123:N128" si="107">SUM(E123-SUM(K123:M123))</f>
        <v>1179</v>
      </c>
      <c r="O123" s="147">
        <v>486</v>
      </c>
      <c r="P123" s="1">
        <f>1185-O123</f>
        <v>699</v>
      </c>
      <c r="Q123" s="1">
        <f>2270-P123-O123</f>
        <v>1085</v>
      </c>
      <c r="R123" s="36"/>
      <c r="S123" s="23">
        <f t="shared" ref="S123:S128" si="108">SUM(J123:M123)</f>
        <v>881</v>
      </c>
      <c r="T123" s="23">
        <f t="shared" ref="T123:T128" si="109">SUM(N123:Q123)</f>
        <v>3449</v>
      </c>
      <c r="U123" s="23"/>
      <c r="V123" s="25">
        <f t="shared" ref="V123:V128" si="110">SUM(T123/S123)-1</f>
        <v>2.9148694665153236</v>
      </c>
    </row>
    <row r="124" spans="2:22">
      <c r="B124" s="103" t="s">
        <v>130</v>
      </c>
      <c r="C124" s="146"/>
      <c r="D124" s="146">
        <v>37</v>
      </c>
      <c r="E124" s="146">
        <v>-193</v>
      </c>
      <c r="F124" s="4"/>
      <c r="G124" s="147"/>
      <c r="H124" s="1"/>
      <c r="I124" s="1"/>
      <c r="J124" s="4">
        <f t="shared" si="106"/>
        <v>37</v>
      </c>
      <c r="K124" s="146">
        <v>-18</v>
      </c>
      <c r="L124" s="1">
        <f>-1-K124</f>
        <v>17</v>
      </c>
      <c r="M124" s="1">
        <f>9-L124-K124</f>
        <v>10</v>
      </c>
      <c r="N124" s="4">
        <f t="shared" si="107"/>
        <v>-202</v>
      </c>
      <c r="O124" s="147"/>
      <c r="P124" s="1">
        <f>141-O124</f>
        <v>141</v>
      </c>
      <c r="Q124" s="1">
        <f>144-P124-O124</f>
        <v>3</v>
      </c>
      <c r="R124" s="36"/>
      <c r="S124" s="23">
        <f t="shared" si="108"/>
        <v>46</v>
      </c>
      <c r="T124" s="23">
        <f t="shared" si="109"/>
        <v>-58</v>
      </c>
      <c r="U124" s="23"/>
      <c r="V124" s="25">
        <f t="shared" si="110"/>
        <v>-2.2608695652173916</v>
      </c>
    </row>
    <row r="125" spans="2:22">
      <c r="B125" s="103" t="s">
        <v>131</v>
      </c>
      <c r="C125" s="146"/>
      <c r="D125" s="146"/>
      <c r="E125" s="146"/>
      <c r="F125" s="4"/>
      <c r="G125" s="147"/>
      <c r="H125" s="1">
        <f>472-G125</f>
        <v>472</v>
      </c>
      <c r="I125" s="1">
        <f>1195-H125-G125</f>
        <v>723</v>
      </c>
      <c r="J125" s="4">
        <f t="shared" si="106"/>
        <v>-1195</v>
      </c>
      <c r="K125" s="146"/>
      <c r="L125" s="1"/>
      <c r="M125" s="1"/>
      <c r="N125" s="4">
        <f t="shared" si="107"/>
        <v>0</v>
      </c>
      <c r="O125" s="147">
        <v>873</v>
      </c>
      <c r="P125" s="1"/>
      <c r="Q125" s="1"/>
      <c r="R125" s="36"/>
      <c r="S125" s="23">
        <f t="shared" si="108"/>
        <v>-1195</v>
      </c>
      <c r="T125" s="23">
        <f t="shared" si="109"/>
        <v>873</v>
      </c>
      <c r="U125" s="23"/>
      <c r="V125" s="25">
        <f t="shared" si="110"/>
        <v>-1.7305439330543932</v>
      </c>
    </row>
    <row r="126" spans="2:22">
      <c r="B126" s="103" t="s">
        <v>132</v>
      </c>
      <c r="C126" s="146">
        <v>26070</v>
      </c>
      <c r="D126" s="146"/>
      <c r="E126" s="146"/>
      <c r="F126" s="4"/>
      <c r="G126" s="147">
        <v>16</v>
      </c>
      <c r="H126" s="1">
        <f>16-G126</f>
        <v>0</v>
      </c>
      <c r="I126" s="1">
        <f>17-H126-G126</f>
        <v>1</v>
      </c>
      <c r="J126" s="4">
        <f t="shared" si="106"/>
        <v>-17</v>
      </c>
      <c r="K126" s="146"/>
      <c r="L126" s="1"/>
      <c r="M126" s="1"/>
      <c r="N126" s="4">
        <f t="shared" si="107"/>
        <v>0</v>
      </c>
      <c r="O126" s="147"/>
      <c r="P126" s="1"/>
      <c r="Q126" s="1"/>
      <c r="R126" s="36"/>
      <c r="S126" s="23">
        <f t="shared" si="108"/>
        <v>-17</v>
      </c>
      <c r="T126" s="23">
        <f t="shared" si="109"/>
        <v>0</v>
      </c>
      <c r="U126" s="23"/>
      <c r="V126" s="25">
        <f t="shared" si="110"/>
        <v>-1</v>
      </c>
    </row>
    <row r="127" spans="2:22">
      <c r="B127" s="103" t="s">
        <v>133</v>
      </c>
      <c r="C127" s="146">
        <v>-968</v>
      </c>
      <c r="D127" s="146"/>
      <c r="E127" s="146"/>
      <c r="F127" s="4"/>
      <c r="G127" s="147"/>
      <c r="H127" s="1"/>
      <c r="I127" s="1"/>
      <c r="J127" s="4">
        <f t="shared" si="106"/>
        <v>0</v>
      </c>
      <c r="K127" s="146"/>
      <c r="L127" s="1"/>
      <c r="M127" s="1"/>
      <c r="N127" s="4">
        <f t="shared" si="107"/>
        <v>0</v>
      </c>
      <c r="O127" s="147"/>
      <c r="P127" s="1"/>
      <c r="Q127" s="1"/>
      <c r="R127" s="36"/>
      <c r="S127" s="23">
        <f t="shared" si="108"/>
        <v>0</v>
      </c>
      <c r="T127" s="23">
        <f t="shared" si="109"/>
        <v>0</v>
      </c>
      <c r="U127" s="23"/>
      <c r="V127" s="25" t="e">
        <f t="shared" si="110"/>
        <v>#DIV/0!</v>
      </c>
    </row>
    <row r="128" spans="2:22">
      <c r="B128" s="103" t="s">
        <v>134</v>
      </c>
      <c r="C128" s="146">
        <v>572668</v>
      </c>
      <c r="D128" s="146"/>
      <c r="E128" s="146"/>
      <c r="F128" s="4"/>
      <c r="G128" s="147"/>
      <c r="H128" s="1"/>
      <c r="I128" s="1"/>
      <c r="J128" s="4">
        <f t="shared" si="106"/>
        <v>0</v>
      </c>
      <c r="K128" s="146"/>
      <c r="L128" s="1"/>
      <c r="M128" s="1"/>
      <c r="N128" s="4">
        <f t="shared" si="107"/>
        <v>0</v>
      </c>
      <c r="O128" s="147"/>
      <c r="P128" s="1"/>
      <c r="Q128" s="1"/>
      <c r="R128" s="36"/>
      <c r="S128" s="23">
        <f t="shared" si="108"/>
        <v>0</v>
      </c>
      <c r="T128" s="23">
        <f t="shared" si="109"/>
        <v>0</v>
      </c>
      <c r="U128" s="23"/>
      <c r="V128" s="25" t="e">
        <f t="shared" si="110"/>
        <v>#DIV/0!</v>
      </c>
    </row>
    <row r="129" spans="2:22" ht="15.75">
      <c r="B129" s="104" t="s">
        <v>23</v>
      </c>
      <c r="C129" s="105">
        <f>SUM(C123:C128)</f>
        <v>603227</v>
      </c>
      <c r="D129" s="105">
        <f>SUM(D123:D128)</f>
        <v>1096</v>
      </c>
      <c r="E129" s="105">
        <f>SUM(E123:E128)</f>
        <v>1761</v>
      </c>
      <c r="F129" s="36"/>
      <c r="G129" s="105">
        <f t="shared" ref="G129:Q129" si="111">SUM(G123:G128)</f>
        <v>148</v>
      </c>
      <c r="H129" s="105">
        <f t="shared" si="111"/>
        <v>907</v>
      </c>
      <c r="I129" s="105">
        <f t="shared" si="111"/>
        <v>1110</v>
      </c>
      <c r="J129" s="105">
        <f t="shared" si="111"/>
        <v>-1069</v>
      </c>
      <c r="K129" s="105">
        <f t="shared" si="111"/>
        <v>34</v>
      </c>
      <c r="L129" s="105">
        <f t="shared" si="111"/>
        <v>506</v>
      </c>
      <c r="M129" s="105">
        <f t="shared" si="111"/>
        <v>244</v>
      </c>
      <c r="N129" s="105">
        <f t="shared" si="111"/>
        <v>977</v>
      </c>
      <c r="O129" s="105">
        <f t="shared" si="111"/>
        <v>1359</v>
      </c>
      <c r="P129" s="105">
        <f t="shared" si="111"/>
        <v>840</v>
      </c>
      <c r="Q129" s="105">
        <f t="shared" si="111"/>
        <v>1088</v>
      </c>
      <c r="R129" s="36"/>
      <c r="S129" s="105">
        <f>SUM(S123:S128)</f>
        <v>-285</v>
      </c>
      <c r="T129" s="105">
        <f>SUM(T123:T128)</f>
        <v>4264</v>
      </c>
      <c r="U129" s="29"/>
      <c r="V129" s="30">
        <f>SUM(T129/S129)-1</f>
        <v>-15.96140350877193</v>
      </c>
    </row>
    <row r="130" spans="2:22" ht="15.75">
      <c r="B130" s="65"/>
      <c r="C130" s="106"/>
      <c r="D130" s="106"/>
      <c r="E130" s="106"/>
      <c r="F130" s="36"/>
      <c r="G130" s="106"/>
      <c r="H130" s="106"/>
      <c r="I130" s="106"/>
      <c r="J130" s="106"/>
      <c r="K130" s="106"/>
      <c r="L130" s="106"/>
      <c r="M130" s="106"/>
      <c r="N130" s="106"/>
      <c r="O130" s="106"/>
      <c r="P130" s="106"/>
      <c r="Q130" s="106"/>
      <c r="R130" s="36"/>
      <c r="S130" s="29"/>
      <c r="T130" s="29"/>
      <c r="U130" s="29"/>
      <c r="V130" s="40"/>
    </row>
    <row r="131" spans="2:22">
      <c r="B131" t="s">
        <v>125</v>
      </c>
      <c r="C131" s="146">
        <v>0</v>
      </c>
      <c r="D131" s="146">
        <v>0</v>
      </c>
      <c r="E131" s="146">
        <v>-2</v>
      </c>
      <c r="F131" s="4"/>
      <c r="G131" s="146"/>
      <c r="H131" s="1"/>
      <c r="I131" s="1"/>
      <c r="J131" s="4">
        <f t="shared" ref="J131:J132" si="112">SUM(D131-SUM(G131:I131))</f>
        <v>0</v>
      </c>
      <c r="K131" s="146"/>
      <c r="L131" s="1"/>
      <c r="M131" s="146">
        <v>3</v>
      </c>
      <c r="N131" s="4"/>
      <c r="O131" s="146">
        <v>4</v>
      </c>
      <c r="P131" s="1">
        <f>4-O131</f>
        <v>0</v>
      </c>
      <c r="Q131" s="1">
        <f>4-P131-O131</f>
        <v>0</v>
      </c>
      <c r="R131" s="23"/>
      <c r="S131" s="23">
        <f t="shared" ref="S131" si="113">SUM(I131:L131)</f>
        <v>0</v>
      </c>
      <c r="T131" s="23">
        <f t="shared" ref="T131" si="114">SUM(M131:P131)</f>
        <v>7</v>
      </c>
      <c r="U131" s="23"/>
      <c r="V131" s="40"/>
    </row>
    <row r="132" spans="2:22">
      <c r="B132" t="s">
        <v>126</v>
      </c>
      <c r="C132" s="146">
        <v>0</v>
      </c>
      <c r="D132" s="146">
        <v>-352658</v>
      </c>
      <c r="E132" s="146">
        <v>-8286</v>
      </c>
      <c r="F132" s="4"/>
      <c r="G132" s="146">
        <v>-312274</v>
      </c>
      <c r="H132" s="1">
        <f>-355057-G132</f>
        <v>-42783</v>
      </c>
      <c r="I132" s="1">
        <f>-341827-H132-G132</f>
        <v>13230</v>
      </c>
      <c r="J132" s="4">
        <f t="shared" si="112"/>
        <v>-10831</v>
      </c>
      <c r="K132" s="146">
        <v>7534</v>
      </c>
      <c r="L132" s="1">
        <f>-30281-K132</f>
        <v>-37815</v>
      </c>
      <c r="M132" s="1">
        <f>-6814-L132-K132</f>
        <v>23467</v>
      </c>
      <c r="N132" s="4">
        <f t="shared" ref="N132" si="115">SUM(E132-SUM(K132:M132))</f>
        <v>-1472</v>
      </c>
      <c r="O132" s="146">
        <v>24427</v>
      </c>
      <c r="P132" s="1">
        <f>6110-O132</f>
        <v>-18317</v>
      </c>
      <c r="Q132" s="1">
        <f>-5471-P132-O132</f>
        <v>-11581</v>
      </c>
      <c r="R132" s="23"/>
      <c r="S132" s="23"/>
      <c r="T132" s="23"/>
      <c r="U132" s="23"/>
      <c r="V132" s="40"/>
    </row>
    <row r="133" spans="2:22">
      <c r="B133" t="s">
        <v>127</v>
      </c>
      <c r="C133" s="146">
        <v>362905</v>
      </c>
      <c r="D133" s="146">
        <v>399025</v>
      </c>
      <c r="E133" s="146">
        <v>46367</v>
      </c>
      <c r="F133" s="4"/>
      <c r="G133" s="146">
        <v>399025</v>
      </c>
      <c r="H133" s="146">
        <v>399025</v>
      </c>
      <c r="I133" s="146">
        <v>399025</v>
      </c>
      <c r="J133" s="4"/>
      <c r="K133" s="146">
        <v>46367</v>
      </c>
      <c r="L133" s="146">
        <v>46367</v>
      </c>
      <c r="M133" s="146">
        <v>46367</v>
      </c>
      <c r="N133" s="4"/>
      <c r="O133" s="146">
        <v>38081</v>
      </c>
      <c r="P133" s="146">
        <v>38081</v>
      </c>
      <c r="Q133" s="146">
        <v>38081</v>
      </c>
      <c r="R133" s="23"/>
      <c r="S133" s="23"/>
      <c r="T133" s="23"/>
      <c r="U133" s="23"/>
      <c r="V133" s="40"/>
    </row>
    <row r="134" spans="2:22">
      <c r="B134" t="s">
        <v>128</v>
      </c>
      <c r="C134" s="146">
        <v>399025</v>
      </c>
      <c r="D134" s="146">
        <v>46367</v>
      </c>
      <c r="E134" s="146">
        <v>38081</v>
      </c>
      <c r="F134" s="4"/>
      <c r="G134" s="146">
        <v>86751</v>
      </c>
      <c r="H134" s="146">
        <v>43968</v>
      </c>
      <c r="I134" s="146">
        <v>57198</v>
      </c>
      <c r="J134" s="4"/>
      <c r="K134" s="146">
        <v>53901</v>
      </c>
      <c r="L134" s="146">
        <v>16086</v>
      </c>
      <c r="M134" s="146">
        <v>39553</v>
      </c>
      <c r="N134" s="4"/>
      <c r="O134" s="146">
        <v>62508</v>
      </c>
      <c r="P134" s="146">
        <v>44191</v>
      </c>
      <c r="Q134" s="146">
        <v>32610</v>
      </c>
      <c r="R134" s="23"/>
      <c r="S134" s="23"/>
      <c r="T134" s="23"/>
      <c r="U134" s="23"/>
      <c r="V134" s="40"/>
    </row>
    <row r="135" spans="2:22" ht="15.75" thickBot="1">
      <c r="B135"/>
      <c r="C135" s="112"/>
      <c r="D135" s="112"/>
      <c r="E135" s="112"/>
      <c r="F135" s="23"/>
      <c r="G135" s="112"/>
      <c r="H135" s="112"/>
      <c r="I135" s="112"/>
      <c r="J135" s="112"/>
      <c r="K135" s="112"/>
      <c r="L135" s="112"/>
      <c r="M135" s="112"/>
      <c r="N135" s="112"/>
      <c r="O135" s="151"/>
      <c r="P135" s="112"/>
      <c r="Q135" s="112"/>
      <c r="R135" s="36"/>
      <c r="S135" s="23"/>
      <c r="T135" s="23"/>
      <c r="U135" s="23"/>
      <c r="V135" s="40"/>
    </row>
    <row r="136" spans="2:22">
      <c r="B136" s="113" t="s">
        <v>61</v>
      </c>
      <c r="C136" s="114"/>
      <c r="D136" s="114"/>
      <c r="E136" s="115"/>
      <c r="F136" s="36"/>
      <c r="G136" s="116"/>
      <c r="H136" s="117"/>
      <c r="I136" s="117"/>
      <c r="J136" s="117"/>
      <c r="K136" s="117"/>
      <c r="L136" s="117"/>
      <c r="M136" s="117"/>
      <c r="N136" s="117"/>
      <c r="O136" s="117"/>
      <c r="P136" s="117"/>
      <c r="Q136" s="118"/>
      <c r="R136" s="36"/>
      <c r="S136" s="116"/>
      <c r="T136" s="118"/>
    </row>
    <row r="137" spans="2:22">
      <c r="B137" s="119" t="s">
        <v>62</v>
      </c>
      <c r="C137" s="120">
        <f t="shared" ref="C137:D137" si="116">SUM(C111-C114)</f>
        <v>-18754</v>
      </c>
      <c r="D137" s="120">
        <f t="shared" si="116"/>
        <v>-35362</v>
      </c>
      <c r="E137" s="121">
        <f>SUM(E111-E114)</f>
        <v>-65108</v>
      </c>
      <c r="F137" s="36"/>
      <c r="G137" s="122">
        <f t="shared" ref="G137:Q137" si="117">SUM(G111-G114)</f>
        <v>-5652</v>
      </c>
      <c r="H137" s="120">
        <f t="shared" si="117"/>
        <v>-4255</v>
      </c>
      <c r="I137" s="120">
        <f t="shared" si="117"/>
        <v>-11497</v>
      </c>
      <c r="J137" s="120">
        <f t="shared" si="117"/>
        <v>-13958</v>
      </c>
      <c r="K137" s="120">
        <f t="shared" si="117"/>
        <v>-12630</v>
      </c>
      <c r="L137" s="120">
        <f t="shared" si="117"/>
        <v>-14860</v>
      </c>
      <c r="M137" s="120">
        <f t="shared" si="117"/>
        <v>-19717</v>
      </c>
      <c r="N137" s="120">
        <f t="shared" si="117"/>
        <v>-17901</v>
      </c>
      <c r="O137" s="120">
        <f t="shared" si="117"/>
        <v>-17325</v>
      </c>
      <c r="P137" s="120">
        <f t="shared" si="117"/>
        <v>-58682</v>
      </c>
      <c r="Q137" s="121">
        <f t="shared" si="117"/>
        <v>-92594</v>
      </c>
      <c r="R137" s="36"/>
      <c r="S137" s="123">
        <f>SUM(J137:M137)</f>
        <v>-61165</v>
      </c>
      <c r="T137" s="124">
        <f>SUM(N137:Q137)</f>
        <v>-186502</v>
      </c>
      <c r="V137" s="25">
        <f t="shared" ref="V137" si="118">SUM(T137/S137)-1</f>
        <v>2.0491621025096052</v>
      </c>
    </row>
    <row r="138" spans="2:22" ht="15.75" thickBot="1">
      <c r="B138" s="125" t="s">
        <v>34</v>
      </c>
      <c r="C138" s="126"/>
      <c r="D138" s="127">
        <f>D137/C137-1</f>
        <v>0.88557107816999037</v>
      </c>
      <c r="E138" s="128">
        <f>E137/D137-1</f>
        <v>0.84118545331146422</v>
      </c>
      <c r="G138" s="129"/>
      <c r="H138" s="127">
        <f t="shared" ref="H138:Q138" si="119">H137/G137-1</f>
        <v>-0.24716914366595899</v>
      </c>
      <c r="I138" s="127">
        <f t="shared" si="119"/>
        <v>1.7019976498237366</v>
      </c>
      <c r="J138" s="127">
        <f t="shared" si="119"/>
        <v>0.21405584065408378</v>
      </c>
      <c r="K138" s="127">
        <f t="shared" si="119"/>
        <v>-9.5142570568849449E-2</v>
      </c>
      <c r="L138" s="127">
        <f t="shared" si="119"/>
        <v>0.17656373713380846</v>
      </c>
      <c r="M138" s="127">
        <f t="shared" si="119"/>
        <v>0.32685060565275914</v>
      </c>
      <c r="N138" s="127">
        <f t="shared" si="119"/>
        <v>-9.2103261145204618E-2</v>
      </c>
      <c r="O138" s="127">
        <f t="shared" si="119"/>
        <v>-3.2176973353443938E-2</v>
      </c>
      <c r="P138" s="127">
        <f t="shared" si="119"/>
        <v>2.387128427128427</v>
      </c>
      <c r="Q138" s="128">
        <f t="shared" si="119"/>
        <v>0.57789441395998775</v>
      </c>
      <c r="S138" s="129"/>
      <c r="T138" s="128">
        <f t="shared" ref="T138" si="120">T137/S137-1</f>
        <v>2.0491621025096052</v>
      </c>
    </row>
    <row r="139" spans="2:22">
      <c r="C139" s="94"/>
      <c r="D139" s="94"/>
      <c r="E139" s="94"/>
    </row>
    <row r="140" spans="2:22">
      <c r="B140" s="92"/>
      <c r="C140" s="130"/>
      <c r="D140" s="130"/>
      <c r="E140" s="130"/>
    </row>
    <row r="141" spans="2:22" ht="3.75" customHeight="1">
      <c r="B141" s="92"/>
      <c r="C141" s="130"/>
      <c r="D141" s="130"/>
      <c r="E141" s="130"/>
    </row>
    <row r="142" spans="2:22">
      <c r="C142" s="94"/>
      <c r="D142" s="94"/>
      <c r="E142" s="94"/>
    </row>
    <row r="143" spans="2:22">
      <c r="C143" s="94"/>
      <c r="D143" s="94"/>
      <c r="E143" s="94"/>
    </row>
    <row r="144" spans="2:22">
      <c r="C144" s="94"/>
      <c r="D144" s="94"/>
      <c r="E144" s="94"/>
    </row>
    <row r="145" spans="3:5">
      <c r="C145" s="94"/>
      <c r="D145" s="94"/>
      <c r="E145" s="94"/>
    </row>
    <row r="146" spans="3:5">
      <c r="C146" s="94"/>
      <c r="D146" s="94"/>
      <c r="E146" s="94"/>
    </row>
    <row r="147" spans="3:5">
      <c r="C147" s="94"/>
      <c r="D147" s="94"/>
      <c r="E147" s="94"/>
    </row>
    <row r="148" spans="3:5">
      <c r="C148" s="94"/>
      <c r="D148" s="94"/>
      <c r="E148" s="94"/>
    </row>
  </sheetData>
  <mergeCells count="1">
    <mergeCell ref="V7:V8"/>
  </mergeCells>
  <conditionalFormatting sqref="C9:P9">
    <cfRule type="timePeriod" dxfId="3" priority="4" timePeriod="lastWeek">
      <formula>AND(TODAY()-ROUNDDOWN(C9,0)&gt;=(WEEKDAY(TODAY())),TODAY()-ROUNDDOWN(C9,0)&lt;(WEEKDAY(TODAY())+7))</formula>
    </cfRule>
  </conditionalFormatting>
  <conditionalFormatting sqref="C8:T8">
    <cfRule type="timePeriod" dxfId="2" priority="1" timePeriod="lastWeek">
      <formula>AND(TODAY()-ROUNDDOWN(C8,0)&gt;=(WEEKDAY(TODAY())),TODAY()-ROUNDDOWN(C8,0)&lt;(WEEKDAY(TODAY())+7))</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94F6-74FE-4040-A848-785E57806080}">
  <dimension ref="A2:Y36"/>
  <sheetViews>
    <sheetView showGridLines="0" topLeftCell="C21" zoomScaleNormal="100" workbookViewId="0">
      <selection activeCell="V32" sqref="V32"/>
    </sheetView>
  </sheetViews>
  <sheetFormatPr defaultRowHeight="15"/>
  <cols>
    <col min="1" max="1" width="4.5703125" customWidth="1"/>
    <col min="2" max="2" width="60.5703125" bestFit="1" customWidth="1"/>
    <col min="3" max="5" width="12.5703125" bestFit="1" customWidth="1"/>
    <col min="6" max="6" width="1.5703125" customWidth="1"/>
    <col min="7" max="8" width="10.7109375" bestFit="1" customWidth="1"/>
    <col min="9" max="9" width="11.85546875" bestFit="1" customWidth="1"/>
    <col min="10" max="12" width="10.7109375" bestFit="1" customWidth="1"/>
    <col min="13" max="13" width="11.85546875" bestFit="1" customWidth="1"/>
    <col min="14" max="16" width="10.7109375" bestFit="1" customWidth="1"/>
    <col min="17" max="17" width="10.7109375" customWidth="1"/>
    <col min="18" max="18" width="2.140625" customWidth="1"/>
    <col min="19" max="19" width="10.7109375" bestFit="1" customWidth="1"/>
    <col min="20" max="20" width="11.140625" bestFit="1" customWidth="1"/>
    <col min="21" max="21" width="2.28515625" customWidth="1"/>
  </cols>
  <sheetData>
    <row r="2" spans="1:25">
      <c r="A2" s="6"/>
      <c r="B2" s="7" t="s">
        <v>146</v>
      </c>
      <c r="C2" s="8"/>
      <c r="D2" s="8"/>
      <c r="E2" s="8"/>
      <c r="F2" s="8"/>
      <c r="G2" s="8"/>
      <c r="H2" s="8"/>
      <c r="I2" s="8"/>
      <c r="J2" s="8"/>
      <c r="K2" s="8"/>
      <c r="L2" s="8"/>
      <c r="M2" s="8"/>
      <c r="N2" s="8"/>
      <c r="O2" s="8"/>
      <c r="P2" s="8"/>
      <c r="Q2" s="8"/>
      <c r="R2" s="8"/>
      <c r="S2" s="8"/>
      <c r="T2" s="8"/>
      <c r="U2" s="8"/>
      <c r="V2" s="8"/>
      <c r="W2" s="6"/>
      <c r="X2" s="6"/>
      <c r="Y2" s="6"/>
    </row>
    <row r="3" spans="1:25">
      <c r="A3" s="6"/>
      <c r="B3" s="9" t="s">
        <v>25</v>
      </c>
      <c r="C3" s="8"/>
      <c r="D3" s="8"/>
      <c r="E3" s="8"/>
      <c r="F3" s="8"/>
      <c r="G3" s="8"/>
      <c r="H3" s="8"/>
      <c r="I3" s="8"/>
      <c r="J3" s="8"/>
      <c r="K3" s="8"/>
      <c r="L3" s="8"/>
      <c r="M3" s="8"/>
      <c r="N3" s="8"/>
      <c r="O3" s="8"/>
      <c r="P3" s="8"/>
      <c r="Q3" s="8"/>
      <c r="R3" s="8"/>
      <c r="S3" s="8"/>
      <c r="T3" s="8"/>
      <c r="U3" s="8"/>
      <c r="V3" s="8"/>
      <c r="W3" s="6"/>
      <c r="X3" s="6"/>
      <c r="Y3" s="6"/>
    </row>
    <row r="4" spans="1:25" ht="3" customHeight="1">
      <c r="A4" s="6"/>
      <c r="B4" s="10"/>
      <c r="C4" s="6"/>
      <c r="D4" s="6"/>
      <c r="E4" s="6"/>
      <c r="F4" s="6"/>
      <c r="G4" s="6"/>
      <c r="H4" s="6"/>
      <c r="I4" s="6"/>
      <c r="J4" s="6"/>
      <c r="K4" s="6"/>
      <c r="L4" s="6"/>
      <c r="M4" s="6"/>
      <c r="N4" s="6"/>
      <c r="O4" s="6"/>
      <c r="P4" s="6"/>
      <c r="Q4" s="6"/>
      <c r="R4" s="6"/>
      <c r="S4" s="6"/>
      <c r="T4" s="6"/>
      <c r="U4" s="6"/>
      <c r="V4" s="6"/>
      <c r="W4" s="6"/>
      <c r="X4" s="6"/>
      <c r="Y4" s="6"/>
    </row>
    <row r="5" spans="1:25" ht="15.75" thickBot="1">
      <c r="A5" s="6"/>
      <c r="B5" s="11"/>
      <c r="C5" s="11" t="s">
        <v>7</v>
      </c>
      <c r="D5" s="11"/>
      <c r="E5" s="11"/>
      <c r="F5" s="6"/>
      <c r="G5" s="11" t="s">
        <v>8</v>
      </c>
      <c r="H5" s="11"/>
      <c r="I5" s="11"/>
      <c r="J5" s="11"/>
      <c r="K5" s="11"/>
      <c r="L5" s="11"/>
      <c r="M5" s="11"/>
      <c r="N5" s="11"/>
      <c r="O5" s="11"/>
      <c r="P5" s="11"/>
      <c r="Q5" s="11"/>
      <c r="R5" s="6"/>
      <c r="S5" s="11" t="s">
        <v>9</v>
      </c>
      <c r="T5" s="11"/>
      <c r="U5" s="12"/>
      <c r="V5" s="11" t="s">
        <v>26</v>
      </c>
      <c r="W5" s="6"/>
      <c r="X5" s="6"/>
      <c r="Y5" s="6"/>
    </row>
    <row r="6" spans="1:25" ht="6" customHeight="1">
      <c r="A6" s="6"/>
      <c r="B6" s="6"/>
      <c r="C6" s="6"/>
      <c r="D6" s="6"/>
      <c r="E6" s="6"/>
      <c r="F6" s="6"/>
      <c r="G6" s="6"/>
      <c r="H6" s="6"/>
      <c r="I6" s="6"/>
      <c r="J6" s="6"/>
      <c r="K6" s="6"/>
      <c r="L6" s="6"/>
      <c r="M6" s="6"/>
      <c r="N6" s="6"/>
      <c r="O6" s="6"/>
      <c r="P6" s="6"/>
      <c r="Q6" s="6"/>
      <c r="R6" s="6"/>
      <c r="S6" s="6"/>
      <c r="T6" s="6"/>
      <c r="U6" s="6"/>
      <c r="V6" s="6"/>
      <c r="W6" s="6"/>
      <c r="X6" s="6"/>
      <c r="Y6" s="6"/>
    </row>
    <row r="7" spans="1:25">
      <c r="A7" s="6" t="s">
        <v>27</v>
      </c>
      <c r="B7" s="131" t="s">
        <v>149</v>
      </c>
      <c r="C7" s="132" t="s">
        <v>29</v>
      </c>
      <c r="D7" s="132" t="s">
        <v>30</v>
      </c>
      <c r="E7" s="132" t="s">
        <v>31</v>
      </c>
      <c r="F7" s="6"/>
      <c r="G7" s="132" t="s">
        <v>78</v>
      </c>
      <c r="H7" s="132" t="s">
        <v>79</v>
      </c>
      <c r="I7" s="132" t="s">
        <v>80</v>
      </c>
      <c r="J7" s="132" t="s">
        <v>81</v>
      </c>
      <c r="K7" s="132" t="s">
        <v>82</v>
      </c>
      <c r="L7" s="132" t="s">
        <v>83</v>
      </c>
      <c r="M7" s="132" t="s">
        <v>84</v>
      </c>
      <c r="N7" s="132" t="s">
        <v>85</v>
      </c>
      <c r="O7" s="132" t="s">
        <v>86</v>
      </c>
      <c r="P7" s="132" t="s">
        <v>87</v>
      </c>
      <c r="Q7" s="132" t="s">
        <v>88</v>
      </c>
      <c r="R7" s="158"/>
      <c r="S7" s="13" t="str">
        <f>M7</f>
        <v>3Q23</v>
      </c>
      <c r="T7" s="13" t="str">
        <f>Q7</f>
        <v>3Q24</v>
      </c>
      <c r="U7" s="14"/>
      <c r="V7" s="186" t="s">
        <v>32</v>
      </c>
      <c r="W7" s="6"/>
      <c r="X7" s="6"/>
      <c r="Y7" s="6"/>
    </row>
    <row r="8" spans="1:25">
      <c r="A8" s="6"/>
      <c r="B8" s="15" t="s">
        <v>91</v>
      </c>
      <c r="C8" s="133">
        <v>44561</v>
      </c>
      <c r="D8" s="133">
        <v>44926</v>
      </c>
      <c r="E8" s="133">
        <v>45291</v>
      </c>
      <c r="F8" s="6"/>
      <c r="G8" s="134">
        <v>44651</v>
      </c>
      <c r="H8" s="134">
        <v>44742</v>
      </c>
      <c r="I8" s="134">
        <v>44834</v>
      </c>
      <c r="J8" s="134">
        <v>44926</v>
      </c>
      <c r="K8" s="134">
        <v>45016</v>
      </c>
      <c r="L8" s="134">
        <v>45107</v>
      </c>
      <c r="M8" s="134">
        <v>45199</v>
      </c>
      <c r="N8" s="134">
        <v>45291</v>
      </c>
      <c r="O8" s="134">
        <v>45382</v>
      </c>
      <c r="P8" s="134">
        <v>45473</v>
      </c>
      <c r="Q8" s="134">
        <v>45565</v>
      </c>
      <c r="R8" s="159"/>
      <c r="S8" s="16">
        <f>M8</f>
        <v>45199</v>
      </c>
      <c r="T8" s="16">
        <f>Q8</f>
        <v>45565</v>
      </c>
      <c r="U8" s="17"/>
      <c r="V8" s="186"/>
      <c r="W8" s="6"/>
      <c r="X8" s="6"/>
      <c r="Y8" s="6"/>
    </row>
    <row r="9" spans="1:25">
      <c r="A9" s="6"/>
      <c r="B9" s="2" t="s">
        <v>10</v>
      </c>
      <c r="C9" s="135">
        <f>'Base Financials '!C10</f>
        <v>2099</v>
      </c>
      <c r="D9" s="135">
        <f>'Base Financials '!D10</f>
        <v>11131</v>
      </c>
      <c r="E9" s="135">
        <f>'Base Financials '!E10</f>
        <v>22042</v>
      </c>
      <c r="F9" s="135">
        <f>'Base Financials '!F10</f>
        <v>0</v>
      </c>
      <c r="G9" s="135">
        <f>'Base Financials '!G10</f>
        <v>1953</v>
      </c>
      <c r="H9" s="135">
        <f>'Base Financials '!H10</f>
        <v>2608</v>
      </c>
      <c r="I9" s="135">
        <f>'Base Financials '!I10</f>
        <v>2763</v>
      </c>
      <c r="J9" s="135">
        <f>'Base Financials '!J10</f>
        <v>3807</v>
      </c>
      <c r="K9" s="135">
        <f>'Base Financials '!K10</f>
        <v>4285</v>
      </c>
      <c r="L9" s="135">
        <f>'Base Financials '!L10</f>
        <v>5515</v>
      </c>
      <c r="M9" s="135">
        <f>'Base Financials '!M10</f>
        <v>6136</v>
      </c>
      <c r="N9" s="135">
        <f>'Base Financials '!N10</f>
        <v>6106</v>
      </c>
      <c r="O9" s="135">
        <f>'Base Financials '!O10</f>
        <v>7582</v>
      </c>
      <c r="P9" s="135">
        <f>'Base Financials '!P10</f>
        <v>11381</v>
      </c>
      <c r="Q9" s="135">
        <f>'Base Financials '!Q10</f>
        <v>12400</v>
      </c>
      <c r="R9" s="6"/>
      <c r="S9" s="23">
        <f>SUM(J9:M9)</f>
        <v>19743</v>
      </c>
      <c r="T9" s="23">
        <f>SUM(N9:Q9)</f>
        <v>37469</v>
      </c>
      <c r="U9" s="17"/>
      <c r="V9" s="25">
        <f t="shared" ref="V9:V11" si="0">SUM(T9/S9)-1</f>
        <v>0.8978372081243986</v>
      </c>
      <c r="W9" s="6"/>
      <c r="X9" s="6"/>
      <c r="Y9" s="6"/>
    </row>
    <row r="10" spans="1:25">
      <c r="A10" s="6"/>
      <c r="B10" s="2" t="s">
        <v>11</v>
      </c>
      <c r="C10" s="135">
        <f>'Base Financials '!C11</f>
        <v>-1040</v>
      </c>
      <c r="D10" s="135">
        <f>'Base Financials '!D11</f>
        <v>-2944</v>
      </c>
      <c r="E10" s="135">
        <f>'Base Financials '!E11</f>
        <v>-8108</v>
      </c>
      <c r="F10" s="135">
        <f>'Base Financials '!F11</f>
        <v>0</v>
      </c>
      <c r="G10" s="135">
        <f>'Base Financials '!G11</f>
        <v>-568</v>
      </c>
      <c r="H10" s="135">
        <f>'Base Financials '!H11</f>
        <v>-742</v>
      </c>
      <c r="I10" s="135">
        <f>'Base Financials '!I11</f>
        <v>-733</v>
      </c>
      <c r="J10" s="135">
        <f>'Base Financials '!J11</f>
        <v>-901</v>
      </c>
      <c r="K10" s="135">
        <f>'Base Financials '!K11</f>
        <v>-1036</v>
      </c>
      <c r="L10" s="135">
        <f>'Base Financials '!L11</f>
        <v>-1901</v>
      </c>
      <c r="M10" s="135">
        <f>'Base Financials '!M11</f>
        <v>-2008</v>
      </c>
      <c r="N10" s="135">
        <f>'Base Financials '!N11</f>
        <v>-3163</v>
      </c>
      <c r="O10" s="135">
        <f>'Base Financials '!O11</f>
        <v>-3414</v>
      </c>
      <c r="P10" s="135">
        <f>'Base Financials '!P11</f>
        <v>-5623</v>
      </c>
      <c r="Q10" s="135">
        <f>'Base Financials '!Q11</f>
        <v>6515</v>
      </c>
      <c r="R10" s="6"/>
      <c r="S10" s="23">
        <f>SUM(J10:M10)</f>
        <v>-5846</v>
      </c>
      <c r="T10" s="23">
        <f>SUM(N10:Q10)</f>
        <v>-5685</v>
      </c>
      <c r="U10" s="17"/>
      <c r="V10" s="25">
        <f t="shared" si="0"/>
        <v>-2.754019842627442E-2</v>
      </c>
      <c r="W10" s="6"/>
      <c r="X10" s="6"/>
      <c r="Y10" s="6"/>
    </row>
    <row r="11" spans="1:25">
      <c r="A11" s="6"/>
      <c r="B11" s="41" t="s">
        <v>33</v>
      </c>
      <c r="C11" s="28">
        <f>SUM(C9:C10)</f>
        <v>1059</v>
      </c>
      <c r="D11" s="28">
        <f t="shared" ref="D11:E11" si="1">SUM(D9:D10)</f>
        <v>8187</v>
      </c>
      <c r="E11" s="28">
        <f t="shared" si="1"/>
        <v>13934</v>
      </c>
      <c r="F11" s="21"/>
      <c r="G11" s="28">
        <f t="shared" ref="G11:P11" si="2">SUM(G9:G10)</f>
        <v>1385</v>
      </c>
      <c r="H11" s="28">
        <f t="shared" si="2"/>
        <v>1866</v>
      </c>
      <c r="I11" s="28">
        <f t="shared" si="2"/>
        <v>2030</v>
      </c>
      <c r="J11" s="28">
        <f t="shared" si="2"/>
        <v>2906</v>
      </c>
      <c r="K11" s="28">
        <f t="shared" si="2"/>
        <v>3249</v>
      </c>
      <c r="L11" s="28">
        <f t="shared" si="2"/>
        <v>3614</v>
      </c>
      <c r="M11" s="28">
        <f t="shared" si="2"/>
        <v>4128</v>
      </c>
      <c r="N11" s="28">
        <f t="shared" si="2"/>
        <v>2943</v>
      </c>
      <c r="O11" s="28">
        <f t="shared" si="2"/>
        <v>4168</v>
      </c>
      <c r="P11" s="28">
        <f t="shared" si="2"/>
        <v>5758</v>
      </c>
      <c r="Q11" s="28">
        <f t="shared" ref="Q11" si="3">SUM(Q9:Q10)</f>
        <v>18915</v>
      </c>
      <c r="R11" s="6"/>
      <c r="S11" s="28">
        <f t="shared" ref="S11:T11" si="4">SUM(S9:S10)</f>
        <v>13897</v>
      </c>
      <c r="T11" s="28">
        <f t="shared" si="4"/>
        <v>31784</v>
      </c>
      <c r="U11" s="17"/>
      <c r="V11" s="30">
        <f t="shared" si="0"/>
        <v>1.2871123264013815</v>
      </c>
      <c r="W11" s="6"/>
      <c r="X11" s="6"/>
      <c r="Y11" s="6"/>
    </row>
    <row r="12" spans="1:25" ht="15.75">
      <c r="A12" s="6"/>
      <c r="B12" s="38"/>
      <c r="C12" s="135"/>
      <c r="D12" s="135"/>
      <c r="E12" s="135"/>
      <c r="F12" s="21"/>
      <c r="G12" s="135"/>
      <c r="H12" s="135"/>
      <c r="I12" s="135"/>
      <c r="J12" s="135"/>
      <c r="K12" s="135"/>
      <c r="L12" s="135"/>
      <c r="M12" s="135"/>
      <c r="N12" s="135"/>
      <c r="O12" s="135"/>
      <c r="P12" s="135"/>
      <c r="Q12" s="135"/>
      <c r="R12" s="6"/>
      <c r="S12" s="135"/>
      <c r="T12" s="135"/>
      <c r="U12" s="17"/>
      <c r="V12" s="136"/>
      <c r="W12" s="6"/>
      <c r="X12" s="6"/>
      <c r="Y12" s="6"/>
    </row>
    <row r="13" spans="1:25">
      <c r="B13" s="38" t="s">
        <v>37</v>
      </c>
      <c r="C13" s="17"/>
      <c r="D13" s="17"/>
      <c r="E13" s="17"/>
      <c r="F13" s="6"/>
      <c r="G13" s="19"/>
      <c r="H13" s="137"/>
      <c r="I13" s="137"/>
      <c r="J13" s="33"/>
      <c r="K13" s="33"/>
      <c r="L13" s="33"/>
      <c r="M13" s="33"/>
      <c r="N13" s="33"/>
      <c r="O13" s="33"/>
      <c r="P13" s="33"/>
      <c r="Q13" s="33"/>
      <c r="R13" s="6"/>
      <c r="S13" s="19"/>
      <c r="T13" s="19"/>
    </row>
    <row r="14" spans="1:25">
      <c r="B14" s="26" t="str">
        <f>'Base Financials '!B17</f>
        <v>Research and development</v>
      </c>
      <c r="C14" s="135">
        <f>'Base Financials '!C17</f>
        <v>-20228</v>
      </c>
      <c r="D14" s="135">
        <f>'Base Financials '!D17</f>
        <v>-43978</v>
      </c>
      <c r="E14" s="135">
        <f>'Base Financials '!E17</f>
        <v>-92321</v>
      </c>
      <c r="F14" s="135">
        <f>'Base Financials '!F17</f>
        <v>0</v>
      </c>
      <c r="G14" s="135">
        <f>'Base Financials '!G17</f>
        <v>-7338</v>
      </c>
      <c r="H14" s="135">
        <f>'Base Financials '!H17</f>
        <v>-9653</v>
      </c>
      <c r="I14" s="135">
        <f>'Base Financials '!I17</f>
        <v>-13292</v>
      </c>
      <c r="J14" s="135">
        <f>'Base Financials '!J17</f>
        <v>-13695</v>
      </c>
      <c r="K14" s="135">
        <f>'Base Financials '!K17</f>
        <v>-16233</v>
      </c>
      <c r="L14" s="135">
        <f>'Base Financials '!L17</f>
        <v>-19869</v>
      </c>
      <c r="M14" s="135">
        <f>'Base Financials '!M17</f>
        <v>-24599</v>
      </c>
      <c r="N14" s="135">
        <f>'Base Financials '!N17</f>
        <v>-31620</v>
      </c>
      <c r="O14" s="135">
        <f>'Base Financials '!O17</f>
        <v>-32368</v>
      </c>
      <c r="P14" s="135">
        <f>'Base Financials '!P17</f>
        <v>-31204</v>
      </c>
      <c r="Q14" s="135">
        <f>'Base Financials '!Q17</f>
        <v>-33178</v>
      </c>
      <c r="R14" s="6"/>
      <c r="S14" s="23">
        <f t="shared" ref="S14:S17" si="5">SUM(J14:M14)</f>
        <v>-74396</v>
      </c>
      <c r="T14" s="23">
        <f t="shared" ref="T14:T17" si="6">SUM(N14:Q14)</f>
        <v>-128370</v>
      </c>
      <c r="V14" s="25">
        <f t="shared" ref="V14:V18" si="7">SUM(T14/S14)-1</f>
        <v>0.72549599440830148</v>
      </c>
    </row>
    <row r="15" spans="1:25">
      <c r="B15" s="26" t="str">
        <f>'Base Financials '!B18</f>
        <v>Sales and marketing</v>
      </c>
      <c r="C15" s="135">
        <f>'Base Financials '!C18</f>
        <v>-3233</v>
      </c>
      <c r="D15" s="135">
        <f>'Base Financials '!D18</f>
        <v>-8385</v>
      </c>
      <c r="E15" s="135">
        <f>'Base Financials '!E18</f>
        <v>-18270</v>
      </c>
      <c r="F15" s="135">
        <f>'Base Financials '!F18</f>
        <v>0</v>
      </c>
      <c r="G15" s="135">
        <f>'Base Financials '!G18</f>
        <v>-1871</v>
      </c>
      <c r="H15" s="135">
        <f>'Base Financials '!H18</f>
        <v>-2132</v>
      </c>
      <c r="I15" s="135">
        <f>'Base Financials '!I18</f>
        <v>-1969</v>
      </c>
      <c r="J15" s="135">
        <f>'Base Financials '!J18</f>
        <v>-2413</v>
      </c>
      <c r="K15" s="135">
        <f>'Base Financials '!K18</f>
        <v>-2667</v>
      </c>
      <c r="L15" s="135">
        <f>'Base Financials '!L18</f>
        <v>-3575</v>
      </c>
      <c r="M15" s="135">
        <f>'Base Financials '!M18</f>
        <v>-5047</v>
      </c>
      <c r="N15" s="135">
        <f>'Base Financials '!N18</f>
        <v>-6981</v>
      </c>
      <c r="O15" s="135">
        <f>'Base Financials '!O18</f>
        <v>-6701</v>
      </c>
      <c r="P15" s="135">
        <f>'Base Financials '!P18</f>
        <v>-6137</v>
      </c>
      <c r="Q15" s="135">
        <f>'Base Financials '!Q18</f>
        <v>-6630</v>
      </c>
      <c r="R15" s="6"/>
      <c r="S15" s="23">
        <f t="shared" si="5"/>
        <v>-13702</v>
      </c>
      <c r="T15" s="23">
        <f t="shared" si="6"/>
        <v>-26449</v>
      </c>
      <c r="V15" s="25">
        <f t="shared" si="7"/>
        <v>0.93030214567216474</v>
      </c>
    </row>
    <row r="16" spans="1:25">
      <c r="B16" s="26" t="str">
        <f>'Base Financials '!B19</f>
        <v>General and administrative</v>
      </c>
      <c r="C16" s="135">
        <f>'Base Financials '!C19</f>
        <v>-13737</v>
      </c>
      <c r="D16" s="135">
        <f>'Base Financials '!D19</f>
        <v>-35966</v>
      </c>
      <c r="E16" s="135">
        <f>'Base Financials '!E19</f>
        <v>-50722</v>
      </c>
      <c r="F16" s="135">
        <f>'Base Financials '!F19</f>
        <v>0</v>
      </c>
      <c r="G16" s="135">
        <f>'Base Financials '!G19</f>
        <v>-9194</v>
      </c>
      <c r="H16" s="135">
        <f>'Base Financials '!H19</f>
        <v>-7558</v>
      </c>
      <c r="I16" s="135">
        <f>'Base Financials '!I19</f>
        <v>-10149</v>
      </c>
      <c r="J16" s="135">
        <f>'Base Financials '!J19</f>
        <v>-9065</v>
      </c>
      <c r="K16" s="135">
        <f>'Base Financials '!K19</f>
        <v>-10581</v>
      </c>
      <c r="L16" s="135">
        <f>'Base Financials '!L19</f>
        <v>-10930</v>
      </c>
      <c r="M16" s="135">
        <f>'Base Financials '!M19</f>
        <v>-13927</v>
      </c>
      <c r="N16" s="135">
        <f>'Base Financials '!N19</f>
        <v>-15284</v>
      </c>
      <c r="O16" s="135">
        <f>'Base Financials '!O19</f>
        <v>-14020</v>
      </c>
      <c r="P16" s="135">
        <f>'Base Financials '!P19</f>
        <v>-13053</v>
      </c>
      <c r="Q16" s="135">
        <f>'Base Financials '!Q19</f>
        <v>-14322</v>
      </c>
      <c r="R16" s="6"/>
      <c r="S16" s="23">
        <f t="shared" si="5"/>
        <v>-44503</v>
      </c>
      <c r="T16" s="23">
        <f t="shared" si="6"/>
        <v>-56679</v>
      </c>
      <c r="V16" s="25">
        <f t="shared" si="7"/>
        <v>0.27359953261577874</v>
      </c>
    </row>
    <row r="17" spans="2:22">
      <c r="B17" s="26" t="str">
        <f>'Base Financials '!B20</f>
        <v>Depreciation and amortization</v>
      </c>
      <c r="C17" s="135">
        <f>'Base Financials '!C20</f>
        <v>-2548</v>
      </c>
      <c r="D17" s="135">
        <f>'Base Financials '!D20</f>
        <v>-5604</v>
      </c>
      <c r="E17" s="135">
        <f>'Base Financials '!E20</f>
        <v>-10375</v>
      </c>
      <c r="F17" s="135">
        <f>'Base Financials '!F20</f>
        <v>0</v>
      </c>
      <c r="G17" s="135">
        <f>'Base Financials '!G20</f>
        <v>-1266</v>
      </c>
      <c r="H17" s="135">
        <f>'Base Financials '!H20</f>
        <v>-1451</v>
      </c>
      <c r="I17" s="135">
        <f>'Base Financials '!I20</f>
        <v>-1531</v>
      </c>
      <c r="J17" s="135">
        <f>'Base Financials '!J20</f>
        <v>-1356</v>
      </c>
      <c r="K17" s="135">
        <f>'Base Financials '!K20</f>
        <v>-1791</v>
      </c>
      <c r="L17" s="135">
        <f>'Base Financials '!L20</f>
        <v>-2329</v>
      </c>
      <c r="M17" s="135">
        <f>'Base Financials '!M20</f>
        <v>-2749</v>
      </c>
      <c r="N17" s="135">
        <f>'Base Financials '!N20</f>
        <v>-3506</v>
      </c>
      <c r="O17" s="135">
        <f>'Base Financials '!O20</f>
        <v>-3955</v>
      </c>
      <c r="P17" s="135">
        <f>'Base Financials '!P20</f>
        <v>-4305</v>
      </c>
      <c r="Q17" s="135">
        <f>'Base Financials '!Q20</f>
        <v>-4890</v>
      </c>
      <c r="R17" s="6"/>
      <c r="S17" s="23">
        <f t="shared" si="5"/>
        <v>-8225</v>
      </c>
      <c r="T17" s="23">
        <f t="shared" si="6"/>
        <v>-16656</v>
      </c>
      <c r="V17" s="25">
        <f t="shared" si="7"/>
        <v>1.0250455927051672</v>
      </c>
    </row>
    <row r="18" spans="2:22">
      <c r="B18" s="41" t="s">
        <v>38</v>
      </c>
      <c r="C18" s="28">
        <f>SUM(C11+SUM((C14:C17)))</f>
        <v>-38687</v>
      </c>
      <c r="D18" s="28">
        <f t="shared" ref="D18:E18" si="8">SUM(D11+SUM((D14:D17)))</f>
        <v>-85746</v>
      </c>
      <c r="E18" s="28">
        <f t="shared" si="8"/>
        <v>-157754</v>
      </c>
      <c r="F18" s="21"/>
      <c r="G18" s="28">
        <f t="shared" ref="G18:P18" si="9">SUM(G11+SUM((G14:G17)))</f>
        <v>-18284</v>
      </c>
      <c r="H18" s="28">
        <f t="shared" si="9"/>
        <v>-18928</v>
      </c>
      <c r="I18" s="28">
        <f t="shared" si="9"/>
        <v>-24911</v>
      </c>
      <c r="J18" s="28">
        <f t="shared" si="9"/>
        <v>-23623</v>
      </c>
      <c r="K18" s="28">
        <f t="shared" si="9"/>
        <v>-28023</v>
      </c>
      <c r="L18" s="28">
        <f t="shared" si="9"/>
        <v>-33089</v>
      </c>
      <c r="M18" s="28">
        <f t="shared" si="9"/>
        <v>-42194</v>
      </c>
      <c r="N18" s="28">
        <f t="shared" si="9"/>
        <v>-54448</v>
      </c>
      <c r="O18" s="28">
        <f t="shared" si="9"/>
        <v>-52876</v>
      </c>
      <c r="P18" s="28">
        <f t="shared" si="9"/>
        <v>-48941</v>
      </c>
      <c r="Q18" s="28">
        <f t="shared" ref="Q18" si="10">SUM(Q11+SUM((Q14:Q17)))</f>
        <v>-40105</v>
      </c>
      <c r="R18" s="6"/>
      <c r="S18" s="28">
        <f t="shared" ref="S18:T18" si="11">SUM(S11+SUM((S14:S17)))</f>
        <v>-126929</v>
      </c>
      <c r="T18" s="28">
        <f t="shared" si="11"/>
        <v>-196370</v>
      </c>
      <c r="V18" s="30">
        <f t="shared" si="7"/>
        <v>0.54708537843991523</v>
      </c>
    </row>
    <row r="19" spans="2:22">
      <c r="B19" s="31" t="s">
        <v>34</v>
      </c>
      <c r="C19" s="32"/>
      <c r="D19" s="33">
        <f>D18/C18-1</f>
        <v>1.2164034430170343</v>
      </c>
      <c r="E19" s="33">
        <f>E18/D18-1</f>
        <v>0.83978261376623986</v>
      </c>
      <c r="F19" s="33"/>
      <c r="G19" s="33"/>
      <c r="H19" s="33">
        <f t="shared" ref="H19:Q19" si="12">H18/G18-1</f>
        <v>3.5222052067381382E-2</v>
      </c>
      <c r="I19" s="33">
        <f t="shared" si="12"/>
        <v>0.31609256128486907</v>
      </c>
      <c r="J19" s="33">
        <f t="shared" si="12"/>
        <v>-5.1704066476656929E-2</v>
      </c>
      <c r="K19" s="33">
        <f t="shared" si="12"/>
        <v>0.18625915421411343</v>
      </c>
      <c r="L19" s="33">
        <f t="shared" si="12"/>
        <v>0.18078007351104453</v>
      </c>
      <c r="M19" s="33">
        <f t="shared" si="12"/>
        <v>0.27516697391882494</v>
      </c>
      <c r="N19" s="33">
        <f>N18/M18-1</f>
        <v>0.29042043892496561</v>
      </c>
      <c r="O19" s="33">
        <f t="shared" si="12"/>
        <v>-2.8871583896561859E-2</v>
      </c>
      <c r="P19" s="33">
        <f t="shared" si="12"/>
        <v>-7.441939632347383E-2</v>
      </c>
      <c r="Q19" s="33">
        <f t="shared" si="12"/>
        <v>-0.1805439202304816</v>
      </c>
      <c r="R19" s="6"/>
      <c r="S19" s="6"/>
      <c r="T19" s="33">
        <f>T18/S18-1</f>
        <v>0.54708537843991523</v>
      </c>
    </row>
    <row r="20" spans="2:22">
      <c r="B20" s="38" t="s">
        <v>15</v>
      </c>
    </row>
    <row r="21" spans="2:22">
      <c r="B21" s="26" t="str">
        <f>'Base Financials '!B26</f>
        <v>Gain (loss) on change in fair value of warrant liabilities</v>
      </c>
      <c r="C21" s="135">
        <f>'Base Financials '!C26</f>
        <v>-63332</v>
      </c>
      <c r="D21" s="135">
        <f>'Base Financials '!D26</f>
        <v>30136</v>
      </c>
      <c r="E21" s="135">
        <f>'Base Financials '!E26</f>
        <v>-19206</v>
      </c>
      <c r="F21" s="135">
        <f>'Base Financials '!F26</f>
        <v>0</v>
      </c>
      <c r="G21" s="135">
        <f>'Base Financials '!G26</f>
        <v>13448</v>
      </c>
      <c r="H21" s="135">
        <f>'Base Financials '!H26</f>
        <v>16061</v>
      </c>
      <c r="I21" s="135">
        <f>'Base Financials '!I26</f>
        <v>-1151</v>
      </c>
      <c r="J21" s="135">
        <f>'Base Financials '!J26</f>
        <v>1778</v>
      </c>
      <c r="K21" s="135">
        <f>'Base Financials '!K26</f>
        <v>-3610</v>
      </c>
      <c r="L21" s="135">
        <f>'Base Financials '!L26</f>
        <v>-15537</v>
      </c>
      <c r="M21" s="135">
        <f>'Base Financials '!M26</f>
        <v>-7640</v>
      </c>
      <c r="N21" s="135">
        <f>'Base Financials '!N26</f>
        <v>7581</v>
      </c>
      <c r="O21" s="135">
        <f>'Base Financials '!O26</f>
        <v>8627</v>
      </c>
      <c r="P21" s="135">
        <f>'Base Financials '!P26</f>
        <v>6639</v>
      </c>
      <c r="Q21" s="135">
        <f>'Base Financials '!Q26</f>
        <v>-3868</v>
      </c>
      <c r="R21" s="6"/>
      <c r="S21" s="23">
        <f t="shared" ref="S21:S23" si="13">SUM(J21:M21)</f>
        <v>-25009</v>
      </c>
      <c r="T21" s="23">
        <f t="shared" ref="T21:T23" si="14">SUM(N21:Q21)</f>
        <v>18979</v>
      </c>
      <c r="V21" s="25">
        <f t="shared" ref="V21:V23" si="15">SUM(T21/S21)-1</f>
        <v>-1.7588868007517293</v>
      </c>
    </row>
    <row r="22" spans="2:22">
      <c r="B22" s="26" t="str">
        <f>'Base Financials '!B28</f>
        <v>Other income (expense), net</v>
      </c>
      <c r="C22" s="135">
        <f>'Base Financials '!C28</f>
        <v>28</v>
      </c>
      <c r="D22" s="135">
        <f>'Base Financials '!D28</f>
        <v>6</v>
      </c>
      <c r="E22" s="135">
        <f>'Base Financials '!E28</f>
        <v>-85</v>
      </c>
      <c r="F22" s="135">
        <f>'Base Financials '!F28</f>
        <v>0</v>
      </c>
      <c r="G22" s="135">
        <f>'Base Financials '!G28</f>
        <v>609</v>
      </c>
      <c r="H22" s="135">
        <f>'Base Financials '!H28</f>
        <v>-46</v>
      </c>
      <c r="I22" s="135">
        <f>'Base Financials '!I28</f>
        <v>20</v>
      </c>
      <c r="J22" s="135">
        <f>'Base Financials '!J28</f>
        <v>-577</v>
      </c>
      <c r="K22" s="135">
        <f>'Base Financials '!K28</f>
        <v>64</v>
      </c>
      <c r="L22" s="135">
        <f>'Base Financials '!L28</f>
        <v>31</v>
      </c>
      <c r="M22" s="135">
        <f>'Base Financials '!M28</f>
        <v>55</v>
      </c>
      <c r="N22" s="135">
        <f>'Base Financials '!N28</f>
        <v>-235</v>
      </c>
      <c r="O22" s="135">
        <f>'Base Financials '!O28</f>
        <v>-134</v>
      </c>
      <c r="P22" s="135">
        <f>'Base Financials '!P28</f>
        <v>-45</v>
      </c>
      <c r="Q22" s="135">
        <f>'Base Financials '!Q28</f>
        <v>15</v>
      </c>
      <c r="R22" s="6"/>
      <c r="S22" s="23">
        <f t="shared" ref="S22" si="16">SUM(J22:M22)</f>
        <v>-427</v>
      </c>
      <c r="T22" s="23">
        <f t="shared" ref="T22" si="17">SUM(N22:Q22)</f>
        <v>-399</v>
      </c>
      <c r="V22" s="25">
        <f t="shared" si="15"/>
        <v>-6.557377049180324E-2</v>
      </c>
    </row>
    <row r="23" spans="2:22">
      <c r="B23" s="26" t="str">
        <f>'Base Financials '!B29</f>
        <v>Offering costs associated with warrants</v>
      </c>
      <c r="C23" s="135">
        <f>'Base Financials '!C29</f>
        <v>-4259</v>
      </c>
      <c r="D23" s="135">
        <f>'Base Financials '!D29</f>
        <v>0</v>
      </c>
      <c r="E23" s="135">
        <f>'Base Financials '!E29</f>
        <v>0</v>
      </c>
      <c r="F23" s="135">
        <f>'Base Financials '!F29</f>
        <v>0</v>
      </c>
      <c r="G23" s="135">
        <f>'Base Financials '!G29</f>
        <v>0</v>
      </c>
      <c r="H23" s="135">
        <f>'Base Financials '!H29</f>
        <v>0</v>
      </c>
      <c r="I23" s="135">
        <f>'Base Financials '!I29</f>
        <v>0</v>
      </c>
      <c r="J23" s="135">
        <f>'Base Financials '!J29</f>
        <v>0</v>
      </c>
      <c r="K23" s="135">
        <f>'Base Financials '!K29</f>
        <v>0</v>
      </c>
      <c r="L23" s="135">
        <f>'Base Financials '!L29</f>
        <v>0</v>
      </c>
      <c r="M23" s="135">
        <f>'Base Financials '!M29</f>
        <v>0</v>
      </c>
      <c r="N23" s="135">
        <f>'Base Financials '!N29</f>
        <v>0</v>
      </c>
      <c r="O23" s="135">
        <f>'Base Financials '!O29</f>
        <v>0</v>
      </c>
      <c r="P23" s="135">
        <f>'Base Financials '!P29</f>
        <v>0</v>
      </c>
      <c r="Q23" s="135">
        <f>'Base Financials '!Q29</f>
        <v>0</v>
      </c>
      <c r="R23" s="6"/>
      <c r="S23" s="23">
        <f t="shared" si="13"/>
        <v>0</v>
      </c>
      <c r="T23" s="23">
        <f t="shared" si="14"/>
        <v>0</v>
      </c>
      <c r="V23" s="25" t="e">
        <f t="shared" si="15"/>
        <v>#DIV/0!</v>
      </c>
    </row>
    <row r="24" spans="2:22">
      <c r="B24" s="41" t="s">
        <v>63</v>
      </c>
      <c r="C24" s="28">
        <f>SUM(C18+SUM(C21:C23))</f>
        <v>-106250</v>
      </c>
      <c r="D24" s="28">
        <f>SUM(D18+SUM(D21:D23))</f>
        <v>-55604</v>
      </c>
      <c r="E24" s="28">
        <f>SUM(E18+SUM(E21:E23))</f>
        <v>-177045</v>
      </c>
      <c r="F24" s="6"/>
      <c r="G24" s="28">
        <f t="shared" ref="G24:Q24" si="18">SUM(G18+SUM(G21:G23))</f>
        <v>-4227</v>
      </c>
      <c r="H24" s="28">
        <f t="shared" si="18"/>
        <v>-2913</v>
      </c>
      <c r="I24" s="28">
        <f t="shared" si="18"/>
        <v>-26042</v>
      </c>
      <c r="J24" s="28">
        <f t="shared" si="18"/>
        <v>-22422</v>
      </c>
      <c r="K24" s="28">
        <f t="shared" si="18"/>
        <v>-31569</v>
      </c>
      <c r="L24" s="28">
        <f t="shared" si="18"/>
        <v>-48595</v>
      </c>
      <c r="M24" s="28">
        <f t="shared" si="18"/>
        <v>-49779</v>
      </c>
      <c r="N24" s="28">
        <f t="shared" si="18"/>
        <v>-47102</v>
      </c>
      <c r="O24" s="28">
        <f t="shared" si="18"/>
        <v>-44383</v>
      </c>
      <c r="P24" s="28">
        <f t="shared" si="18"/>
        <v>-42347</v>
      </c>
      <c r="Q24" s="28">
        <f t="shared" si="18"/>
        <v>-43958</v>
      </c>
      <c r="R24" s="6"/>
      <c r="S24" s="28">
        <f>SUM(S18+SUM(S21:S23))</f>
        <v>-152365</v>
      </c>
      <c r="T24" s="28">
        <f>SUM(T18+SUM(T21:T23))</f>
        <v>-177790</v>
      </c>
      <c r="V24" s="30">
        <f t="shared" ref="V24" si="19">SUM(T24/S24)-1</f>
        <v>0.16686903160174582</v>
      </c>
    </row>
    <row r="25" spans="2:22">
      <c r="B25" s="31" t="s">
        <v>34</v>
      </c>
      <c r="C25" s="42"/>
      <c r="D25" s="33">
        <f>D24/C24-1</f>
        <v>-0.47666823529411761</v>
      </c>
      <c r="E25" s="33">
        <f>E24/D24-1</f>
        <v>2.184033522768146</v>
      </c>
      <c r="F25" s="33"/>
      <c r="G25" s="33"/>
      <c r="H25" s="33">
        <f t="shared" ref="H25:Q25" si="20">H24/G24-1</f>
        <v>-0.31085876508161814</v>
      </c>
      <c r="I25" s="33">
        <f t="shared" si="20"/>
        <v>7.9399244764847232</v>
      </c>
      <c r="J25" s="33">
        <f t="shared" si="20"/>
        <v>-0.13900622072037483</v>
      </c>
      <c r="K25" s="33">
        <f t="shared" si="20"/>
        <v>0.40794755151190798</v>
      </c>
      <c r="L25" s="33">
        <f t="shared" si="20"/>
        <v>0.53932655453134415</v>
      </c>
      <c r="M25" s="33">
        <f t="shared" si="20"/>
        <v>2.4364646568576953E-2</v>
      </c>
      <c r="N25" s="33">
        <f t="shared" si="20"/>
        <v>-5.3777697422607962E-2</v>
      </c>
      <c r="O25" s="33">
        <f t="shared" si="20"/>
        <v>-5.7725786590802963E-2</v>
      </c>
      <c r="P25" s="33">
        <f t="shared" si="20"/>
        <v>-4.5873420003154308E-2</v>
      </c>
      <c r="Q25" s="33">
        <f t="shared" si="20"/>
        <v>3.8042836564573745E-2</v>
      </c>
      <c r="R25" s="6"/>
      <c r="S25" s="6"/>
      <c r="T25" s="33">
        <f>T24/S24-1</f>
        <v>0.16686903160174582</v>
      </c>
    </row>
    <row r="26" spans="2:22">
      <c r="B26" s="3" t="s">
        <v>64</v>
      </c>
      <c r="C26" s="42"/>
      <c r="D26" s="33"/>
      <c r="E26" s="33"/>
      <c r="F26" s="33"/>
      <c r="G26" s="33"/>
      <c r="H26" s="33"/>
      <c r="I26" s="33"/>
      <c r="J26" s="33"/>
      <c r="K26" s="33"/>
      <c r="L26" s="33"/>
      <c r="M26" s="33"/>
      <c r="N26" s="33"/>
      <c r="O26" s="33"/>
      <c r="P26" s="33"/>
      <c r="Q26" s="33"/>
      <c r="R26" s="6"/>
      <c r="S26" s="6"/>
      <c r="T26" s="33"/>
    </row>
    <row r="27" spans="2:22">
      <c r="B27" s="103" t="str">
        <f>'[1]3-Statement Model '!B101</f>
        <v>Depreciation and amortization</v>
      </c>
      <c r="C27" s="135">
        <f>'Base Financials '!C95</f>
        <v>2548</v>
      </c>
      <c r="D27" s="135">
        <f>'Base Financials '!D95</f>
        <v>5604</v>
      </c>
      <c r="E27" s="135">
        <f>'Base Financials '!E95</f>
        <v>10375</v>
      </c>
      <c r="F27" s="135">
        <f>'Base Financials '!F95</f>
        <v>0</v>
      </c>
      <c r="G27" s="135">
        <f>'Base Financials '!G95</f>
        <v>1266</v>
      </c>
      <c r="H27" s="135">
        <f>'Base Financials '!H95</f>
        <v>1451</v>
      </c>
      <c r="I27" s="135">
        <f>'Base Financials '!I95</f>
        <v>1531</v>
      </c>
      <c r="J27" s="135">
        <f>'Base Financials '!J95</f>
        <v>1356</v>
      </c>
      <c r="K27" s="135">
        <f>'Base Financials '!K95</f>
        <v>1791</v>
      </c>
      <c r="L27" s="135">
        <f>'Base Financials '!L95</f>
        <v>2329</v>
      </c>
      <c r="M27" s="135">
        <f>'Base Financials '!M95</f>
        <v>2749</v>
      </c>
      <c r="N27" s="135">
        <f>'Base Financials '!N95</f>
        <v>3506</v>
      </c>
      <c r="O27" s="135">
        <f>'Base Financials '!O95</f>
        <v>3955</v>
      </c>
      <c r="P27" s="135">
        <f>'Base Financials '!P95</f>
        <v>4305</v>
      </c>
      <c r="Q27" s="135">
        <f>'Base Financials '!Q95</f>
        <v>4890</v>
      </c>
      <c r="R27" s="6"/>
      <c r="S27" s="23">
        <f>SUM(J27:M27)</f>
        <v>8225</v>
      </c>
      <c r="T27" s="23">
        <f>SUM(N27:Q27)</f>
        <v>16656</v>
      </c>
      <c r="V27" s="25">
        <f t="shared" ref="V27:V28" si="21">SUM(T27/S27)-1</f>
        <v>1.0250455927051672</v>
      </c>
    </row>
    <row r="28" spans="2:22">
      <c r="B28" s="45" t="s">
        <v>65</v>
      </c>
      <c r="C28" s="138">
        <f>SUM(C24+C27)</f>
        <v>-103702</v>
      </c>
      <c r="D28" s="138">
        <f>SUM(D24+D27)</f>
        <v>-50000</v>
      </c>
      <c r="E28" s="138">
        <f t="shared" ref="E28" si="22">SUM(E24+E27)</f>
        <v>-166670</v>
      </c>
      <c r="G28" s="138">
        <f t="shared" ref="G28:P28" si="23">SUM(G24+G27)</f>
        <v>-2961</v>
      </c>
      <c r="H28" s="138">
        <f t="shared" si="23"/>
        <v>-1462</v>
      </c>
      <c r="I28" s="138">
        <f t="shared" si="23"/>
        <v>-24511</v>
      </c>
      <c r="J28" s="138">
        <f t="shared" si="23"/>
        <v>-21066</v>
      </c>
      <c r="K28" s="138">
        <f t="shared" si="23"/>
        <v>-29778</v>
      </c>
      <c r="L28" s="138">
        <f t="shared" si="23"/>
        <v>-46266</v>
      </c>
      <c r="M28" s="138">
        <f t="shared" si="23"/>
        <v>-47030</v>
      </c>
      <c r="N28" s="138">
        <f t="shared" si="23"/>
        <v>-43596</v>
      </c>
      <c r="O28" s="138">
        <f t="shared" si="23"/>
        <v>-40428</v>
      </c>
      <c r="P28" s="138">
        <f t="shared" si="23"/>
        <v>-38042</v>
      </c>
      <c r="Q28" s="138">
        <f t="shared" ref="Q28:T28" si="24">SUM(Q24+Q27)</f>
        <v>-39068</v>
      </c>
      <c r="S28" s="138">
        <f t="shared" si="24"/>
        <v>-144140</v>
      </c>
      <c r="T28" s="138">
        <f t="shared" si="24"/>
        <v>-161134</v>
      </c>
      <c r="V28" s="30">
        <f t="shared" si="21"/>
        <v>0.11789926460385747</v>
      </c>
    </row>
    <row r="29" spans="2:22">
      <c r="B29" s="31" t="s">
        <v>34</v>
      </c>
      <c r="C29" s="42"/>
      <c r="D29" s="33">
        <f>D28/C28-1</f>
        <v>-0.51784922180864401</v>
      </c>
      <c r="E29" s="33">
        <f>E28/D28-1</f>
        <v>2.3334000000000001</v>
      </c>
      <c r="F29" s="33"/>
      <c r="G29" s="33"/>
      <c r="H29" s="33">
        <f t="shared" ref="H29:Q29" si="25">H28/G28-1</f>
        <v>-0.50624788922661268</v>
      </c>
      <c r="I29" s="33">
        <f t="shared" si="25"/>
        <v>15.765389876880985</v>
      </c>
      <c r="J29" s="33">
        <f t="shared" si="25"/>
        <v>-0.14054914120190931</v>
      </c>
      <c r="K29" s="33">
        <f t="shared" si="25"/>
        <v>0.41355739105667899</v>
      </c>
      <c r="L29" s="33">
        <f t="shared" si="25"/>
        <v>0.5536973604674591</v>
      </c>
      <c r="M29" s="33">
        <f t="shared" si="25"/>
        <v>1.6513206242164902E-2</v>
      </c>
      <c r="N29" s="33">
        <f t="shared" si="25"/>
        <v>-7.3017223049117619E-2</v>
      </c>
      <c r="O29" s="33">
        <f t="shared" si="25"/>
        <v>-7.2667217175887644E-2</v>
      </c>
      <c r="P29" s="33">
        <f t="shared" si="25"/>
        <v>-5.9018502028297171E-2</v>
      </c>
      <c r="Q29" s="33">
        <f t="shared" si="25"/>
        <v>2.6970190841701269E-2</v>
      </c>
      <c r="R29" s="6"/>
      <c r="S29" s="6"/>
      <c r="T29" s="33">
        <f>T28/S28-1</f>
        <v>0.11789926460385747</v>
      </c>
    </row>
    <row r="30" spans="2:22">
      <c r="B30" s="31" t="s">
        <v>66</v>
      </c>
      <c r="C30" s="33">
        <f>SUM(C28/C9)</f>
        <v>-49.405431157694139</v>
      </c>
      <c r="D30" s="33">
        <f>SUM(D28/D9)</f>
        <v>-4.4919593926870904</v>
      </c>
      <c r="E30" s="33">
        <f>SUM(E28/E9)</f>
        <v>-7.5614735504945108</v>
      </c>
      <c r="F30" s="33"/>
      <c r="G30" s="33">
        <f t="shared" ref="G30:Q30" si="26">SUM(G28/G9)</f>
        <v>-1.5161290322580645</v>
      </c>
      <c r="H30" s="33">
        <f t="shared" si="26"/>
        <v>-0.56058282208588961</v>
      </c>
      <c r="I30" s="33">
        <f t="shared" si="26"/>
        <v>-8.8711545421643141</v>
      </c>
      <c r="J30" s="33">
        <f t="shared" si="26"/>
        <v>-5.5334909377462571</v>
      </c>
      <c r="K30" s="33">
        <f t="shared" si="26"/>
        <v>-6.9493582263710616</v>
      </c>
      <c r="L30" s="33">
        <f t="shared" si="26"/>
        <v>-8.3891205802357209</v>
      </c>
      <c r="M30" s="33">
        <f t="shared" si="26"/>
        <v>-7.6646023468057365</v>
      </c>
      <c r="N30" s="33">
        <f t="shared" si="26"/>
        <v>-7.1398624303963318</v>
      </c>
      <c r="O30" s="33">
        <f t="shared" si="26"/>
        <v>-5.3321023476655238</v>
      </c>
      <c r="P30" s="33">
        <f t="shared" si="26"/>
        <v>-3.342588524734206</v>
      </c>
      <c r="Q30" s="33">
        <f t="shared" si="26"/>
        <v>-3.1506451612903228</v>
      </c>
      <c r="R30" s="6"/>
      <c r="S30" s="33">
        <f>SUM(S28/S9)</f>
        <v>-7.3008154789039157</v>
      </c>
      <c r="T30" s="33">
        <f>SUM(T28/T9)</f>
        <v>-4.3004617150177484</v>
      </c>
    </row>
    <row r="31" spans="2:22">
      <c r="B31" s="3" t="s">
        <v>67</v>
      </c>
      <c r="C31" s="42"/>
      <c r="D31" s="33"/>
      <c r="E31" s="33"/>
      <c r="F31" s="33"/>
      <c r="G31" s="33"/>
      <c r="H31" s="33"/>
      <c r="I31" s="33"/>
      <c r="J31" s="33"/>
      <c r="K31" s="33"/>
      <c r="L31" s="33"/>
      <c r="M31" s="33"/>
      <c r="N31" s="33"/>
      <c r="O31" s="33"/>
      <c r="P31" s="33"/>
      <c r="Q31" s="33"/>
      <c r="R31" s="6"/>
      <c r="S31" s="6"/>
      <c r="T31" s="33"/>
    </row>
    <row r="32" spans="2:22">
      <c r="B32" s="103" t="str">
        <f>'[1]3-Statement Model '!B102</f>
        <v>Stock-based compensation</v>
      </c>
      <c r="C32" s="135">
        <f>'Base Financials '!C97</f>
        <v>7748</v>
      </c>
      <c r="D32" s="135">
        <f>'Base Financials '!D97</f>
        <v>31456</v>
      </c>
      <c r="E32" s="135">
        <f>'Base Financials '!E97</f>
        <v>69743</v>
      </c>
      <c r="F32" s="135">
        <f>'Base Financials '!F97</f>
        <v>0</v>
      </c>
      <c r="G32" s="135">
        <f>'Base Financials '!G97</f>
        <v>6672</v>
      </c>
      <c r="H32" s="135">
        <f>'Base Financials '!H97</f>
        <v>5884</v>
      </c>
      <c r="I32" s="135">
        <f>'Base Financials '!I97</f>
        <v>10005</v>
      </c>
      <c r="J32" s="135">
        <f>'Base Financials '!J97</f>
        <v>8895</v>
      </c>
      <c r="K32" s="135">
        <f>'Base Financials '!K97</f>
        <v>10268</v>
      </c>
      <c r="L32" s="135">
        <f>'Base Financials '!L97</f>
        <v>11304</v>
      </c>
      <c r="M32" s="135">
        <f>'Base Financials '!M97</f>
        <v>16977</v>
      </c>
      <c r="N32" s="135">
        <f>'Base Financials '!N97</f>
        <v>31194</v>
      </c>
      <c r="O32" s="135">
        <f>'Base Financials '!O97</f>
        <v>22061</v>
      </c>
      <c r="P32" s="135">
        <f>'Base Financials '!P97</f>
        <v>20979</v>
      </c>
      <c r="Q32" s="135">
        <f>'Base Financials '!Q97</f>
        <v>24567</v>
      </c>
      <c r="S32" s="23">
        <f>SUM(J32:M32)</f>
        <v>47444</v>
      </c>
      <c r="T32" s="23">
        <f>SUM(N32:Q32)</f>
        <v>98801</v>
      </c>
      <c r="V32" s="25">
        <f t="shared" ref="V32" si="27">SUM(T32/S32)-1</f>
        <v>1.082476182446674</v>
      </c>
    </row>
    <row r="33" spans="2:22">
      <c r="B33" s="45" t="s">
        <v>68</v>
      </c>
      <c r="C33" s="138">
        <f>SUM(C28+C32)</f>
        <v>-95954</v>
      </c>
      <c r="D33" s="138">
        <f>SUM(D28+D32)</f>
        <v>-18544</v>
      </c>
      <c r="E33" s="138">
        <f t="shared" ref="E33" si="28">SUM(E28+E32)</f>
        <v>-96927</v>
      </c>
      <c r="G33" s="138">
        <f t="shared" ref="G33:P33" si="29">SUM(G28+G32)</f>
        <v>3711</v>
      </c>
      <c r="H33" s="138">
        <f t="shared" si="29"/>
        <v>4422</v>
      </c>
      <c r="I33" s="138">
        <f t="shared" si="29"/>
        <v>-14506</v>
      </c>
      <c r="J33" s="138">
        <f t="shared" si="29"/>
        <v>-12171</v>
      </c>
      <c r="K33" s="138">
        <f t="shared" si="29"/>
        <v>-19510</v>
      </c>
      <c r="L33" s="138">
        <f t="shared" si="29"/>
        <v>-34962</v>
      </c>
      <c r="M33" s="138">
        <f t="shared" si="29"/>
        <v>-30053</v>
      </c>
      <c r="N33" s="138">
        <f t="shared" si="29"/>
        <v>-12402</v>
      </c>
      <c r="O33" s="138">
        <f t="shared" si="29"/>
        <v>-18367</v>
      </c>
      <c r="P33" s="138">
        <f t="shared" si="29"/>
        <v>-17063</v>
      </c>
      <c r="Q33" s="138">
        <f t="shared" ref="Q33:T33" si="30">SUM(Q28+Q32)</f>
        <v>-14501</v>
      </c>
      <c r="S33" s="138">
        <f t="shared" si="30"/>
        <v>-96696</v>
      </c>
      <c r="T33" s="138">
        <f t="shared" si="30"/>
        <v>-62333</v>
      </c>
      <c r="V33" s="30">
        <f>SUM(T33/S33)-1</f>
        <v>-0.3553714734839083</v>
      </c>
    </row>
    <row r="34" spans="2:22">
      <c r="B34" s="31" t="s">
        <v>34</v>
      </c>
      <c r="C34" s="42"/>
      <c r="D34" s="33">
        <f>D33/C33-1</f>
        <v>-0.80674072993309298</v>
      </c>
      <c r="E34" s="33">
        <f>E33/D33-1</f>
        <v>4.2268658326143225</v>
      </c>
      <c r="F34" s="33"/>
      <c r="G34" s="33"/>
      <c r="H34" s="33">
        <f t="shared" ref="H34:Q34" si="31">H33/G33-1</f>
        <v>0.19159256265157643</v>
      </c>
      <c r="I34" s="33">
        <f t="shared" si="31"/>
        <v>-4.2804161013116238</v>
      </c>
      <c r="J34" s="33">
        <f t="shared" si="31"/>
        <v>-0.16096787536191925</v>
      </c>
      <c r="K34" s="33">
        <f t="shared" si="31"/>
        <v>0.60299071563552697</v>
      </c>
      <c r="L34" s="33">
        <f t="shared" si="31"/>
        <v>0.79200410046130187</v>
      </c>
      <c r="M34" s="33">
        <f t="shared" si="31"/>
        <v>-0.14040958755219957</v>
      </c>
      <c r="N34" s="33">
        <f t="shared" si="31"/>
        <v>-0.58732905200811891</v>
      </c>
      <c r="O34" s="33">
        <f t="shared" si="31"/>
        <v>0.48097081115949036</v>
      </c>
      <c r="P34" s="33">
        <f t="shared" si="31"/>
        <v>-7.0996896608047089E-2</v>
      </c>
      <c r="Q34" s="33">
        <f t="shared" si="31"/>
        <v>-0.15014944617007564</v>
      </c>
      <c r="R34" s="6"/>
      <c r="S34" s="6"/>
      <c r="T34" s="33">
        <f>T33/S33-1</f>
        <v>-0.3553714734839083</v>
      </c>
    </row>
    <row r="35" spans="2:22">
      <c r="B35" s="31" t="s">
        <v>69</v>
      </c>
      <c r="C35" s="33">
        <f>C33/C9</f>
        <v>-45.714149595045257</v>
      </c>
      <c r="D35" s="33">
        <f>D33/D9</f>
        <v>-1.665977899559788</v>
      </c>
      <c r="E35" s="33">
        <f>E33/E9</f>
        <v>-4.3973777334180202</v>
      </c>
      <c r="F35" s="33"/>
      <c r="G35" s="33">
        <f t="shared" ref="G35:Q35" si="32">G33/G9</f>
        <v>1.9001536098310292</v>
      </c>
      <c r="H35" s="33">
        <f t="shared" si="32"/>
        <v>1.6955521472392638</v>
      </c>
      <c r="I35" s="33">
        <f t="shared" si="32"/>
        <v>-5.2500904813608393</v>
      </c>
      <c r="J35" s="33">
        <f t="shared" si="32"/>
        <v>-3.1970055161544524</v>
      </c>
      <c r="K35" s="33">
        <f t="shared" si="32"/>
        <v>-4.5530921820303387</v>
      </c>
      <c r="L35" s="33">
        <f t="shared" si="32"/>
        <v>-6.3394378966455118</v>
      </c>
      <c r="M35" s="33">
        <f t="shared" si="32"/>
        <v>-4.8978161668839633</v>
      </c>
      <c r="N35" s="33">
        <f t="shared" si="32"/>
        <v>-2.0311169341631183</v>
      </c>
      <c r="O35" s="33">
        <f t="shared" si="32"/>
        <v>-2.4224479029279875</v>
      </c>
      <c r="P35" s="33">
        <f t="shared" si="32"/>
        <v>-1.4992531412002461</v>
      </c>
      <c r="Q35" s="33">
        <f t="shared" si="32"/>
        <v>-1.1694354838709677</v>
      </c>
      <c r="S35" s="33">
        <f>S33/S9</f>
        <v>-4.8977359063972044</v>
      </c>
      <c r="T35" s="33">
        <f>T33/T9</f>
        <v>-1.6635885665483465</v>
      </c>
    </row>
    <row r="36" spans="2:22">
      <c r="B36" s="3"/>
    </row>
  </sheetData>
  <mergeCells count="1">
    <mergeCell ref="V7:V8"/>
  </mergeCells>
  <conditionalFormatting sqref="C13:I13 K13:Q13">
    <cfRule type="timePeriod" dxfId="1" priority="5" timePeriod="lastWeek">
      <formula>AND(TODAY()-ROUNDDOWN(C13,0)&gt;=(WEEKDAY(TODAY())),TODAY()-ROUNDDOWN(C13,0)&lt;(WEEKDAY(TODAY())+7))</formula>
    </cfRule>
  </conditionalFormatting>
  <conditionalFormatting sqref="C8:T8">
    <cfRule type="timePeriod" dxfId="0" priority="1" timePeriod="lastWeek">
      <formula>AND(TODAY()-ROUNDDOWN(C8,0)&gt;=(WEEKDAY(TODAY())),TODAY()-ROUNDDOWN(C8,0)&lt;(WEEKDAY(TODAY())+7))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Firm Background</vt:lpstr>
      <vt:lpstr>Base Financials </vt:lpstr>
      <vt:lpstr>Adjusted EBITDA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2024-12-28T10:46:35Z</dcterms:created>
  <dcterms:modified xsi:type="dcterms:W3CDTF">2025-01-21T05:50:31Z</dcterms:modified>
</cp:coreProperties>
</file>