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Felix\Downloads\"/>
    </mc:Choice>
  </mc:AlternateContent>
  <xr:revisionPtr revIDLastSave="0" documentId="8_{9BD50BC7-265C-4CAE-9BC1-633F0C51B78E}" xr6:coauthVersionLast="47" xr6:coauthVersionMax="47" xr10:uidLastSave="{00000000-0000-0000-0000-000000000000}"/>
  <bookViews>
    <workbookView xWindow="28680" yWindow="-120" windowWidth="29040" windowHeight="15720" activeTab="1" xr2:uid="{D8DF2202-62BF-453D-A849-EFD132DF8234}"/>
  </bookViews>
  <sheets>
    <sheet name="Firm Background" sheetId="6" r:id="rId1"/>
    <sheet name="Base Financials " sheetId="4" r:id="rId2"/>
    <sheet name="Adjusted EBITDA Analysis" sheetId="5"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4" l="1"/>
  <c r="N92" i="4" l="1"/>
  <c r="M92" i="4"/>
  <c r="J92" i="4"/>
  <c r="N84" i="4"/>
  <c r="O84" i="4" s="1"/>
  <c r="N81" i="4"/>
  <c r="O81" i="4" s="1"/>
  <c r="M84" i="4"/>
  <c r="N65" i="4"/>
  <c r="N68" i="4"/>
  <c r="N70" i="4"/>
  <c r="O70" i="4" s="1"/>
  <c r="U70" i="4" s="1"/>
  <c r="N73" i="4"/>
  <c r="N74" i="4"/>
  <c r="N75" i="4"/>
  <c r="N76" i="4"/>
  <c r="N77" i="4"/>
  <c r="M77" i="4"/>
  <c r="O77" i="4" s="1"/>
  <c r="U77" i="4" s="1"/>
  <c r="M76" i="4"/>
  <c r="M75" i="4"/>
  <c r="M74" i="4"/>
  <c r="M73" i="4"/>
  <c r="M70" i="4"/>
  <c r="M68" i="4"/>
  <c r="M65" i="4"/>
  <c r="I70" i="4"/>
  <c r="J70" i="4" s="1"/>
  <c r="I32" i="5" s="1"/>
  <c r="I65" i="4"/>
  <c r="J65" i="4"/>
  <c r="J76" i="4"/>
  <c r="J75" i="4"/>
  <c r="J74" i="4"/>
  <c r="J73" i="4"/>
  <c r="I73" i="4"/>
  <c r="I74" i="4"/>
  <c r="I75" i="4"/>
  <c r="I76" i="4"/>
  <c r="I81" i="4"/>
  <c r="J81" i="4" s="1"/>
  <c r="I82" i="4"/>
  <c r="J82" i="4" s="1"/>
  <c r="K82" i="4" s="1"/>
  <c r="J84" i="4"/>
  <c r="I84" i="4"/>
  <c r="K84" i="4" s="1"/>
  <c r="R92" i="4"/>
  <c r="Q92" i="4"/>
  <c r="S92" i="4"/>
  <c r="K92" i="4"/>
  <c r="O87" i="4"/>
  <c r="J87" i="4"/>
  <c r="K87" i="4" s="1"/>
  <c r="Q81" i="4"/>
  <c r="R81" i="4" s="1"/>
  <c r="S81" i="4" s="1"/>
  <c r="Q84" i="4"/>
  <c r="R84" i="4" s="1"/>
  <c r="R69" i="4"/>
  <c r="S69" i="4" s="1"/>
  <c r="V69" i="4" s="1"/>
  <c r="Q65" i="4"/>
  <c r="R65" i="4" s="1"/>
  <c r="S65" i="4" s="1"/>
  <c r="V65" i="4" s="1"/>
  <c r="Q70" i="4"/>
  <c r="R70" i="4" s="1"/>
  <c r="S70" i="4" s="1"/>
  <c r="V70" i="4" s="1"/>
  <c r="Q73" i="4"/>
  <c r="R73" i="4" s="1"/>
  <c r="S73" i="4" s="1"/>
  <c r="V73" i="4" s="1"/>
  <c r="Q74" i="4"/>
  <c r="R74" i="4" s="1"/>
  <c r="S74" i="4" s="1"/>
  <c r="V74" i="4" s="1"/>
  <c r="Q75" i="4"/>
  <c r="R75" i="4" s="1"/>
  <c r="S75" i="4" s="1"/>
  <c r="V75" i="4" s="1"/>
  <c r="Q76" i="4"/>
  <c r="R76" i="4" s="1"/>
  <c r="L27" i="5"/>
  <c r="O65" i="4"/>
  <c r="U65" i="4" s="1"/>
  <c r="K73" i="4"/>
  <c r="S83" i="4"/>
  <c r="S82" i="4"/>
  <c r="O83" i="4"/>
  <c r="O82" i="4"/>
  <c r="K83" i="4"/>
  <c r="K77" i="4"/>
  <c r="K69" i="4"/>
  <c r="K68" i="4"/>
  <c r="O72" i="4"/>
  <c r="O71" i="4"/>
  <c r="O69" i="4"/>
  <c r="U69" i="4" s="1"/>
  <c r="S77" i="4"/>
  <c r="V77" i="4" s="1"/>
  <c r="S68" i="4"/>
  <c r="V68" i="4" s="1"/>
  <c r="S49" i="4"/>
  <c r="V49" i="4" s="1"/>
  <c r="S51" i="4"/>
  <c r="V51" i="4" s="1"/>
  <c r="S50" i="4"/>
  <c r="V50" i="4" s="1"/>
  <c r="S48" i="4"/>
  <c r="V48" i="4" s="1"/>
  <c r="S47" i="4"/>
  <c r="V47" i="4" s="1"/>
  <c r="O49" i="4"/>
  <c r="U49" i="4" s="1"/>
  <c r="O51" i="4"/>
  <c r="U51" i="4" s="1"/>
  <c r="O50" i="4"/>
  <c r="U50" i="4" s="1"/>
  <c r="O48" i="4"/>
  <c r="U48" i="4" s="1"/>
  <c r="O47" i="4"/>
  <c r="U47" i="4" s="1"/>
  <c r="K49" i="4"/>
  <c r="K51" i="4"/>
  <c r="K50" i="4"/>
  <c r="K48" i="4"/>
  <c r="K47" i="4"/>
  <c r="R44" i="4"/>
  <c r="Q44" i="4"/>
  <c r="P44" i="4"/>
  <c r="N44" i="4"/>
  <c r="M44" i="4"/>
  <c r="L44" i="4"/>
  <c r="J44" i="4"/>
  <c r="I44" i="4"/>
  <c r="H44" i="4"/>
  <c r="F44" i="4"/>
  <c r="E44" i="4"/>
  <c r="D44" i="4"/>
  <c r="C44" i="4"/>
  <c r="K43" i="4"/>
  <c r="K42" i="4"/>
  <c r="K41" i="4"/>
  <c r="O43" i="4"/>
  <c r="U43" i="4" s="1"/>
  <c r="O42" i="4"/>
  <c r="U42" i="4" s="1"/>
  <c r="O41" i="4"/>
  <c r="S43" i="4"/>
  <c r="V43" i="4" s="1"/>
  <c r="S42" i="4"/>
  <c r="V42" i="4" s="1"/>
  <c r="S41" i="4"/>
  <c r="V41" i="4" s="1"/>
  <c r="K37" i="4"/>
  <c r="K36" i="4"/>
  <c r="K35" i="4"/>
  <c r="O37" i="4"/>
  <c r="U37" i="4" s="1"/>
  <c r="O36" i="4"/>
  <c r="U36" i="4" s="1"/>
  <c r="O35" i="4"/>
  <c r="U35" i="4" s="1"/>
  <c r="S37" i="4"/>
  <c r="V37" i="4" s="1"/>
  <c r="S36" i="4"/>
  <c r="S35" i="4"/>
  <c r="V35" i="4" s="1"/>
  <c r="R38" i="4"/>
  <c r="R56" i="4" s="1"/>
  <c r="Q38" i="4"/>
  <c r="P38" i="4"/>
  <c r="P56" i="4" s="1"/>
  <c r="N38" i="4"/>
  <c r="N56" i="4" s="1"/>
  <c r="M38" i="4"/>
  <c r="L38" i="4"/>
  <c r="L56" i="4" s="1"/>
  <c r="J38" i="4"/>
  <c r="J56" i="4" s="1"/>
  <c r="I38" i="4"/>
  <c r="I56" i="4" s="1"/>
  <c r="H38" i="4"/>
  <c r="H56" i="4" s="1"/>
  <c r="F38" i="4"/>
  <c r="E38" i="4"/>
  <c r="D38" i="4"/>
  <c r="D56" i="4" s="1"/>
  <c r="C38" i="4"/>
  <c r="O29" i="4"/>
  <c r="S29" i="4"/>
  <c r="V24" i="4"/>
  <c r="U24" i="4"/>
  <c r="K24" i="4"/>
  <c r="S12" i="4"/>
  <c r="V12" i="4" s="1"/>
  <c r="S11" i="4"/>
  <c r="S22" i="4"/>
  <c r="V22" i="4" s="1"/>
  <c r="S21" i="4"/>
  <c r="V21" i="4" s="1"/>
  <c r="S20" i="4"/>
  <c r="V20" i="4" s="1"/>
  <c r="S19" i="4"/>
  <c r="V19" i="4" s="1"/>
  <c r="S18" i="4"/>
  <c r="V18" i="4" s="1"/>
  <c r="S17" i="4"/>
  <c r="V17" i="4" s="1"/>
  <c r="O22" i="4"/>
  <c r="U22" i="4" s="1"/>
  <c r="O21" i="4"/>
  <c r="U21" i="4" s="1"/>
  <c r="O20" i="4"/>
  <c r="U20" i="4" s="1"/>
  <c r="O19" i="4"/>
  <c r="U19" i="4" s="1"/>
  <c r="O18" i="4"/>
  <c r="U18" i="4" s="1"/>
  <c r="O17" i="4"/>
  <c r="U17" i="4" s="1"/>
  <c r="O12" i="4"/>
  <c r="U12" i="4" s="1"/>
  <c r="O11" i="4"/>
  <c r="U11" i="4" s="1"/>
  <c r="K22" i="4"/>
  <c r="K21" i="4"/>
  <c r="K20" i="4"/>
  <c r="K19" i="4"/>
  <c r="K18" i="4"/>
  <c r="K17" i="4"/>
  <c r="K12" i="4"/>
  <c r="K11" i="4"/>
  <c r="C85" i="4"/>
  <c r="C78" i="4"/>
  <c r="C96" i="4" s="1"/>
  <c r="C52" i="4"/>
  <c r="C59" i="4"/>
  <c r="C13" i="4"/>
  <c r="C25" i="4" s="1"/>
  <c r="R13" i="4"/>
  <c r="R23" i="4" s="1"/>
  <c r="R25" i="4" s="1"/>
  <c r="Q13" i="4"/>
  <c r="P13" i="4"/>
  <c r="N13" i="4"/>
  <c r="M13" i="4"/>
  <c r="L13" i="4"/>
  <c r="J13" i="4"/>
  <c r="I13" i="4"/>
  <c r="H13" i="4"/>
  <c r="F13" i="4"/>
  <c r="E13" i="4"/>
  <c r="D13" i="4"/>
  <c r="S59" i="4"/>
  <c r="R59" i="4"/>
  <c r="R52" i="4"/>
  <c r="P27" i="5"/>
  <c r="S87" i="4"/>
  <c r="H27" i="5"/>
  <c r="O32" i="5"/>
  <c r="K32" i="5"/>
  <c r="G32" i="5"/>
  <c r="F32" i="5"/>
  <c r="E32" i="5"/>
  <c r="D32" i="5"/>
  <c r="C32" i="5"/>
  <c r="O27" i="5"/>
  <c r="K27" i="5"/>
  <c r="G27" i="5"/>
  <c r="F27" i="5"/>
  <c r="E27" i="5"/>
  <c r="D27" i="5"/>
  <c r="C27" i="5"/>
  <c r="Q23" i="5"/>
  <c r="P23" i="5"/>
  <c r="O23" i="5"/>
  <c r="M23" i="5"/>
  <c r="L23" i="5"/>
  <c r="K23" i="5"/>
  <c r="I23" i="5"/>
  <c r="H23" i="5"/>
  <c r="G23" i="5"/>
  <c r="F23" i="5"/>
  <c r="E23" i="5"/>
  <c r="D23" i="5"/>
  <c r="C23" i="5"/>
  <c r="Q22" i="5"/>
  <c r="P22" i="5"/>
  <c r="O22" i="5"/>
  <c r="M22" i="5"/>
  <c r="L22" i="5"/>
  <c r="K22" i="5"/>
  <c r="I22" i="5"/>
  <c r="H22" i="5"/>
  <c r="G22" i="5"/>
  <c r="F22" i="5"/>
  <c r="E22" i="5"/>
  <c r="D22" i="5"/>
  <c r="C22" i="5"/>
  <c r="Q21" i="5"/>
  <c r="P21" i="5"/>
  <c r="O21" i="5"/>
  <c r="M21" i="5"/>
  <c r="L21" i="5"/>
  <c r="K21" i="5"/>
  <c r="I21" i="5"/>
  <c r="H21" i="5"/>
  <c r="G21" i="5"/>
  <c r="F21" i="5"/>
  <c r="E21" i="5"/>
  <c r="D21" i="5"/>
  <c r="C21" i="5"/>
  <c r="B23" i="5"/>
  <c r="B22" i="5"/>
  <c r="B21" i="5"/>
  <c r="Q17" i="5"/>
  <c r="P17" i="5"/>
  <c r="O17" i="5"/>
  <c r="M17" i="5"/>
  <c r="L17" i="5"/>
  <c r="K17" i="5"/>
  <c r="I17" i="5"/>
  <c r="H17" i="5"/>
  <c r="G17" i="5"/>
  <c r="F17" i="5"/>
  <c r="E17" i="5"/>
  <c r="D17" i="5"/>
  <c r="C17" i="5"/>
  <c r="Q16" i="5"/>
  <c r="P16" i="5"/>
  <c r="O16" i="5"/>
  <c r="M16" i="5"/>
  <c r="L16" i="5"/>
  <c r="K16" i="5"/>
  <c r="I16" i="5"/>
  <c r="H16" i="5"/>
  <c r="G16" i="5"/>
  <c r="F16" i="5"/>
  <c r="E16" i="5"/>
  <c r="D16" i="5"/>
  <c r="C16" i="5"/>
  <c r="Q15" i="5"/>
  <c r="P15" i="5"/>
  <c r="O15" i="5"/>
  <c r="M15" i="5"/>
  <c r="L15" i="5"/>
  <c r="K15" i="5"/>
  <c r="I15" i="5"/>
  <c r="H15" i="5"/>
  <c r="G15" i="5"/>
  <c r="F15" i="5"/>
  <c r="E15" i="5"/>
  <c r="D15" i="5"/>
  <c r="C15" i="5"/>
  <c r="Q14" i="5"/>
  <c r="P14" i="5"/>
  <c r="O14" i="5"/>
  <c r="M14" i="5"/>
  <c r="L14" i="5"/>
  <c r="K14" i="5"/>
  <c r="I14" i="5"/>
  <c r="H14" i="5"/>
  <c r="G14" i="5"/>
  <c r="F14" i="5"/>
  <c r="E14" i="5"/>
  <c r="D14" i="5"/>
  <c r="C14" i="5"/>
  <c r="B17" i="5"/>
  <c r="B16" i="5"/>
  <c r="B15" i="5"/>
  <c r="B14" i="5"/>
  <c r="C17" i="6"/>
  <c r="C19" i="6" s="1"/>
  <c r="Q10" i="5"/>
  <c r="C7" i="6" a="1"/>
  <c r="C7" i="6" s="1"/>
  <c r="C8" i="6" a="1"/>
  <c r="C8" i="6" s="1"/>
  <c r="C6" i="6" a="1"/>
  <c r="C6" i="6" s="1"/>
  <c r="T8" i="5"/>
  <c r="S8" i="5"/>
  <c r="T7" i="5"/>
  <c r="S7" i="5"/>
  <c r="F10" i="5"/>
  <c r="F9" i="5"/>
  <c r="V29" i="4"/>
  <c r="U29" i="4"/>
  <c r="U7" i="4"/>
  <c r="U8" i="4"/>
  <c r="V8" i="4"/>
  <c r="V7" i="4"/>
  <c r="P10" i="5"/>
  <c r="O10" i="5"/>
  <c r="M10" i="5"/>
  <c r="L10" i="5"/>
  <c r="K10" i="5"/>
  <c r="I10" i="5"/>
  <c r="H10" i="5"/>
  <c r="G10" i="5"/>
  <c r="E10" i="5"/>
  <c r="D10" i="5"/>
  <c r="C10" i="5"/>
  <c r="P9" i="5"/>
  <c r="O9" i="5"/>
  <c r="M9" i="5"/>
  <c r="L9" i="5"/>
  <c r="K9" i="5"/>
  <c r="I9" i="5"/>
  <c r="G9" i="5"/>
  <c r="D9" i="5"/>
  <c r="C9" i="5"/>
  <c r="B32" i="5"/>
  <c r="B27" i="5"/>
  <c r="F85" i="4"/>
  <c r="E85" i="4"/>
  <c r="D85" i="4"/>
  <c r="H85" i="4"/>
  <c r="F78" i="4"/>
  <c r="F96" i="4" s="1"/>
  <c r="E78" i="4"/>
  <c r="E96" i="4" s="1"/>
  <c r="D78" i="4"/>
  <c r="D96" i="4" s="1"/>
  <c r="Q52" i="4"/>
  <c r="P52" i="4"/>
  <c r="N52" i="4"/>
  <c r="M52" i="4"/>
  <c r="L52" i="4"/>
  <c r="J52" i="4"/>
  <c r="I52" i="4"/>
  <c r="H52" i="4"/>
  <c r="F52" i="4"/>
  <c r="E52" i="4"/>
  <c r="D52" i="4"/>
  <c r="Q56" i="4"/>
  <c r="W25" i="4"/>
  <c r="K76" i="4" l="1"/>
  <c r="K74" i="4"/>
  <c r="K81" i="4"/>
  <c r="O92" i="4"/>
  <c r="L32" i="5"/>
  <c r="O68" i="4"/>
  <c r="U68" i="4" s="1"/>
  <c r="S84" i="4"/>
  <c r="O73" i="4"/>
  <c r="U73" i="4" s="1"/>
  <c r="U84" i="4"/>
  <c r="P32" i="5"/>
  <c r="O75" i="4"/>
  <c r="U75" i="4" s="1"/>
  <c r="O76" i="4"/>
  <c r="U76" i="4" s="1"/>
  <c r="K75" i="4"/>
  <c r="V84" i="4"/>
  <c r="S76" i="4"/>
  <c r="V76" i="4" s="1"/>
  <c r="O74" i="4"/>
  <c r="U74" i="4" s="1"/>
  <c r="K70" i="4"/>
  <c r="J32" i="5" s="1"/>
  <c r="K65" i="4"/>
  <c r="X48" i="4"/>
  <c r="O44" i="4"/>
  <c r="X47" i="4"/>
  <c r="X49" i="4"/>
  <c r="S52" i="4"/>
  <c r="S44" i="4"/>
  <c r="K44" i="4"/>
  <c r="V44" i="4"/>
  <c r="U41" i="4"/>
  <c r="U44" i="4" s="1"/>
  <c r="K38" i="4"/>
  <c r="K56" i="4" s="1"/>
  <c r="S38" i="4"/>
  <c r="S56" i="4" s="1"/>
  <c r="O38" i="4"/>
  <c r="V36" i="4"/>
  <c r="V38" i="4" s="1"/>
  <c r="U38" i="4"/>
  <c r="S13" i="4"/>
  <c r="S14" i="4" s="1"/>
  <c r="X17" i="4"/>
  <c r="X19" i="4"/>
  <c r="X20" i="4"/>
  <c r="X18" i="4"/>
  <c r="U13" i="4"/>
  <c r="V11" i="4"/>
  <c r="V13" i="4" s="1"/>
  <c r="O13" i="4"/>
  <c r="C58" i="4"/>
  <c r="S85" i="4"/>
  <c r="C53" i="4"/>
  <c r="C57" i="4"/>
  <c r="K13" i="4"/>
  <c r="C28" i="4"/>
  <c r="C56" i="4"/>
  <c r="S57" i="4"/>
  <c r="S58" i="4"/>
  <c r="R57" i="4"/>
  <c r="R85" i="4"/>
  <c r="R53" i="4"/>
  <c r="R58" i="4"/>
  <c r="R28" i="4"/>
  <c r="M32" i="5"/>
  <c r="U82" i="4"/>
  <c r="I27" i="5"/>
  <c r="U81" i="4"/>
  <c r="U83" i="4"/>
  <c r="H32" i="5"/>
  <c r="N16" i="5"/>
  <c r="T16" i="5" s="1"/>
  <c r="J22" i="5"/>
  <c r="S22" i="5" s="1"/>
  <c r="N22" i="5"/>
  <c r="T22" i="5" s="1"/>
  <c r="J16" i="5"/>
  <c r="S16" i="5" s="1"/>
  <c r="J17" i="5"/>
  <c r="S17" i="5" s="1"/>
  <c r="J23" i="5"/>
  <c r="S23" i="5" s="1"/>
  <c r="J21" i="5"/>
  <c r="S21" i="5" s="1"/>
  <c r="N17" i="5"/>
  <c r="T17" i="5" s="1"/>
  <c r="N23" i="5"/>
  <c r="T23" i="5" s="1"/>
  <c r="N15" i="5"/>
  <c r="T15" i="5" s="1"/>
  <c r="N21" i="5"/>
  <c r="T21" i="5" s="1"/>
  <c r="J15" i="5"/>
  <c r="S15" i="5" s="1"/>
  <c r="J14" i="5"/>
  <c r="S14" i="5" s="1"/>
  <c r="N14" i="5"/>
  <c r="T14" i="5" s="1"/>
  <c r="C20" i="6"/>
  <c r="E56" i="4"/>
  <c r="V56" i="4"/>
  <c r="F56" i="4"/>
  <c r="U56" i="4"/>
  <c r="M56" i="4"/>
  <c r="V82" i="4"/>
  <c r="V81" i="4"/>
  <c r="E9" i="5"/>
  <c r="E11" i="5" s="1"/>
  <c r="E18" i="5" s="1"/>
  <c r="H9" i="5"/>
  <c r="H11" i="5" s="1"/>
  <c r="H18" i="5" s="1"/>
  <c r="H24" i="5" s="1"/>
  <c r="H23" i="4"/>
  <c r="H25" i="4" s="1"/>
  <c r="H28" i="4" s="1"/>
  <c r="Q9" i="5"/>
  <c r="Q11" i="5" s="1"/>
  <c r="Q18" i="5" s="1"/>
  <c r="Q24" i="5" s="1"/>
  <c r="P23" i="4"/>
  <c r="P25" i="4" s="1"/>
  <c r="P28" i="4" s="1"/>
  <c r="E57" i="4"/>
  <c r="V87" i="4"/>
  <c r="V83" i="4"/>
  <c r="D57" i="4"/>
  <c r="X50" i="4"/>
  <c r="X51" i="4"/>
  <c r="N57" i="4"/>
  <c r="F57" i="4"/>
  <c r="M57" i="4"/>
  <c r="U57" i="4" s="1"/>
  <c r="H57" i="4"/>
  <c r="P57" i="4"/>
  <c r="I57" i="4"/>
  <c r="Q57" i="4"/>
  <c r="V57" i="4" s="1"/>
  <c r="J57" i="4"/>
  <c r="L57" i="4"/>
  <c r="D11" i="5"/>
  <c r="D18" i="5" s="1"/>
  <c r="D24" i="5" s="1"/>
  <c r="D28" i="5" s="1"/>
  <c r="D33" i="5" s="1"/>
  <c r="J23" i="4"/>
  <c r="J25" i="4" s="1"/>
  <c r="J28" i="4" s="1"/>
  <c r="K11" i="5"/>
  <c r="K18" i="5" s="1"/>
  <c r="G11" i="5"/>
  <c r="G18" i="5" s="1"/>
  <c r="G24" i="5" s="1"/>
  <c r="M11" i="5"/>
  <c r="M18" i="5" s="1"/>
  <c r="M24" i="5" s="1"/>
  <c r="O11" i="5"/>
  <c r="O18" i="5" s="1"/>
  <c r="O24" i="5" s="1"/>
  <c r="L11" i="5"/>
  <c r="L18" i="5" s="1"/>
  <c r="P11" i="5"/>
  <c r="P18" i="5" s="1"/>
  <c r="P24" i="5" s="1"/>
  <c r="I11" i="5"/>
  <c r="I18" i="5" s="1"/>
  <c r="I24" i="5" s="1"/>
  <c r="C11" i="5"/>
  <c r="C18" i="5" s="1"/>
  <c r="C24" i="5" s="1"/>
  <c r="C28" i="5" s="1"/>
  <c r="C30" i="5" s="1"/>
  <c r="H58" i="4"/>
  <c r="O52" i="4"/>
  <c r="K52" i="4"/>
  <c r="O59" i="4"/>
  <c r="P58" i="4"/>
  <c r="X43" i="4"/>
  <c r="I58" i="4"/>
  <c r="Q58" i="4"/>
  <c r="V58" i="4" s="1"/>
  <c r="F97" i="4"/>
  <c r="X35" i="4"/>
  <c r="X42" i="4"/>
  <c r="J53" i="4"/>
  <c r="I59" i="4"/>
  <c r="L53" i="4"/>
  <c r="J59" i="4"/>
  <c r="X22" i="4"/>
  <c r="X37" i="4"/>
  <c r="U87" i="4"/>
  <c r="X21" i="4"/>
  <c r="X24" i="4"/>
  <c r="I53" i="4"/>
  <c r="Q53" i="4"/>
  <c r="H59" i="4"/>
  <c r="P59" i="4"/>
  <c r="Q59" i="4"/>
  <c r="V59" i="4" s="1"/>
  <c r="D53" i="4"/>
  <c r="J58" i="4"/>
  <c r="H53" i="4"/>
  <c r="P53" i="4"/>
  <c r="P85" i="4"/>
  <c r="Q85" i="4"/>
  <c r="P78" i="4"/>
  <c r="P96" i="4" s="1"/>
  <c r="X12" i="4"/>
  <c r="V52" i="4"/>
  <c r="D59" i="4"/>
  <c r="L59" i="4"/>
  <c r="H78" i="4"/>
  <c r="H96" i="4" s="1"/>
  <c r="E97" i="4"/>
  <c r="L85" i="4"/>
  <c r="E59" i="4"/>
  <c r="M59" i="4"/>
  <c r="U59" i="4" s="1"/>
  <c r="E53" i="4"/>
  <c r="M53" i="4"/>
  <c r="M85" i="4"/>
  <c r="F59" i="4"/>
  <c r="N59" i="4"/>
  <c r="F53" i="4"/>
  <c r="N53" i="4"/>
  <c r="D58" i="4"/>
  <c r="L58" i="4"/>
  <c r="E58" i="4"/>
  <c r="M58" i="4"/>
  <c r="U58" i="4" s="1"/>
  <c r="F58" i="4"/>
  <c r="N58" i="4"/>
  <c r="M27" i="5" l="1"/>
  <c r="X84" i="4"/>
  <c r="S53" i="4"/>
  <c r="X41" i="4"/>
  <c r="X36" i="4"/>
  <c r="S23" i="4"/>
  <c r="S25" i="4" s="1"/>
  <c r="S26" i="4" s="1"/>
  <c r="X11" i="4"/>
  <c r="Q27" i="5"/>
  <c r="Q28" i="5" s="1"/>
  <c r="Q32" i="5"/>
  <c r="S78" i="4"/>
  <c r="S96" i="4" s="1"/>
  <c r="R78" i="4"/>
  <c r="R96" i="4" s="1"/>
  <c r="X83" i="4"/>
  <c r="X82" i="4"/>
  <c r="N27" i="5"/>
  <c r="N32" i="5"/>
  <c r="J27" i="5"/>
  <c r="S27" i="5" s="1"/>
  <c r="V22" i="5"/>
  <c r="X74" i="4"/>
  <c r="V28" i="4"/>
  <c r="O56" i="4"/>
  <c r="V23" i="5"/>
  <c r="X77" i="4"/>
  <c r="V21" i="5"/>
  <c r="X76" i="4"/>
  <c r="C21" i="6"/>
  <c r="N9" i="5"/>
  <c r="T9" i="5" s="1"/>
  <c r="J10" i="5"/>
  <c r="S10" i="5" s="1"/>
  <c r="N10" i="5"/>
  <c r="T10" i="5" s="1"/>
  <c r="J9" i="5"/>
  <c r="S9" i="5" s="1"/>
  <c r="Q19" i="5"/>
  <c r="Q25" i="5"/>
  <c r="X57" i="4"/>
  <c r="X59" i="4"/>
  <c r="K57" i="4"/>
  <c r="O57" i="4"/>
  <c r="X58" i="4"/>
  <c r="I28" i="5"/>
  <c r="V17" i="5"/>
  <c r="V14" i="5"/>
  <c r="V15" i="5"/>
  <c r="L19" i="5"/>
  <c r="X75" i="4"/>
  <c r="K85" i="4"/>
  <c r="E19" i="5"/>
  <c r="E24" i="5"/>
  <c r="E25" i="5" s="1"/>
  <c r="C33" i="5"/>
  <c r="C35" i="5" s="1"/>
  <c r="D19" i="5"/>
  <c r="I19" i="5"/>
  <c r="K24" i="5"/>
  <c r="M19" i="5"/>
  <c r="V16" i="5"/>
  <c r="H19" i="5"/>
  <c r="L24" i="5"/>
  <c r="M25" i="5" s="1"/>
  <c r="P19" i="5"/>
  <c r="O85" i="4"/>
  <c r="K59" i="4"/>
  <c r="K53" i="4"/>
  <c r="O53" i="4"/>
  <c r="K58" i="4"/>
  <c r="U52" i="4"/>
  <c r="U53" i="4" s="1"/>
  <c r="X44" i="4"/>
  <c r="X56" i="4"/>
  <c r="O58" i="4"/>
  <c r="Q78" i="4"/>
  <c r="Q96" i="4" s="1"/>
  <c r="X73" i="4"/>
  <c r="X69" i="4"/>
  <c r="I14" i="4"/>
  <c r="I23" i="4"/>
  <c r="I25" i="4" s="1"/>
  <c r="I28" i="4" s="1"/>
  <c r="J14" i="4"/>
  <c r="M78" i="4"/>
  <c r="M96" i="4" s="1"/>
  <c r="D23" i="4"/>
  <c r="D25" i="4" s="1"/>
  <c r="D28" i="4" s="1"/>
  <c r="L23" i="4"/>
  <c r="L25" i="4" s="1"/>
  <c r="L28" i="4" s="1"/>
  <c r="H28" i="5"/>
  <c r="H25" i="5"/>
  <c r="I25" i="5"/>
  <c r="O28" i="5"/>
  <c r="D25" i="5"/>
  <c r="G28" i="5"/>
  <c r="M28" i="5"/>
  <c r="P28" i="5"/>
  <c r="P25" i="5"/>
  <c r="I78" i="4"/>
  <c r="I96" i="4" s="1"/>
  <c r="N85" i="4"/>
  <c r="F23" i="4"/>
  <c r="F25" i="4" s="1"/>
  <c r="F28" i="4" s="1"/>
  <c r="F14" i="4"/>
  <c r="I85" i="4"/>
  <c r="E23" i="4"/>
  <c r="E25" i="4" s="1"/>
  <c r="E28" i="4" s="1"/>
  <c r="E14" i="4"/>
  <c r="L78" i="4"/>
  <c r="L96" i="4" s="1"/>
  <c r="S28" i="4" l="1"/>
  <c r="T27" i="5"/>
  <c r="V27" i="5" s="1"/>
  <c r="T32" i="5"/>
  <c r="S97" i="4"/>
  <c r="X70" i="4"/>
  <c r="Q23" i="4"/>
  <c r="Q25" i="4" s="1"/>
  <c r="R26" i="4" s="1"/>
  <c r="R14" i="4"/>
  <c r="R97" i="4"/>
  <c r="N23" i="4"/>
  <c r="N25" i="4" s="1"/>
  <c r="N28" i="4" s="1"/>
  <c r="U28" i="4" s="1"/>
  <c r="X28" i="4" s="1"/>
  <c r="U23" i="4"/>
  <c r="U25" i="4" s="1"/>
  <c r="S32" i="5"/>
  <c r="V23" i="4"/>
  <c r="V25" i="4" s="1"/>
  <c r="I97" i="4"/>
  <c r="Q33" i="5"/>
  <c r="Q30" i="5"/>
  <c r="Q29" i="5"/>
  <c r="N14" i="4"/>
  <c r="Q14" i="4"/>
  <c r="Q97" i="4"/>
  <c r="M14" i="4"/>
  <c r="M23" i="4"/>
  <c r="M25" i="4" s="1"/>
  <c r="M28" i="4" s="1"/>
  <c r="N11" i="5"/>
  <c r="N18" i="5" s="1"/>
  <c r="N19" i="5" s="1"/>
  <c r="T11" i="5"/>
  <c r="T18" i="5" s="1"/>
  <c r="V9" i="5"/>
  <c r="O14" i="4"/>
  <c r="S11" i="5"/>
  <c r="S18" i="5" s="1"/>
  <c r="P14" i="4"/>
  <c r="O23" i="4"/>
  <c r="O25" i="4" s="1"/>
  <c r="J11" i="5"/>
  <c r="J18" i="5" s="1"/>
  <c r="J24" i="5" s="1"/>
  <c r="J25" i="5" s="1"/>
  <c r="E28" i="5"/>
  <c r="E30" i="5" s="1"/>
  <c r="O78" i="4"/>
  <c r="O96" i="4" s="1"/>
  <c r="K78" i="4"/>
  <c r="K96" i="4" s="1"/>
  <c r="L25" i="5"/>
  <c r="L28" i="5"/>
  <c r="L30" i="5" s="1"/>
  <c r="K28" i="5"/>
  <c r="K30" i="5" s="1"/>
  <c r="X52" i="4"/>
  <c r="X38" i="4"/>
  <c r="J26" i="4"/>
  <c r="I26" i="4"/>
  <c r="V53" i="4"/>
  <c r="X53" i="4" s="1"/>
  <c r="O33" i="5"/>
  <c r="O30" i="5"/>
  <c r="M30" i="5"/>
  <c r="M33" i="5"/>
  <c r="I29" i="5"/>
  <c r="I30" i="5"/>
  <c r="I33" i="5"/>
  <c r="H33" i="5"/>
  <c r="H29" i="5"/>
  <c r="H30" i="5"/>
  <c r="G33" i="5"/>
  <c r="G30" i="5"/>
  <c r="P33" i="5"/>
  <c r="P29" i="5"/>
  <c r="P30" i="5"/>
  <c r="D30" i="5"/>
  <c r="D29" i="5"/>
  <c r="N78" i="4"/>
  <c r="N96" i="4" s="1"/>
  <c r="F26" i="4"/>
  <c r="X65" i="4"/>
  <c r="E26" i="4"/>
  <c r="J85" i="4"/>
  <c r="M97" i="4"/>
  <c r="V32" i="5" l="1"/>
  <c r="Q28" i="4"/>
  <c r="Q26" i="4"/>
  <c r="U96" i="4"/>
  <c r="V96" i="4"/>
  <c r="C22" i="6" s="1"/>
  <c r="Q35" i="5"/>
  <c r="Q34" i="5"/>
  <c r="L14" i="4"/>
  <c r="O19" i="5"/>
  <c r="K14" i="4"/>
  <c r="K23" i="4"/>
  <c r="K25" i="4" s="1"/>
  <c r="K28" i="4" s="1"/>
  <c r="K19" i="5"/>
  <c r="N26" i="4"/>
  <c r="M26" i="4"/>
  <c r="P26" i="4"/>
  <c r="O28" i="4"/>
  <c r="N24" i="5"/>
  <c r="O25" i="5" s="1"/>
  <c r="V10" i="5"/>
  <c r="X13" i="4"/>
  <c r="V14" i="4"/>
  <c r="K25" i="5"/>
  <c r="J28" i="5"/>
  <c r="J30" i="5" s="1"/>
  <c r="J19" i="5"/>
  <c r="S24" i="5"/>
  <c r="S28" i="5" s="1"/>
  <c r="S33" i="5" s="1"/>
  <c r="S35" i="5" s="1"/>
  <c r="V11" i="5"/>
  <c r="O26" i="4"/>
  <c r="E29" i="5"/>
  <c r="E33" i="5"/>
  <c r="E35" i="5" s="1"/>
  <c r="L33" i="5"/>
  <c r="L35" i="5" s="1"/>
  <c r="V85" i="4"/>
  <c r="L29" i="5"/>
  <c r="K33" i="5"/>
  <c r="M29" i="5"/>
  <c r="P34" i="5"/>
  <c r="P35" i="5"/>
  <c r="D35" i="5"/>
  <c r="D34" i="5"/>
  <c r="O35" i="5"/>
  <c r="I34" i="5"/>
  <c r="I35" i="5"/>
  <c r="G35" i="5"/>
  <c r="M35" i="5"/>
  <c r="H34" i="5"/>
  <c r="H35" i="5"/>
  <c r="T24" i="5"/>
  <c r="T28" i="5" s="1"/>
  <c r="T33" i="5" s="1"/>
  <c r="T19" i="5"/>
  <c r="V18" i="5"/>
  <c r="U85" i="4"/>
  <c r="X81" i="4"/>
  <c r="J78" i="4"/>
  <c r="J96" i="4" s="1"/>
  <c r="N97" i="4"/>
  <c r="X68" i="4"/>
  <c r="V78" i="4"/>
  <c r="O97" i="4" l="1"/>
  <c r="L97" i="4"/>
  <c r="S30" i="5"/>
  <c r="P97" i="4"/>
  <c r="V33" i="5"/>
  <c r="C23" i="6"/>
  <c r="N25" i="5"/>
  <c r="N28" i="5"/>
  <c r="N33" i="5" s="1"/>
  <c r="L26" i="4"/>
  <c r="K26" i="4"/>
  <c r="X23" i="4"/>
  <c r="J33" i="5"/>
  <c r="J34" i="5" s="1"/>
  <c r="J29" i="5"/>
  <c r="K29" i="5"/>
  <c r="E34" i="5"/>
  <c r="X85" i="4"/>
  <c r="M34" i="5"/>
  <c r="L34" i="5"/>
  <c r="K35" i="5"/>
  <c r="V28" i="5"/>
  <c r="T30" i="5"/>
  <c r="T29" i="5"/>
  <c r="V24" i="5"/>
  <c r="T25" i="5"/>
  <c r="T35" i="5"/>
  <c r="T34" i="5"/>
  <c r="U78" i="4"/>
  <c r="X78" i="4" s="1"/>
  <c r="J97" i="4"/>
  <c r="K97" i="4"/>
  <c r="V26" i="4"/>
  <c r="X25" i="4"/>
  <c r="N29" i="5" l="1"/>
  <c r="O29" i="5"/>
  <c r="N30" i="5"/>
  <c r="K34" i="5"/>
  <c r="J35" i="5"/>
  <c r="O34" i="5"/>
  <c r="N34" i="5"/>
  <c r="N35" i="5"/>
  <c r="V97" i="4"/>
  <c r="X96"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<sst xmlns="http://schemas.openxmlformats.org/spreadsheetml/2006/main" count="169" uniqueCount="125">
  <si>
    <t>Cash and cash equivalents</t>
  </si>
  <si>
    <t>Total assets</t>
  </si>
  <si>
    <t>Additional paid-in capital</t>
  </si>
  <si>
    <t>FYE</t>
  </si>
  <si>
    <t>Quarterly</t>
  </si>
  <si>
    <t>LTM</t>
  </si>
  <si>
    <t>Revenue</t>
  </si>
  <si>
    <t>Cost of revenue</t>
  </si>
  <si>
    <t>General and administrative</t>
  </si>
  <si>
    <t>Research and development</t>
  </si>
  <si>
    <t>Other income (expense), net</t>
  </si>
  <si>
    <t>Adjustments to reconcile net income (loss) to net cash used in operating activities:</t>
  </si>
  <si>
    <t>Net cash used in operating activities</t>
  </si>
  <si>
    <t>Net cash provided by financing activities</t>
  </si>
  <si>
    <t>V</t>
  </si>
  <si>
    <t>(In Thousands)</t>
  </si>
  <si>
    <t>LTM VAR</t>
  </si>
  <si>
    <t>X</t>
  </si>
  <si>
    <t xml:space="preserve">Income Statement </t>
  </si>
  <si>
    <t>FY2021</t>
  </si>
  <si>
    <t>FY2022</t>
  </si>
  <si>
    <t>FY2023</t>
  </si>
  <si>
    <t>VAR</t>
  </si>
  <si>
    <t>Gross Profit</t>
  </si>
  <si>
    <t>Y/Y Growth, Q/Q Growth</t>
  </si>
  <si>
    <t>Interest income</t>
  </si>
  <si>
    <t>Operating expenses:</t>
  </si>
  <si>
    <t>Profit From Operations</t>
  </si>
  <si>
    <t>Net loss before provision for income taxes</t>
  </si>
  <si>
    <t>Net loss</t>
  </si>
  <si>
    <t xml:space="preserve">Balance Sheet Statement </t>
  </si>
  <si>
    <t>Current Assets</t>
  </si>
  <si>
    <t>Current Liabilities</t>
  </si>
  <si>
    <t>Total Liabilities</t>
  </si>
  <si>
    <t>Stockholders’ equity (deficit):</t>
  </si>
  <si>
    <t>Total stockholders' equity</t>
  </si>
  <si>
    <t>Total liabilities and stockholders' equity</t>
  </si>
  <si>
    <t>Ratio Analysis</t>
  </si>
  <si>
    <t>Debt-to Asset</t>
  </si>
  <si>
    <t>Quick Ratio</t>
  </si>
  <si>
    <t>Current Ratio</t>
  </si>
  <si>
    <t>Cash Ratio</t>
  </si>
  <si>
    <t>Cash-Flows Statement</t>
  </si>
  <si>
    <t>CASH FLOWS FROM OPERATING ACTIVITIES:</t>
  </si>
  <si>
    <t>Cash flows from financing activities:</t>
  </si>
  <si>
    <t>Cash-Flows Analysis</t>
  </si>
  <si>
    <t>Free-Cash Flow</t>
  </si>
  <si>
    <t>Earnings Before Interest &amp; Taxes (EBIT)</t>
  </si>
  <si>
    <t>EBITDA Add-Backs:</t>
  </si>
  <si>
    <t>EBITDA</t>
  </si>
  <si>
    <t>EBITDA Margin</t>
  </si>
  <si>
    <t>Adjusted EBITDA Add-Backs:</t>
  </si>
  <si>
    <t>Adjusted EBITDA</t>
  </si>
  <si>
    <t>Adjusted EBITDA Margin</t>
  </si>
  <si>
    <t>Company Name</t>
  </si>
  <si>
    <t xml:space="preserve">Ticker </t>
  </si>
  <si>
    <t xml:space="preserve">Background </t>
  </si>
  <si>
    <t xml:space="preserve">Snapshot </t>
  </si>
  <si>
    <t>Equity Value</t>
  </si>
  <si>
    <t xml:space="preserve">Enterprise Value </t>
  </si>
  <si>
    <t>LTM Revenue</t>
  </si>
  <si>
    <t>LTM Adjusted EBITDA</t>
  </si>
  <si>
    <t>1Q22</t>
  </si>
  <si>
    <t>2Q22</t>
  </si>
  <si>
    <t>3Q22</t>
  </si>
  <si>
    <t>4Q22</t>
  </si>
  <si>
    <t>1Q23</t>
  </si>
  <si>
    <t>2Q23</t>
  </si>
  <si>
    <t>3Q23</t>
  </si>
  <si>
    <t>4Q23</t>
  </si>
  <si>
    <t>1Q24</t>
  </si>
  <si>
    <t>2Q24</t>
  </si>
  <si>
    <t>3Q24</t>
  </si>
  <si>
    <t>Operating Expenses</t>
  </si>
  <si>
    <t>Prepaid expenses and other current assets</t>
  </si>
  <si>
    <t xml:space="preserve"> USD ($) shares in Thousands</t>
  </si>
  <si>
    <t>LTM Total Debt</t>
  </si>
  <si>
    <t>LTM Cash Position</t>
  </si>
  <si>
    <t>Equity Data</t>
  </si>
  <si>
    <t>Share Price</t>
  </si>
  <si>
    <t>Shares Outstanding</t>
  </si>
  <si>
    <t>Market Cap</t>
  </si>
  <si>
    <t>Enterprise Value Per Share</t>
  </si>
  <si>
    <t>LTM FCF</t>
  </si>
  <si>
    <t>Accounts payable</t>
  </si>
  <si>
    <t>Accumulated deficit</t>
  </si>
  <si>
    <t>IonQ, Inc. (NASDAQ: IONQ)</t>
  </si>
  <si>
    <t>IONQ</t>
  </si>
  <si>
    <t>EBITDA Analysis</t>
  </si>
  <si>
    <t xml:space="preserve">We are developing quantum computers designed to solve some of the world’s most complex problems, and transform business, society and the planet for the better. We believe that our proprietary technology, our architecture and the technology exclusively available to us through license agreements will offer us advantages both in terms of research and development, as well as the commercial value of our intended product offerings. 
Today, we sell specialized quantum computing hardware together with related maintenance and support. We also sell access to several quantum computers of various qubit capacities and are in the process of researching and developing technologies for quantum computers with increasing computational capabilities. We currently make access to our quantum computers available via three major cloud platforms, Amazon Web Services’ (“AWS”) Amazon Braket, Microsoft’s Azure Quantum and Google’s Cloud Marketplace, and also to select customers via our own cloud service. This cloud-based approach enables the broad availability of quantum-computing-as-a-service (“QCaaS”). 
We supplement our offerings with professional services focused on assisting our customers in applying quantum computing to their businesses. We also expect to sell full quantum computing systems to customers, either over the cloud or for local access. </t>
  </si>
  <si>
    <t>ANAVEX LIFE SCIENCES CORP. (NASDAQ: AVXL)</t>
  </si>
  <si>
    <t>Operating loss</t>
  </si>
  <si>
    <t>4Q24</t>
  </si>
  <si>
    <t>FY2024</t>
  </si>
  <si>
    <t>Grant income</t>
  </si>
  <si>
    <t>Research and development incentive income</t>
  </si>
  <si>
    <t>Interest income (expense), net</t>
  </si>
  <si>
    <t>Other financing expense</t>
  </si>
  <si>
    <t>Foreign exchange gain (loss)</t>
  </si>
  <si>
    <t>Gain on settlement of accounts payable</t>
  </si>
  <si>
    <t xml:space="preserve"> </t>
  </si>
  <si>
    <t>Income tax recovery (expense), current</t>
  </si>
  <si>
    <t>Net Loss per share, Diluted</t>
  </si>
  <si>
    <t>Weighted average number of shares outstanding, Diluted</t>
  </si>
  <si>
    <t>Incentive and tax receivables</t>
  </si>
  <si>
    <t>Accrued liabilities - Note 3</t>
  </si>
  <si>
    <t>Deferred grant income - Note 4</t>
  </si>
  <si>
    <t>Preferred stock</t>
  </si>
  <si>
    <t>Common stock</t>
  </si>
  <si>
    <t>Share proceeds receivable</t>
  </si>
  <si>
    <t>Non-cash financing related charges</t>
  </si>
  <si>
    <t>Share-based compensation</t>
  </si>
  <si>
    <t>Changes in working capital balances related to operations:</t>
  </si>
  <si>
    <t>Prepaid expenses and deposits</t>
  </si>
  <si>
    <t>Accrued liabilities</t>
  </si>
  <si>
    <t>Deferred grant income</t>
  </si>
  <si>
    <t>Issuance of common shares</t>
  </si>
  <si>
    <t>Share issue costs</t>
  </si>
  <si>
    <t>Proceeds from exercise of warrants</t>
  </si>
  <si>
    <t>Proceeds from exercise of stock options</t>
  </si>
  <si>
    <t>(Decrease) Increase in cash and cash equivalents during the year</t>
  </si>
  <si>
    <t>Cash and cash equivalents, beginning of year</t>
  </si>
  <si>
    <t>Cash and cash equivalents, end of year</t>
  </si>
  <si>
    <t>Supplemental Cash Flow Information</t>
  </si>
  <si>
    <t>Cash paid for state and local franchise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</si>
</sst>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quot;$ &quot;#,##0_);_(&quot;$ &quot;\(#,##0\)"/>
    <numFmt numFmtId="165" formatCode="&quot;$&quot;#,##0"/>
    <numFmt numFmtId="166" formatCode="0.00&quot;x&quot;"/>
    <numFmt numFmtId="167" formatCode="_(* #,##0_);_(* \(#,##0\);_(* &quot;-&quot;??_);_(@_)"/>
    <numFmt numFmtId="168" formatCode="_([$$-409]* #,##0.00_);_([$$-409]* \(#,##0.00\);_([$$-409]* &quot;-&quot;??_);_(@_)"/>
    <numFmt numFmtId="169" formatCode="_([$$-409]* #,##0_);_([$$-409]* \(#,##0\);_([$$-409]* &quot;-&quot;_);_(@_)"/>
  </numFmts>
  <fonts count="32"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b/>
      <sz val="11"/>
      <name val="Calibri"/>
      <family val="2"/>
    </font>
    <font>
      <sz val="11"/>
      <name val="Calibri"/>
      <family val="2"/>
    </font>
    <font>
      <i/>
      <sz val="11"/>
      <color theme="0"/>
      <name val="Aptos Narrow"/>
      <family val="2"/>
      <scheme val="minor"/>
    </font>
    <font>
      <b/>
      <sz val="12"/>
      <color theme="0"/>
      <name val="Aptos Narrow"/>
      <family val="2"/>
      <scheme val="minor"/>
    </font>
    <font>
      <i/>
      <sz val="11"/>
      <color theme="0"/>
      <name val="Calibri"/>
      <family val="2"/>
    </font>
    <font>
      <sz val="11"/>
      <color rgb="FF0000CC"/>
      <name val="Calibri"/>
      <family val="2"/>
    </font>
    <font>
      <sz val="11"/>
      <color rgb="FF0000FF"/>
      <name val="Calibri"/>
      <family val="2"/>
    </font>
    <font>
      <sz val="11"/>
      <color theme="1"/>
      <name val="Calibri"/>
      <family val="2"/>
    </font>
    <font>
      <i/>
      <sz val="9"/>
      <color theme="1"/>
      <name val="Aptos Narrow"/>
      <family val="2"/>
      <scheme val="minor"/>
    </font>
    <font>
      <b/>
      <sz val="11"/>
      <color theme="1"/>
      <name val="Calibri"/>
      <family val="2"/>
    </font>
    <font>
      <b/>
      <i/>
      <sz val="9"/>
      <color theme="1"/>
      <name val="Aptos Narrow"/>
      <family val="2"/>
      <scheme val="minor"/>
    </font>
    <font>
      <i/>
      <sz val="10"/>
      <name val="Calibri"/>
      <family val="2"/>
    </font>
    <font>
      <sz val="10"/>
      <name val="Calibri"/>
      <family val="2"/>
    </font>
    <font>
      <sz val="11"/>
      <color rgb="FF0000E1"/>
      <name val="Calibri"/>
      <family val="2"/>
    </font>
    <font>
      <sz val="11"/>
      <color theme="9" tint="-0.249977111117893"/>
      <name val="Calibri"/>
      <family val="2"/>
    </font>
    <font>
      <b/>
      <sz val="11"/>
      <color theme="0"/>
      <name val="Calibri"/>
      <family val="2"/>
    </font>
    <font>
      <b/>
      <sz val="12"/>
      <color theme="1"/>
      <name val="Aptos Narrow"/>
      <family val="2"/>
      <scheme val="minor"/>
    </font>
    <font>
      <b/>
      <sz val="11"/>
      <name val="Aptos Narrow"/>
      <family val="2"/>
      <scheme val="minor"/>
    </font>
    <font>
      <b/>
      <sz val="12"/>
      <name val="Aptos Narrow"/>
      <family val="2"/>
      <scheme val="minor"/>
    </font>
    <font>
      <b/>
      <sz val="11"/>
      <color rgb="FF0000CC"/>
      <name val="Calibri"/>
      <family val="2"/>
    </font>
    <font>
      <sz val="11"/>
      <color rgb="FF0000CC"/>
      <name val="Aptos Narrow"/>
      <family val="2"/>
      <scheme val="minor"/>
    </font>
    <font>
      <b/>
      <sz val="12"/>
      <color indexed="8"/>
      <name val="Calibri"/>
      <family val="2"/>
      <charset val="1"/>
    </font>
    <font>
      <b/>
      <sz val="11"/>
      <color rgb="FF0000FF"/>
      <name val="Calibri"/>
      <family val="2"/>
    </font>
    <font>
      <i/>
      <sz val="11"/>
      <color theme="1"/>
      <name val="Aptos Narrow"/>
      <family val="2"/>
      <scheme val="minor"/>
    </font>
    <font>
      <sz val="11"/>
      <color rgb="FF0000FF"/>
      <name val="Aptos Narrow"/>
      <family val="2"/>
      <scheme val="minor"/>
    </font>
    <font>
      <sz val="11"/>
      <color rgb="FFFF0000"/>
      <name val="Aptos Narrow"/>
      <family val="2"/>
      <scheme val="minor"/>
    </font>
    <font>
      <sz val="11"/>
      <color theme="9" tint="-0.249977111117893"/>
      <name val="Aptos Narrow"/>
      <family val="2"/>
      <scheme val="minor"/>
    </font>
  </fonts>
  <fills count="5">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3" tint="0.89999084444715716"/>
        <bgColor indexed="64"/>
      </patternFill>
    </fill>
  </fills>
  <borders count="13">
    <border>
      <left/>
      <right/>
      <top/>
      <bottom/>
      <diagonal/>
    </border>
    <border>
      <left/>
      <right/>
      <top style="thin">
        <color indexed="64"/>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79">
    <xf numFmtId="0" fontId="0" fillId="0" borderId="0" xfId="0"/>
    <xf numFmtId="37" fontId="6" fillId="0" borderId="0" xfId="0" applyNumberFormat="1" applyFont="1" applyAlignment="1">
      <alignment horizontal="right" vertical="top"/>
    </xf>
    <xf numFmtId="0" fontId="6" fillId="0" borderId="0" xfId="0" applyFont="1" applyAlignment="1">
      <alignment vertical="top" wrapText="1"/>
    </xf>
    <xf numFmtId="0" fontId="3" fillId="0" borderId="0" xfId="0" applyFont="1"/>
    <xf numFmtId="37" fontId="0" fillId="0" borderId="0" xfId="0" applyNumberFormat="1"/>
    <xf numFmtId="37" fontId="3" fillId="0" borderId="0" xfId="0" applyNumberFormat="1" applyFont="1"/>
    <xf numFmtId="0" fontId="0" fillId="0" borderId="0" xfId="0" applyAlignment="1">
      <alignment wrapText="1"/>
    </xf>
    <xf numFmtId="0" fontId="2" fillId="2" borderId="0" xfId="0" applyFont="1" applyFill="1" applyAlignment="1">
      <alignment wrapText="1"/>
    </xf>
    <xf numFmtId="0" fontId="0" fillId="2" borderId="0" xfId="0" applyFill="1" applyAlignment="1">
      <alignment wrapText="1"/>
    </xf>
    <xf numFmtId="0" fontId="7" fillId="2" borderId="0" xfId="0" applyFont="1" applyFill="1" applyAlignment="1">
      <alignment wrapText="1"/>
    </xf>
    <xf numFmtId="0" fontId="7" fillId="0" borderId="0" xfId="0" applyFont="1" applyAlignment="1">
      <alignment wrapText="1"/>
    </xf>
    <xf numFmtId="0" fontId="3" fillId="0" borderId="2" xfId="0" applyFont="1" applyBorder="1" applyAlignment="1">
      <alignment horizontal="centerContinuous" wrapText="1"/>
    </xf>
    <xf numFmtId="0" fontId="3" fillId="0" borderId="0" xfId="0" applyFont="1" applyAlignment="1">
      <alignment horizontal="centerContinuous" wrapText="1"/>
    </xf>
    <xf numFmtId="0" fontId="2" fillId="2" borderId="0" xfId="0" applyFont="1" applyFill="1" applyAlignment="1">
      <alignment horizontal="center" wrapText="1"/>
    </xf>
    <xf numFmtId="0" fontId="2" fillId="0" borderId="0" xfId="0" applyFont="1" applyAlignment="1">
      <alignment horizontal="center" wrapText="1"/>
    </xf>
    <xf numFmtId="0" fontId="9" fillId="2" borderId="0" xfId="0" applyFont="1" applyFill="1" applyAlignment="1">
      <alignment vertical="center"/>
    </xf>
    <xf numFmtId="14" fontId="4" fillId="2" borderId="0" xfId="0" applyNumberFormat="1" applyFont="1" applyFill="1" applyAlignment="1">
      <alignment horizontal="center" wrapText="1"/>
    </xf>
    <xf numFmtId="14" fontId="7" fillId="0" borderId="0" xfId="0" applyNumberFormat="1" applyFont="1" applyAlignment="1">
      <alignment horizontal="center" wrapText="1"/>
    </xf>
    <xf numFmtId="0" fontId="9" fillId="0" borderId="0" xfId="0" applyFont="1" applyAlignment="1">
      <alignment vertical="center" wrapText="1"/>
    </xf>
    <xf numFmtId="14" fontId="2" fillId="0" borderId="0" xfId="0" applyNumberFormat="1" applyFont="1" applyAlignment="1">
      <alignment horizontal="center" wrapText="1"/>
    </xf>
    <xf numFmtId="37" fontId="10" fillId="0" borderId="0" xfId="0" applyNumberFormat="1" applyFont="1" applyAlignment="1">
      <alignment horizontal="right" vertical="top" wrapText="1"/>
    </xf>
    <xf numFmtId="37" fontId="0" fillId="0" borderId="0" xfId="0" applyNumberFormat="1" applyAlignment="1">
      <alignment wrapText="1"/>
    </xf>
    <xf numFmtId="37" fontId="11" fillId="0" borderId="0" xfId="0" applyNumberFormat="1" applyFont="1" applyAlignment="1">
      <alignment horizontal="right" vertical="top" wrapText="1"/>
    </xf>
    <xf numFmtId="37" fontId="12" fillId="0" borderId="0" xfId="0" applyNumberFormat="1" applyFont="1" applyAlignment="1">
      <alignment wrapText="1"/>
    </xf>
    <xf numFmtId="10" fontId="13" fillId="3" borderId="0" xfId="2" applyNumberFormat="1" applyFont="1" applyFill="1" applyAlignment="1">
      <alignment horizontal="center" wrapText="1"/>
    </xf>
    <xf numFmtId="0" fontId="6" fillId="0" borderId="0" xfId="0" applyFont="1" applyAlignment="1">
      <alignment horizontal="left" vertical="top" wrapText="1" indent="1"/>
    </xf>
    <xf numFmtId="37" fontId="5" fillId="0" borderId="1" xfId="0" applyNumberFormat="1" applyFont="1" applyBorder="1" applyAlignment="1">
      <alignment horizontal="right" vertical="top" wrapText="1"/>
    </xf>
    <xf numFmtId="164" fontId="14" fillId="0" borderId="0" xfId="0" applyNumberFormat="1" applyFont="1" applyAlignment="1">
      <alignment wrapText="1"/>
    </xf>
    <xf numFmtId="10" fontId="15" fillId="3" borderId="0" xfId="2" applyNumberFormat="1" applyFont="1" applyFill="1" applyAlignment="1">
      <alignment horizontal="center" wrapText="1"/>
    </xf>
    <xf numFmtId="0" fontId="16" fillId="0" borderId="0" xfId="0" applyFont="1" applyAlignment="1">
      <alignment horizontal="right" vertical="center" wrapText="1"/>
    </xf>
    <xf numFmtId="165" fontId="5" fillId="0" borderId="0" xfId="0" applyNumberFormat="1" applyFont="1" applyAlignment="1">
      <alignment horizontal="right" vertical="top" wrapText="1"/>
    </xf>
    <xf numFmtId="9" fontId="17" fillId="0" borderId="0" xfId="2" applyFont="1" applyBorder="1" applyAlignment="1">
      <alignment horizontal="right" vertical="center" wrapText="1"/>
    </xf>
    <xf numFmtId="10" fontId="15" fillId="0" borderId="0" xfId="2" applyNumberFormat="1" applyFont="1" applyFill="1" applyAlignment="1">
      <alignment horizontal="center" wrapText="1"/>
    </xf>
    <xf numFmtId="165" fontId="5" fillId="0" borderId="0" xfId="0" applyNumberFormat="1" applyFont="1" applyAlignment="1">
      <alignment vertical="top" wrapText="1"/>
    </xf>
    <xf numFmtId="0" fontId="12" fillId="0" borderId="0" xfId="0" applyFont="1" applyAlignment="1">
      <alignment wrapText="1"/>
    </xf>
    <xf numFmtId="0" fontId="0" fillId="0" borderId="0" xfId="0" applyAlignment="1">
      <alignment horizontal="center" wrapText="1"/>
    </xf>
    <xf numFmtId="0" fontId="5" fillId="0" borderId="0" xfId="0" applyFont="1" applyAlignment="1">
      <alignment vertical="top" wrapText="1"/>
    </xf>
    <xf numFmtId="37" fontId="6" fillId="0" borderId="0" xfId="0" applyNumberFormat="1" applyFont="1" applyAlignment="1">
      <alignment horizontal="right" vertical="top" wrapText="1"/>
    </xf>
    <xf numFmtId="10" fontId="13" fillId="0" borderId="0" xfId="2" applyNumberFormat="1" applyFont="1" applyFill="1" applyAlignment="1">
      <alignment horizontal="center" wrapText="1"/>
    </xf>
    <xf numFmtId="0" fontId="5" fillId="0" borderId="1" xfId="0" applyFont="1" applyBorder="1" applyAlignment="1">
      <alignment vertical="top" wrapText="1"/>
    </xf>
    <xf numFmtId="39" fontId="17" fillId="0" borderId="0" xfId="0" applyNumberFormat="1" applyFont="1" applyAlignment="1">
      <alignment horizontal="right" vertical="center" wrapText="1"/>
    </xf>
    <xf numFmtId="9" fontId="17" fillId="0" borderId="0" xfId="2" applyFont="1" applyFill="1" applyBorder="1" applyAlignment="1">
      <alignment horizontal="right" vertical="center" wrapText="1"/>
    </xf>
    <xf numFmtId="0" fontId="6" fillId="0" borderId="0" xfId="0" applyFont="1" applyAlignment="1">
      <alignment horizontal="left" vertical="top" wrapText="1"/>
    </xf>
    <xf numFmtId="0" fontId="3" fillId="0" borderId="1" xfId="0" applyFont="1" applyBorder="1"/>
    <xf numFmtId="0" fontId="0" fillId="0" borderId="3" xfId="0" applyBorder="1"/>
    <xf numFmtId="9" fontId="6" fillId="0" borderId="0" xfId="2" applyFont="1" applyBorder="1" applyAlignment="1">
      <alignment horizontal="right" vertical="center"/>
    </xf>
    <xf numFmtId="0" fontId="0" fillId="0" borderId="6" xfId="0" applyBorder="1"/>
    <xf numFmtId="37" fontId="18" fillId="0" borderId="2" xfId="0" applyNumberFormat="1" applyFont="1" applyBorder="1" applyAlignment="1">
      <alignment horizontal="right" vertical="center"/>
    </xf>
    <xf numFmtId="37" fontId="18" fillId="0" borderId="2" xfId="2" applyNumberFormat="1" applyFont="1" applyBorder="1" applyAlignment="1">
      <alignment horizontal="right" vertical="center"/>
    </xf>
    <xf numFmtId="37" fontId="18" fillId="0" borderId="7" xfId="2" applyNumberFormat="1" applyFont="1" applyBorder="1" applyAlignment="1">
      <alignment horizontal="right" vertical="center"/>
    </xf>
    <xf numFmtId="37" fontId="19" fillId="0" borderId="2" xfId="2" applyNumberFormat="1" applyFont="1" applyBorder="1" applyAlignment="1">
      <alignment horizontal="right" vertical="center"/>
    </xf>
    <xf numFmtId="0" fontId="20" fillId="2" borderId="0" xfId="0" applyFont="1" applyFill="1" applyAlignment="1">
      <alignment horizontal="center" vertical="center" wrapText="1"/>
    </xf>
    <xf numFmtId="0" fontId="9" fillId="2" borderId="0" xfId="0" applyFont="1" applyFill="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37" fontId="21" fillId="0" borderId="0" xfId="0" applyNumberFormat="1" applyFont="1" applyAlignment="1">
      <alignment wrapText="1"/>
    </xf>
    <xf numFmtId="37" fontId="3" fillId="0" borderId="0" xfId="0" applyNumberFormat="1" applyFont="1" applyAlignment="1">
      <alignment wrapText="1"/>
    </xf>
    <xf numFmtId="37" fontId="5" fillId="0" borderId="0" xfId="0" applyNumberFormat="1" applyFont="1" applyAlignment="1">
      <alignment horizontal="right" vertical="top" wrapText="1"/>
    </xf>
    <xf numFmtId="37" fontId="18" fillId="0" borderId="0" xfId="0" applyNumberFormat="1" applyFont="1" applyAlignment="1">
      <alignment horizontal="right" vertical="top" wrapText="1"/>
    </xf>
    <xf numFmtId="37" fontId="22" fillId="0" borderId="1" xfId="0" applyNumberFormat="1" applyFont="1" applyBorder="1" applyAlignment="1">
      <alignment wrapText="1"/>
    </xf>
    <xf numFmtId="37" fontId="23" fillId="0" borderId="0" xfId="0" applyNumberFormat="1" applyFont="1" applyAlignment="1">
      <alignment wrapText="1"/>
    </xf>
    <xf numFmtId="37" fontId="24" fillId="0" borderId="0" xfId="0" applyNumberFormat="1" applyFont="1" applyAlignment="1">
      <alignment horizontal="right" vertical="top" wrapText="1"/>
    </xf>
    <xf numFmtId="0" fontId="21" fillId="0" borderId="0" xfId="0" applyFont="1" applyAlignment="1">
      <alignment wrapText="1"/>
    </xf>
    <xf numFmtId="0" fontId="6" fillId="0" borderId="0" xfId="0" applyFont="1" applyAlignment="1">
      <alignment horizontal="left" vertical="top" indent="1"/>
    </xf>
    <xf numFmtId="37" fontId="11" fillId="0" borderId="0" xfId="0" applyNumberFormat="1" applyFont="1" applyAlignment="1">
      <alignment wrapText="1"/>
    </xf>
    <xf numFmtId="0" fontId="11" fillId="0" borderId="0" xfId="0" applyFont="1" applyAlignment="1">
      <alignment wrapText="1"/>
    </xf>
    <xf numFmtId="37" fontId="25" fillId="0" borderId="0" xfId="0" applyNumberFormat="1" applyFont="1" applyAlignment="1">
      <alignment wrapText="1"/>
    </xf>
    <xf numFmtId="0" fontId="18" fillId="0" borderId="0" xfId="0" applyFont="1" applyAlignment="1">
      <alignment wrapText="1"/>
    </xf>
    <xf numFmtId="37" fontId="18" fillId="0" borderId="0" xfId="0" applyNumberFormat="1" applyFont="1" applyAlignment="1">
      <alignment wrapText="1"/>
    </xf>
    <xf numFmtId="37" fontId="5" fillId="0" borderId="1" xfId="0" applyNumberFormat="1" applyFont="1" applyBorder="1" applyAlignment="1">
      <alignment wrapText="1"/>
    </xf>
    <xf numFmtId="0" fontId="5" fillId="0" borderId="0" xfId="0" applyFont="1" applyAlignment="1">
      <alignment wrapText="1"/>
    </xf>
    <xf numFmtId="37" fontId="6" fillId="0" borderId="0" xfId="0" applyNumberFormat="1" applyFont="1" applyAlignment="1">
      <alignment wrapText="1"/>
    </xf>
    <xf numFmtId="0" fontId="5" fillId="4" borderId="3" xfId="0" applyFont="1" applyFill="1" applyBorder="1" applyAlignment="1">
      <alignment vertical="top"/>
    </xf>
    <xf numFmtId="37" fontId="6" fillId="4" borderId="4" xfId="0" applyNumberFormat="1" applyFont="1" applyFill="1" applyBorder="1"/>
    <xf numFmtId="37" fontId="6" fillId="4" borderId="5" xfId="0" applyNumberFormat="1" applyFont="1" applyFill="1" applyBorder="1"/>
    <xf numFmtId="37" fontId="6" fillId="4" borderId="3" xfId="0" applyNumberFormat="1" applyFont="1" applyFill="1" applyBorder="1"/>
    <xf numFmtId="37" fontId="6" fillId="4" borderId="3" xfId="0" applyNumberFormat="1" applyFont="1" applyFill="1" applyBorder="1" applyAlignment="1">
      <alignment wrapText="1"/>
    </xf>
    <xf numFmtId="37" fontId="6" fillId="4" borderId="5" xfId="0" applyNumberFormat="1" applyFont="1" applyFill="1" applyBorder="1" applyAlignment="1">
      <alignment wrapText="1"/>
    </xf>
    <xf numFmtId="0" fontId="6" fillId="4" borderId="8" xfId="0" applyFont="1" applyFill="1" applyBorder="1" applyAlignment="1">
      <alignment horizontal="left" vertical="top" indent="1"/>
    </xf>
    <xf numFmtId="166" fontId="6" fillId="4" borderId="9" xfId="0" applyNumberFormat="1" applyFont="1" applyFill="1" applyBorder="1" applyAlignment="1">
      <alignment horizontal="center" vertical="center"/>
    </xf>
    <xf numFmtId="166" fontId="6" fillId="4" borderId="8" xfId="0" applyNumberFormat="1" applyFont="1" applyFill="1" applyBorder="1" applyAlignment="1">
      <alignment horizontal="center" vertical="center"/>
    </xf>
    <xf numFmtId="0" fontId="0" fillId="4" borderId="8" xfId="0" applyFill="1" applyBorder="1" applyAlignment="1">
      <alignment horizontal="left" indent="1"/>
    </xf>
    <xf numFmtId="0" fontId="6" fillId="4" borderId="6" xfId="0" applyFont="1" applyFill="1" applyBorder="1" applyAlignment="1">
      <alignment horizontal="left" vertical="top" indent="1"/>
    </xf>
    <xf numFmtId="166" fontId="6" fillId="4" borderId="2" xfId="0" applyNumberFormat="1" applyFont="1" applyFill="1" applyBorder="1" applyAlignment="1">
      <alignment horizontal="center" vertical="center"/>
    </xf>
    <xf numFmtId="166" fontId="6" fillId="4" borderId="7" xfId="0" applyNumberFormat="1" applyFont="1" applyFill="1" applyBorder="1" applyAlignment="1">
      <alignment horizontal="center" vertical="center"/>
    </xf>
    <xf numFmtId="166" fontId="6" fillId="4" borderId="6" xfId="0" applyNumberFormat="1" applyFont="1" applyFill="1" applyBorder="1" applyAlignment="1">
      <alignment horizontal="center"/>
    </xf>
    <xf numFmtId="166" fontId="6" fillId="4" borderId="2" xfId="0" applyNumberFormat="1" applyFont="1" applyFill="1" applyBorder="1" applyAlignment="1">
      <alignment horizontal="center"/>
    </xf>
    <xf numFmtId="166" fontId="6" fillId="4" borderId="7" xfId="0" applyNumberFormat="1" applyFont="1" applyFill="1" applyBorder="1" applyAlignment="1">
      <alignment horizontal="center"/>
    </xf>
    <xf numFmtId="0" fontId="3" fillId="0" borderId="0" xfId="0" applyFont="1" applyAlignment="1">
      <alignment wrapText="1"/>
    </xf>
    <xf numFmtId="0" fontId="26" fillId="0" borderId="0" xfId="0" applyFont="1" applyAlignment="1">
      <alignment wrapText="1"/>
    </xf>
    <xf numFmtId="167" fontId="0" fillId="0" borderId="0" xfId="1" applyNumberFormat="1" applyFont="1" applyBorder="1" applyAlignment="1">
      <alignment wrapText="1"/>
    </xf>
    <xf numFmtId="0" fontId="0" fillId="0" borderId="0" xfId="0" applyAlignment="1">
      <alignment horizontal="left" wrapText="1" indent="1"/>
    </xf>
    <xf numFmtId="37" fontId="11" fillId="0" borderId="0" xfId="0" applyNumberFormat="1" applyFont="1"/>
    <xf numFmtId="37" fontId="12" fillId="0" borderId="0" xfId="0" applyNumberFormat="1" applyFont="1"/>
    <xf numFmtId="37" fontId="6" fillId="0" borderId="0" xfId="0" applyNumberFormat="1" applyFont="1"/>
    <xf numFmtId="37" fontId="11" fillId="0" borderId="0" xfId="1" applyNumberFormat="1" applyFont="1" applyBorder="1" applyAlignment="1">
      <alignment wrapText="1"/>
    </xf>
    <xf numFmtId="37" fontId="10" fillId="0" borderId="0" xfId="1" applyNumberFormat="1" applyFont="1" applyBorder="1" applyAlignment="1">
      <alignment wrapText="1"/>
    </xf>
    <xf numFmtId="37" fontId="6" fillId="0" borderId="0" xfId="1" applyNumberFormat="1" applyFont="1" applyBorder="1" applyAlignment="1">
      <alignment wrapText="1"/>
    </xf>
    <xf numFmtId="37" fontId="10" fillId="0" borderId="0" xfId="1" applyNumberFormat="1" applyFont="1" applyFill="1" applyBorder="1" applyAlignment="1">
      <alignment wrapText="1"/>
    </xf>
    <xf numFmtId="0" fontId="0" fillId="0" borderId="0" xfId="0" applyAlignment="1">
      <alignment horizontal="left" indent="1"/>
    </xf>
    <xf numFmtId="0" fontId="21" fillId="0" borderId="1" xfId="0" applyFont="1" applyBorder="1" applyAlignment="1">
      <alignment wrapText="1"/>
    </xf>
    <xf numFmtId="37" fontId="5" fillId="0" borderId="1" xfId="1" applyNumberFormat="1" applyFont="1" applyBorder="1" applyAlignment="1">
      <alignment wrapText="1"/>
    </xf>
    <xf numFmtId="37" fontId="5" fillId="0" borderId="0" xfId="1" applyNumberFormat="1" applyFont="1" applyBorder="1" applyAlignment="1">
      <alignment wrapText="1"/>
    </xf>
    <xf numFmtId="37" fontId="14" fillId="0" borderId="0" xfId="1" applyNumberFormat="1" applyFont="1" applyBorder="1" applyAlignment="1">
      <alignment wrapText="1"/>
    </xf>
    <xf numFmtId="37" fontId="27" fillId="0" borderId="0" xfId="1" applyNumberFormat="1" applyFont="1" applyBorder="1" applyAlignment="1">
      <alignment wrapText="1"/>
    </xf>
    <xf numFmtId="37" fontId="14" fillId="0" borderId="0" xfId="1" applyNumberFormat="1" applyFont="1" applyFill="1" applyBorder="1" applyAlignment="1">
      <alignment wrapText="1"/>
    </xf>
    <xf numFmtId="37" fontId="18" fillId="0" borderId="0" xfId="1" applyNumberFormat="1" applyFont="1" applyFill="1" applyBorder="1" applyAlignment="1">
      <alignment wrapText="1"/>
    </xf>
    <xf numFmtId="0" fontId="14" fillId="4" borderId="3" xfId="0" applyFont="1" applyFill="1" applyBorder="1" applyAlignment="1">
      <alignment wrapText="1"/>
    </xf>
    <xf numFmtId="167" fontId="12" fillId="4" borderId="4" xfId="1" applyNumberFormat="1" applyFont="1" applyFill="1" applyBorder="1" applyAlignment="1">
      <alignment wrapText="1"/>
    </xf>
    <xf numFmtId="167" fontId="12" fillId="4" borderId="5" xfId="1" applyNumberFormat="1" applyFont="1" applyFill="1" applyBorder="1" applyAlignment="1">
      <alignment wrapText="1"/>
    </xf>
    <xf numFmtId="0" fontId="12" fillId="4" borderId="3" xfId="0" applyFont="1" applyFill="1" applyBorder="1" applyAlignment="1">
      <alignment wrapText="1"/>
    </xf>
    <xf numFmtId="0" fontId="12" fillId="4" borderId="4" xfId="0" applyFont="1" applyFill="1" applyBorder="1" applyAlignment="1">
      <alignment wrapText="1"/>
    </xf>
    <xf numFmtId="0" fontId="12" fillId="4" borderId="5" xfId="0" applyFont="1" applyFill="1" applyBorder="1" applyAlignment="1">
      <alignment wrapText="1"/>
    </xf>
    <xf numFmtId="0" fontId="12" fillId="4" borderId="8" xfId="0" applyFont="1" applyFill="1" applyBorder="1" applyAlignment="1">
      <alignment horizontal="left" wrapText="1" indent="1"/>
    </xf>
    <xf numFmtId="167" fontId="12" fillId="4" borderId="0" xfId="1" applyNumberFormat="1" applyFont="1" applyFill="1" applyBorder="1" applyAlignment="1">
      <alignment wrapText="1"/>
    </xf>
    <xf numFmtId="167" fontId="12" fillId="4" borderId="9" xfId="1" applyNumberFormat="1" applyFont="1" applyFill="1" applyBorder="1" applyAlignment="1">
      <alignment wrapText="1"/>
    </xf>
    <xf numFmtId="167" fontId="12" fillId="4" borderId="8" xfId="1" applyNumberFormat="1" applyFont="1" applyFill="1" applyBorder="1" applyAlignment="1">
      <alignment wrapText="1"/>
    </xf>
    <xf numFmtId="37" fontId="14" fillId="4" borderId="8" xfId="0" applyNumberFormat="1" applyFont="1" applyFill="1" applyBorder="1" applyAlignment="1">
      <alignment wrapText="1"/>
    </xf>
    <xf numFmtId="37" fontId="14" fillId="4" borderId="9" xfId="0" applyNumberFormat="1" applyFont="1" applyFill="1" applyBorder="1" applyAlignment="1">
      <alignment wrapText="1"/>
    </xf>
    <xf numFmtId="0" fontId="16" fillId="4" borderId="6" xfId="0" applyFont="1" applyFill="1" applyBorder="1" applyAlignment="1">
      <alignment horizontal="right" vertical="center" wrapText="1"/>
    </xf>
    <xf numFmtId="165" fontId="5" fillId="4" borderId="2" xfId="0" applyNumberFormat="1" applyFont="1" applyFill="1" applyBorder="1" applyAlignment="1">
      <alignment horizontal="right" vertical="top" wrapText="1"/>
    </xf>
    <xf numFmtId="9" fontId="17" fillId="4" borderId="2" xfId="2" applyFont="1" applyFill="1" applyBorder="1" applyAlignment="1">
      <alignment horizontal="right" vertical="center" wrapText="1"/>
    </xf>
    <xf numFmtId="9" fontId="17" fillId="4" borderId="7" xfId="2" applyFont="1" applyFill="1" applyBorder="1" applyAlignment="1">
      <alignment horizontal="right" vertical="center" wrapText="1"/>
    </xf>
    <xf numFmtId="9" fontId="17" fillId="4" borderId="6" xfId="2" applyFont="1" applyFill="1" applyBorder="1" applyAlignment="1">
      <alignment horizontal="right" vertical="center" wrapText="1"/>
    </xf>
    <xf numFmtId="167" fontId="3" fillId="0" borderId="0" xfId="1" applyNumberFormat="1" applyFont="1" applyBorder="1" applyAlignment="1">
      <alignment wrapText="1"/>
    </xf>
    <xf numFmtId="0" fontId="2" fillId="2" borderId="0" xfId="0" applyFont="1" applyFill="1"/>
    <xf numFmtId="0" fontId="2" fillId="2" borderId="0" xfId="0" applyFont="1" applyFill="1" applyAlignment="1">
      <alignment horizontal="center"/>
    </xf>
    <xf numFmtId="14" fontId="7" fillId="2" borderId="0" xfId="0" applyNumberFormat="1" applyFont="1" applyFill="1" applyAlignment="1">
      <alignment horizontal="center"/>
    </xf>
    <xf numFmtId="14" fontId="4" fillId="2" borderId="0" xfId="0" applyNumberFormat="1" applyFont="1" applyFill="1" applyAlignment="1">
      <alignment horizontal="center"/>
    </xf>
    <xf numFmtId="37" fontId="19" fillId="0" borderId="0" xfId="0" applyNumberFormat="1" applyFont="1" applyAlignment="1">
      <alignment horizontal="right" vertical="top" wrapText="1"/>
    </xf>
    <xf numFmtId="0" fontId="8" fillId="0" borderId="0" xfId="0" applyFont="1" applyAlignment="1">
      <alignment horizontal="center" vertical="center" wrapText="1"/>
    </xf>
    <xf numFmtId="10" fontId="22" fillId="0" borderId="0" xfId="0" applyNumberFormat="1" applyFont="1" applyAlignment="1">
      <alignment horizontal="center" wrapText="1"/>
    </xf>
    <xf numFmtId="37" fontId="3" fillId="0" borderId="1" xfId="0" applyNumberFormat="1" applyFont="1" applyBorder="1"/>
    <xf numFmtId="0" fontId="2" fillId="2" borderId="3" xfId="0" applyFont="1" applyFill="1" applyBorder="1"/>
    <xf numFmtId="0" fontId="2" fillId="2" borderId="5" xfId="0" applyFont="1" applyFill="1" applyBorder="1"/>
    <xf numFmtId="0" fontId="0" fillId="0" borderId="7" xfId="0" applyBorder="1"/>
    <xf numFmtId="0" fontId="2" fillId="2" borderId="10" xfId="0" applyFont="1" applyFill="1" applyBorder="1"/>
    <xf numFmtId="0" fontId="4" fillId="2" borderId="11" xfId="0" applyFont="1" applyFill="1" applyBorder="1"/>
    <xf numFmtId="0" fontId="4" fillId="2" borderId="12" xfId="0" applyFont="1" applyFill="1" applyBorder="1"/>
    <xf numFmtId="0" fontId="0" fillId="0" borderId="8" xfId="0" applyBorder="1"/>
    <xf numFmtId="37" fontId="11" fillId="0" borderId="0" xfId="0" applyNumberFormat="1" applyFont="1" applyAlignment="1">
      <alignment horizontal="right" vertical="top"/>
    </xf>
    <xf numFmtId="37" fontId="29" fillId="0" borderId="0" xfId="0" applyNumberFormat="1" applyFont="1"/>
    <xf numFmtId="37" fontId="17" fillId="0" borderId="0" xfId="2" applyNumberFormat="1" applyFont="1" applyBorder="1" applyAlignment="1">
      <alignment horizontal="right" vertical="center" wrapText="1"/>
    </xf>
    <xf numFmtId="0" fontId="29" fillId="0" borderId="0" xfId="0" applyFont="1"/>
    <xf numFmtId="37" fontId="11" fillId="0" borderId="0" xfId="1" applyNumberFormat="1" applyFont="1" applyFill="1" applyBorder="1" applyAlignment="1">
      <alignment wrapText="1"/>
    </xf>
    <xf numFmtId="37" fontId="11" fillId="0" borderId="2" xfId="2" applyNumberFormat="1" applyFont="1" applyBorder="1" applyAlignment="1">
      <alignment horizontal="right" vertical="center"/>
    </xf>
    <xf numFmtId="37" fontId="11" fillId="0" borderId="6" xfId="2" applyNumberFormat="1" applyFont="1" applyBorder="1" applyAlignment="1">
      <alignment horizontal="right" vertical="center"/>
    </xf>
    <xf numFmtId="39" fontId="6" fillId="0" borderId="3" xfId="2" applyNumberFormat="1" applyFont="1" applyBorder="1" applyAlignment="1">
      <alignment horizontal="right" vertical="center"/>
    </xf>
    <xf numFmtId="39" fontId="6" fillId="0" borderId="4" xfId="2" applyNumberFormat="1" applyFont="1" applyBorder="1" applyAlignment="1">
      <alignment horizontal="right" vertical="center"/>
    </xf>
    <xf numFmtId="39" fontId="6" fillId="0" borderId="5" xfId="2" applyNumberFormat="1" applyFont="1" applyBorder="1" applyAlignment="1">
      <alignment horizontal="right" vertical="center"/>
    </xf>
    <xf numFmtId="0" fontId="2" fillId="0" borderId="0" xfId="0" applyFont="1" applyAlignment="1">
      <alignment horizontal="center"/>
    </xf>
    <xf numFmtId="14" fontId="4" fillId="0" borderId="0" xfId="0" applyNumberFormat="1" applyFont="1" applyAlignment="1">
      <alignment horizontal="center"/>
    </xf>
    <xf numFmtId="39" fontId="0" fillId="0" borderId="3" xfId="0" applyNumberFormat="1" applyBorder="1" applyAlignment="1">
      <alignment wrapText="1"/>
    </xf>
    <xf numFmtId="37" fontId="0" fillId="0" borderId="6" xfId="0" applyNumberFormat="1" applyBorder="1" applyAlignment="1">
      <alignment wrapText="1"/>
    </xf>
    <xf numFmtId="39" fontId="0" fillId="0" borderId="5" xfId="0" applyNumberFormat="1" applyBorder="1" applyAlignment="1">
      <alignment wrapText="1"/>
    </xf>
    <xf numFmtId="37" fontId="0" fillId="0" borderId="7" xfId="0" applyNumberFormat="1" applyBorder="1" applyAlignment="1">
      <alignment wrapText="1"/>
    </xf>
    <xf numFmtId="166" fontId="14" fillId="4" borderId="8" xfId="0" applyNumberFormat="1" applyFont="1" applyFill="1" applyBorder="1" applyAlignment="1">
      <alignment horizontal="center" vertical="center"/>
    </xf>
    <xf numFmtId="166" fontId="14" fillId="4" borderId="9" xfId="0" applyNumberFormat="1" applyFont="1" applyFill="1" applyBorder="1" applyAlignment="1">
      <alignment horizontal="center" vertical="center"/>
    </xf>
    <xf numFmtId="166" fontId="14" fillId="4" borderId="6" xfId="0" applyNumberFormat="1" applyFont="1" applyFill="1" applyBorder="1" applyAlignment="1">
      <alignment horizontal="center" vertical="center"/>
    </xf>
    <xf numFmtId="166" fontId="14" fillId="4" borderId="7" xfId="0" applyNumberFormat="1" applyFont="1" applyFill="1" applyBorder="1" applyAlignment="1">
      <alignment horizontal="center" vertical="center"/>
    </xf>
    <xf numFmtId="37" fontId="31" fillId="0" borderId="9" xfId="0" applyNumberFormat="1" applyFont="1" applyBorder="1"/>
    <xf numFmtId="37" fontId="31" fillId="0" borderId="7" xfId="0" applyNumberFormat="1" applyFont="1" applyBorder="1"/>
    <xf numFmtId="168" fontId="30" fillId="0" borderId="9" xfId="0" applyNumberFormat="1" applyFont="1" applyBorder="1"/>
    <xf numFmtId="3" fontId="30" fillId="0" borderId="9" xfId="0" applyNumberFormat="1" applyFont="1" applyBorder="1"/>
    <xf numFmtId="169" fontId="30" fillId="0" borderId="7" xfId="0" applyNumberFormat="1" applyFont="1" applyBorder="1"/>
    <xf numFmtId="169" fontId="0" fillId="0" borderId="9" xfId="0" applyNumberFormat="1" applyBorder="1"/>
    <xf numFmtId="168" fontId="0" fillId="0" borderId="9" xfId="0" applyNumberFormat="1" applyBorder="1"/>
    <xf numFmtId="166" fontId="6" fillId="4" borderId="0" xfId="0" applyNumberFormat="1" applyFont="1" applyFill="1" applyAlignment="1">
      <alignment horizontal="center" vertical="center"/>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0" fontId="28" fillId="0" borderId="5" xfId="0" applyFont="1" applyBorder="1" applyAlignment="1">
      <alignment horizontal="center" vertical="center" wrapText="1"/>
    </xf>
    <xf numFmtId="0" fontId="28" fillId="0" borderId="8" xfId="0" applyFont="1" applyBorder="1" applyAlignment="1">
      <alignment horizontal="center" vertical="center" wrapText="1"/>
    </xf>
    <xf numFmtId="0" fontId="28" fillId="0" borderId="0" xfId="0" applyFont="1" applyAlignment="1">
      <alignment horizontal="center" vertical="center" wrapText="1"/>
    </xf>
    <xf numFmtId="0" fontId="28" fillId="0" borderId="9" xfId="0" applyFont="1" applyBorder="1" applyAlignment="1">
      <alignment horizontal="center" vertical="center" wrapText="1"/>
    </xf>
    <xf numFmtId="0" fontId="28" fillId="0" borderId="6"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7" xfId="0" applyFont="1" applyBorder="1" applyAlignment="1">
      <alignment horizontal="center" vertical="center" wrapText="1"/>
    </xf>
    <xf numFmtId="0" fontId="8" fillId="2" borderId="0" xfId="0" applyFont="1" applyFill="1" applyAlignment="1">
      <alignment horizontal="center" vertical="center" wrapText="1"/>
    </xf>
    <xf numFmtId="37" fontId="19" fillId="0" borderId="7" xfId="2" applyNumberFormat="1" applyFont="1" applyBorder="1" applyAlignment="1">
      <alignment horizontal="right" vertical="center"/>
    </xf>
  </cellXfs>
  <cellStyles count="3">
    <cellStyle name="Comma" xfId="1" builtinId="3"/>
    <cellStyle name="Normal" xfId="0" builtinId="0"/>
    <cellStyle name="Percent" xfId="2" builtinId="5"/>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elix\Downloads\Rigetti%20Computing%20Financials.xlsx" TargetMode="External"/><Relationship Id="rId1" Type="http://schemas.openxmlformats.org/officeDocument/2006/relationships/externalLinkPath" Target="Rigetti%20Computing%20Financia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rm Background"/>
      <sheetName val="3-Statement Model "/>
      <sheetName val="EBITDA &amp; FCF Analysis"/>
      <sheetName val="DCF"/>
      <sheetName val="Peer Comps "/>
    </sheetNames>
    <sheetDataSet>
      <sheetData sheetId="0"/>
      <sheetData sheetId="1">
        <row r="101">
          <cell r="B101" t="str">
            <v>Depreciation and amortization</v>
          </cell>
        </row>
        <row r="102">
          <cell r="B102" t="str">
            <v>Stock-based compensation</v>
          </cell>
        </row>
      </sheetData>
      <sheetData sheetId="2"/>
      <sheetData sheetId="3"/>
      <sheetData sheetId="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https://www.bing.com/financeapi/forcetrigger?t=bxb5m7&amp;q=XNYS%3aIONQ&amp;form=skydnc</v>
    <v>Learn more on Bing</v>
  </rv>
  <rv s="1">
    <v>en-US</v>
    <v>bxb5m7</v>
    <v>268435456</v>
    <v>1</v>
    <v>Powered by Refinitiv</v>
    <v>0</v>
    <v>IONQ, INC. (XNYS:IONQ)</v>
    <v>2</v>
    <v>3</v>
    <v>Finance</v>
    <v>4</v>
    <v>48.56</v>
    <v>6.22</v>
    <v>2.4180999999999999</v>
    <v>-2.52</v>
    <v>-1.0055000000000001E-2</v>
    <v>-5.6897999999999997E-2</v>
    <v>-0.42</v>
    <v>USD</v>
    <v>IonQ, Inc. is engaged in quantum computing that delivers high-performance systems capable of solving commercial and research use cases. The Company's quantum computer, IonQ Forte, boasts 36 algorithmic qubits. It sells specialized quantum computing hardware together with related maintenance and support. The Company has developed custom hardware, custom firmware, and an operating system to orchestrate the quantum computers. The Company also sells access to several quantum computers of various qubit capacities and is in the process of researching and developing technologies for quantum computers with increasing computational capabilities. The Company makes access to its quantum computers available via three cloud platforms, Amazon Web Services (AWS) Amazon Braket, Microsoft's Azure Quantum and Google's Cloud Marketplace, and also to select customers via its own cloud service. This cloud-based approach enables the availability of quantum-computing-as-a-service (QCaaS).</v>
    <v>324</v>
    <v>New York Stock Exchange</v>
    <v>XNYS</v>
    <v>XNYS</v>
    <v>4505 Campus Drive, Suite 100, COLLEGE PARK, MD, 20740 US</v>
    <v>45.14</v>
    <v>Software &amp; IT Services</v>
    <v>Stock</v>
    <v>45658.04162740703</v>
    <v>0</v>
    <v>40.9</v>
    <v>9038702194</v>
    <v>IONQ, INC.</v>
    <v>IONQ, INC.</v>
    <v>44.52</v>
    <v>44.29</v>
    <v>41.77</v>
    <v>41.35</v>
    <v>216392200</v>
    <v>IONQ</v>
    <v>IONQ, INC. (XNYS:IONQ)</v>
    <v>15311420</v>
    <v>26884708</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CD6C-843F-44AC-AD48-EC47A9951368}">
  <dimension ref="B1:F23"/>
  <sheetViews>
    <sheetView showGridLines="0" zoomScale="130" zoomScaleNormal="130" workbookViewId="0">
      <selection activeCell="C3" sqref="C3"/>
    </sheetView>
  </sheetViews>
  <sheetFormatPr defaultRowHeight="15" x14ac:dyDescent="0.25"/>
  <cols>
    <col min="1" max="1" width="3.140625" customWidth="1"/>
    <col min="2" max="2" width="44.85546875" bestFit="1" customWidth="1"/>
    <col min="3" max="3" width="20.5703125" bestFit="1" customWidth="1"/>
    <col min="4" max="4" width="29.140625" bestFit="1" customWidth="1"/>
    <col min="6" max="6" width="12.42578125" bestFit="1" customWidth="1"/>
  </cols>
  <sheetData>
    <row r="1" spans="2:6" ht="15.75" thickBot="1" x14ac:dyDescent="0.3"/>
    <row r="2" spans="2:6" x14ac:dyDescent="0.25">
      <c r="B2" s="133" t="s">
        <v>54</v>
      </c>
      <c r="C2" s="134" t="s">
        <v>55</v>
      </c>
    </row>
    <row r="3" spans="2:6" ht="15.75" thickBot="1" x14ac:dyDescent="0.3">
      <c r="B3" s="46" t="e" vm="1">
        <v>#VALUE!</v>
      </c>
      <c r="C3" s="135" t="s">
        <v>87</v>
      </c>
    </row>
    <row r="4" spans="2:6" ht="15.75" thickBot="1" x14ac:dyDescent="0.3"/>
    <row r="5" spans="2:6" x14ac:dyDescent="0.25">
      <c r="B5" s="133" t="s">
        <v>78</v>
      </c>
      <c r="C5" s="134"/>
    </row>
    <row r="6" spans="2:6" x14ac:dyDescent="0.25">
      <c r="B6" s="139" t="s">
        <v>79</v>
      </c>
      <c r="C6" s="162" cm="1">
        <f t="array" aca="1" ref="C6" ca="1">_FV(B3,"Price")</f>
        <v>41.77</v>
      </c>
    </row>
    <row r="7" spans="2:6" x14ac:dyDescent="0.25">
      <c r="B7" s="139" t="s">
        <v>80</v>
      </c>
      <c r="C7" s="163" cm="1">
        <f t="array" aca="1" ref="C7" ca="1">_FV(B3,"Shares outstanding",TRUE)</f>
        <v>216392200</v>
      </c>
    </row>
    <row r="8" spans="2:6" ht="15.75" thickBot="1" x14ac:dyDescent="0.3">
      <c r="B8" s="46" t="s">
        <v>81</v>
      </c>
      <c r="C8" s="164" cm="1">
        <f t="array" aca="1" ref="C8" ca="1">_FV(B3,"Market cap",TRUE)</f>
        <v>9038702194</v>
      </c>
    </row>
    <row r="9" spans="2:6" ht="15.75" thickBot="1" x14ac:dyDescent="0.3"/>
    <row r="10" spans="2:6" ht="15.75" thickBot="1" x14ac:dyDescent="0.3">
      <c r="B10" s="136" t="s">
        <v>56</v>
      </c>
      <c r="C10" s="137"/>
      <c r="D10" s="137"/>
      <c r="E10" s="137"/>
      <c r="F10" s="138"/>
    </row>
    <row r="11" spans="2:6" ht="109.5" customHeight="1" x14ac:dyDescent="0.25">
      <c r="B11" s="168" t="s">
        <v>89</v>
      </c>
      <c r="C11" s="169"/>
      <c r="D11" s="169"/>
      <c r="E11" s="169"/>
      <c r="F11" s="170"/>
    </row>
    <row r="12" spans="2:6" ht="67.5" customHeight="1" x14ac:dyDescent="0.25">
      <c r="B12" s="171"/>
      <c r="C12" s="172"/>
      <c r="D12" s="172"/>
      <c r="E12" s="172"/>
      <c r="F12" s="173"/>
    </row>
    <row r="13" spans="2:6" ht="54" customHeight="1" thickBot="1" x14ac:dyDescent="0.3">
      <c r="B13" s="174"/>
      <c r="C13" s="175"/>
      <c r="D13" s="175"/>
      <c r="E13" s="175"/>
      <c r="F13" s="176"/>
    </row>
    <row r="14" spans="2:6" ht="15.75" thickBot="1" x14ac:dyDescent="0.3"/>
    <row r="15" spans="2:6" x14ac:dyDescent="0.25">
      <c r="B15" s="133" t="s">
        <v>57</v>
      </c>
      <c r="C15" s="134"/>
    </row>
    <row r="16" spans="2:6" x14ac:dyDescent="0.25">
      <c r="B16" s="139" t="s">
        <v>58</v>
      </c>
      <c r="C16" s="165">
        <v>965974780.79999995</v>
      </c>
    </row>
    <row r="17" spans="2:3" x14ac:dyDescent="0.25">
      <c r="B17" s="139" t="s">
        <v>77</v>
      </c>
      <c r="C17" s="160" t="e">
        <f>'Base Financials '!#REF!</f>
        <v>#REF!</v>
      </c>
    </row>
    <row r="18" spans="2:3" x14ac:dyDescent="0.25">
      <c r="B18" s="139" t="s">
        <v>76</v>
      </c>
      <c r="C18" s="160">
        <v>0</v>
      </c>
    </row>
    <row r="19" spans="2:3" x14ac:dyDescent="0.25">
      <c r="B19" s="139" t="s">
        <v>59</v>
      </c>
      <c r="C19" s="165" t="e">
        <f>SUM(C16+C18-C17)</f>
        <v>#REF!</v>
      </c>
    </row>
    <row r="20" spans="2:3" x14ac:dyDescent="0.25">
      <c r="B20" s="139" t="s">
        <v>82</v>
      </c>
      <c r="C20" s="166" t="e">
        <f ca="1">C19/C7</f>
        <v>#REF!</v>
      </c>
    </row>
    <row r="21" spans="2:3" x14ac:dyDescent="0.25">
      <c r="B21" s="139" t="s">
        <v>60</v>
      </c>
      <c r="C21" s="160" t="e">
        <f>'Base Financials '!#REF!</f>
        <v>#REF!</v>
      </c>
    </row>
    <row r="22" spans="2:3" x14ac:dyDescent="0.25">
      <c r="B22" s="139" t="s">
        <v>83</v>
      </c>
      <c r="C22" s="160" t="e">
        <f>'Base Financials '!V96</f>
        <v>#REF!</v>
      </c>
    </row>
    <row r="23" spans="2:3" ht="15.75" thickBot="1" x14ac:dyDescent="0.3">
      <c r="B23" s="46" t="s">
        <v>61</v>
      </c>
      <c r="C23" s="161" t="e">
        <f>'Adjusted EBITDA Analysis'!T33</f>
        <v>#REF!</v>
      </c>
    </row>
  </sheetData>
  <mergeCells count="1">
    <mergeCell ref="B11: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219A9-859E-45EB-AC60-BF3EE31E83E5}">
  <dimension ref="A1:X107"/>
  <sheetViews>
    <sheetView showGridLines="0" tabSelected="1" topLeftCell="D1" zoomScale="115" zoomScaleNormal="115" workbookViewId="0">
      <selection activeCell="I17" sqref="I17"/>
    </sheetView>
  </sheetViews>
  <sheetFormatPr defaultRowHeight="15" x14ac:dyDescent="0.25"/>
  <cols>
    <col min="1" max="1" width="2.42578125" style="6" customWidth="1"/>
    <col min="2" max="2" width="60" style="6" customWidth="1"/>
    <col min="3" max="6" width="15.85546875" style="6" bestFit="1" customWidth="1"/>
    <col min="7" max="7" width="3.140625" style="6" customWidth="1"/>
    <col min="8" max="13" width="13.5703125" style="6" bestFit="1" customWidth="1"/>
    <col min="14" max="14" width="13" style="6" bestFit="1" customWidth="1"/>
    <col min="15" max="15" width="13.5703125" style="6" bestFit="1" customWidth="1"/>
    <col min="16" max="16" width="13" style="6" bestFit="1" customWidth="1"/>
    <col min="17" max="17" width="13.5703125" style="6" bestFit="1" customWidth="1"/>
    <col min="18" max="18" width="11.140625" style="6" bestFit="1" customWidth="1"/>
    <col min="19" max="19" width="12.140625" style="6" bestFit="1" customWidth="1"/>
    <col min="20" max="20" width="3.140625" style="6" customWidth="1"/>
    <col min="21" max="21" width="13.42578125" style="6" bestFit="1" customWidth="1"/>
    <col min="22" max="22" width="10.5703125" style="6" bestFit="1" customWidth="1"/>
    <col min="23" max="23" width="1.42578125" style="6" customWidth="1"/>
    <col min="24" max="24" width="11.42578125" style="6" bestFit="1" customWidth="1"/>
    <col min="25" max="25" width="1.5703125" style="6" customWidth="1"/>
    <col min="26" max="16384" width="9.140625" style="6"/>
  </cols>
  <sheetData>
    <row r="1" spans="1:24" ht="6" customHeight="1" x14ac:dyDescent="0.25">
      <c r="A1" s="6" t="s">
        <v>14</v>
      </c>
    </row>
    <row r="2" spans="1:24" x14ac:dyDescent="0.25">
      <c r="B2" s="7" t="s">
        <v>90</v>
      </c>
      <c r="C2" s="8"/>
      <c r="D2" s="8"/>
      <c r="E2" s="8"/>
      <c r="F2" s="8"/>
      <c r="G2" s="8"/>
      <c r="H2" s="8"/>
      <c r="I2" s="8"/>
      <c r="J2" s="8"/>
      <c r="K2" s="8"/>
      <c r="L2" s="8"/>
      <c r="M2" s="8"/>
      <c r="N2" s="8"/>
      <c r="O2" s="8"/>
      <c r="P2" s="8"/>
      <c r="Q2" s="8"/>
      <c r="R2" s="8"/>
      <c r="S2" s="8"/>
      <c r="T2" s="8"/>
      <c r="U2" s="8"/>
      <c r="V2" s="8"/>
      <c r="W2" s="8"/>
      <c r="X2" s="8"/>
    </row>
    <row r="3" spans="1:24" x14ac:dyDescent="0.25">
      <c r="B3" s="9" t="s">
        <v>15</v>
      </c>
      <c r="C3" s="8"/>
      <c r="D3" s="8"/>
      <c r="E3" s="8"/>
      <c r="F3" s="8"/>
      <c r="G3" s="8"/>
      <c r="H3" s="8"/>
      <c r="I3" s="8"/>
      <c r="J3" s="8"/>
      <c r="K3" s="8"/>
      <c r="L3" s="8"/>
      <c r="M3" s="8"/>
      <c r="N3" s="8"/>
      <c r="O3" s="8"/>
      <c r="P3" s="8"/>
      <c r="Q3" s="8"/>
      <c r="R3" s="8"/>
      <c r="S3" s="8"/>
      <c r="T3" s="8"/>
      <c r="U3" s="8"/>
      <c r="V3" s="8"/>
      <c r="W3" s="8"/>
      <c r="X3" s="8"/>
    </row>
    <row r="4" spans="1:24" ht="5.25" customHeight="1" x14ac:dyDescent="0.25">
      <c r="B4" s="10"/>
    </row>
    <row r="5" spans="1:24" ht="15.75" thickBot="1" x14ac:dyDescent="0.3">
      <c r="B5" s="11" t="s">
        <v>3</v>
      </c>
      <c r="C5" s="11"/>
      <c r="D5" s="11"/>
      <c r="E5" s="11"/>
      <c r="F5" s="11"/>
      <c r="H5" s="11" t="s">
        <v>4</v>
      </c>
      <c r="I5" s="11"/>
      <c r="J5" s="11"/>
      <c r="K5" s="11"/>
      <c r="L5" s="11"/>
      <c r="M5" s="11"/>
      <c r="N5" s="11"/>
      <c r="O5" s="11"/>
      <c r="P5" s="11"/>
      <c r="Q5" s="11"/>
      <c r="R5" s="11"/>
      <c r="S5" s="11"/>
      <c r="U5" s="11" t="s">
        <v>5</v>
      </c>
      <c r="V5" s="11"/>
      <c r="W5" s="12"/>
      <c r="X5" s="11" t="s">
        <v>16</v>
      </c>
    </row>
    <row r="6" spans="1:24" ht="4.5" customHeight="1" x14ac:dyDescent="0.25"/>
    <row r="7" spans="1:24" x14ac:dyDescent="0.25">
      <c r="A7" s="6" t="s">
        <v>17</v>
      </c>
      <c r="B7" s="7" t="s">
        <v>18</v>
      </c>
      <c r="C7" s="126" t="s">
        <v>19</v>
      </c>
      <c r="D7" s="126" t="s">
        <v>20</v>
      </c>
      <c r="E7" s="126" t="s">
        <v>21</v>
      </c>
      <c r="F7" s="126" t="s">
        <v>93</v>
      </c>
      <c r="H7" s="126" t="s">
        <v>62</v>
      </c>
      <c r="I7" s="126" t="s">
        <v>63</v>
      </c>
      <c r="J7" s="126" t="s">
        <v>64</v>
      </c>
      <c r="K7" s="126" t="s">
        <v>65</v>
      </c>
      <c r="L7" s="126" t="s">
        <v>66</v>
      </c>
      <c r="M7" s="126" t="s">
        <v>67</v>
      </c>
      <c r="N7" s="126" t="s">
        <v>68</v>
      </c>
      <c r="O7" s="126" t="s">
        <v>69</v>
      </c>
      <c r="P7" s="126" t="s">
        <v>70</v>
      </c>
      <c r="Q7" s="126" t="s">
        <v>71</v>
      </c>
      <c r="R7" s="126" t="s">
        <v>72</v>
      </c>
      <c r="S7" s="126" t="s">
        <v>92</v>
      </c>
      <c r="T7" s="150"/>
      <c r="U7" s="13" t="str">
        <f>N7</f>
        <v>3Q23</v>
      </c>
      <c r="V7" s="13" t="str">
        <f>R7</f>
        <v>3Q24</v>
      </c>
      <c r="W7" s="14"/>
      <c r="X7" s="177" t="s">
        <v>22</v>
      </c>
    </row>
    <row r="8" spans="1:24" x14ac:dyDescent="0.25">
      <c r="B8" s="15" t="s">
        <v>75</v>
      </c>
      <c r="C8" s="127">
        <v>44561</v>
      </c>
      <c r="D8" s="127">
        <v>44926</v>
      </c>
      <c r="E8" s="127">
        <v>45291</v>
      </c>
      <c r="F8" s="127">
        <v>45657</v>
      </c>
      <c r="H8" s="128">
        <v>44651</v>
      </c>
      <c r="I8" s="128">
        <v>44742</v>
      </c>
      <c r="J8" s="128">
        <v>44834</v>
      </c>
      <c r="K8" s="128">
        <v>44926</v>
      </c>
      <c r="L8" s="128">
        <v>45016</v>
      </c>
      <c r="M8" s="128">
        <v>45107</v>
      </c>
      <c r="N8" s="128">
        <v>45199</v>
      </c>
      <c r="O8" s="128">
        <v>45291</v>
      </c>
      <c r="P8" s="128">
        <v>45382</v>
      </c>
      <c r="Q8" s="128">
        <v>45473</v>
      </c>
      <c r="R8" s="128">
        <v>45565</v>
      </c>
      <c r="S8" s="128">
        <v>45656</v>
      </c>
      <c r="T8" s="151"/>
      <c r="U8" s="16">
        <f>N8</f>
        <v>45199</v>
      </c>
      <c r="V8" s="16">
        <f>R8</f>
        <v>45565</v>
      </c>
      <c r="W8" s="17"/>
      <c r="X8" s="177"/>
    </row>
    <row r="9" spans="1:24" ht="3.75" customHeight="1" x14ac:dyDescent="0.25">
      <c r="B9" s="18"/>
      <c r="C9" s="17"/>
      <c r="D9" s="17"/>
      <c r="E9" s="17"/>
      <c r="F9" s="17"/>
      <c r="H9" s="19"/>
      <c r="I9" s="19"/>
      <c r="J9" s="19"/>
      <c r="K9" s="19"/>
      <c r="L9" s="19"/>
      <c r="M9" s="19"/>
      <c r="N9" s="19"/>
      <c r="O9" s="19"/>
      <c r="P9" s="19"/>
      <c r="Q9" s="19"/>
      <c r="U9" s="19"/>
      <c r="V9" s="19"/>
      <c r="W9" s="19"/>
    </row>
    <row r="10" spans="1:24" x14ac:dyDescent="0.25">
      <c r="B10" s="36" t="s">
        <v>73</v>
      </c>
      <c r="C10" s="20"/>
      <c r="D10" s="20"/>
      <c r="E10" s="20"/>
      <c r="F10" s="20"/>
      <c r="H10" s="20"/>
      <c r="I10" s="20"/>
      <c r="J10" s="37"/>
      <c r="K10" s="20"/>
      <c r="L10" s="20"/>
      <c r="M10" s="20"/>
      <c r="N10" s="37"/>
      <c r="O10" s="20"/>
      <c r="P10" s="20"/>
      <c r="Q10" s="20"/>
      <c r="U10" s="23"/>
      <c r="V10" s="23"/>
      <c r="W10" s="23"/>
      <c r="X10" s="38"/>
    </row>
    <row r="11" spans="1:24" x14ac:dyDescent="0.25">
      <c r="B11" s="25" t="s">
        <v>8</v>
      </c>
      <c r="C11" s="140">
        <v>-9018</v>
      </c>
      <c r="D11" s="140">
        <v>-13070</v>
      </c>
      <c r="E11" s="140">
        <v>-12039</v>
      </c>
      <c r="F11" s="140">
        <v>-11039</v>
      </c>
      <c r="H11" s="141">
        <v>-3066.951</v>
      </c>
      <c r="I11" s="140">
        <v>-2915.1579999999999</v>
      </c>
      <c r="J11" s="140">
        <v>-3185.451</v>
      </c>
      <c r="K11" s="93">
        <f t="shared" ref="K11:K12" si="0">SUM(D11-SUM(H11:J11))</f>
        <v>-3902.4399999999987</v>
      </c>
      <c r="L11" s="140">
        <v>-3317.0360000000001</v>
      </c>
      <c r="M11" s="140">
        <v>-2882.5680000000002</v>
      </c>
      <c r="N11" s="140">
        <v>-3247.8429999999998</v>
      </c>
      <c r="O11" s="93">
        <f>SUM(E11-SUM(L11:N11))</f>
        <v>-2591.5529999999999</v>
      </c>
      <c r="P11" s="140">
        <v>-2609</v>
      </c>
      <c r="Q11" s="140">
        <v>-2790</v>
      </c>
      <c r="R11" s="140">
        <v>-2859</v>
      </c>
      <c r="S11" s="93">
        <f t="shared" ref="S11:S12" si="1">SUM(F11-SUM(P11:R11))</f>
        <v>-2781</v>
      </c>
      <c r="U11" s="23">
        <f>SUM(L11:O11)</f>
        <v>-12039</v>
      </c>
      <c r="V11" s="23">
        <f>SUM(P11:S11)</f>
        <v>-11039</v>
      </c>
      <c r="W11" s="23"/>
      <c r="X11" s="24">
        <f t="shared" ref="X11:X12" si="2">SUM(V11/U11)-1</f>
        <v>-8.3063377356923374E-2</v>
      </c>
    </row>
    <row r="12" spans="1:24" x14ac:dyDescent="0.25">
      <c r="B12" s="25" t="s">
        <v>9</v>
      </c>
      <c r="C12" s="140">
        <v>-32984</v>
      </c>
      <c r="D12" s="140">
        <v>-37916</v>
      </c>
      <c r="E12" s="140">
        <v>-43717</v>
      </c>
      <c r="F12" s="140">
        <v>-41838</v>
      </c>
      <c r="H12" s="141">
        <v>-8656.4390000000003</v>
      </c>
      <c r="I12" s="140">
        <v>-8604.5889999999999</v>
      </c>
      <c r="J12" s="140">
        <v>-9273.2690000000002</v>
      </c>
      <c r="K12" s="93">
        <f t="shared" si="0"/>
        <v>-11381.703000000001</v>
      </c>
      <c r="L12" s="140">
        <v>-12066.919</v>
      </c>
      <c r="M12" s="140">
        <v>-11306.591</v>
      </c>
      <c r="N12" s="140">
        <v>-10282.853999999999</v>
      </c>
      <c r="O12" s="93">
        <f>SUM(E12-SUM(L12:N12))</f>
        <v>-10060.635999999999</v>
      </c>
      <c r="P12" s="140">
        <v>-8684</v>
      </c>
      <c r="Q12" s="140">
        <v>-9729</v>
      </c>
      <c r="R12" s="140">
        <v>-11870</v>
      </c>
      <c r="S12" s="93">
        <f t="shared" si="1"/>
        <v>-11555</v>
      </c>
      <c r="U12" s="23">
        <f>SUM(L12:O12)</f>
        <v>-43717</v>
      </c>
      <c r="V12" s="23">
        <f>SUM(P12:S12)</f>
        <v>-41838</v>
      </c>
      <c r="W12" s="23"/>
      <c r="X12" s="24">
        <f t="shared" si="2"/>
        <v>-4.2980991376352473E-2</v>
      </c>
    </row>
    <row r="13" spans="1:24" x14ac:dyDescent="0.25">
      <c r="B13" s="39" t="s">
        <v>91</v>
      </c>
      <c r="C13" s="26">
        <f>SUM(C11:C12)</f>
        <v>-42002</v>
      </c>
      <c r="D13" s="26">
        <f>SUM(D11:D12)</f>
        <v>-50986</v>
      </c>
      <c r="E13" s="26">
        <f t="shared" ref="E13:F13" si="3">SUM(E11:E12)</f>
        <v>-55756</v>
      </c>
      <c r="F13" s="26">
        <f t="shared" si="3"/>
        <v>-52877</v>
      </c>
      <c r="H13" s="26">
        <f>SUM(H11:H12)</f>
        <v>-11723.39</v>
      </c>
      <c r="I13" s="26">
        <f t="shared" ref="I13" si="4">SUM(I11:I12)</f>
        <v>-11519.746999999999</v>
      </c>
      <c r="J13" s="26">
        <f t="shared" ref="J13" si="5">SUM(J11:J12)</f>
        <v>-12458.720000000001</v>
      </c>
      <c r="K13" s="26">
        <f t="shared" ref="K13" si="6">SUM(K11:K12)</f>
        <v>-15284.143</v>
      </c>
      <c r="L13" s="26">
        <f t="shared" ref="L13" si="7">SUM(L11:L12)</f>
        <v>-15383.955</v>
      </c>
      <c r="M13" s="26">
        <f t="shared" ref="M13" si="8">SUM(M11:M12)</f>
        <v>-14189.159</v>
      </c>
      <c r="N13" s="26">
        <f t="shared" ref="N13" si="9">SUM(N11:N12)</f>
        <v>-13530.697</v>
      </c>
      <c r="O13" s="26">
        <f t="shared" ref="O13" si="10">SUM(O11:O12)</f>
        <v>-12652.188999999998</v>
      </c>
      <c r="P13" s="26">
        <f t="shared" ref="P13" si="11">SUM(P11:P12)</f>
        <v>-11293</v>
      </c>
      <c r="Q13" s="26">
        <f t="shared" ref="Q13" si="12">SUM(Q11:Q12)</f>
        <v>-12519</v>
      </c>
      <c r="R13" s="26">
        <f t="shared" ref="R13" si="13">SUM(R11:R12)</f>
        <v>-14729</v>
      </c>
      <c r="S13" s="26">
        <f t="shared" ref="S13" si="14">SUM(S11:S12)</f>
        <v>-14336</v>
      </c>
      <c r="U13" s="26">
        <f>SUM(U11:U12)</f>
        <v>-55756</v>
      </c>
      <c r="V13" s="26">
        <f>SUM(V11:V12)</f>
        <v>-52877</v>
      </c>
      <c r="W13" s="27"/>
      <c r="X13" s="28">
        <f>SUM(V13/U13)-1</f>
        <v>-5.1635698400172125E-2</v>
      </c>
    </row>
    <row r="14" spans="1:24" x14ac:dyDescent="0.25">
      <c r="B14" s="29" t="s">
        <v>24</v>
      </c>
      <c r="C14" s="40"/>
      <c r="D14" s="40"/>
      <c r="E14" s="31">
        <f>E13/D13-1</f>
        <v>9.3555093555093505E-2</v>
      </c>
      <c r="F14" s="31">
        <f>F13/E13-1</f>
        <v>-5.1635698400172125E-2</v>
      </c>
      <c r="G14" s="31"/>
      <c r="H14" s="31"/>
      <c r="I14" s="31">
        <f t="shared" ref="I14:S14" si="15">I13/H13-1</f>
        <v>-1.7370658145809403E-2</v>
      </c>
      <c r="J14" s="31">
        <f t="shared" si="15"/>
        <v>8.1509863020429396E-2</v>
      </c>
      <c r="K14" s="31">
        <f t="shared" si="15"/>
        <v>0.22678276741109826</v>
      </c>
      <c r="L14" s="31">
        <f t="shared" si="15"/>
        <v>6.5304283007558972E-3</v>
      </c>
      <c r="M14" s="31">
        <f t="shared" si="15"/>
        <v>-7.7665073773291682E-2</v>
      </c>
      <c r="N14" s="31">
        <f t="shared" si="15"/>
        <v>-4.6405992067605983E-2</v>
      </c>
      <c r="O14" s="31">
        <f t="shared" si="15"/>
        <v>-6.4927032214231239E-2</v>
      </c>
      <c r="P14" s="31">
        <f t="shared" si="15"/>
        <v>-0.10742718117789729</v>
      </c>
      <c r="Q14" s="31">
        <f t="shared" si="15"/>
        <v>0.10856282652970872</v>
      </c>
      <c r="R14" s="31">
        <f t="shared" si="15"/>
        <v>0.17653167185877461</v>
      </c>
      <c r="S14" s="31">
        <f t="shared" si="15"/>
        <v>-2.6682055808269434E-2</v>
      </c>
      <c r="V14" s="31">
        <f>V13/U13-1</f>
        <v>-5.1635698400172125E-2</v>
      </c>
      <c r="W14" s="41"/>
      <c r="X14" s="38"/>
    </row>
    <row r="15" spans="1:24" ht="2.25" customHeight="1" x14ac:dyDescent="0.25">
      <c r="B15" s="33" t="s">
        <v>25</v>
      </c>
      <c r="C15" s="30">
        <v>49</v>
      </c>
      <c r="D15" s="30">
        <v>49</v>
      </c>
      <c r="E15" s="30">
        <v>2777</v>
      </c>
      <c r="F15" s="30">
        <v>7833</v>
      </c>
      <c r="H15" s="30"/>
      <c r="I15" s="30"/>
      <c r="J15" s="30"/>
      <c r="K15" s="30"/>
      <c r="L15" s="30">
        <v>-28777</v>
      </c>
      <c r="M15" s="30">
        <v>-27879</v>
      </c>
      <c r="N15" s="30"/>
      <c r="O15" s="30">
        <v>-19934</v>
      </c>
      <c r="P15" s="30">
        <v>-61402</v>
      </c>
      <c r="Q15" s="30"/>
      <c r="R15" s="30"/>
      <c r="S15" s="30"/>
      <c r="U15" s="34"/>
      <c r="V15" s="34"/>
      <c r="W15" s="34"/>
      <c r="X15" s="35"/>
    </row>
    <row r="16" spans="1:24" x14ac:dyDescent="0.25">
      <c r="B16" s="36" t="s">
        <v>10</v>
      </c>
      <c r="C16" s="40"/>
      <c r="D16" s="40"/>
      <c r="E16" s="31"/>
      <c r="F16" s="31"/>
      <c r="G16" s="31"/>
      <c r="H16" s="31"/>
      <c r="I16" s="31"/>
      <c r="J16" s="31"/>
      <c r="K16" s="31"/>
      <c r="L16" s="31"/>
      <c r="M16" s="31"/>
      <c r="N16" s="31"/>
      <c r="O16" s="31"/>
      <c r="P16" s="31"/>
      <c r="Q16" s="31"/>
      <c r="R16" s="31"/>
      <c r="S16" s="31"/>
      <c r="V16" s="31"/>
      <c r="W16" s="41"/>
      <c r="X16" s="38"/>
    </row>
    <row r="17" spans="1:24" x14ac:dyDescent="0.25">
      <c r="B17" s="25" t="s">
        <v>94</v>
      </c>
      <c r="C17" s="140">
        <v>54</v>
      </c>
      <c r="D17" s="140"/>
      <c r="E17" s="140">
        <v>25</v>
      </c>
      <c r="F17" s="140">
        <v>75</v>
      </c>
      <c r="G17" s="4"/>
      <c r="H17" s="140"/>
      <c r="I17" s="140" t="s">
        <v>100</v>
      </c>
      <c r="J17" s="140"/>
      <c r="K17" s="93">
        <f t="shared" ref="K17:K24" si="16">SUM(D17-SUM(H17:J17))</f>
        <v>0</v>
      </c>
      <c r="L17" s="140">
        <v>25</v>
      </c>
      <c r="M17" s="140" t="s">
        <v>100</v>
      </c>
      <c r="N17" s="140" t="s">
        <v>100</v>
      </c>
      <c r="O17" s="93">
        <f t="shared" ref="O17:O22" si="17">SUM(E17-SUM(L17:N17))</f>
        <v>0</v>
      </c>
      <c r="P17" s="140" t="s">
        <v>100</v>
      </c>
      <c r="Q17" s="140">
        <v>0</v>
      </c>
      <c r="R17" s="140">
        <v>0</v>
      </c>
      <c r="S17" s="93">
        <f>SUM(F17-SUM(P17:R17))</f>
        <v>75</v>
      </c>
      <c r="U17" s="23">
        <f t="shared" ref="U17:U22" si="18">SUM(L17:O17)</f>
        <v>25</v>
      </c>
      <c r="V17" s="23">
        <f t="shared" ref="V17:V22" si="19">SUM(P17:S17)</f>
        <v>75</v>
      </c>
      <c r="W17" s="41"/>
      <c r="X17" s="24">
        <f t="shared" ref="X17:X24" si="20">SUM(V17/U17)-1</f>
        <v>2</v>
      </c>
    </row>
    <row r="18" spans="1:24" x14ac:dyDescent="0.25">
      <c r="B18" s="25" t="s">
        <v>95</v>
      </c>
      <c r="C18" s="140">
        <v>4547</v>
      </c>
      <c r="D18" s="140">
        <v>3323</v>
      </c>
      <c r="E18" s="140">
        <v>2718</v>
      </c>
      <c r="F18" s="140">
        <v>2291</v>
      </c>
      <c r="G18" s="4"/>
      <c r="H18" s="140">
        <v>810.73</v>
      </c>
      <c r="I18" s="140">
        <v>835.51300000000003</v>
      </c>
      <c r="J18" s="140">
        <v>682.43200000000002</v>
      </c>
      <c r="K18" s="93">
        <f t="shared" si="16"/>
        <v>994.32499999999982</v>
      </c>
      <c r="L18" s="140">
        <v>733.59</v>
      </c>
      <c r="M18" s="140">
        <v>749.68100000000004</v>
      </c>
      <c r="N18" s="140">
        <v>564.84199999999998</v>
      </c>
      <c r="O18" s="93">
        <f t="shared" si="17"/>
        <v>669.88699999999972</v>
      </c>
      <c r="P18" s="140">
        <v>592</v>
      </c>
      <c r="Q18" s="140">
        <v>472</v>
      </c>
      <c r="R18" s="140">
        <v>526</v>
      </c>
      <c r="S18" s="93">
        <f t="shared" ref="S18:S22" si="21">SUM(F18-SUM(P18:R18))</f>
        <v>701</v>
      </c>
      <c r="U18" s="23">
        <f t="shared" si="18"/>
        <v>2718</v>
      </c>
      <c r="V18" s="23">
        <f t="shared" si="19"/>
        <v>2291</v>
      </c>
      <c r="W18" s="41"/>
      <c r="X18" s="24">
        <f t="shared" si="20"/>
        <v>-0.1571008094186902</v>
      </c>
    </row>
    <row r="19" spans="1:24" x14ac:dyDescent="0.25">
      <c r="B19" s="25" t="s">
        <v>96</v>
      </c>
      <c r="C19" s="140">
        <v>26</v>
      </c>
      <c r="D19" s="140">
        <v>947</v>
      </c>
      <c r="E19" s="140">
        <v>6519</v>
      </c>
      <c r="F19" s="140">
        <v>7320</v>
      </c>
      <c r="G19" s="4"/>
      <c r="H19" s="140">
        <v>4.91</v>
      </c>
      <c r="I19" s="140">
        <v>7.5780000000000003</v>
      </c>
      <c r="J19" s="140">
        <v>229.917</v>
      </c>
      <c r="K19" s="93">
        <f t="shared" si="16"/>
        <v>704.59500000000003</v>
      </c>
      <c r="L19" s="140">
        <v>1267.6179999999999</v>
      </c>
      <c r="M19" s="140">
        <v>1465.221</v>
      </c>
      <c r="N19" s="140">
        <v>1827.9449999999999</v>
      </c>
      <c r="O19" s="93">
        <f t="shared" si="17"/>
        <v>1958.2160000000003</v>
      </c>
      <c r="P19" s="140">
        <v>2008</v>
      </c>
      <c r="Q19" s="140">
        <v>1756</v>
      </c>
      <c r="R19" s="140">
        <v>1796</v>
      </c>
      <c r="S19" s="93">
        <f t="shared" si="21"/>
        <v>1760</v>
      </c>
      <c r="U19" s="23">
        <f t="shared" si="18"/>
        <v>6519</v>
      </c>
      <c r="V19" s="23">
        <f t="shared" si="19"/>
        <v>7320</v>
      </c>
      <c r="W19" s="41"/>
      <c r="X19" s="24">
        <f t="shared" si="20"/>
        <v>0.12287160607455139</v>
      </c>
    </row>
    <row r="20" spans="1:24" x14ac:dyDescent="0.25">
      <c r="B20" s="25" t="s">
        <v>97</v>
      </c>
      <c r="C20" s="140" t="s">
        <v>100</v>
      </c>
      <c r="D20" s="140"/>
      <c r="E20" s="140">
        <v>-964</v>
      </c>
      <c r="F20" s="140">
        <v>0</v>
      </c>
      <c r="G20" s="4"/>
      <c r="H20" s="140"/>
      <c r="I20" s="140"/>
      <c r="J20" s="140"/>
      <c r="K20" s="93">
        <f t="shared" si="16"/>
        <v>0</v>
      </c>
      <c r="L20" s="140"/>
      <c r="M20" s="140">
        <v>-964.34400000000005</v>
      </c>
      <c r="N20" s="140"/>
      <c r="O20" s="93">
        <f t="shared" si="17"/>
        <v>0.34400000000005093</v>
      </c>
      <c r="P20" s="140">
        <v>0</v>
      </c>
      <c r="Q20" s="140">
        <v>0</v>
      </c>
      <c r="R20" s="140">
        <v>0</v>
      </c>
      <c r="S20" s="93">
        <f t="shared" si="21"/>
        <v>0</v>
      </c>
      <c r="U20" s="23">
        <f t="shared" si="18"/>
        <v>-964</v>
      </c>
      <c r="V20" s="23">
        <f t="shared" si="19"/>
        <v>0</v>
      </c>
      <c r="W20" s="41"/>
      <c r="X20" s="24">
        <f t="shared" si="20"/>
        <v>-1</v>
      </c>
    </row>
    <row r="21" spans="1:24" x14ac:dyDescent="0.25">
      <c r="B21" s="25" t="s">
        <v>98</v>
      </c>
      <c r="C21" s="140">
        <v>-266</v>
      </c>
      <c r="D21" s="140">
        <v>-904</v>
      </c>
      <c r="E21" s="140">
        <v>-40</v>
      </c>
      <c r="F21" s="140">
        <v>189</v>
      </c>
      <c r="G21" s="4"/>
      <c r="H21" s="140">
        <v>55.363</v>
      </c>
      <c r="I21" s="140">
        <v>268.64499999999998</v>
      </c>
      <c r="J21" s="140">
        <v>-732.54899999999998</v>
      </c>
      <c r="K21" s="93">
        <f t="shared" si="16"/>
        <v>-495.459</v>
      </c>
      <c r="L21" s="140">
        <v>365.983</v>
      </c>
      <c r="M21" s="140">
        <v>-118.678</v>
      </c>
      <c r="N21" s="140">
        <v>-101.066</v>
      </c>
      <c r="O21" s="93">
        <f t="shared" si="17"/>
        <v>-186.239</v>
      </c>
      <c r="P21" s="140">
        <v>156</v>
      </c>
      <c r="Q21" s="140">
        <v>-150</v>
      </c>
      <c r="R21" s="140">
        <v>67</v>
      </c>
      <c r="S21" s="93">
        <f t="shared" si="21"/>
        <v>116</v>
      </c>
      <c r="U21" s="23">
        <f t="shared" si="18"/>
        <v>-40</v>
      </c>
      <c r="V21" s="23">
        <f t="shared" si="19"/>
        <v>189</v>
      </c>
      <c r="W21" s="41"/>
      <c r="X21" s="24">
        <f t="shared" si="20"/>
        <v>-5.7249999999999996</v>
      </c>
    </row>
    <row r="22" spans="1:24" x14ac:dyDescent="0.25">
      <c r="B22" s="25" t="s">
        <v>99</v>
      </c>
      <c r="C22" s="140"/>
      <c r="D22" s="140"/>
      <c r="E22" s="140"/>
      <c r="F22" s="140"/>
      <c r="G22" s="4"/>
      <c r="H22" s="141"/>
      <c r="I22" s="141"/>
      <c r="J22" s="141"/>
      <c r="K22" s="93">
        <f t="shared" si="16"/>
        <v>0</v>
      </c>
      <c r="L22" s="140"/>
      <c r="M22" s="140"/>
      <c r="N22" s="140"/>
      <c r="O22" s="93">
        <f t="shared" si="17"/>
        <v>0</v>
      </c>
      <c r="P22" s="140"/>
      <c r="Q22" s="140"/>
      <c r="R22" s="140">
        <v>59</v>
      </c>
      <c r="S22" s="93">
        <f t="shared" si="21"/>
        <v>-59</v>
      </c>
      <c r="U22" s="23">
        <f t="shared" si="18"/>
        <v>0</v>
      </c>
      <c r="V22" s="23">
        <f t="shared" si="19"/>
        <v>0</v>
      </c>
      <c r="W22" s="41"/>
      <c r="X22" s="24" t="e">
        <f t="shared" si="20"/>
        <v>#DIV/0!</v>
      </c>
    </row>
    <row r="23" spans="1:24" x14ac:dyDescent="0.25">
      <c r="B23" s="39" t="s">
        <v>28</v>
      </c>
      <c r="C23" s="132">
        <f>SUM(C17:C22)+C13</f>
        <v>-37641</v>
      </c>
      <c r="D23" s="132">
        <f>SUM(D17:D22)+D13</f>
        <v>-47620</v>
      </c>
      <c r="E23" s="132">
        <f>SUM(E17:E22)+E13</f>
        <v>-47498</v>
      </c>
      <c r="F23" s="132">
        <f>SUM(F17:F22)+F13</f>
        <v>-43002</v>
      </c>
      <c r="G23" s="142"/>
      <c r="H23" s="132">
        <f>SUM(H17:H22)+H13</f>
        <v>-10852.386999999999</v>
      </c>
      <c r="I23" s="132">
        <f>SUM(I17:I22)+I13</f>
        <v>-10408.010999999999</v>
      </c>
      <c r="J23" s="132">
        <f>SUM(J17:J22)+J13</f>
        <v>-12278.920000000002</v>
      </c>
      <c r="K23" s="132">
        <f>SUM(K17:K22)+K13</f>
        <v>-14080.682000000001</v>
      </c>
      <c r="L23" s="132">
        <f>SUM(L17:L22)+L13</f>
        <v>-12991.763999999999</v>
      </c>
      <c r="M23" s="132">
        <f>SUM(M17:M22)+M13</f>
        <v>-13057.278999999999</v>
      </c>
      <c r="N23" s="132">
        <f>SUM(N17:N22)+N13</f>
        <v>-11238.976000000001</v>
      </c>
      <c r="O23" s="132">
        <f>SUM(O17:O22)+O13</f>
        <v>-10209.980999999998</v>
      </c>
      <c r="P23" s="132">
        <f>SUM(P17:P22)+P13</f>
        <v>-8537</v>
      </c>
      <c r="Q23" s="132">
        <f>SUM(Q17:Q22)+Q13</f>
        <v>-10441</v>
      </c>
      <c r="R23" s="132">
        <f>SUM(R17:R22)+R13</f>
        <v>-12281</v>
      </c>
      <c r="S23" s="132">
        <f>SUM(S17:S22)+S13</f>
        <v>-11743</v>
      </c>
      <c r="U23" s="132">
        <f>SUM(U17:U22)+U13</f>
        <v>-47498</v>
      </c>
      <c r="V23" s="132">
        <f>SUM(V17:V22)+V13</f>
        <v>-43002</v>
      </c>
      <c r="W23" s="41"/>
      <c r="X23" s="28">
        <f>SUM(V23/U23)-1</f>
        <v>-9.4656617120720821E-2</v>
      </c>
    </row>
    <row r="24" spans="1:24" x14ac:dyDescent="0.25">
      <c r="B24" s="42" t="s">
        <v>101</v>
      </c>
      <c r="C24" s="140">
        <v>-268</v>
      </c>
      <c r="D24" s="140">
        <v>-358</v>
      </c>
      <c r="E24" s="140">
        <v>-7</v>
      </c>
      <c r="F24" s="140">
        <v>0</v>
      </c>
      <c r="G24" s="143"/>
      <c r="H24" s="140">
        <v>-29.98</v>
      </c>
      <c r="I24" s="140">
        <v>-29.8</v>
      </c>
      <c r="J24" s="140">
        <v>-88.421000000000006</v>
      </c>
      <c r="K24" s="93">
        <f t="shared" si="16"/>
        <v>-209.79899999999998</v>
      </c>
      <c r="L24" s="140">
        <v>20.045999999999999</v>
      </c>
      <c r="M24" s="140">
        <v>-50</v>
      </c>
      <c r="N24" s="140">
        <v>-41</v>
      </c>
      <c r="O24" s="93"/>
      <c r="P24" s="140">
        <v>-85</v>
      </c>
      <c r="Q24" s="140">
        <v>-105</v>
      </c>
      <c r="R24" s="140">
        <v>67</v>
      </c>
      <c r="S24" s="140"/>
      <c r="U24" s="23">
        <f t="shared" ref="U24" si="22">SUM(L24:O24)</f>
        <v>-70.954000000000008</v>
      </c>
      <c r="V24" s="23">
        <f t="shared" ref="V24" si="23">SUM(P24:S24)</f>
        <v>-123</v>
      </c>
      <c r="W24" s="41"/>
      <c r="X24" s="24">
        <f t="shared" si="20"/>
        <v>0.7335174902049213</v>
      </c>
    </row>
    <row r="25" spans="1:24" x14ac:dyDescent="0.25">
      <c r="B25" s="39" t="s">
        <v>29</v>
      </c>
      <c r="C25" s="132">
        <f>SUM(C23+C24)</f>
        <v>-37909</v>
      </c>
      <c r="D25" s="132">
        <f>SUM(D23+D24)</f>
        <v>-47978</v>
      </c>
      <c r="E25" s="132">
        <f t="shared" ref="E25:F25" si="24">SUM(E23+E24)</f>
        <v>-47505</v>
      </c>
      <c r="F25" s="132">
        <f t="shared" si="24"/>
        <v>-43002</v>
      </c>
      <c r="G25" s="5"/>
      <c r="H25" s="132">
        <f t="shared" ref="H25:Q25" si="25">SUM(H23+H24)</f>
        <v>-10882.366999999998</v>
      </c>
      <c r="I25" s="132">
        <f t="shared" si="25"/>
        <v>-10437.810999999998</v>
      </c>
      <c r="J25" s="132">
        <f t="shared" si="25"/>
        <v>-12367.341000000002</v>
      </c>
      <c r="K25" s="132">
        <f t="shared" si="25"/>
        <v>-14290.481</v>
      </c>
      <c r="L25" s="132">
        <f t="shared" si="25"/>
        <v>-12971.717999999999</v>
      </c>
      <c r="M25" s="132">
        <f t="shared" si="25"/>
        <v>-13107.278999999999</v>
      </c>
      <c r="N25" s="132">
        <f t="shared" si="25"/>
        <v>-11279.976000000001</v>
      </c>
      <c r="O25" s="132">
        <f t="shared" si="25"/>
        <v>-10209.980999999998</v>
      </c>
      <c r="P25" s="132">
        <f t="shared" si="25"/>
        <v>-8622</v>
      </c>
      <c r="Q25" s="132">
        <f t="shared" si="25"/>
        <v>-10546</v>
      </c>
      <c r="R25" s="132">
        <f t="shared" ref="R25:V25" si="26">SUM(R23+R24)</f>
        <v>-12214</v>
      </c>
      <c r="S25" s="132">
        <f t="shared" ref="S25" si="27">SUM(S23+S24)</f>
        <v>-11743</v>
      </c>
      <c r="T25" s="21"/>
      <c r="U25" s="132">
        <f t="shared" si="26"/>
        <v>-47568.953999999998</v>
      </c>
      <c r="V25" s="132">
        <f t="shared" si="26"/>
        <v>-43125</v>
      </c>
      <c r="W25" s="43">
        <f t="shared" ref="W25" si="28">SUM(W24-W23)</f>
        <v>0</v>
      </c>
      <c r="X25" s="28">
        <f>SUM(V25/U25)-1</f>
        <v>-9.34213100418394E-2</v>
      </c>
    </row>
    <row r="26" spans="1:24" x14ac:dyDescent="0.25">
      <c r="B26" s="29" t="s">
        <v>24</v>
      </c>
      <c r="C26" s="40"/>
      <c r="D26" s="40"/>
      <c r="E26" s="31">
        <f>E25/D25-1</f>
        <v>-9.858685230730746E-3</v>
      </c>
      <c r="F26" s="31">
        <f>F25/E25-1</f>
        <v>-9.4790022102936522E-2</v>
      </c>
      <c r="G26" s="31"/>
      <c r="H26" s="31"/>
      <c r="I26" s="31">
        <f t="shared" ref="I26:S26" si="29">I25/H25-1</f>
        <v>-4.0851039116765686E-2</v>
      </c>
      <c r="J26" s="31">
        <f t="shared" si="29"/>
        <v>0.1848596415474475</v>
      </c>
      <c r="K26" s="31">
        <f t="shared" si="29"/>
        <v>0.15550149381342337</v>
      </c>
      <c r="L26" s="31">
        <f t="shared" si="29"/>
        <v>-9.2282618058832422E-2</v>
      </c>
      <c r="M26" s="31">
        <f t="shared" si="29"/>
        <v>1.045050470569886E-2</v>
      </c>
      <c r="N26" s="31">
        <f t="shared" si="29"/>
        <v>-0.13941131488846759</v>
      </c>
      <c r="O26" s="31">
        <f t="shared" si="29"/>
        <v>-9.4857914591307879E-2</v>
      </c>
      <c r="P26" s="31">
        <f t="shared" si="29"/>
        <v>-0.15553221891402136</v>
      </c>
      <c r="Q26" s="31">
        <f t="shared" si="29"/>
        <v>0.22315008118765944</v>
      </c>
      <c r="R26" s="31">
        <f t="shared" si="29"/>
        <v>0.15816423288450587</v>
      </c>
      <c r="S26" s="31">
        <f t="shared" si="29"/>
        <v>-3.8562305551007037E-2</v>
      </c>
      <c r="V26" s="31">
        <f>V25/U25-1</f>
        <v>-9.34213100418394E-2</v>
      </c>
      <c r="W26" s="3"/>
      <c r="X26" s="32"/>
    </row>
    <row r="27" spans="1:24" ht="15.75" thickBot="1" x14ac:dyDescent="0.3">
      <c r="B27" s="29"/>
      <c r="C27" s="40"/>
      <c r="D27" s="40"/>
      <c r="E27" s="31"/>
      <c r="F27" s="31"/>
      <c r="G27" s="31"/>
      <c r="H27" s="31"/>
      <c r="I27" s="31"/>
      <c r="J27" s="31"/>
      <c r="K27" s="31"/>
      <c r="L27" s="31"/>
      <c r="M27" s="31"/>
      <c r="N27" s="31"/>
      <c r="O27" s="31"/>
      <c r="P27" s="31"/>
      <c r="Q27" s="31"/>
      <c r="R27" s="31"/>
      <c r="S27" s="31"/>
      <c r="V27" s="31"/>
      <c r="W27" s="41"/>
      <c r="X27" s="38"/>
    </row>
    <row r="28" spans="1:24" x14ac:dyDescent="0.25">
      <c r="B28" s="44" t="s">
        <v>102</v>
      </c>
      <c r="C28" s="148" t="e">
        <f>SUM(C25/C29)</f>
        <v>#DIV/0!</v>
      </c>
      <c r="D28" s="148" t="e">
        <f>SUM(D25/D29)</f>
        <v>#DIV/0!</v>
      </c>
      <c r="E28" s="148">
        <f>SUM(E25/E29)</f>
        <v>-0.59539329897845272</v>
      </c>
      <c r="F28" s="149">
        <f>SUM(F25/F29)</f>
        <v>-0.51519114817215872</v>
      </c>
      <c r="G28" s="45"/>
      <c r="H28" s="147">
        <f>SUM(H25/H29)</f>
        <v>-0.14319330135852198</v>
      </c>
      <c r="I28" s="148">
        <f>SUM(I25/I29)</f>
        <v>-0.13689183262806792</v>
      </c>
      <c r="J28" s="148">
        <f>SUM(J25/J29)</f>
        <v>-0.15969762288371944</v>
      </c>
      <c r="K28" s="148" t="e">
        <f>SUM(K25/K29)</f>
        <v>#DIV/0!</v>
      </c>
      <c r="L28" s="148" t="e">
        <f>SUM(L25/L29)</f>
        <v>#DIV/0!</v>
      </c>
      <c r="M28" s="148">
        <f>SUM(M25/M29)</f>
        <v>-0.16738887206067943</v>
      </c>
      <c r="N28" s="148">
        <f>SUM(N25/N29)</f>
        <v>-0.13947379565574061</v>
      </c>
      <c r="O28" s="148">
        <f>SUM(O25/O29)</f>
        <v>-0.12796451468471362</v>
      </c>
      <c r="P28" s="148" t="e">
        <f>SUM(P25/P29)</f>
        <v>#DIV/0!</v>
      </c>
      <c r="Q28" s="148">
        <f>SUM(Q25/Q29)</f>
        <v>-0.1278857573949703</v>
      </c>
      <c r="R28" s="148">
        <f>SUM(R25/R29)</f>
        <v>-0.1444839724286632</v>
      </c>
      <c r="S28" s="149">
        <f>SUM(S25/S29)</f>
        <v>-0.14068856455480347</v>
      </c>
      <c r="U28" s="152">
        <f>N28</f>
        <v>-0.13947379565574061</v>
      </c>
      <c r="V28" s="154">
        <f>R28</f>
        <v>-0.1444839724286632</v>
      </c>
      <c r="W28" s="41"/>
      <c r="X28" s="28">
        <f t="shared" ref="X28" si="30">SUM(V28/U28)-1</f>
        <v>3.5921993442331379E-2</v>
      </c>
    </row>
    <row r="29" spans="1:24" ht="15.75" thickBot="1" x14ac:dyDescent="0.3">
      <c r="B29" s="46" t="s">
        <v>103</v>
      </c>
      <c r="C29" s="47"/>
      <c r="D29" s="47"/>
      <c r="E29" s="48">
        <v>79787.596000000005</v>
      </c>
      <c r="F29" s="49">
        <v>83468.048999999999</v>
      </c>
      <c r="G29" s="45"/>
      <c r="H29" s="146">
        <v>75997.737999999998</v>
      </c>
      <c r="I29" s="145">
        <v>76248.603000000003</v>
      </c>
      <c r="J29" s="145">
        <v>77442.236000000004</v>
      </c>
      <c r="K29" s="50"/>
      <c r="L29" s="145"/>
      <c r="M29" s="145">
        <v>78304.362999999998</v>
      </c>
      <c r="N29" s="145">
        <v>80875.235000000001</v>
      </c>
      <c r="O29" s="50">
        <f>E29</f>
        <v>79787.596000000005</v>
      </c>
      <c r="P29" s="145"/>
      <c r="Q29" s="145">
        <v>82464.225999999995</v>
      </c>
      <c r="R29" s="145">
        <v>84535.327999999994</v>
      </c>
      <c r="S29" s="178">
        <f>F29</f>
        <v>83468.048999999999</v>
      </c>
      <c r="U29" s="153">
        <f>N29</f>
        <v>80875.235000000001</v>
      </c>
      <c r="V29" s="155">
        <f>R29</f>
        <v>84535.327999999994</v>
      </c>
      <c r="W29" s="41"/>
      <c r="X29" s="38"/>
    </row>
    <row r="30" spans="1:24" x14ac:dyDescent="0.25">
      <c r="B30" s="29"/>
      <c r="C30" s="40"/>
      <c r="D30" s="40"/>
      <c r="E30" s="31"/>
      <c r="F30" s="31"/>
      <c r="G30" s="31"/>
      <c r="H30" s="31"/>
      <c r="I30" s="31"/>
      <c r="J30" s="31"/>
      <c r="K30" s="31"/>
      <c r="L30" s="31"/>
      <c r="M30" s="31"/>
      <c r="N30" s="31"/>
      <c r="O30" s="31"/>
      <c r="P30" s="31"/>
      <c r="Q30" s="31"/>
      <c r="V30" s="31"/>
      <c r="W30" s="41"/>
      <c r="X30" s="38"/>
    </row>
    <row r="31" spans="1:24" x14ac:dyDescent="0.25">
      <c r="A31" s="6" t="s">
        <v>17</v>
      </c>
      <c r="B31" s="7" t="s">
        <v>30</v>
      </c>
      <c r="C31" s="51"/>
      <c r="D31" s="51"/>
      <c r="E31" s="51"/>
      <c r="F31" s="51"/>
      <c r="G31" s="8"/>
      <c r="H31" s="8"/>
      <c r="I31" s="8"/>
      <c r="J31" s="8"/>
      <c r="K31" s="8"/>
      <c r="L31" s="8"/>
      <c r="M31" s="8"/>
      <c r="N31" s="8"/>
      <c r="O31" s="8"/>
      <c r="P31" s="8"/>
      <c r="Q31" s="8"/>
      <c r="R31" s="8"/>
      <c r="S31" s="8"/>
      <c r="T31" s="8"/>
      <c r="U31" s="8"/>
      <c r="V31" s="8"/>
      <c r="W31" s="8"/>
      <c r="X31" s="8"/>
    </row>
    <row r="32" spans="1:24" x14ac:dyDescent="0.25">
      <c r="B32" s="15" t="s">
        <v>75</v>
      </c>
      <c r="C32" s="52"/>
      <c r="D32" s="52"/>
      <c r="E32" s="52"/>
      <c r="F32" s="52"/>
      <c r="G32" s="8"/>
      <c r="H32" s="8"/>
      <c r="I32" s="8"/>
      <c r="J32" s="8"/>
      <c r="K32" s="8"/>
      <c r="L32" s="8"/>
      <c r="M32" s="8"/>
      <c r="N32" s="8"/>
      <c r="O32" s="8"/>
      <c r="P32" s="8"/>
      <c r="Q32" s="8"/>
      <c r="R32" s="8"/>
      <c r="S32" s="8"/>
      <c r="T32" s="8"/>
      <c r="U32" s="8"/>
      <c r="V32" s="8"/>
      <c r="W32" s="8"/>
      <c r="X32" s="8"/>
    </row>
    <row r="33" spans="2:24" ht="3.75" customHeight="1" x14ac:dyDescent="0.25">
      <c r="B33" s="53"/>
      <c r="C33" s="54"/>
      <c r="D33" s="54"/>
      <c r="E33" s="54"/>
      <c r="F33" s="54"/>
    </row>
    <row r="34" spans="2:24" x14ac:dyDescent="0.25">
      <c r="B34" s="36" t="s">
        <v>31</v>
      </c>
      <c r="E34" s="20"/>
      <c r="F34" s="20"/>
    </row>
    <row r="35" spans="2:24" x14ac:dyDescent="0.25">
      <c r="B35" s="25" t="s">
        <v>0</v>
      </c>
      <c r="C35" s="68">
        <v>152107.745</v>
      </c>
      <c r="D35" s="68">
        <v>149158</v>
      </c>
      <c r="E35" s="68">
        <v>151024</v>
      </c>
      <c r="F35" s="58">
        <v>132187</v>
      </c>
      <c r="H35" s="22">
        <v>151146.35500000001</v>
      </c>
      <c r="I35" s="22">
        <v>153342.55600000001</v>
      </c>
      <c r="J35" s="22">
        <v>153199.35200000001</v>
      </c>
      <c r="K35" s="129">
        <f>D35</f>
        <v>149158</v>
      </c>
      <c r="L35" s="22">
        <v>143621.848</v>
      </c>
      <c r="M35" s="22">
        <v>153466.962</v>
      </c>
      <c r="N35" s="22">
        <v>154817.16399999999</v>
      </c>
      <c r="O35" s="129">
        <f>E35</f>
        <v>151024</v>
      </c>
      <c r="P35" s="22">
        <v>143765</v>
      </c>
      <c r="Q35" s="22">
        <v>139386</v>
      </c>
      <c r="R35" s="22">
        <v>138756</v>
      </c>
      <c r="S35" s="129">
        <f>F35</f>
        <v>132187</v>
      </c>
      <c r="U35" s="23">
        <f t="shared" ref="U35:U37" si="31">SUM(L35:O35)</f>
        <v>602929.97399999993</v>
      </c>
      <c r="V35" s="23">
        <f t="shared" ref="V35:V37" si="32">SUM(P35:S35)</f>
        <v>554094</v>
      </c>
      <c r="W35" s="23"/>
      <c r="X35" s="24">
        <f t="shared" ref="X35:X38" si="33">SUM(V35/U35)-1</f>
        <v>-8.0997754475547024E-2</v>
      </c>
    </row>
    <row r="36" spans="2:24" x14ac:dyDescent="0.25">
      <c r="B36" s="25" t="s">
        <v>104</v>
      </c>
      <c r="C36" s="68">
        <v>9136.8310000000001</v>
      </c>
      <c r="D36" s="68">
        <v>3193</v>
      </c>
      <c r="E36" s="68">
        <v>2709</v>
      </c>
      <c r="F36" s="58">
        <v>2449</v>
      </c>
      <c r="H36" s="22">
        <v>5372.1530000000002</v>
      </c>
      <c r="I36" s="22">
        <v>6468.9870000000001</v>
      </c>
      <c r="J36" s="22">
        <v>6559.8289999999997</v>
      </c>
      <c r="K36" s="129">
        <f t="shared" ref="K36:K37" si="34">D36</f>
        <v>3193</v>
      </c>
      <c r="L36" s="22">
        <v>4094.431</v>
      </c>
      <c r="M36" s="22">
        <v>4737.6610000000001</v>
      </c>
      <c r="N36" s="22">
        <v>2165.127</v>
      </c>
      <c r="O36" s="129">
        <f t="shared" ref="O36:O37" si="35">E36</f>
        <v>2709</v>
      </c>
      <c r="P36" s="22">
        <v>3549</v>
      </c>
      <c r="Q36" s="22">
        <v>3785</v>
      </c>
      <c r="R36" s="22">
        <v>1720</v>
      </c>
      <c r="S36" s="129">
        <f t="shared" ref="S36:S37" si="36">F36</f>
        <v>2449</v>
      </c>
      <c r="U36" s="23">
        <f t="shared" si="31"/>
        <v>13706.219000000001</v>
      </c>
      <c r="V36" s="23">
        <f t="shared" si="32"/>
        <v>11503</v>
      </c>
      <c r="W36" s="23"/>
      <c r="X36" s="24">
        <f t="shared" si="33"/>
        <v>-0.16074593584124119</v>
      </c>
    </row>
    <row r="37" spans="2:24" x14ac:dyDescent="0.25">
      <c r="B37" s="25" t="s">
        <v>74</v>
      </c>
      <c r="C37" s="68">
        <v>371.91399999999999</v>
      </c>
      <c r="D37" s="68">
        <v>354</v>
      </c>
      <c r="E37" s="68">
        <v>653</v>
      </c>
      <c r="F37" s="58">
        <v>931</v>
      </c>
      <c r="H37" s="22">
        <v>377.86</v>
      </c>
      <c r="I37" s="22">
        <v>464.60500000000002</v>
      </c>
      <c r="J37" s="22">
        <v>461.96300000000002</v>
      </c>
      <c r="K37" s="129">
        <f t="shared" si="34"/>
        <v>354</v>
      </c>
      <c r="L37" s="22">
        <v>655.64300000000003</v>
      </c>
      <c r="M37" s="22">
        <v>981.774</v>
      </c>
      <c r="N37" s="22">
        <v>827.572</v>
      </c>
      <c r="O37" s="129">
        <f t="shared" si="35"/>
        <v>653</v>
      </c>
      <c r="P37" s="22">
        <v>756</v>
      </c>
      <c r="Q37" s="22">
        <v>1345</v>
      </c>
      <c r="R37" s="22">
        <v>1059</v>
      </c>
      <c r="S37" s="129">
        <f t="shared" si="36"/>
        <v>931</v>
      </c>
      <c r="U37" s="23">
        <f t="shared" si="31"/>
        <v>3117.989</v>
      </c>
      <c r="V37" s="23">
        <f t="shared" si="32"/>
        <v>4091</v>
      </c>
      <c r="W37" s="23"/>
      <c r="X37" s="24">
        <f t="shared" si="33"/>
        <v>0.31206364101990092</v>
      </c>
    </row>
    <row r="38" spans="2:24" x14ac:dyDescent="0.25">
      <c r="B38" s="39" t="s">
        <v>1</v>
      </c>
      <c r="C38" s="59">
        <f>SUM(C35:C37)</f>
        <v>161616.49</v>
      </c>
      <c r="D38" s="59">
        <f t="shared" ref="D38:F38" si="37">SUM(D35:D37)</f>
        <v>152705</v>
      </c>
      <c r="E38" s="59">
        <f t="shared" si="37"/>
        <v>154386</v>
      </c>
      <c r="F38" s="59">
        <f t="shared" si="37"/>
        <v>135567</v>
      </c>
      <c r="H38" s="59">
        <f t="shared" ref="H38" si="38">SUM(H35:H37)</f>
        <v>156896.36799999999</v>
      </c>
      <c r="I38" s="59">
        <f t="shared" ref="I38" si="39">SUM(I35:I37)</f>
        <v>160276.14800000002</v>
      </c>
      <c r="J38" s="59">
        <f t="shared" ref="J38" si="40">SUM(J35:J37)</f>
        <v>160221.144</v>
      </c>
      <c r="K38" s="59">
        <f t="shared" ref="K38" si="41">SUM(K35:K37)</f>
        <v>152705</v>
      </c>
      <c r="L38" s="59">
        <f t="shared" ref="L38" si="42">SUM(L35:L37)</f>
        <v>148371.92200000002</v>
      </c>
      <c r="M38" s="59">
        <f t="shared" ref="M38" si="43">SUM(M35:M37)</f>
        <v>159186.397</v>
      </c>
      <c r="N38" s="59">
        <f t="shared" ref="N38" si="44">SUM(N35:N37)</f>
        <v>157809.86299999998</v>
      </c>
      <c r="O38" s="59">
        <f t="shared" ref="O38" si="45">SUM(O35:O37)</f>
        <v>154386</v>
      </c>
      <c r="P38" s="59">
        <f t="shared" ref="P38" si="46">SUM(P35:P37)</f>
        <v>148070</v>
      </c>
      <c r="Q38" s="59">
        <f t="shared" ref="Q38" si="47">SUM(Q35:Q37)</f>
        <v>144516</v>
      </c>
      <c r="R38" s="59">
        <f t="shared" ref="R38" si="48">SUM(R35:R37)</f>
        <v>141535</v>
      </c>
      <c r="S38" s="59">
        <f t="shared" ref="S38" si="49">SUM(S35:S37)</f>
        <v>135567</v>
      </c>
      <c r="U38" s="59">
        <f t="shared" ref="U38" si="50">SUM(U35:U37)</f>
        <v>619754.18199999991</v>
      </c>
      <c r="V38" s="59">
        <f t="shared" ref="V38" si="51">SUM(V35:V37)</f>
        <v>569688</v>
      </c>
      <c r="W38" s="27"/>
      <c r="X38" s="28">
        <f t="shared" si="33"/>
        <v>-8.0783935718565125E-2</v>
      </c>
    </row>
    <row r="39" spans="2:24" ht="15.75" x14ac:dyDescent="0.25">
      <c r="B39" s="36"/>
      <c r="C39" s="60"/>
      <c r="D39" s="60"/>
      <c r="E39" s="60"/>
      <c r="F39" s="57"/>
      <c r="H39" s="57"/>
      <c r="I39" s="57"/>
      <c r="J39" s="57"/>
      <c r="K39" s="57"/>
      <c r="L39" s="57"/>
      <c r="M39" s="57"/>
      <c r="N39" s="57"/>
      <c r="O39" s="57"/>
      <c r="P39" s="57"/>
      <c r="Q39" s="57"/>
      <c r="U39" s="27"/>
      <c r="V39" s="27"/>
      <c r="W39" s="27"/>
      <c r="X39" s="32"/>
    </row>
    <row r="40" spans="2:24" s="62" customFormat="1" ht="15.75" x14ac:dyDescent="0.25">
      <c r="B40" s="36" t="s">
        <v>32</v>
      </c>
      <c r="C40" s="55"/>
      <c r="D40" s="55"/>
      <c r="E40" s="55"/>
      <c r="F40" s="61"/>
      <c r="H40" s="61"/>
      <c r="I40" s="61"/>
      <c r="J40" s="61"/>
      <c r="K40" s="61"/>
      <c r="L40" s="61"/>
      <c r="M40" s="61"/>
      <c r="N40" s="61"/>
      <c r="O40" s="61"/>
      <c r="P40" s="61"/>
      <c r="Q40" s="61"/>
      <c r="U40" s="61"/>
      <c r="V40" s="61"/>
      <c r="W40" s="61"/>
    </row>
    <row r="41" spans="2:24" x14ac:dyDescent="0.25">
      <c r="B41" s="63" t="s">
        <v>84</v>
      </c>
      <c r="C41" s="64">
        <v>4739.7809999999999</v>
      </c>
      <c r="D41" s="64">
        <v>3825</v>
      </c>
      <c r="E41" s="64">
        <v>4322</v>
      </c>
      <c r="F41" s="22">
        <v>9627</v>
      </c>
      <c r="G41" s="65"/>
      <c r="H41" s="22">
        <v>4634.7910000000002</v>
      </c>
      <c r="I41" s="22">
        <v>2631.8879999999999</v>
      </c>
      <c r="J41" s="22">
        <v>3126.8919999999998</v>
      </c>
      <c r="K41" s="129">
        <f t="shared" ref="K41:K43" si="52">D41</f>
        <v>3825</v>
      </c>
      <c r="L41" s="22">
        <v>5288.2610000000004</v>
      </c>
      <c r="M41" s="22">
        <v>6281.7420000000002</v>
      </c>
      <c r="N41" s="22">
        <v>4152.8459999999995</v>
      </c>
      <c r="O41" s="129">
        <f t="shared" ref="O41:O43" si="53">E41</f>
        <v>4322</v>
      </c>
      <c r="P41" s="22">
        <v>4292</v>
      </c>
      <c r="Q41" s="22">
        <v>3726</v>
      </c>
      <c r="R41" s="22">
        <v>3503</v>
      </c>
      <c r="S41" s="129">
        <f t="shared" ref="S41:S43" si="54">F41</f>
        <v>9627</v>
      </c>
      <c r="U41" s="23">
        <f t="shared" ref="U41:U43" si="55">SUM(L41:O41)</f>
        <v>20044.849000000002</v>
      </c>
      <c r="V41" s="23">
        <f t="shared" ref="V41:V43" si="56">SUM(P41:S41)</f>
        <v>21148</v>
      </c>
      <c r="W41" s="23"/>
      <c r="X41" s="24">
        <f t="shared" ref="X41:X42" si="57">SUM(V41/U41)-1</f>
        <v>5.5034138695681856E-2</v>
      </c>
    </row>
    <row r="42" spans="2:24" x14ac:dyDescent="0.25">
      <c r="B42" s="63" t="s">
        <v>105</v>
      </c>
      <c r="C42" s="64">
        <v>5614.7740000000003</v>
      </c>
      <c r="D42" s="64">
        <v>5945</v>
      </c>
      <c r="E42" s="64">
        <v>7295</v>
      </c>
      <c r="F42" s="22">
        <v>4835</v>
      </c>
      <c r="G42" s="65"/>
      <c r="H42" s="22">
        <v>5450.04</v>
      </c>
      <c r="I42" s="22">
        <v>4995.3879999999999</v>
      </c>
      <c r="J42" s="22">
        <v>5913.8209999999999</v>
      </c>
      <c r="K42" s="129">
        <f t="shared" si="52"/>
        <v>5945</v>
      </c>
      <c r="L42" s="22">
        <v>7042.8220000000001</v>
      </c>
      <c r="M42" s="22">
        <v>6822.8379999999997</v>
      </c>
      <c r="N42" s="22">
        <v>5985.6580000000004</v>
      </c>
      <c r="O42" s="129">
        <f t="shared" si="53"/>
        <v>7295</v>
      </c>
      <c r="P42" s="22">
        <v>7286</v>
      </c>
      <c r="Q42" s="22">
        <v>4915</v>
      </c>
      <c r="R42" s="22">
        <v>7334</v>
      </c>
      <c r="S42" s="129">
        <f t="shared" si="54"/>
        <v>4835</v>
      </c>
      <c r="U42" s="23">
        <f t="shared" si="55"/>
        <v>27146.317999999999</v>
      </c>
      <c r="V42" s="23">
        <f t="shared" si="56"/>
        <v>24370</v>
      </c>
      <c r="W42" s="23"/>
      <c r="X42" s="24">
        <f t="shared" si="57"/>
        <v>-0.10227235973585813</v>
      </c>
    </row>
    <row r="43" spans="2:24" x14ac:dyDescent="0.25">
      <c r="B43" s="63" t="s">
        <v>106</v>
      </c>
      <c r="C43" s="64">
        <v>443.83100000000002</v>
      </c>
      <c r="D43" s="64">
        <v>444</v>
      </c>
      <c r="E43" s="64">
        <v>917</v>
      </c>
      <c r="F43" s="22">
        <v>842</v>
      </c>
      <c r="G43" s="65"/>
      <c r="H43" s="22">
        <v>443.83100000000002</v>
      </c>
      <c r="I43" s="22">
        <v>443.83100000000002</v>
      </c>
      <c r="J43" s="22">
        <v>443.83100000000002</v>
      </c>
      <c r="K43" s="129">
        <f t="shared" si="52"/>
        <v>444</v>
      </c>
      <c r="L43" s="22">
        <v>916.76300000000003</v>
      </c>
      <c r="M43" s="22">
        <v>916.76300000000003</v>
      </c>
      <c r="N43" s="22">
        <v>916.76300000000003</v>
      </c>
      <c r="O43" s="129">
        <f t="shared" si="53"/>
        <v>917</v>
      </c>
      <c r="P43" s="22">
        <v>917</v>
      </c>
      <c r="Q43" s="22">
        <v>917</v>
      </c>
      <c r="R43" s="22">
        <v>917</v>
      </c>
      <c r="S43" s="129">
        <f t="shared" si="54"/>
        <v>842</v>
      </c>
      <c r="U43" s="23">
        <f t="shared" si="55"/>
        <v>3667.2890000000002</v>
      </c>
      <c r="V43" s="23">
        <f t="shared" si="56"/>
        <v>3593</v>
      </c>
      <c r="W43" s="23"/>
      <c r="X43" s="24">
        <f>SUM(V43/U43)-1</f>
        <v>-2.025719816463889E-2</v>
      </c>
    </row>
    <row r="44" spans="2:24" x14ac:dyDescent="0.25">
      <c r="B44" s="39" t="s">
        <v>33</v>
      </c>
      <c r="C44" s="59">
        <f t="shared" ref="C44" si="58">SUM(C41:C43)</f>
        <v>10798.386</v>
      </c>
      <c r="D44" s="59">
        <f t="shared" ref="D44" si="59">SUM(D41:D43)</f>
        <v>10214</v>
      </c>
      <c r="E44" s="59">
        <f t="shared" ref="E44" si="60">SUM(E41:E43)</f>
        <v>12534</v>
      </c>
      <c r="F44" s="59">
        <f t="shared" ref="F44" si="61">SUM(F41:F43)</f>
        <v>15304</v>
      </c>
      <c r="H44" s="59">
        <f t="shared" ref="H44" si="62">SUM(H41:H43)</f>
        <v>10528.662</v>
      </c>
      <c r="I44" s="59">
        <f t="shared" ref="I44" si="63">SUM(I41:I43)</f>
        <v>8071.107</v>
      </c>
      <c r="J44" s="59">
        <f t="shared" ref="J44" si="64">SUM(J41:J43)</f>
        <v>9484.5439999999999</v>
      </c>
      <c r="K44" s="59">
        <f t="shared" ref="K44" si="65">SUM(K41:K43)</f>
        <v>10214</v>
      </c>
      <c r="L44" s="59">
        <f t="shared" ref="L44" si="66">SUM(L41:L43)</f>
        <v>13247.846000000001</v>
      </c>
      <c r="M44" s="59">
        <f t="shared" ref="M44" si="67">SUM(M41:M43)</f>
        <v>14021.343000000001</v>
      </c>
      <c r="N44" s="59">
        <f t="shared" ref="N44" si="68">SUM(N41:N43)</f>
        <v>11055.267000000002</v>
      </c>
      <c r="O44" s="59">
        <f t="shared" ref="O44" si="69">SUM(O41:O43)</f>
        <v>12534</v>
      </c>
      <c r="P44" s="59">
        <f t="shared" ref="P44" si="70">SUM(P41:P43)</f>
        <v>12495</v>
      </c>
      <c r="Q44" s="59">
        <f t="shared" ref="Q44" si="71">SUM(Q41:Q43)</f>
        <v>9558</v>
      </c>
      <c r="R44" s="59">
        <f t="shared" ref="R44" si="72">SUM(R41:R43)</f>
        <v>11754</v>
      </c>
      <c r="S44" s="59">
        <f t="shared" ref="S44" si="73">SUM(S41:S43)</f>
        <v>15304</v>
      </c>
      <c r="U44" s="59">
        <f t="shared" ref="U44" si="74">SUM(U41:U43)</f>
        <v>50858.455999999998</v>
      </c>
      <c r="V44" s="59">
        <f t="shared" ref="V44" si="75">SUM(V41:V43)</f>
        <v>49111</v>
      </c>
      <c r="W44" s="27"/>
      <c r="X44" s="28">
        <f>SUM(V44/U44)-1</f>
        <v>-3.4359202725304905E-2</v>
      </c>
    </row>
    <row r="45" spans="2:24" ht="15.75" x14ac:dyDescent="0.25">
      <c r="B45" s="36"/>
      <c r="C45" s="55"/>
      <c r="D45" s="55"/>
      <c r="E45" s="56"/>
      <c r="F45" s="57"/>
      <c r="H45" s="57"/>
      <c r="I45" s="57"/>
      <c r="J45" s="57"/>
      <c r="K45" s="57"/>
      <c r="L45" s="57"/>
      <c r="M45" s="57"/>
      <c r="N45" s="57"/>
      <c r="O45" s="57"/>
      <c r="P45" s="57"/>
      <c r="Q45" s="57"/>
      <c r="U45" s="27"/>
      <c r="V45" s="27"/>
      <c r="W45" s="27"/>
      <c r="X45" s="32"/>
    </row>
    <row r="46" spans="2:24" x14ac:dyDescent="0.25">
      <c r="B46" s="36" t="s">
        <v>34</v>
      </c>
      <c r="C46" s="21"/>
      <c r="D46" s="21"/>
      <c r="E46" s="66"/>
      <c r="F46" s="20"/>
      <c r="H46" s="20"/>
      <c r="I46" s="20"/>
      <c r="J46" s="20"/>
      <c r="K46" s="20"/>
      <c r="L46" s="20"/>
      <c r="M46" s="20"/>
      <c r="N46" s="20"/>
      <c r="O46" s="20"/>
      <c r="P46" s="20"/>
      <c r="Q46" s="20"/>
    </row>
    <row r="47" spans="2:24" x14ac:dyDescent="0.25">
      <c r="B47" s="63" t="s">
        <v>107</v>
      </c>
      <c r="C47" s="58">
        <v>0</v>
      </c>
      <c r="D47" s="58">
        <v>0</v>
      </c>
      <c r="E47" s="58">
        <v>0</v>
      </c>
      <c r="F47" s="58">
        <v>0</v>
      </c>
      <c r="G47" s="67"/>
      <c r="H47" s="22">
        <v>0</v>
      </c>
      <c r="I47" s="22"/>
      <c r="J47" s="22">
        <v>0</v>
      </c>
      <c r="K47" s="129">
        <f t="shared" ref="K47:K51" si="76">D47</f>
        <v>0</v>
      </c>
      <c r="L47" s="22">
        <v>0</v>
      </c>
      <c r="M47" s="22">
        <v>0</v>
      </c>
      <c r="N47" s="22">
        <v>0</v>
      </c>
      <c r="O47" s="129">
        <f t="shared" ref="O47:O51" si="77">E47</f>
        <v>0</v>
      </c>
      <c r="P47" s="22">
        <v>0</v>
      </c>
      <c r="Q47" s="22">
        <v>0</v>
      </c>
      <c r="R47" s="22">
        <v>0</v>
      </c>
      <c r="S47" s="129">
        <f t="shared" ref="S47:S51" si="78">F47</f>
        <v>0</v>
      </c>
      <c r="U47" s="23">
        <f t="shared" ref="U47:U51" si="79">SUM(L47:O47)</f>
        <v>0</v>
      </c>
      <c r="V47" s="23">
        <f t="shared" ref="V47:V51" si="80">SUM(P47:S47)</f>
        <v>0</v>
      </c>
      <c r="W47" s="23"/>
      <c r="X47" s="24" t="e">
        <f t="shared" ref="X47:X51" si="81">SUM(V47/U47)-1</f>
        <v>#DIV/0!</v>
      </c>
    </row>
    <row r="48" spans="2:24" x14ac:dyDescent="0.25">
      <c r="B48" s="63" t="s">
        <v>108</v>
      </c>
      <c r="C48" s="58">
        <v>75.92</v>
      </c>
      <c r="D48" s="58">
        <v>78</v>
      </c>
      <c r="E48" s="58">
        <v>82</v>
      </c>
      <c r="F48" s="58">
        <v>85</v>
      </c>
      <c r="G48" s="67"/>
      <c r="H48" s="22">
        <v>76.156000000000006</v>
      </c>
      <c r="I48" s="22">
        <v>77.162999999999997</v>
      </c>
      <c r="J48" s="22">
        <v>77.944000000000003</v>
      </c>
      <c r="K48" s="129">
        <f t="shared" si="76"/>
        <v>78</v>
      </c>
      <c r="L48" s="22">
        <v>78.033000000000001</v>
      </c>
      <c r="M48" s="22">
        <v>80.236000000000004</v>
      </c>
      <c r="N48" s="22">
        <v>81391</v>
      </c>
      <c r="O48" s="129">
        <f t="shared" si="77"/>
        <v>82</v>
      </c>
      <c r="P48" s="22">
        <v>82</v>
      </c>
      <c r="Q48" s="22">
        <v>84</v>
      </c>
      <c r="R48" s="22">
        <v>85</v>
      </c>
      <c r="S48" s="129">
        <f t="shared" si="78"/>
        <v>85</v>
      </c>
      <c r="U48" s="23">
        <f t="shared" si="79"/>
        <v>81631.269</v>
      </c>
      <c r="V48" s="23">
        <f t="shared" si="80"/>
        <v>336</v>
      </c>
      <c r="W48" s="23"/>
      <c r="X48" s="24">
        <f t="shared" si="81"/>
        <v>-0.99588393021306576</v>
      </c>
    </row>
    <row r="49" spans="1:24" x14ac:dyDescent="0.25">
      <c r="B49" s="63" t="s">
        <v>109</v>
      </c>
      <c r="C49" s="58"/>
      <c r="D49" s="58"/>
      <c r="E49" s="58"/>
      <c r="F49" s="58"/>
      <c r="G49" s="67"/>
      <c r="H49" s="22"/>
      <c r="I49" s="22">
        <v>-403.69600000000003</v>
      </c>
      <c r="J49" s="22"/>
      <c r="K49" s="129">
        <f>D49</f>
        <v>0</v>
      </c>
      <c r="L49" s="22"/>
      <c r="M49" s="22"/>
      <c r="N49" s="22"/>
      <c r="O49" s="129">
        <f>E49</f>
        <v>0</v>
      </c>
      <c r="P49" s="22">
        <v>0</v>
      </c>
      <c r="Q49" s="22">
        <v>-234</v>
      </c>
      <c r="R49" s="22">
        <v>-89</v>
      </c>
      <c r="S49" s="129">
        <f>F49</f>
        <v>0</v>
      </c>
      <c r="U49" s="23">
        <f>SUM(L49:O49)</f>
        <v>0</v>
      </c>
      <c r="V49" s="23">
        <f>SUM(P49:S49)</f>
        <v>-323</v>
      </c>
      <c r="W49" s="23"/>
      <c r="X49" s="24" t="e">
        <f t="shared" si="81"/>
        <v>#DIV/0!</v>
      </c>
    </row>
    <row r="50" spans="1:24" x14ac:dyDescent="0.25">
      <c r="B50" s="63" t="s">
        <v>2</v>
      </c>
      <c r="C50" s="58">
        <v>348328.04800000001</v>
      </c>
      <c r="D50" s="58">
        <v>387977</v>
      </c>
      <c r="E50" s="58">
        <v>434839</v>
      </c>
      <c r="F50" s="58">
        <v>456249</v>
      </c>
      <c r="G50" s="67"/>
      <c r="H50" s="22">
        <v>354759.78100000002</v>
      </c>
      <c r="I50" s="22">
        <v>371437.61599999998</v>
      </c>
      <c r="J50" s="22">
        <v>381932.03899999999</v>
      </c>
      <c r="K50" s="129">
        <f t="shared" si="76"/>
        <v>387977</v>
      </c>
      <c r="L50" s="22">
        <v>393581.54399999999</v>
      </c>
      <c r="M50" s="22">
        <v>416727.598</v>
      </c>
      <c r="N50" s="22">
        <v>429595.96100000001</v>
      </c>
      <c r="O50" s="129">
        <f t="shared" si="77"/>
        <v>434839</v>
      </c>
      <c r="P50" s="22">
        <v>437184</v>
      </c>
      <c r="Q50" s="22">
        <v>447345</v>
      </c>
      <c r="R50" s="22">
        <v>454236</v>
      </c>
      <c r="S50" s="129">
        <f t="shared" si="78"/>
        <v>456249</v>
      </c>
      <c r="U50" s="23">
        <f t="shared" si="79"/>
        <v>1674744.1030000001</v>
      </c>
      <c r="V50" s="23">
        <f t="shared" si="80"/>
        <v>1795014</v>
      </c>
      <c r="W50" s="23"/>
      <c r="X50" s="24">
        <f t="shared" si="81"/>
        <v>7.18138949016498E-2</v>
      </c>
    </row>
    <row r="51" spans="1:24" x14ac:dyDescent="0.25">
      <c r="B51" s="63" t="s">
        <v>85</v>
      </c>
      <c r="C51" s="58">
        <v>-197585.864</v>
      </c>
      <c r="D51" s="58">
        <v>-245564</v>
      </c>
      <c r="E51" s="58">
        <v>-293069</v>
      </c>
      <c r="F51" s="58">
        <v>-336071</v>
      </c>
      <c r="G51" s="67"/>
      <c r="H51" s="22">
        <v>-208468.231</v>
      </c>
      <c r="I51" s="22">
        <v>-218906.04199999999</v>
      </c>
      <c r="J51" s="22">
        <v>-231273.383</v>
      </c>
      <c r="K51" s="129">
        <f t="shared" si="76"/>
        <v>-245564</v>
      </c>
      <c r="L51" s="22">
        <v>-258535.50099999999</v>
      </c>
      <c r="M51" s="22">
        <v>-271642.78000000003</v>
      </c>
      <c r="N51" s="22">
        <v>-282922.75599999999</v>
      </c>
      <c r="O51" s="129">
        <f t="shared" si="77"/>
        <v>-293069</v>
      </c>
      <c r="P51" s="22">
        <v>-301691</v>
      </c>
      <c r="Q51" s="22">
        <v>-312237</v>
      </c>
      <c r="R51" s="22">
        <v>-324451</v>
      </c>
      <c r="S51" s="129">
        <f t="shared" si="78"/>
        <v>-336071</v>
      </c>
      <c r="U51" s="23">
        <f t="shared" si="79"/>
        <v>-1106170.037</v>
      </c>
      <c r="V51" s="23">
        <f t="shared" si="80"/>
        <v>-1274450</v>
      </c>
      <c r="W51" s="23"/>
      <c r="X51" s="24">
        <f t="shared" si="81"/>
        <v>0.15212847697121279</v>
      </c>
    </row>
    <row r="52" spans="1:24" x14ac:dyDescent="0.25">
      <c r="B52" s="39" t="s">
        <v>35</v>
      </c>
      <c r="C52" s="69">
        <f>SUM(C47:C51)</f>
        <v>150818.10399999999</v>
      </c>
      <c r="D52" s="69">
        <f>SUM(D47:D51)</f>
        <v>142491</v>
      </c>
      <c r="E52" s="69">
        <f>SUM(E47:E51)</f>
        <v>141852</v>
      </c>
      <c r="F52" s="69">
        <f>SUM(F47:F51)</f>
        <v>120263</v>
      </c>
      <c r="G52" s="70"/>
      <c r="H52" s="69">
        <f>SUM(H47:H51)</f>
        <v>146367.70600000003</v>
      </c>
      <c r="I52" s="69">
        <f>SUM(I47:I51)</f>
        <v>152205.041</v>
      </c>
      <c r="J52" s="69">
        <f>SUM(J47:J51)</f>
        <v>150736.6</v>
      </c>
      <c r="K52" s="69">
        <f>SUM(K47:K51)</f>
        <v>142491</v>
      </c>
      <c r="L52" s="69">
        <f>SUM(L47:L51)</f>
        <v>135124.076</v>
      </c>
      <c r="M52" s="69">
        <f>SUM(M47:M51)</f>
        <v>145165.05399999995</v>
      </c>
      <c r="N52" s="69">
        <f>SUM(N47:N51)</f>
        <v>228064.20500000002</v>
      </c>
      <c r="O52" s="69">
        <f>SUM(O47:O51)</f>
        <v>141852</v>
      </c>
      <c r="P52" s="69">
        <f>SUM(P47:P51)</f>
        <v>135575</v>
      </c>
      <c r="Q52" s="69">
        <f>SUM(Q47:Q51)</f>
        <v>134958</v>
      </c>
      <c r="R52" s="69">
        <f>SUM(R47:R51)</f>
        <v>129781</v>
      </c>
      <c r="S52" s="69">
        <f>SUM(S47:S51)</f>
        <v>120263</v>
      </c>
      <c r="U52" s="69">
        <f>SUM(U47:U51)</f>
        <v>650205.3350000002</v>
      </c>
      <c r="V52" s="69">
        <f>SUM(V47:V51)</f>
        <v>520577</v>
      </c>
      <c r="W52" s="27"/>
      <c r="X52" s="24">
        <f>SUM(V52/U52)-1</f>
        <v>-0.19936522821671432</v>
      </c>
    </row>
    <row r="53" spans="1:24" x14ac:dyDescent="0.25">
      <c r="B53" s="2" t="s">
        <v>36</v>
      </c>
      <c r="C53" s="71">
        <f>SUM(C52+C44)</f>
        <v>161616.49</v>
      </c>
      <c r="D53" s="71">
        <f>SUM(D52+D44)</f>
        <v>152705</v>
      </c>
      <c r="E53" s="71">
        <f>SUM(E52+E44)</f>
        <v>154386</v>
      </c>
      <c r="F53" s="71">
        <f>SUM(F52+F44)</f>
        <v>135567</v>
      </c>
      <c r="G53" s="67"/>
      <c r="H53" s="71">
        <f>SUM(H52+H44)</f>
        <v>156896.36800000005</v>
      </c>
      <c r="I53" s="71">
        <f>SUM(I52+I44)</f>
        <v>160276.14799999999</v>
      </c>
      <c r="J53" s="71">
        <f>SUM(J52+J44)</f>
        <v>160221.144</v>
      </c>
      <c r="K53" s="71">
        <f>SUM(K52+K44)</f>
        <v>152705</v>
      </c>
      <c r="L53" s="71">
        <f>SUM(L52+L44)</f>
        <v>148371.92199999999</v>
      </c>
      <c r="M53" s="71">
        <f>SUM(M52+M44)</f>
        <v>159186.39699999994</v>
      </c>
      <c r="N53" s="71">
        <f>SUM(N52+N44)</f>
        <v>239119.47200000001</v>
      </c>
      <c r="O53" s="71">
        <f>SUM(O52+O44)</f>
        <v>154386</v>
      </c>
      <c r="P53" s="71">
        <f>SUM(P52+P44)</f>
        <v>148070</v>
      </c>
      <c r="Q53" s="71">
        <f>SUM(Q52+Q44)</f>
        <v>144516</v>
      </c>
      <c r="R53" s="71">
        <f>SUM(R52+R44)</f>
        <v>141535</v>
      </c>
      <c r="S53" s="71">
        <f>SUM(S52+S44)</f>
        <v>135567</v>
      </c>
      <c r="U53" s="71">
        <f>SUM(U52+U44)</f>
        <v>701063.7910000002</v>
      </c>
      <c r="V53" s="71">
        <f>SUM(V52+V44)</f>
        <v>569688</v>
      </c>
      <c r="W53" s="23"/>
      <c r="X53" s="24">
        <f>SUM(V53/U53)-1</f>
        <v>-0.18739491710533962</v>
      </c>
    </row>
    <row r="54" spans="1:24" ht="15.75" thickBot="1" x14ac:dyDescent="0.3">
      <c r="B54" s="2"/>
      <c r="C54" s="71"/>
      <c r="D54" s="71"/>
      <c r="E54" s="71"/>
      <c r="F54" s="71"/>
      <c r="G54" s="67"/>
      <c r="H54" s="71"/>
      <c r="I54" s="71"/>
      <c r="J54" s="71"/>
      <c r="K54" s="71"/>
      <c r="L54" s="71"/>
      <c r="M54" s="71"/>
      <c r="N54" s="71"/>
      <c r="O54" s="71"/>
      <c r="P54" s="71"/>
      <c r="Q54" s="71"/>
      <c r="R54" s="71"/>
      <c r="S54" s="71"/>
      <c r="U54" s="71"/>
      <c r="V54" s="71"/>
      <c r="W54" s="23"/>
      <c r="X54" s="38"/>
    </row>
    <row r="55" spans="1:24" x14ac:dyDescent="0.25">
      <c r="B55" s="72" t="s">
        <v>37</v>
      </c>
      <c r="C55" s="73"/>
      <c r="D55" s="73"/>
      <c r="E55" s="73"/>
      <c r="F55" s="74"/>
      <c r="G55" s="67"/>
      <c r="H55" s="75"/>
      <c r="I55" s="73"/>
      <c r="J55" s="73"/>
      <c r="K55" s="73"/>
      <c r="L55" s="73"/>
      <c r="M55" s="73"/>
      <c r="N55" s="73"/>
      <c r="O55" s="73"/>
      <c r="P55" s="73"/>
      <c r="Q55" s="73"/>
      <c r="R55" s="74"/>
      <c r="S55" s="74"/>
      <c r="U55" s="76"/>
      <c r="V55" s="77"/>
      <c r="W55" s="23"/>
      <c r="X55" s="38"/>
    </row>
    <row r="56" spans="1:24" x14ac:dyDescent="0.25">
      <c r="B56" s="78" t="s">
        <v>38</v>
      </c>
      <c r="C56" s="167" t="e">
        <f>SUM(#REF!+#REF!/C38)</f>
        <v>#REF!</v>
      </c>
      <c r="D56" s="167" t="e">
        <f>SUM(#REF!+#REF!/D38)</f>
        <v>#REF!</v>
      </c>
      <c r="E56" s="167" t="e">
        <f>SUM(#REF!+#REF!/E38)</f>
        <v>#REF!</v>
      </c>
      <c r="F56" s="79" t="e">
        <f>SUM(#REF!+#REF!/F38)</f>
        <v>#REF!</v>
      </c>
      <c r="G56" s="67"/>
      <c r="H56" s="80" t="e">
        <f>SUM(#REF!+#REF!/H38)</f>
        <v>#REF!</v>
      </c>
      <c r="I56" s="167" t="e">
        <f>SUM(#REF!+#REF!/I38)</f>
        <v>#REF!</v>
      </c>
      <c r="J56" s="167" t="e">
        <f>SUM(#REF!+#REF!/J38)</f>
        <v>#REF!</v>
      </c>
      <c r="K56" s="167" t="e">
        <f>SUM(#REF!+#REF!/K38)</f>
        <v>#REF!</v>
      </c>
      <c r="L56" s="167" t="e">
        <f>SUM(#REF!+#REF!/L38)</f>
        <v>#REF!</v>
      </c>
      <c r="M56" s="167" t="e">
        <f>SUM(#REF!+#REF!/M38)</f>
        <v>#REF!</v>
      </c>
      <c r="N56" s="167" t="e">
        <f>SUM(#REF!+#REF!/N38)</f>
        <v>#REF!</v>
      </c>
      <c r="O56" s="167" t="e">
        <f>SUM(#REF!+#REF!/O38)</f>
        <v>#REF!</v>
      </c>
      <c r="P56" s="167" t="e">
        <f>SUM(#REF!+#REF!/P38)</f>
        <v>#REF!</v>
      </c>
      <c r="Q56" s="167" t="e">
        <f>SUM(#REF!+#REF!/Q38)</f>
        <v>#REF!</v>
      </c>
      <c r="R56" s="79" t="e">
        <f>SUM(#REF!+#REF!/R38)</f>
        <v>#REF!</v>
      </c>
      <c r="S56" s="79" t="e">
        <f>SUM(#REF!+#REF!/S38)</f>
        <v>#REF!</v>
      </c>
      <c r="U56" s="156" t="e">
        <f>N56</f>
        <v>#REF!</v>
      </c>
      <c r="V56" s="157" t="e">
        <f>R56</f>
        <v>#REF!</v>
      </c>
      <c r="W56" s="23"/>
      <c r="X56" s="24" t="e">
        <f t="shared" ref="X56:X59" si="82">SUM(V56/U56)-1</f>
        <v>#REF!</v>
      </c>
    </row>
    <row r="57" spans="1:24" x14ac:dyDescent="0.25">
      <c r="B57" s="78" t="s">
        <v>39</v>
      </c>
      <c r="C57" s="167" t="e">
        <f>SUM(#REF!+#REF!)/#REF!</f>
        <v>#REF!</v>
      </c>
      <c r="D57" s="167" t="e">
        <f>SUM(#REF!+#REF!)/#REF!</f>
        <v>#REF!</v>
      </c>
      <c r="E57" s="167" t="e">
        <f>SUM(#REF!+#REF!)/#REF!</f>
        <v>#REF!</v>
      </c>
      <c r="F57" s="79" t="e">
        <f>SUM(#REF!+#REF!)/#REF!</f>
        <v>#REF!</v>
      </c>
      <c r="G57" s="67"/>
      <c r="H57" s="80" t="e">
        <f>SUM(#REF!+#REF!)/#REF!</f>
        <v>#REF!</v>
      </c>
      <c r="I57" s="167" t="e">
        <f>SUM(#REF!+#REF!)/#REF!</f>
        <v>#REF!</v>
      </c>
      <c r="J57" s="167" t="e">
        <f>SUM(#REF!+#REF!)/#REF!</f>
        <v>#REF!</v>
      </c>
      <c r="K57" s="167" t="e">
        <f>SUM(#REF!+#REF!)/#REF!</f>
        <v>#REF!</v>
      </c>
      <c r="L57" s="167" t="e">
        <f>SUM(#REF!+#REF!)/#REF!</f>
        <v>#REF!</v>
      </c>
      <c r="M57" s="167" t="e">
        <f>SUM(#REF!+#REF!)/#REF!</f>
        <v>#REF!</v>
      </c>
      <c r="N57" s="167" t="e">
        <f>SUM(#REF!+#REF!)/#REF!</f>
        <v>#REF!</v>
      </c>
      <c r="O57" s="167" t="e">
        <f>SUM(#REF!+#REF!)/#REF!</f>
        <v>#REF!</v>
      </c>
      <c r="P57" s="167" t="e">
        <f>SUM(#REF!+#REF!)/#REF!</f>
        <v>#REF!</v>
      </c>
      <c r="Q57" s="167" t="e">
        <f>SUM(#REF!+#REF!)/#REF!</f>
        <v>#REF!</v>
      </c>
      <c r="R57" s="79" t="e">
        <f>SUM(#REF!+#REF!)/#REF!</f>
        <v>#REF!</v>
      </c>
      <c r="S57" s="79" t="e">
        <f>SUM(#REF!+#REF!)/#REF!</f>
        <v>#REF!</v>
      </c>
      <c r="U57" s="156" t="e">
        <f>M57</f>
        <v>#REF!</v>
      </c>
      <c r="V57" s="157" t="e">
        <f>Q57</f>
        <v>#REF!</v>
      </c>
      <c r="W57" s="23"/>
      <c r="X57" s="24" t="e">
        <f t="shared" si="82"/>
        <v>#REF!</v>
      </c>
    </row>
    <row r="58" spans="1:24" x14ac:dyDescent="0.25">
      <c r="B58" s="81" t="s">
        <v>40</v>
      </c>
      <c r="C58" s="167" t="e">
        <f>SUM(#REF!/#REF!)</f>
        <v>#REF!</v>
      </c>
      <c r="D58" s="167" t="e">
        <f>SUM(#REF!/#REF!)</f>
        <v>#REF!</v>
      </c>
      <c r="E58" s="167" t="e">
        <f>SUM(#REF!/#REF!)</f>
        <v>#REF!</v>
      </c>
      <c r="F58" s="79" t="e">
        <f>SUM(#REF!/#REF!)</f>
        <v>#REF!</v>
      </c>
      <c r="H58" s="80" t="e">
        <f>SUM(#REF!/#REF!)</f>
        <v>#REF!</v>
      </c>
      <c r="I58" s="167" t="e">
        <f>SUM(#REF!/#REF!)</f>
        <v>#REF!</v>
      </c>
      <c r="J58" s="167" t="e">
        <f>SUM(#REF!/#REF!)</f>
        <v>#REF!</v>
      </c>
      <c r="K58" s="167" t="e">
        <f>SUM(#REF!/#REF!)</f>
        <v>#REF!</v>
      </c>
      <c r="L58" s="167" t="e">
        <f>SUM(#REF!/#REF!)</f>
        <v>#REF!</v>
      </c>
      <c r="M58" s="167" t="e">
        <f>SUM(#REF!/#REF!)</f>
        <v>#REF!</v>
      </c>
      <c r="N58" s="167" t="e">
        <f>SUM(#REF!/#REF!)</f>
        <v>#REF!</v>
      </c>
      <c r="O58" s="167" t="e">
        <f>SUM(#REF!/#REF!)</f>
        <v>#REF!</v>
      </c>
      <c r="P58" s="167" t="e">
        <f>SUM(#REF!/#REF!)</f>
        <v>#REF!</v>
      </c>
      <c r="Q58" s="167" t="e">
        <f>SUM(#REF!/#REF!)</f>
        <v>#REF!</v>
      </c>
      <c r="R58" s="79" t="e">
        <f>SUM(#REF!/#REF!)</f>
        <v>#REF!</v>
      </c>
      <c r="S58" s="79" t="e">
        <f>SUM(#REF!/#REF!)</f>
        <v>#REF!</v>
      </c>
      <c r="U58" s="156" t="e">
        <f>M58</f>
        <v>#REF!</v>
      </c>
      <c r="V58" s="157" t="e">
        <f>Q58</f>
        <v>#REF!</v>
      </c>
      <c r="X58" s="24" t="e">
        <f t="shared" si="82"/>
        <v>#REF!</v>
      </c>
    </row>
    <row r="59" spans="1:24" ht="15.75" thickBot="1" x14ac:dyDescent="0.3">
      <c r="B59" s="82" t="s">
        <v>41</v>
      </c>
      <c r="C59" s="83" t="e">
        <f>SUM(#REF!+#REF!)/#REF!</f>
        <v>#REF!</v>
      </c>
      <c r="D59" s="83" t="e">
        <f>SUM(#REF!+#REF!)/#REF!</f>
        <v>#REF!</v>
      </c>
      <c r="E59" s="83" t="e">
        <f>SUM(#REF!+#REF!)/#REF!</f>
        <v>#REF!</v>
      </c>
      <c r="F59" s="84" t="e">
        <f>SUM(#REF!+#REF!)/#REF!</f>
        <v>#REF!</v>
      </c>
      <c r="G59" s="67"/>
      <c r="H59" s="85" t="e">
        <f>SUM(#REF!+#REF!)/#REF!</f>
        <v>#REF!</v>
      </c>
      <c r="I59" s="86" t="e">
        <f>SUM(#REF!+#REF!)/#REF!</f>
        <v>#REF!</v>
      </c>
      <c r="J59" s="86" t="e">
        <f>SUM(#REF!+#REF!)/#REF!</f>
        <v>#REF!</v>
      </c>
      <c r="K59" s="86" t="e">
        <f>SUM(#REF!+#REF!)/#REF!</f>
        <v>#REF!</v>
      </c>
      <c r="L59" s="86" t="e">
        <f>SUM(#REF!+#REF!)/#REF!</f>
        <v>#REF!</v>
      </c>
      <c r="M59" s="86" t="e">
        <f>SUM(#REF!+#REF!)/#REF!</f>
        <v>#REF!</v>
      </c>
      <c r="N59" s="86" t="e">
        <f>SUM(#REF!+#REF!)/#REF!</f>
        <v>#REF!</v>
      </c>
      <c r="O59" s="86" t="e">
        <f>SUM(#REF!+#REF!)/#REF!</f>
        <v>#REF!</v>
      </c>
      <c r="P59" s="86" t="e">
        <f>SUM(#REF!+#REF!)/#REF!</f>
        <v>#REF!</v>
      </c>
      <c r="Q59" s="86" t="e">
        <f>SUM(#REF!+#REF!)/#REF!</f>
        <v>#REF!</v>
      </c>
      <c r="R59" s="87" t="e">
        <f>SUM(#REF!+#REF!)/#REF!</f>
        <v>#REF!</v>
      </c>
      <c r="S59" s="87" t="e">
        <f>SUM(#REF!+#REF!)/#REF!</f>
        <v>#REF!</v>
      </c>
      <c r="U59" s="158" t="e">
        <f>M59</f>
        <v>#REF!</v>
      </c>
      <c r="V59" s="159" t="e">
        <f>Q59</f>
        <v>#REF!</v>
      </c>
      <c r="W59" s="23"/>
      <c r="X59" s="24" t="e">
        <f t="shared" si="82"/>
        <v>#REF!</v>
      </c>
    </row>
    <row r="60" spans="1:24" x14ac:dyDescent="0.25">
      <c r="B60" s="36"/>
      <c r="C60" s="88"/>
      <c r="D60" s="88"/>
      <c r="E60" s="37"/>
      <c r="F60" s="37"/>
      <c r="G60" s="88"/>
    </row>
    <row r="61" spans="1:24" x14ac:dyDescent="0.25">
      <c r="A61" s="6" t="s">
        <v>17</v>
      </c>
      <c r="B61" s="7" t="s">
        <v>42</v>
      </c>
      <c r="C61" s="13"/>
      <c r="D61" s="13"/>
      <c r="E61" s="13"/>
      <c r="F61" s="13"/>
      <c r="G61" s="8"/>
      <c r="H61" s="8"/>
      <c r="I61" s="8"/>
      <c r="J61" s="8"/>
      <c r="K61" s="8"/>
      <c r="L61" s="8"/>
      <c r="M61" s="8"/>
      <c r="N61" s="8"/>
      <c r="O61" s="8"/>
      <c r="P61" s="8"/>
      <c r="Q61" s="8"/>
      <c r="R61" s="8"/>
      <c r="S61" s="8"/>
      <c r="T61" s="8"/>
      <c r="U61" s="8"/>
      <c r="V61" s="8"/>
      <c r="W61" s="8"/>
      <c r="X61" s="8"/>
    </row>
    <row r="62" spans="1:24" x14ac:dyDescent="0.25">
      <c r="B62" s="15" t="s">
        <v>75</v>
      </c>
      <c r="C62" s="52"/>
      <c r="D62" s="52"/>
      <c r="E62" s="52"/>
      <c r="F62" s="52"/>
      <c r="G62" s="8"/>
      <c r="H62" s="8"/>
      <c r="I62" s="8"/>
      <c r="J62" s="8"/>
      <c r="K62" s="8"/>
      <c r="L62" s="8"/>
      <c r="M62" s="8"/>
      <c r="N62" s="8"/>
      <c r="O62" s="8"/>
      <c r="P62" s="8"/>
      <c r="Q62" s="8"/>
      <c r="R62" s="8"/>
      <c r="S62" s="8"/>
      <c r="T62" s="8"/>
      <c r="U62" s="8"/>
      <c r="V62" s="8"/>
      <c r="W62" s="8"/>
      <c r="X62" s="8"/>
    </row>
    <row r="63" spans="1:24" ht="3" customHeight="1" x14ac:dyDescent="0.25">
      <c r="B63" s="10"/>
      <c r="C63" s="54"/>
      <c r="D63" s="54"/>
      <c r="E63" s="54"/>
      <c r="F63" s="54"/>
    </row>
    <row r="64" spans="1:24" ht="15.75" x14ac:dyDescent="0.25">
      <c r="B64" s="89" t="s">
        <v>43</v>
      </c>
      <c r="C64" s="90"/>
      <c r="D64" s="90"/>
      <c r="E64" s="90"/>
      <c r="F64" s="90"/>
    </row>
    <row r="65" spans="2:24" x14ac:dyDescent="0.25">
      <c r="B65" s="91" t="s">
        <v>29</v>
      </c>
      <c r="C65" s="140">
        <v>-37909</v>
      </c>
      <c r="D65" s="140">
        <v>-47978</v>
      </c>
      <c r="E65" s="140">
        <v>-47505</v>
      </c>
      <c r="F65" s="140">
        <v>-43002</v>
      </c>
      <c r="G65" s="4"/>
      <c r="H65" s="140">
        <v>-10882.367</v>
      </c>
      <c r="I65" s="1">
        <f>-21320.178-H65</f>
        <v>-10437.811</v>
      </c>
      <c r="J65" s="1">
        <f>-33687.519-I65-H65</f>
        <v>-12367.340999999999</v>
      </c>
      <c r="K65" s="4">
        <f>SUM(D65-SUM(H65:J65))</f>
        <v>-14290.481</v>
      </c>
      <c r="L65" s="140">
        <v>-12971.718000000001</v>
      </c>
      <c r="M65" s="1">
        <f>-26078.997-L65</f>
        <v>-13107.278999999999</v>
      </c>
      <c r="N65" s="1">
        <f>-37358.973-M65-L65</f>
        <v>-11279.975999999999</v>
      </c>
      <c r="O65" s="4">
        <f>SUM(E65-SUM(L65:N65))</f>
        <v>-10146.027000000002</v>
      </c>
      <c r="P65" s="140">
        <v>-8622</v>
      </c>
      <c r="Q65" s="1">
        <f>-19168-P65</f>
        <v>-10546</v>
      </c>
      <c r="R65" s="1">
        <f>-31382-Q65-P65</f>
        <v>-12214</v>
      </c>
      <c r="S65" s="4">
        <f>SUM(F65-SUM(P65:R65))</f>
        <v>-11620</v>
      </c>
      <c r="T65" s="34"/>
      <c r="U65" s="23">
        <f t="shared" ref="U65" si="83">SUM(L65:O65)</f>
        <v>-47505</v>
      </c>
      <c r="V65" s="23">
        <f t="shared" ref="V65" si="84">SUM(P65:S65)</f>
        <v>-43002</v>
      </c>
      <c r="W65" s="23"/>
      <c r="X65" s="28">
        <f>SUM(V65/U65)-1</f>
        <v>-9.4790022102936522E-2</v>
      </c>
    </row>
    <row r="66" spans="2:24" x14ac:dyDescent="0.25">
      <c r="C66" s="92"/>
      <c r="D66" s="92"/>
      <c r="E66" s="92"/>
      <c r="F66" s="92"/>
      <c r="G66" s="23"/>
      <c r="H66" s="92"/>
      <c r="I66" s="93"/>
      <c r="J66" s="94"/>
      <c r="K66" s="92"/>
      <c r="L66" s="92"/>
      <c r="M66" s="93"/>
      <c r="N66" s="93"/>
      <c r="O66" s="92"/>
      <c r="P66" s="92"/>
      <c r="Q66" s="93"/>
      <c r="R66" s="93"/>
      <c r="S66" s="93"/>
      <c r="T66" s="34"/>
      <c r="U66" s="23"/>
      <c r="V66" s="23"/>
      <c r="W66" s="23"/>
      <c r="X66" s="38"/>
    </row>
    <row r="67" spans="2:24" x14ac:dyDescent="0.25">
      <c r="B67" s="3" t="s">
        <v>11</v>
      </c>
      <c r="C67" s="95"/>
      <c r="D67" s="95"/>
      <c r="E67" s="95"/>
      <c r="F67" s="95"/>
      <c r="G67" s="23"/>
      <c r="H67" s="95"/>
      <c r="I67" s="96"/>
      <c r="J67" s="97"/>
      <c r="K67" s="95"/>
      <c r="L67" s="95"/>
      <c r="M67" s="96"/>
      <c r="N67" s="97"/>
      <c r="O67" s="95"/>
      <c r="P67" s="95"/>
      <c r="Q67" s="96"/>
      <c r="R67" s="96"/>
      <c r="S67" s="96"/>
      <c r="T67" s="34"/>
      <c r="U67" s="96"/>
      <c r="V67" s="96"/>
      <c r="W67" s="98"/>
    </row>
    <row r="68" spans="2:24" x14ac:dyDescent="0.25">
      <c r="B68" s="99" t="s">
        <v>110</v>
      </c>
      <c r="C68" s="140"/>
      <c r="D68" s="140"/>
      <c r="E68" s="140">
        <v>845</v>
      </c>
      <c r="F68" s="140">
        <v>0</v>
      </c>
      <c r="G68" s="4"/>
      <c r="H68" s="140"/>
      <c r="I68" s="1"/>
      <c r="J68" s="1"/>
      <c r="K68" s="4">
        <f t="shared" ref="K68:K70" si="85">SUM(D68-SUM(H68:J68))</f>
        <v>0</v>
      </c>
      <c r="L68" s="140">
        <v>0</v>
      </c>
      <c r="M68" s="1">
        <f>844.5-L68</f>
        <v>844.5</v>
      </c>
      <c r="N68" s="1">
        <f>844.5-M68-L68</f>
        <v>0</v>
      </c>
      <c r="O68" s="4">
        <f>SUM(E68-SUM(L68:N68))</f>
        <v>0.5</v>
      </c>
      <c r="P68" s="140"/>
      <c r="Q68" s="1">
        <v>0</v>
      </c>
      <c r="R68" s="1">
        <v>0</v>
      </c>
      <c r="S68" s="4">
        <f t="shared" ref="S68:S70" si="86">SUM(F68-SUM(P68:R68))</f>
        <v>0</v>
      </c>
      <c r="T68" s="34"/>
      <c r="U68" s="23">
        <f t="shared" ref="U68:U69" si="87">SUM(L68:O68)</f>
        <v>845</v>
      </c>
      <c r="V68" s="23">
        <f t="shared" ref="V68:V69" si="88">SUM(P68:S68)</f>
        <v>0</v>
      </c>
      <c r="W68" s="23"/>
      <c r="X68" s="24">
        <f>SUM(V68/U68)-1</f>
        <v>-1</v>
      </c>
    </row>
    <row r="69" spans="2:24" x14ac:dyDescent="0.25">
      <c r="B69" s="99" t="s">
        <v>99</v>
      </c>
      <c r="C69" s="140"/>
      <c r="D69" s="140"/>
      <c r="E69" s="140"/>
      <c r="F69" s="140"/>
      <c r="G69" s="4"/>
      <c r="H69" s="140"/>
      <c r="I69" s="1"/>
      <c r="J69" s="1"/>
      <c r="K69" s="4">
        <f t="shared" si="85"/>
        <v>0</v>
      </c>
      <c r="L69" s="140"/>
      <c r="M69" s="1"/>
      <c r="N69" s="1"/>
      <c r="O69" s="4">
        <f t="shared" ref="O69:O77" si="89">SUM(E69-SUM(L69:N69))</f>
        <v>0</v>
      </c>
      <c r="P69" s="140"/>
      <c r="Q69" s="1"/>
      <c r="R69" s="1">
        <f>-59-Q69-P697</f>
        <v>-59</v>
      </c>
      <c r="S69" s="4">
        <f t="shared" si="86"/>
        <v>59</v>
      </c>
      <c r="T69" s="34"/>
      <c r="U69" s="23">
        <f t="shared" si="87"/>
        <v>0</v>
      </c>
      <c r="V69" s="23">
        <f t="shared" si="88"/>
        <v>0</v>
      </c>
      <c r="W69" s="23"/>
      <c r="X69" s="24" t="e">
        <f>SUM(V69/U69)-1</f>
        <v>#DIV/0!</v>
      </c>
    </row>
    <row r="70" spans="2:24" x14ac:dyDescent="0.25">
      <c r="B70" s="99" t="s">
        <v>111</v>
      </c>
      <c r="C70" s="140">
        <v>8231</v>
      </c>
      <c r="D70" s="140">
        <v>18379</v>
      </c>
      <c r="E70" s="140">
        <v>16370</v>
      </c>
      <c r="F70" s="140">
        <v>9438</v>
      </c>
      <c r="G70" s="4"/>
      <c r="H70" s="140">
        <v>3908.7710000000002</v>
      </c>
      <c r="I70" s="1">
        <f>8348.23-H70</f>
        <v>4439.4589999999989</v>
      </c>
      <c r="J70" s="1">
        <f>12336.844-I70-H70</f>
        <v>3988.614</v>
      </c>
      <c r="K70" s="4">
        <f t="shared" si="85"/>
        <v>6042.1560000000009</v>
      </c>
      <c r="L70" s="140">
        <v>5346.5079999999998</v>
      </c>
      <c r="M70" s="1">
        <f>9316.572-L70</f>
        <v>3970.0640000000003</v>
      </c>
      <c r="N70" s="1">
        <f>13183.353-M70-L70</f>
        <v>3866.780999999999</v>
      </c>
      <c r="O70" s="4">
        <f t="shared" si="89"/>
        <v>3186.6470000000008</v>
      </c>
      <c r="P70" s="140">
        <v>2286</v>
      </c>
      <c r="Q70" s="1">
        <f>4938-P70</f>
        <v>2652</v>
      </c>
      <c r="R70" s="1">
        <f>7425-Q70-P70</f>
        <v>2487</v>
      </c>
      <c r="S70" s="4">
        <f t="shared" si="86"/>
        <v>2013</v>
      </c>
      <c r="T70" s="34"/>
      <c r="U70" s="23">
        <f t="shared" ref="U70" si="90">SUM(L70:O70)</f>
        <v>16370</v>
      </c>
      <c r="V70" s="23">
        <f t="shared" ref="V70" si="91">SUM(P70:S70)</f>
        <v>9438</v>
      </c>
      <c r="W70" s="23"/>
      <c r="X70" s="24">
        <f>SUM(V70/U70)-1</f>
        <v>-0.42345754428833227</v>
      </c>
    </row>
    <row r="71" spans="2:24" x14ac:dyDescent="0.25">
      <c r="B71"/>
      <c r="C71" s="95"/>
      <c r="D71" s="95"/>
      <c r="E71" s="95"/>
      <c r="F71" s="95"/>
      <c r="G71" s="23"/>
      <c r="H71" s="95"/>
      <c r="I71" s="96"/>
      <c r="J71" s="97"/>
      <c r="K71" s="95"/>
      <c r="L71" s="95"/>
      <c r="M71" s="96"/>
      <c r="N71" s="97"/>
      <c r="O71" s="4">
        <f t="shared" si="89"/>
        <v>0</v>
      </c>
      <c r="P71" s="96"/>
      <c r="Q71" s="96"/>
      <c r="R71" s="96"/>
      <c r="S71" s="96"/>
      <c r="T71" s="34"/>
      <c r="U71" s="23"/>
      <c r="V71" s="23"/>
      <c r="W71" s="23"/>
      <c r="X71" s="38"/>
    </row>
    <row r="72" spans="2:24" x14ac:dyDescent="0.25">
      <c r="B72" s="3" t="s">
        <v>112</v>
      </c>
      <c r="C72" s="95"/>
      <c r="D72" s="95"/>
      <c r="E72" s="95"/>
      <c r="F72" s="95"/>
      <c r="G72" s="23"/>
      <c r="H72" s="95"/>
      <c r="I72" s="96"/>
      <c r="J72" s="97"/>
      <c r="K72" s="95"/>
      <c r="L72" s="95"/>
      <c r="M72" s="96"/>
      <c r="N72" s="97"/>
      <c r="O72" s="4">
        <f t="shared" si="89"/>
        <v>0</v>
      </c>
      <c r="P72" s="96"/>
      <c r="Q72" s="96"/>
      <c r="R72" s="96"/>
      <c r="S72" s="96"/>
      <c r="T72" s="34"/>
      <c r="U72" s="96"/>
      <c r="V72" s="96"/>
      <c r="W72" s="98"/>
    </row>
    <row r="73" spans="2:24" x14ac:dyDescent="0.25">
      <c r="B73" s="99" t="s">
        <v>104</v>
      </c>
      <c r="C73" s="140">
        <v>-4287</v>
      </c>
      <c r="D73" s="140">
        <v>5944</v>
      </c>
      <c r="E73" s="140">
        <v>484</v>
      </c>
      <c r="F73" s="140">
        <v>260</v>
      </c>
      <c r="G73" s="4"/>
      <c r="H73" s="140">
        <v>3764.6779999999999</v>
      </c>
      <c r="I73" s="1">
        <f>2667.844-H73</f>
        <v>-1096.8339999999998</v>
      </c>
      <c r="J73" s="1">
        <f>2577.002-I73-H73</f>
        <v>-90.842000000000098</v>
      </c>
      <c r="K73" s="4">
        <f t="shared" ref="K73:K77" si="92">SUM(D73-SUM(H73:J73))</f>
        <v>3366.998</v>
      </c>
      <c r="L73" s="140">
        <v>-901.851</v>
      </c>
      <c r="M73" s="1">
        <f>-1545.081-L73</f>
        <v>-643.2299999999999</v>
      </c>
      <c r="N73" s="1">
        <f>102.7453-M73-L73</f>
        <v>1647.8262999999999</v>
      </c>
      <c r="O73" s="4">
        <f t="shared" si="89"/>
        <v>381.25469999999996</v>
      </c>
      <c r="P73" s="140">
        <v>-840</v>
      </c>
      <c r="Q73" s="1">
        <f>-1076-P73</f>
        <v>-236</v>
      </c>
      <c r="R73" s="1">
        <f>989-Q73-P73</f>
        <v>2065</v>
      </c>
      <c r="S73" s="4">
        <f t="shared" ref="S73:S77" si="93">SUM(F73-SUM(P73:R73))</f>
        <v>-729</v>
      </c>
      <c r="T73" s="34"/>
      <c r="U73" s="23">
        <f t="shared" ref="U73:U77" si="94">SUM(L73:O73)</f>
        <v>484</v>
      </c>
      <c r="V73" s="23">
        <f t="shared" ref="V73:V77" si="95">SUM(P73:S73)</f>
        <v>260</v>
      </c>
      <c r="W73" s="98"/>
      <c r="X73" s="24">
        <f t="shared" ref="X73:X77" si="96">SUM(V73/U73)-1</f>
        <v>-0.46280991735537191</v>
      </c>
    </row>
    <row r="74" spans="2:24" x14ac:dyDescent="0.25">
      <c r="B74" s="99" t="s">
        <v>113</v>
      </c>
      <c r="C74" s="140">
        <v>88</v>
      </c>
      <c r="D74" s="140">
        <v>1</v>
      </c>
      <c r="E74" s="140">
        <v>-299</v>
      </c>
      <c r="F74" s="140">
        <v>-278</v>
      </c>
      <c r="G74" s="4"/>
      <c r="H74" s="140">
        <v>-22.311</v>
      </c>
      <c r="I74" s="1">
        <f>-109.056-H74</f>
        <v>-86.745000000000005</v>
      </c>
      <c r="J74" s="1">
        <f>-106.414-I74-H74</f>
        <v>2.642000000000003</v>
      </c>
      <c r="K74" s="4">
        <f t="shared" si="92"/>
        <v>107.41400000000002</v>
      </c>
      <c r="L74" s="140">
        <v>-301.48099999999999</v>
      </c>
      <c r="M74" s="1">
        <f>-627.612-L74</f>
        <v>-326.13099999999997</v>
      </c>
      <c r="N74" s="1">
        <f>-473.41-M74-L74</f>
        <v>154.20199999999994</v>
      </c>
      <c r="O74" s="4">
        <f t="shared" si="89"/>
        <v>174.41000000000003</v>
      </c>
      <c r="P74" s="140">
        <v>-103</v>
      </c>
      <c r="Q74" s="1">
        <f>-692-P74</f>
        <v>-589</v>
      </c>
      <c r="R74" s="1">
        <f>-406-Q74-P74</f>
        <v>286</v>
      </c>
      <c r="S74" s="4">
        <f t="shared" si="93"/>
        <v>128</v>
      </c>
      <c r="T74" s="34"/>
      <c r="U74" s="23">
        <f t="shared" si="94"/>
        <v>-299</v>
      </c>
      <c r="V74" s="23">
        <f t="shared" si="95"/>
        <v>-278</v>
      </c>
      <c r="W74" s="98"/>
      <c r="X74" s="24">
        <f t="shared" si="96"/>
        <v>-7.0234113712374535E-2</v>
      </c>
    </row>
    <row r="75" spans="2:24" x14ac:dyDescent="0.25">
      <c r="B75" s="99" t="s">
        <v>84</v>
      </c>
      <c r="C75" s="140">
        <v>751</v>
      </c>
      <c r="D75" s="140">
        <v>-914</v>
      </c>
      <c r="E75" s="140">
        <v>497</v>
      </c>
      <c r="F75" s="140">
        <v>5305</v>
      </c>
      <c r="G75" s="4"/>
      <c r="H75" s="140">
        <v>-104.992</v>
      </c>
      <c r="I75" s="1">
        <f>-2107.893-H75</f>
        <v>-2002.9010000000001</v>
      </c>
      <c r="J75" s="1">
        <f>-1612.889-I75-H75</f>
        <v>495.00400000000019</v>
      </c>
      <c r="K75" s="4">
        <f t="shared" si="92"/>
        <v>698.8889999999999</v>
      </c>
      <c r="L75" s="140">
        <v>1463.4839999999999</v>
      </c>
      <c r="M75" s="1">
        <f>2456.965-L75</f>
        <v>993.48100000000022</v>
      </c>
      <c r="N75" s="1">
        <f>328.069-M75-L75</f>
        <v>-2128.8960000000002</v>
      </c>
      <c r="O75" s="4">
        <f t="shared" si="89"/>
        <v>168.93100000000004</v>
      </c>
      <c r="P75" s="140">
        <v>-30</v>
      </c>
      <c r="Q75" s="1">
        <f>-596-P75</f>
        <v>-566</v>
      </c>
      <c r="R75" s="1">
        <f>-760-Q75-P75</f>
        <v>-164</v>
      </c>
      <c r="S75" s="4">
        <f t="shared" si="93"/>
        <v>6065</v>
      </c>
      <c r="T75" s="34"/>
      <c r="U75" s="23">
        <f t="shared" si="94"/>
        <v>497</v>
      </c>
      <c r="V75" s="23">
        <f t="shared" si="95"/>
        <v>5305</v>
      </c>
      <c r="W75" s="98"/>
      <c r="X75" s="24">
        <f t="shared" si="96"/>
        <v>9.6740442655935617</v>
      </c>
    </row>
    <row r="76" spans="2:24" x14ac:dyDescent="0.25">
      <c r="B76" s="99" t="s">
        <v>114</v>
      </c>
      <c r="C76" s="140">
        <v>2298</v>
      </c>
      <c r="D76" s="140">
        <v>330</v>
      </c>
      <c r="E76" s="140">
        <v>1350</v>
      </c>
      <c r="F76" s="140">
        <v>-2460</v>
      </c>
      <c r="G76" s="4"/>
      <c r="H76" s="140">
        <v>-164.73400000000001</v>
      </c>
      <c r="I76" s="1">
        <f>-619.386-H76</f>
        <v>-454.65199999999993</v>
      </c>
      <c r="J76" s="1">
        <f>299.047-I76-H76</f>
        <v>918.43299999999999</v>
      </c>
      <c r="K76" s="4">
        <f t="shared" si="92"/>
        <v>30.952999999999975</v>
      </c>
      <c r="L76" s="140">
        <v>1097.8689999999999</v>
      </c>
      <c r="M76" s="1">
        <f>877.885-L76</f>
        <v>-219.98399999999992</v>
      </c>
      <c r="N76" s="1">
        <f>40.705-M76-L76</f>
        <v>-837.18000000000006</v>
      </c>
      <c r="O76" s="4">
        <f t="shared" si="89"/>
        <v>1309.2950000000001</v>
      </c>
      <c r="P76" s="140">
        <v>-9</v>
      </c>
      <c r="Q76" s="1">
        <f>-2380-P76</f>
        <v>-2371</v>
      </c>
      <c r="R76" s="1">
        <f>39-Q76-P76</f>
        <v>2419</v>
      </c>
      <c r="S76" s="4">
        <f t="shared" si="93"/>
        <v>-2499</v>
      </c>
      <c r="T76" s="34"/>
      <c r="U76" s="23">
        <f t="shared" si="94"/>
        <v>1350</v>
      </c>
      <c r="V76" s="23">
        <f t="shared" si="95"/>
        <v>-2460</v>
      </c>
      <c r="W76" s="98"/>
      <c r="X76" s="24">
        <f t="shared" si="96"/>
        <v>-2.822222222222222</v>
      </c>
    </row>
    <row r="77" spans="2:24" x14ac:dyDescent="0.25">
      <c r="B77" s="99" t="s">
        <v>115</v>
      </c>
      <c r="C77" s="140">
        <v>444</v>
      </c>
      <c r="D77" s="140">
        <v>0</v>
      </c>
      <c r="E77" s="140">
        <v>473</v>
      </c>
      <c r="F77" s="140">
        <v>-75</v>
      </c>
      <c r="G77" s="4"/>
      <c r="H77" s="141"/>
      <c r="I77" s="1" t="s">
        <v>100</v>
      </c>
      <c r="J77" s="1" t="s">
        <v>100</v>
      </c>
      <c r="K77" s="4">
        <f t="shared" si="92"/>
        <v>0</v>
      </c>
      <c r="L77" s="140">
        <v>472.93200000000002</v>
      </c>
      <c r="M77" s="1">
        <f>472.932-L77</f>
        <v>0</v>
      </c>
      <c r="N77" s="1">
        <f>472.932-M77-L77</f>
        <v>0</v>
      </c>
      <c r="O77" s="4">
        <f t="shared" si="89"/>
        <v>6.7999999999983629E-2</v>
      </c>
      <c r="P77" s="140" t="s">
        <v>100</v>
      </c>
      <c r="Q77" s="1">
        <v>0</v>
      </c>
      <c r="R77" s="1">
        <v>0</v>
      </c>
      <c r="S77" s="4">
        <f t="shared" si="93"/>
        <v>-75</v>
      </c>
      <c r="T77" s="34"/>
      <c r="U77" s="23">
        <f t="shared" si="94"/>
        <v>473</v>
      </c>
      <c r="V77" s="23">
        <f t="shared" si="95"/>
        <v>-75</v>
      </c>
      <c r="W77" s="98"/>
      <c r="X77" s="24">
        <f t="shared" si="96"/>
        <v>-1.1585623678646935</v>
      </c>
    </row>
    <row r="78" spans="2:24" ht="15.75" x14ac:dyDescent="0.25">
      <c r="B78" s="100" t="s">
        <v>12</v>
      </c>
      <c r="C78" s="101">
        <f>SUM(C65:C77)</f>
        <v>-30384</v>
      </c>
      <c r="D78" s="101">
        <f>SUM(D65:D77)</f>
        <v>-24238</v>
      </c>
      <c r="E78" s="101">
        <f>SUM(E65:E77)</f>
        <v>-27785</v>
      </c>
      <c r="F78" s="101">
        <f>SUM(F65:F77)</f>
        <v>-30812</v>
      </c>
      <c r="G78" s="34"/>
      <c r="H78" s="101">
        <f>SUM(H65:H77)</f>
        <v>-3500.9549999999999</v>
      </c>
      <c r="I78" s="101">
        <f>SUM(I65:I77)</f>
        <v>-9639.4840000000004</v>
      </c>
      <c r="J78" s="101">
        <f>SUM(J65:J77)</f>
        <v>-7053.49</v>
      </c>
      <c r="K78" s="101">
        <f>SUM(K65:K77)</f>
        <v>-4044.0709999999995</v>
      </c>
      <c r="L78" s="101">
        <f>SUM(L65:L77)</f>
        <v>-5794.2570000000014</v>
      </c>
      <c r="M78" s="101">
        <f>SUM(M65:M77)</f>
        <v>-8488.5789999999979</v>
      </c>
      <c r="N78" s="101">
        <f>SUM(N65:N77)</f>
        <v>-8577.2427000000007</v>
      </c>
      <c r="O78" s="101">
        <f>SUM(O65:O77)</f>
        <v>-4924.9213000000009</v>
      </c>
      <c r="P78" s="101">
        <f>SUM(P65:P77)</f>
        <v>-7318</v>
      </c>
      <c r="Q78" s="101">
        <f>SUM(Q65:Q77)</f>
        <v>-11656</v>
      </c>
      <c r="R78" s="101">
        <f>SUM(R65:R77)</f>
        <v>-5180</v>
      </c>
      <c r="S78" s="101">
        <f>SUM(S65:S77)</f>
        <v>-6658</v>
      </c>
      <c r="T78" s="34"/>
      <c r="U78" s="101">
        <f>SUM(U65:U77)</f>
        <v>-27785</v>
      </c>
      <c r="V78" s="101">
        <f>SUM(V65:V77)</f>
        <v>-30812</v>
      </c>
      <c r="W78" s="27"/>
      <c r="X78" s="28">
        <f>SUM(V78/U78)-1</f>
        <v>0.10894367464459243</v>
      </c>
    </row>
    <row r="79" spans="2:24" ht="15.75" x14ac:dyDescent="0.25">
      <c r="B79" s="62"/>
      <c r="C79" s="102"/>
      <c r="D79" s="102"/>
      <c r="E79" s="102"/>
      <c r="F79" s="102"/>
      <c r="G79" s="34"/>
      <c r="H79" s="102"/>
      <c r="I79" s="102"/>
      <c r="J79" s="102"/>
      <c r="K79" s="102"/>
      <c r="L79" s="102"/>
      <c r="M79" s="102"/>
      <c r="N79" s="102"/>
      <c r="O79" s="102"/>
      <c r="P79" s="102"/>
      <c r="Q79" s="102"/>
      <c r="R79" s="102"/>
      <c r="S79" s="102"/>
      <c r="T79" s="34"/>
      <c r="U79" s="27"/>
      <c r="V79" s="27"/>
      <c r="W79" s="27"/>
      <c r="X79" s="38"/>
    </row>
    <row r="80" spans="2:24" ht="15.75" x14ac:dyDescent="0.25">
      <c r="B80" s="62" t="s">
        <v>44</v>
      </c>
      <c r="C80" s="103"/>
      <c r="D80" s="103"/>
      <c r="E80" s="103"/>
      <c r="F80" s="103"/>
      <c r="G80" s="34"/>
      <c r="H80" s="103"/>
      <c r="I80" s="103"/>
      <c r="J80" s="103"/>
      <c r="K80" s="103"/>
      <c r="L80" s="103"/>
      <c r="M80" s="103"/>
      <c r="N80" s="103"/>
      <c r="O80" s="104"/>
      <c r="P80" s="103"/>
      <c r="Q80" s="103"/>
      <c r="R80" s="103"/>
      <c r="S80" s="103"/>
      <c r="T80" s="34"/>
      <c r="U80" s="103"/>
      <c r="V80" s="103"/>
      <c r="W80" s="105"/>
    </row>
    <row r="81" spans="2:24" x14ac:dyDescent="0.25">
      <c r="B81" s="99" t="s">
        <v>116</v>
      </c>
      <c r="C81" s="140">
        <v>153219</v>
      </c>
      <c r="D81" s="140">
        <v>20985</v>
      </c>
      <c r="E81" s="140">
        <v>27875</v>
      </c>
      <c r="F81" s="140">
        <v>11284</v>
      </c>
      <c r="G81" s="4"/>
      <c r="H81" s="141">
        <v>2312.7849999999999</v>
      </c>
      <c r="I81" s="1">
        <f>14399.768-H81</f>
        <v>12086.983</v>
      </c>
      <c r="J81" s="1">
        <f>20982.148-I81-H81</f>
        <v>6582.380000000001</v>
      </c>
      <c r="K81" s="4">
        <f t="shared" ref="K81:K84" si="97">SUM(D81-SUM(H81:J81))</f>
        <v>2.8519999999989523</v>
      </c>
      <c r="L81" s="140">
        <v>0</v>
      </c>
      <c r="M81" s="140">
        <v>18152.5</v>
      </c>
      <c r="N81" s="1">
        <f>26687.017-M81</f>
        <v>8534.5169999999998</v>
      </c>
      <c r="O81" s="4">
        <f t="shared" ref="O81:O84" si="98">SUM(E81-SUM(L81:N81))</f>
        <v>1187.9830000000002</v>
      </c>
      <c r="P81" s="141">
        <v>0</v>
      </c>
      <c r="Q81" s="1">
        <f>7178-P81</f>
        <v>7178</v>
      </c>
      <c r="R81" s="1">
        <f>11284-Q81</f>
        <v>4106</v>
      </c>
      <c r="S81" s="4">
        <f t="shared" ref="S81:S84" si="99">SUM(F81-SUM(P81:R81))</f>
        <v>0</v>
      </c>
      <c r="T81" s="34"/>
      <c r="U81" s="23">
        <f>SUM(K81:N81)</f>
        <v>26689.868999999999</v>
      </c>
      <c r="V81" s="23">
        <f>SUM(O81:R81)</f>
        <v>12471.983</v>
      </c>
      <c r="W81" s="23"/>
      <c r="X81" s="24">
        <f t="shared" ref="X81:X84" si="100">SUM(V81/U81)-1</f>
        <v>-0.53270722310401752</v>
      </c>
    </row>
    <row r="82" spans="2:24" x14ac:dyDescent="0.25">
      <c r="B82" s="99" t="s">
        <v>117</v>
      </c>
      <c r="C82" s="140">
        <v>-5551</v>
      </c>
      <c r="D82" s="140">
        <v>-707</v>
      </c>
      <c r="E82" s="140"/>
      <c r="F82" s="140"/>
      <c r="G82" s="4"/>
      <c r="H82" s="141">
        <v>-146.71700000000001</v>
      </c>
      <c r="I82" s="1">
        <f>-521.441-H82</f>
        <v>-374.72400000000005</v>
      </c>
      <c r="J82" s="1">
        <f>-706.802-I82-H82</f>
        <v>-185.36099999999996</v>
      </c>
      <c r="K82" s="4">
        <f t="shared" si="97"/>
        <v>-0.19799999999997908</v>
      </c>
      <c r="L82" s="140"/>
      <c r="M82" s="1"/>
      <c r="N82" s="1"/>
      <c r="O82" s="4">
        <f t="shared" si="98"/>
        <v>0</v>
      </c>
      <c r="P82" s="141">
        <v>0</v>
      </c>
      <c r="Q82" s="1"/>
      <c r="R82" s="1"/>
      <c r="S82" s="4">
        <f t="shared" si="99"/>
        <v>0</v>
      </c>
      <c r="T82" s="34"/>
      <c r="U82" s="23">
        <f>SUM(K82:N82)</f>
        <v>-0.19799999999997908</v>
      </c>
      <c r="V82" s="23">
        <f>SUM(O82:R82)</f>
        <v>0</v>
      </c>
      <c r="W82" s="23"/>
      <c r="X82" s="24">
        <f t="shared" si="100"/>
        <v>-1</v>
      </c>
    </row>
    <row r="83" spans="2:24" x14ac:dyDescent="0.25">
      <c r="B83" s="99" t="s">
        <v>118</v>
      </c>
      <c r="C83" s="140">
        <v>1467</v>
      </c>
      <c r="D83" s="140">
        <v>0</v>
      </c>
      <c r="E83" s="140"/>
      <c r="F83" s="140"/>
      <c r="G83" s="4"/>
      <c r="H83" s="141"/>
      <c r="I83" s="1"/>
      <c r="J83" s="1"/>
      <c r="K83" s="4">
        <f t="shared" si="97"/>
        <v>0</v>
      </c>
      <c r="L83" s="140"/>
      <c r="M83" s="1"/>
      <c r="N83" s="1"/>
      <c r="O83" s="4">
        <f t="shared" si="98"/>
        <v>0</v>
      </c>
      <c r="P83" s="141">
        <v>0</v>
      </c>
      <c r="Q83" s="1"/>
      <c r="R83" s="1"/>
      <c r="S83" s="4">
        <f t="shared" si="99"/>
        <v>0</v>
      </c>
      <c r="T83" s="34"/>
      <c r="U83" s="23">
        <f>SUM(K83:N83)</f>
        <v>0</v>
      </c>
      <c r="V83" s="23">
        <f>SUM(O83:R83)</f>
        <v>0</v>
      </c>
      <c r="W83" s="23"/>
      <c r="X83" s="24" t="e">
        <f t="shared" si="100"/>
        <v>#DIV/0!</v>
      </c>
    </row>
    <row r="84" spans="2:24" x14ac:dyDescent="0.25">
      <c r="B84" s="99" t="s">
        <v>119</v>
      </c>
      <c r="C84" s="140">
        <v>4108</v>
      </c>
      <c r="D84" s="140">
        <v>1010</v>
      </c>
      <c r="E84" s="140">
        <v>1776</v>
      </c>
      <c r="F84" s="140">
        <v>691</v>
      </c>
      <c r="G84" s="4"/>
      <c r="H84" s="141">
        <v>373.49700000000001</v>
      </c>
      <c r="I84" s="1">
        <f>496.923-H84</f>
        <v>123.42599999999999</v>
      </c>
      <c r="J84" s="1">
        <f>1010.19-I84-H84</f>
        <v>513.26700000000005</v>
      </c>
      <c r="K84" s="4">
        <f t="shared" si="97"/>
        <v>-0.19000000000005457</v>
      </c>
      <c r="L84" s="140">
        <v>258.24400000000003</v>
      </c>
      <c r="M84" s="1">
        <f>439.437-L84</f>
        <v>181.19299999999998</v>
      </c>
      <c r="N84" s="1">
        <f>907.657-M84-L84</f>
        <v>468.22</v>
      </c>
      <c r="O84" s="4">
        <f t="shared" si="98"/>
        <v>868.34299999999996</v>
      </c>
      <c r="P84" s="141">
        <v>59</v>
      </c>
      <c r="Q84" s="1">
        <f>158-P84</f>
        <v>99</v>
      </c>
      <c r="R84" s="1">
        <f>602-Q84</f>
        <v>503</v>
      </c>
      <c r="S84" s="4">
        <f t="shared" si="99"/>
        <v>30</v>
      </c>
      <c r="T84" s="34"/>
      <c r="U84" s="23">
        <f>SUM(K84:N84)</f>
        <v>907.46699999999998</v>
      </c>
      <c r="V84" s="23">
        <f>SUM(O84:R84)</f>
        <v>1529.3429999999998</v>
      </c>
      <c r="W84" s="23"/>
      <c r="X84" s="24">
        <f t="shared" si="100"/>
        <v>0.68528772947115413</v>
      </c>
    </row>
    <row r="85" spans="2:24" ht="15.75" x14ac:dyDescent="0.25">
      <c r="B85" s="100" t="s">
        <v>13</v>
      </c>
      <c r="C85" s="101">
        <f>SUM(C81:C84)</f>
        <v>153243</v>
      </c>
      <c r="D85" s="101">
        <f>SUM(D81:D84)</f>
        <v>21288</v>
      </c>
      <c r="E85" s="101">
        <f>SUM(E81:E84)</f>
        <v>29651</v>
      </c>
      <c r="F85" s="101">
        <f>SUM(F81:F84)</f>
        <v>11975</v>
      </c>
      <c r="G85" s="34"/>
      <c r="H85" s="101">
        <f>SUM(H81:H84)</f>
        <v>2539.5649999999996</v>
      </c>
      <c r="I85" s="101">
        <f>SUM(I81:I84)</f>
        <v>11835.684999999999</v>
      </c>
      <c r="J85" s="101">
        <f>SUM(J81:J84)</f>
        <v>6910.286000000001</v>
      </c>
      <c r="K85" s="101">
        <f>SUM(K81:K84)</f>
        <v>2.4639999999989186</v>
      </c>
      <c r="L85" s="101">
        <f>SUM(L81:L84)</f>
        <v>258.24400000000003</v>
      </c>
      <c r="M85" s="101">
        <f>SUM(M81:M84)</f>
        <v>18333.692999999999</v>
      </c>
      <c r="N85" s="101">
        <f>SUM(N81:N84)</f>
        <v>9002.7369999999992</v>
      </c>
      <c r="O85" s="101">
        <f>SUM(O81:O84)</f>
        <v>2056.326</v>
      </c>
      <c r="P85" s="101">
        <f>SUM(P81:P84)</f>
        <v>59</v>
      </c>
      <c r="Q85" s="101">
        <f>SUM(Q81:Q84)</f>
        <v>7277</v>
      </c>
      <c r="R85" s="101">
        <f>SUM(R81:R84)</f>
        <v>4609</v>
      </c>
      <c r="S85" s="101">
        <f>SUM(S81:S84)</f>
        <v>30</v>
      </c>
      <c r="T85" s="34"/>
      <c r="U85" s="101">
        <f>SUM(U81:U84)</f>
        <v>27597.137999999999</v>
      </c>
      <c r="V85" s="101">
        <f>SUM(V81:V84)</f>
        <v>14001.326000000001</v>
      </c>
      <c r="W85" s="27"/>
      <c r="X85" s="28">
        <f>SUM(V85/U85)-1</f>
        <v>-0.49265297002899355</v>
      </c>
    </row>
    <row r="86" spans="2:24" ht="15.75" x14ac:dyDescent="0.25">
      <c r="B86" s="62"/>
      <c r="C86" s="102"/>
      <c r="D86" s="102"/>
      <c r="E86" s="102"/>
      <c r="F86" s="102"/>
      <c r="G86" s="34"/>
      <c r="H86" s="102"/>
      <c r="I86" s="102"/>
      <c r="J86" s="102"/>
      <c r="K86" s="102"/>
      <c r="L86" s="102"/>
      <c r="M86" s="102"/>
      <c r="N86" s="102"/>
      <c r="O86" s="102"/>
      <c r="P86" s="102"/>
      <c r="Q86" s="102"/>
      <c r="R86" s="102"/>
      <c r="S86" s="102"/>
      <c r="T86" s="34"/>
      <c r="U86" s="27"/>
      <c r="V86" s="27"/>
      <c r="W86" s="27"/>
      <c r="X86" s="38"/>
    </row>
    <row r="87" spans="2:24" x14ac:dyDescent="0.25">
      <c r="B87" t="s">
        <v>120</v>
      </c>
      <c r="C87" s="140">
        <v>122859</v>
      </c>
      <c r="D87" s="140">
        <v>-2950</v>
      </c>
      <c r="E87" s="140">
        <v>1866</v>
      </c>
      <c r="F87" s="140">
        <v>-18837</v>
      </c>
      <c r="G87" s="4"/>
      <c r="H87" s="140">
        <v>-961390</v>
      </c>
      <c r="I87" s="1">
        <v>1234811</v>
      </c>
      <c r="J87" s="1">
        <f>1091607-I87-H87</f>
        <v>818186</v>
      </c>
      <c r="K87" s="4">
        <f t="shared" ref="K87" si="101">SUM(D87-SUM(H87:J87))</f>
        <v>-1094557</v>
      </c>
      <c r="L87" s="140">
        <v>-5536.0129999999999</v>
      </c>
      <c r="M87" s="1">
        <v>4309.1009999999997</v>
      </c>
      <c r="N87" s="140">
        <v>5659.3029999999999</v>
      </c>
      <c r="O87" s="4">
        <f t="shared" ref="O87" si="102">SUM(E87-SUM(L87:N87))</f>
        <v>-2566.3909999999996</v>
      </c>
      <c r="P87" s="140">
        <v>-7259</v>
      </c>
      <c r="Q87" s="1">
        <v>-11638</v>
      </c>
      <c r="R87" s="1">
        <v>-12268</v>
      </c>
      <c r="S87" s="1">
        <f>4-R87-Q87</f>
        <v>23910</v>
      </c>
      <c r="T87" s="23"/>
      <c r="U87" s="23">
        <f>SUM(J87:M87)</f>
        <v>-277597.91199999995</v>
      </c>
      <c r="V87" s="23">
        <f>SUM(N87:Q87)</f>
        <v>-15804.088</v>
      </c>
      <c r="W87" s="23"/>
      <c r="X87" s="38"/>
    </row>
    <row r="88" spans="2:24" x14ac:dyDescent="0.25">
      <c r="B88" t="s">
        <v>121</v>
      </c>
      <c r="C88" s="140">
        <v>29249</v>
      </c>
      <c r="D88" s="140">
        <v>152108</v>
      </c>
      <c r="E88" s="140">
        <v>149158</v>
      </c>
      <c r="F88" s="140">
        <v>151024</v>
      </c>
      <c r="G88" s="4"/>
      <c r="H88" s="140">
        <v>152107.745</v>
      </c>
      <c r="I88" s="1">
        <v>152107.745</v>
      </c>
      <c r="J88" s="1">
        <v>152107.745</v>
      </c>
      <c r="K88" s="4"/>
      <c r="L88" s="140">
        <v>149157.861</v>
      </c>
      <c r="M88" s="1">
        <v>149157.861</v>
      </c>
      <c r="N88" s="1">
        <v>149157.861</v>
      </c>
      <c r="O88" s="4"/>
      <c r="P88" s="140">
        <v>151024</v>
      </c>
      <c r="Q88" s="1">
        <v>151024</v>
      </c>
      <c r="R88" s="1">
        <v>151024</v>
      </c>
      <c r="S88" s="1"/>
      <c r="T88" s="23"/>
      <c r="U88" s="23"/>
      <c r="V88" s="23"/>
      <c r="W88" s="23"/>
      <c r="X88" s="38"/>
    </row>
    <row r="89" spans="2:24" x14ac:dyDescent="0.25">
      <c r="B89" t="s">
        <v>122</v>
      </c>
      <c r="C89" s="140">
        <v>152108</v>
      </c>
      <c r="D89" s="140">
        <v>149158</v>
      </c>
      <c r="E89" s="140">
        <v>151024</v>
      </c>
      <c r="F89" s="140">
        <v>132187</v>
      </c>
      <c r="G89" s="4"/>
      <c r="H89" s="140">
        <v>151146.35500000001</v>
      </c>
      <c r="I89" s="140">
        <v>153342.55600000001</v>
      </c>
      <c r="J89" s="140">
        <v>153199.35200000001</v>
      </c>
      <c r="K89" s="4"/>
      <c r="L89" s="140">
        <v>143621.848</v>
      </c>
      <c r="M89" s="140">
        <v>153466.962</v>
      </c>
      <c r="N89" s="140">
        <v>154817.16399999999</v>
      </c>
      <c r="O89" s="4"/>
      <c r="P89" s="140">
        <v>143765</v>
      </c>
      <c r="Q89" s="140">
        <v>139386</v>
      </c>
      <c r="R89" s="140">
        <v>138756</v>
      </c>
      <c r="S89" s="140">
        <v>38081</v>
      </c>
      <c r="T89" s="23"/>
      <c r="U89" s="23"/>
      <c r="V89" s="23"/>
      <c r="W89" s="23"/>
      <c r="X89" s="38"/>
    </row>
    <row r="90" spans="2:24" x14ac:dyDescent="0.25">
      <c r="B90"/>
      <c r="C90" s="140"/>
      <c r="D90" s="140"/>
      <c r="E90" s="140"/>
      <c r="F90" s="140"/>
      <c r="G90" s="4"/>
      <c r="H90" s="140"/>
      <c r="I90" s="140"/>
      <c r="J90" s="140"/>
      <c r="K90" s="4"/>
      <c r="L90" s="140"/>
      <c r="M90" s="140"/>
      <c r="N90" s="140"/>
      <c r="O90" s="4"/>
      <c r="P90" s="140"/>
      <c r="Q90" s="140"/>
      <c r="R90" s="140"/>
      <c r="S90" s="140"/>
      <c r="T90" s="23"/>
      <c r="U90" s="23"/>
      <c r="V90" s="23"/>
      <c r="W90" s="23"/>
      <c r="X90" s="38"/>
    </row>
    <row r="91" spans="2:24" x14ac:dyDescent="0.25">
      <c r="B91" s="3" t="s">
        <v>123</v>
      </c>
      <c r="C91" s="140"/>
      <c r="D91" s="140"/>
      <c r="E91" s="140"/>
      <c r="F91" s="140"/>
      <c r="G91" s="4"/>
      <c r="H91" s="140"/>
      <c r="I91" s="140"/>
      <c r="J91" s="140"/>
      <c r="K91" s="4"/>
      <c r="L91" s="140"/>
      <c r="M91" s="140"/>
      <c r="N91" s="140"/>
      <c r="O91" s="4"/>
      <c r="P91" s="140"/>
      <c r="Q91" s="140"/>
      <c r="R91" s="140"/>
      <c r="S91" s="140"/>
      <c r="T91" s="23"/>
      <c r="U91" s="23"/>
      <c r="V91" s="23"/>
      <c r="W91" s="23"/>
      <c r="X91" s="38"/>
    </row>
    <row r="92" spans="2:24" x14ac:dyDescent="0.25">
      <c r="B92" t="s">
        <v>124</v>
      </c>
      <c r="C92" s="140">
        <v>140</v>
      </c>
      <c r="D92" s="140">
        <v>327</v>
      </c>
      <c r="E92" s="140">
        <v>136</v>
      </c>
      <c r="F92" s="140">
        <v>300</v>
      </c>
      <c r="G92" s="4"/>
      <c r="H92" s="140"/>
      <c r="I92" s="140">
        <v>141.374</v>
      </c>
      <c r="J92" s="140">
        <f>141.374-I92</f>
        <v>0</v>
      </c>
      <c r="K92" s="4">
        <f t="shared" ref="K92" si="103">SUM(D92-SUM(H92:J92))</f>
        <v>185.626</v>
      </c>
      <c r="L92" s="140">
        <v>50.076999999999998</v>
      </c>
      <c r="M92" s="140">
        <f>139.577-L92</f>
        <v>89.5</v>
      </c>
      <c r="N92" s="140">
        <f>208.577-M92-L92</f>
        <v>69</v>
      </c>
      <c r="O92" s="4">
        <f t="shared" ref="O92" si="104">SUM(E92-SUM(L92:N92))</f>
        <v>-72.576999999999998</v>
      </c>
      <c r="P92" s="140">
        <v>47</v>
      </c>
      <c r="Q92" s="140">
        <f>220-P92</f>
        <v>173</v>
      </c>
      <c r="R92" s="140">
        <f>220-Q92-P92</f>
        <v>0</v>
      </c>
      <c r="S92" s="4">
        <f t="shared" ref="S92" si="105">SUM(F92-SUM(P92:R92))</f>
        <v>80</v>
      </c>
      <c r="T92" s="23"/>
      <c r="U92" s="23"/>
      <c r="V92" s="23"/>
      <c r="W92" s="23"/>
      <c r="X92" s="38"/>
    </row>
    <row r="93" spans="2:24" x14ac:dyDescent="0.25">
      <c r="B93"/>
      <c r="C93" s="140"/>
      <c r="D93" s="140"/>
      <c r="E93" s="140"/>
      <c r="F93" s="140"/>
      <c r="G93" s="4"/>
      <c r="H93" s="140"/>
      <c r="I93" s="140"/>
      <c r="J93" s="140"/>
      <c r="K93" s="4"/>
      <c r="L93" s="140"/>
      <c r="M93" s="140"/>
      <c r="N93" s="140"/>
      <c r="O93" s="4"/>
      <c r="P93" s="140"/>
      <c r="Q93" s="140"/>
      <c r="R93" s="140"/>
      <c r="S93" s="140"/>
      <c r="T93" s="23"/>
      <c r="U93" s="23"/>
      <c r="V93" s="23"/>
      <c r="W93" s="23"/>
      <c r="X93" s="38"/>
    </row>
    <row r="94" spans="2:24" ht="15.75" thickBot="1" x14ac:dyDescent="0.3">
      <c r="B94"/>
      <c r="C94" s="106"/>
      <c r="D94" s="106"/>
      <c r="E94" s="106"/>
      <c r="F94" s="106"/>
      <c r="G94" s="23"/>
      <c r="H94" s="106"/>
      <c r="I94" s="106"/>
      <c r="J94" s="106"/>
      <c r="K94" s="106"/>
      <c r="L94" s="106"/>
      <c r="M94" s="106"/>
      <c r="N94" s="106"/>
      <c r="O94" s="106"/>
      <c r="P94" s="144"/>
      <c r="Q94" s="106"/>
      <c r="R94" s="106"/>
      <c r="S94" s="106"/>
      <c r="T94" s="34"/>
      <c r="U94" s="23"/>
      <c r="V94" s="23"/>
      <c r="W94" s="23"/>
      <c r="X94" s="38"/>
    </row>
    <row r="95" spans="2:24" x14ac:dyDescent="0.25">
      <c r="B95" s="107" t="s">
        <v>45</v>
      </c>
      <c r="C95" s="108"/>
      <c r="D95" s="108"/>
      <c r="E95" s="108"/>
      <c r="F95" s="109"/>
      <c r="G95" s="34"/>
      <c r="H95" s="110"/>
      <c r="I95" s="111"/>
      <c r="J95" s="111"/>
      <c r="K95" s="111"/>
      <c r="L95" s="111"/>
      <c r="M95" s="111"/>
      <c r="N95" s="111"/>
      <c r="O95" s="111"/>
      <c r="P95" s="111"/>
      <c r="Q95" s="111"/>
      <c r="R95" s="112"/>
      <c r="S95" s="112"/>
      <c r="T95" s="34"/>
      <c r="U95" s="110"/>
      <c r="V95" s="112"/>
    </row>
    <row r="96" spans="2:24" x14ac:dyDescent="0.25">
      <c r="B96" s="113" t="s">
        <v>46</v>
      </c>
      <c r="C96" s="114" t="e">
        <f>SUM(C78-#REF!)</f>
        <v>#REF!</v>
      </c>
      <c r="D96" s="114" t="e">
        <f>SUM(D78-#REF!)</f>
        <v>#REF!</v>
      </c>
      <c r="E96" s="114" t="e">
        <f>SUM(E78-#REF!)</f>
        <v>#REF!</v>
      </c>
      <c r="F96" s="115" t="e">
        <f>SUM(F78-#REF!)</f>
        <v>#REF!</v>
      </c>
      <c r="G96" s="34"/>
      <c r="H96" s="116" t="e">
        <f>SUM(H78-#REF!)</f>
        <v>#REF!</v>
      </c>
      <c r="I96" s="114" t="e">
        <f>SUM(I78-#REF!)</f>
        <v>#REF!</v>
      </c>
      <c r="J96" s="114" t="e">
        <f>SUM(J78-#REF!)</f>
        <v>#REF!</v>
      </c>
      <c r="K96" s="114" t="e">
        <f>SUM(K78-#REF!)</f>
        <v>#REF!</v>
      </c>
      <c r="L96" s="114" t="e">
        <f>SUM(L78-#REF!)</f>
        <v>#REF!</v>
      </c>
      <c r="M96" s="114" t="e">
        <f>SUM(M78-#REF!)</f>
        <v>#REF!</v>
      </c>
      <c r="N96" s="114" t="e">
        <f>SUM(N78-#REF!)</f>
        <v>#REF!</v>
      </c>
      <c r="O96" s="114" t="e">
        <f>SUM(O78-#REF!)</f>
        <v>#REF!</v>
      </c>
      <c r="P96" s="114" t="e">
        <f>SUM(P78-#REF!)</f>
        <v>#REF!</v>
      </c>
      <c r="Q96" s="114" t="e">
        <f>SUM(Q78-#REF!)</f>
        <v>#REF!</v>
      </c>
      <c r="R96" s="115" t="e">
        <f>SUM(R78-#REF!)</f>
        <v>#REF!</v>
      </c>
      <c r="S96" s="115" t="e">
        <f>SUM(S78-#REF!)</f>
        <v>#REF!</v>
      </c>
      <c r="T96" s="34"/>
      <c r="U96" s="117" t="e">
        <f>SUM(K96:N96)</f>
        <v>#REF!</v>
      </c>
      <c r="V96" s="118" t="e">
        <f>SUM(O96:R96)</f>
        <v>#REF!</v>
      </c>
      <c r="X96" s="24" t="e">
        <f t="shared" ref="X96" si="106">SUM(V96/U96)-1</f>
        <v>#REF!</v>
      </c>
    </row>
    <row r="97" spans="2:22" ht="15.75" thickBot="1" x14ac:dyDescent="0.3">
      <c r="B97" s="119" t="s">
        <v>24</v>
      </c>
      <c r="C97" s="120"/>
      <c r="D97" s="120"/>
      <c r="E97" s="121" t="e">
        <f>E96/D96-1</f>
        <v>#REF!</v>
      </c>
      <c r="F97" s="122" t="e">
        <f>F96/E96-1</f>
        <v>#REF!</v>
      </c>
      <c r="H97" s="123"/>
      <c r="I97" s="121" t="e">
        <f t="shared" ref="I97:S97" si="107">I96/H96-1</f>
        <v>#REF!</v>
      </c>
      <c r="J97" s="121" t="e">
        <f t="shared" si="107"/>
        <v>#REF!</v>
      </c>
      <c r="K97" s="121" t="e">
        <f t="shared" si="107"/>
        <v>#REF!</v>
      </c>
      <c r="L97" s="121" t="e">
        <f t="shared" si="107"/>
        <v>#REF!</v>
      </c>
      <c r="M97" s="121" t="e">
        <f t="shared" si="107"/>
        <v>#REF!</v>
      </c>
      <c r="N97" s="121" t="e">
        <f t="shared" si="107"/>
        <v>#REF!</v>
      </c>
      <c r="O97" s="121" t="e">
        <f t="shared" si="107"/>
        <v>#REF!</v>
      </c>
      <c r="P97" s="121" t="e">
        <f t="shared" si="107"/>
        <v>#REF!</v>
      </c>
      <c r="Q97" s="121" t="e">
        <f t="shared" si="107"/>
        <v>#REF!</v>
      </c>
      <c r="R97" s="122" t="e">
        <f t="shared" si="107"/>
        <v>#REF!</v>
      </c>
      <c r="S97" s="122" t="e">
        <f t="shared" si="107"/>
        <v>#REF!</v>
      </c>
      <c r="U97" s="123"/>
      <c r="V97" s="122" t="e">
        <f t="shared" ref="V97" si="108">V96/U96-1</f>
        <v>#REF!</v>
      </c>
    </row>
    <row r="98" spans="2:22" x14ac:dyDescent="0.25">
      <c r="C98" s="90"/>
      <c r="D98" s="90"/>
      <c r="E98" s="90"/>
      <c r="F98" s="90"/>
    </row>
    <row r="99" spans="2:22" x14ac:dyDescent="0.25">
      <c r="B99" s="88"/>
      <c r="C99" s="124"/>
      <c r="D99" s="124"/>
      <c r="E99" s="124"/>
      <c r="F99" s="124"/>
    </row>
    <row r="100" spans="2:22" ht="3.75" customHeight="1" x14ac:dyDescent="0.25">
      <c r="B100" s="88"/>
      <c r="C100" s="124"/>
      <c r="D100" s="124"/>
      <c r="E100" s="124"/>
      <c r="F100" s="124"/>
    </row>
    <row r="101" spans="2:22" x14ac:dyDescent="0.25">
      <c r="C101" s="90"/>
      <c r="D101" s="90"/>
      <c r="E101" s="90"/>
      <c r="F101" s="90"/>
    </row>
    <row r="102" spans="2:22" x14ac:dyDescent="0.25">
      <c r="C102" s="90"/>
      <c r="D102" s="90"/>
      <c r="E102" s="90"/>
      <c r="F102" s="90"/>
    </row>
    <row r="103" spans="2:22" x14ac:dyDescent="0.25">
      <c r="C103" s="90"/>
      <c r="D103" s="90"/>
      <c r="E103" s="90"/>
      <c r="F103" s="90"/>
    </row>
    <row r="104" spans="2:22" x14ac:dyDescent="0.25">
      <c r="C104" s="90"/>
      <c r="D104" s="90"/>
      <c r="E104" s="90"/>
      <c r="F104" s="90"/>
    </row>
    <row r="105" spans="2:22" x14ac:dyDescent="0.25">
      <c r="C105" s="90"/>
      <c r="D105" s="90"/>
      <c r="E105" s="90"/>
      <c r="F105" s="90"/>
    </row>
    <row r="106" spans="2:22" x14ac:dyDescent="0.25">
      <c r="C106" s="90"/>
      <c r="D106" s="90"/>
      <c r="E106" s="90"/>
      <c r="F106" s="90"/>
    </row>
    <row r="107" spans="2:22" x14ac:dyDescent="0.25">
      <c r="C107" s="90"/>
      <c r="D107" s="90"/>
      <c r="E107" s="90"/>
      <c r="F107" s="90"/>
    </row>
  </sheetData>
  <mergeCells count="1">
    <mergeCell ref="X7:X8"/>
  </mergeCells>
  <conditionalFormatting sqref="C9:Q9">
    <cfRule type="timePeriod" dxfId="3" priority="4" timePeriod="lastWeek">
      <formula>AND(TODAY()-ROUNDDOWN(C9,0)&gt;=(WEEKDAY(TODAY())),TODAY()-ROUNDDOWN(C9,0)&lt;(WEEKDAY(TODAY())+7))</formula>
    </cfRule>
  </conditionalFormatting>
  <conditionalFormatting sqref="C8:V8">
    <cfRule type="timePeriod" dxfId="2" priority="1" timePeriod="lastWeek">
      <formula>AND(TODAY()-ROUNDDOWN(C8,0)&gt;=(WEEKDAY(TODAY())),TODAY()-ROUNDDOWN(C8,0)&lt;(WEEKDAY(TODAY())+7))</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094F6-74FE-4040-A848-785E57806080}">
  <dimension ref="A2:Y36"/>
  <sheetViews>
    <sheetView showGridLines="0" zoomScaleNormal="100" workbookViewId="0">
      <selection activeCell="B16" sqref="B16"/>
    </sheetView>
  </sheetViews>
  <sheetFormatPr defaultRowHeight="15" x14ac:dyDescent="0.25"/>
  <cols>
    <col min="1" max="1" width="4.5703125" customWidth="1"/>
    <col min="2" max="2" width="60.5703125" bestFit="1" customWidth="1"/>
    <col min="3" max="5" width="12.5703125" bestFit="1" customWidth="1"/>
    <col min="6" max="6" width="1.5703125" customWidth="1"/>
    <col min="7" max="8" width="10.7109375" bestFit="1" customWidth="1"/>
    <col min="9" max="9" width="11.85546875" bestFit="1" customWidth="1"/>
    <col min="10" max="12" width="10.7109375" bestFit="1" customWidth="1"/>
    <col min="13" max="13" width="11.85546875" bestFit="1" customWidth="1"/>
    <col min="14" max="16" width="10.7109375" bestFit="1" customWidth="1"/>
    <col min="17" max="17" width="10.7109375" customWidth="1"/>
    <col min="18" max="18" width="2.140625" customWidth="1"/>
    <col min="19" max="19" width="10.7109375" bestFit="1" customWidth="1"/>
    <col min="20" max="20" width="11.140625" bestFit="1" customWidth="1"/>
    <col min="21" max="21" width="2.28515625" customWidth="1"/>
  </cols>
  <sheetData>
    <row r="2" spans="1:25" x14ac:dyDescent="0.25">
      <c r="A2" s="6"/>
      <c r="B2" s="7" t="s">
        <v>86</v>
      </c>
      <c r="C2" s="8"/>
      <c r="D2" s="8"/>
      <c r="E2" s="8"/>
      <c r="F2" s="8"/>
      <c r="G2" s="8"/>
      <c r="H2" s="8"/>
      <c r="I2" s="8"/>
      <c r="J2" s="8"/>
      <c r="K2" s="8"/>
      <c r="L2" s="8"/>
      <c r="M2" s="8"/>
      <c r="N2" s="8"/>
      <c r="O2" s="8"/>
      <c r="P2" s="8"/>
      <c r="Q2" s="8"/>
      <c r="R2" s="8"/>
      <c r="S2" s="8"/>
      <c r="T2" s="8"/>
      <c r="U2" s="8"/>
      <c r="V2" s="8"/>
      <c r="W2" s="6"/>
      <c r="X2" s="6"/>
      <c r="Y2" s="6"/>
    </row>
    <row r="3" spans="1:25" x14ac:dyDescent="0.25">
      <c r="A3" s="6"/>
      <c r="B3" s="9" t="s">
        <v>15</v>
      </c>
      <c r="C3" s="8"/>
      <c r="D3" s="8"/>
      <c r="E3" s="8"/>
      <c r="F3" s="8"/>
      <c r="G3" s="8"/>
      <c r="H3" s="8"/>
      <c r="I3" s="8"/>
      <c r="J3" s="8"/>
      <c r="K3" s="8"/>
      <c r="L3" s="8"/>
      <c r="M3" s="8"/>
      <c r="N3" s="8"/>
      <c r="O3" s="8"/>
      <c r="P3" s="8"/>
      <c r="Q3" s="8"/>
      <c r="R3" s="8"/>
      <c r="S3" s="8"/>
      <c r="T3" s="8"/>
      <c r="U3" s="8"/>
      <c r="V3" s="8"/>
      <c r="W3" s="6"/>
      <c r="X3" s="6"/>
      <c r="Y3" s="6"/>
    </row>
    <row r="4" spans="1:25" ht="3" customHeight="1" x14ac:dyDescent="0.25">
      <c r="A4" s="6"/>
      <c r="B4" s="10"/>
      <c r="C4" s="6"/>
      <c r="D4" s="6"/>
      <c r="E4" s="6"/>
      <c r="F4" s="6"/>
      <c r="G4" s="6"/>
      <c r="H4" s="6"/>
      <c r="I4" s="6"/>
      <c r="J4" s="6"/>
      <c r="K4" s="6"/>
      <c r="L4" s="6"/>
      <c r="M4" s="6"/>
      <c r="N4" s="6"/>
      <c r="O4" s="6"/>
      <c r="P4" s="6"/>
      <c r="Q4" s="6"/>
      <c r="R4" s="6"/>
      <c r="S4" s="6"/>
      <c r="T4" s="6"/>
      <c r="U4" s="6"/>
      <c r="V4" s="6"/>
      <c r="W4" s="6"/>
      <c r="X4" s="6"/>
      <c r="Y4" s="6"/>
    </row>
    <row r="5" spans="1:25" ht="15.75" thickBot="1" x14ac:dyDescent="0.3">
      <c r="A5" s="6"/>
      <c r="B5" s="11"/>
      <c r="C5" s="11" t="s">
        <v>3</v>
      </c>
      <c r="D5" s="11"/>
      <c r="E5" s="11"/>
      <c r="F5" s="6"/>
      <c r="G5" s="11" t="s">
        <v>4</v>
      </c>
      <c r="H5" s="11"/>
      <c r="I5" s="11"/>
      <c r="J5" s="11"/>
      <c r="K5" s="11"/>
      <c r="L5" s="11"/>
      <c r="M5" s="11"/>
      <c r="N5" s="11"/>
      <c r="O5" s="11"/>
      <c r="P5" s="11"/>
      <c r="Q5" s="11"/>
      <c r="R5" s="6"/>
      <c r="S5" s="11" t="s">
        <v>5</v>
      </c>
      <c r="T5" s="11"/>
      <c r="U5" s="12"/>
      <c r="V5" s="11" t="s">
        <v>16</v>
      </c>
      <c r="W5" s="6"/>
      <c r="X5" s="6"/>
      <c r="Y5" s="6"/>
    </row>
    <row r="6" spans="1:25" ht="6" customHeight="1" x14ac:dyDescent="0.25">
      <c r="A6" s="6"/>
      <c r="B6" s="6"/>
      <c r="C6" s="6"/>
      <c r="D6" s="6"/>
      <c r="E6" s="6"/>
      <c r="F6" s="6"/>
      <c r="G6" s="6"/>
      <c r="H6" s="6"/>
      <c r="I6" s="6"/>
      <c r="J6" s="6"/>
      <c r="K6" s="6"/>
      <c r="L6" s="6"/>
      <c r="M6" s="6"/>
      <c r="N6" s="6"/>
      <c r="O6" s="6"/>
      <c r="P6" s="6"/>
      <c r="Q6" s="6"/>
      <c r="R6" s="6"/>
      <c r="S6" s="6"/>
      <c r="T6" s="6"/>
      <c r="U6" s="6"/>
      <c r="V6" s="6"/>
      <c r="W6" s="6"/>
      <c r="X6" s="6"/>
      <c r="Y6" s="6"/>
    </row>
    <row r="7" spans="1:25" x14ac:dyDescent="0.25">
      <c r="A7" s="6" t="s">
        <v>17</v>
      </c>
      <c r="B7" s="125" t="s">
        <v>88</v>
      </c>
      <c r="C7" s="126" t="s">
        <v>19</v>
      </c>
      <c r="D7" s="126" t="s">
        <v>20</v>
      </c>
      <c r="E7" s="126" t="s">
        <v>21</v>
      </c>
      <c r="F7" s="6"/>
      <c r="G7" s="126" t="s">
        <v>62</v>
      </c>
      <c r="H7" s="126" t="s">
        <v>63</v>
      </c>
      <c r="I7" s="126" t="s">
        <v>64</v>
      </c>
      <c r="J7" s="126" t="s">
        <v>65</v>
      </c>
      <c r="K7" s="126" t="s">
        <v>66</v>
      </c>
      <c r="L7" s="126" t="s">
        <v>67</v>
      </c>
      <c r="M7" s="126" t="s">
        <v>68</v>
      </c>
      <c r="N7" s="126" t="s">
        <v>69</v>
      </c>
      <c r="O7" s="126" t="s">
        <v>70</v>
      </c>
      <c r="P7" s="126" t="s">
        <v>71</v>
      </c>
      <c r="Q7" s="126" t="s">
        <v>72</v>
      </c>
      <c r="R7" s="150"/>
      <c r="S7" s="13" t="str">
        <f>M7</f>
        <v>3Q23</v>
      </c>
      <c r="T7" s="13" t="str">
        <f>Q7</f>
        <v>3Q24</v>
      </c>
      <c r="U7" s="14"/>
      <c r="V7" s="177" t="s">
        <v>22</v>
      </c>
      <c r="W7" s="6"/>
      <c r="X7" s="6"/>
      <c r="Y7" s="6"/>
    </row>
    <row r="8" spans="1:25" x14ac:dyDescent="0.25">
      <c r="A8" s="6"/>
      <c r="B8" s="15" t="s">
        <v>75</v>
      </c>
      <c r="C8" s="127">
        <v>44561</v>
      </c>
      <c r="D8" s="127">
        <v>44926</v>
      </c>
      <c r="E8" s="127">
        <v>45291</v>
      </c>
      <c r="F8" s="6"/>
      <c r="G8" s="128">
        <v>44651</v>
      </c>
      <c r="H8" s="128">
        <v>44742</v>
      </c>
      <c r="I8" s="128">
        <v>44834</v>
      </c>
      <c r="J8" s="128">
        <v>44926</v>
      </c>
      <c r="K8" s="128">
        <v>45016</v>
      </c>
      <c r="L8" s="128">
        <v>45107</v>
      </c>
      <c r="M8" s="128">
        <v>45199</v>
      </c>
      <c r="N8" s="128">
        <v>45291</v>
      </c>
      <c r="O8" s="128">
        <v>45382</v>
      </c>
      <c r="P8" s="128">
        <v>45473</v>
      </c>
      <c r="Q8" s="128">
        <v>45565</v>
      </c>
      <c r="R8" s="151"/>
      <c r="S8" s="16">
        <f>M8</f>
        <v>45199</v>
      </c>
      <c r="T8" s="16">
        <f>Q8</f>
        <v>45565</v>
      </c>
      <c r="U8" s="17"/>
      <c r="V8" s="177"/>
      <c r="W8" s="6"/>
      <c r="X8" s="6"/>
      <c r="Y8" s="6"/>
    </row>
    <row r="9" spans="1:25" x14ac:dyDescent="0.25">
      <c r="A9" s="6"/>
      <c r="B9" s="2" t="s">
        <v>6</v>
      </c>
      <c r="C9" s="129" t="e">
        <f>'Base Financials '!#REF!</f>
        <v>#REF!</v>
      </c>
      <c r="D9" s="129" t="e">
        <f>'Base Financials '!#REF!</f>
        <v>#REF!</v>
      </c>
      <c r="E9" s="129" t="e">
        <f>'Base Financials '!#REF!</f>
        <v>#REF!</v>
      </c>
      <c r="F9" s="129" t="e">
        <f>'Base Financials '!#REF!</f>
        <v>#REF!</v>
      </c>
      <c r="G9" s="129" t="e">
        <f>'Base Financials '!#REF!</f>
        <v>#REF!</v>
      </c>
      <c r="H9" s="129" t="e">
        <f>'Base Financials '!#REF!</f>
        <v>#REF!</v>
      </c>
      <c r="I9" s="129" t="e">
        <f>'Base Financials '!#REF!</f>
        <v>#REF!</v>
      </c>
      <c r="J9" s="129" t="e">
        <f>'Base Financials '!#REF!</f>
        <v>#REF!</v>
      </c>
      <c r="K9" s="129" t="e">
        <f>'Base Financials '!#REF!</f>
        <v>#REF!</v>
      </c>
      <c r="L9" s="129" t="e">
        <f>'Base Financials '!#REF!</f>
        <v>#REF!</v>
      </c>
      <c r="M9" s="129" t="e">
        <f>'Base Financials '!#REF!</f>
        <v>#REF!</v>
      </c>
      <c r="N9" s="129" t="e">
        <f>'Base Financials '!#REF!</f>
        <v>#REF!</v>
      </c>
      <c r="O9" s="129" t="e">
        <f>'Base Financials '!#REF!</f>
        <v>#REF!</v>
      </c>
      <c r="P9" s="129" t="e">
        <f>'Base Financials '!#REF!</f>
        <v>#REF!</v>
      </c>
      <c r="Q9" s="129" t="e">
        <f>'Base Financials '!#REF!</f>
        <v>#REF!</v>
      </c>
      <c r="R9" s="6"/>
      <c r="S9" s="23" t="e">
        <f>SUM(J9:M9)</f>
        <v>#REF!</v>
      </c>
      <c r="T9" s="23" t="e">
        <f>SUM(N9:Q9)</f>
        <v>#REF!</v>
      </c>
      <c r="U9" s="17"/>
      <c r="V9" s="24" t="e">
        <f t="shared" ref="V9:V11" si="0">SUM(T9/S9)-1</f>
        <v>#REF!</v>
      </c>
      <c r="W9" s="6"/>
      <c r="X9" s="6"/>
      <c r="Y9" s="6"/>
    </row>
    <row r="10" spans="1:25" x14ac:dyDescent="0.25">
      <c r="A10" s="6"/>
      <c r="B10" s="2" t="s">
        <v>7</v>
      </c>
      <c r="C10" s="129" t="e">
        <f>'Base Financials '!#REF!</f>
        <v>#REF!</v>
      </c>
      <c r="D10" s="129" t="e">
        <f>'Base Financials '!#REF!</f>
        <v>#REF!</v>
      </c>
      <c r="E10" s="129" t="e">
        <f>'Base Financials '!#REF!</f>
        <v>#REF!</v>
      </c>
      <c r="F10" s="129" t="e">
        <f>'Base Financials '!#REF!</f>
        <v>#REF!</v>
      </c>
      <c r="G10" s="129" t="e">
        <f>'Base Financials '!#REF!</f>
        <v>#REF!</v>
      </c>
      <c r="H10" s="129" t="e">
        <f>'Base Financials '!#REF!</f>
        <v>#REF!</v>
      </c>
      <c r="I10" s="129" t="e">
        <f>'Base Financials '!#REF!</f>
        <v>#REF!</v>
      </c>
      <c r="J10" s="129" t="e">
        <f>'Base Financials '!#REF!</f>
        <v>#REF!</v>
      </c>
      <c r="K10" s="129" t="e">
        <f>'Base Financials '!#REF!</f>
        <v>#REF!</v>
      </c>
      <c r="L10" s="129" t="e">
        <f>'Base Financials '!#REF!</f>
        <v>#REF!</v>
      </c>
      <c r="M10" s="129" t="e">
        <f>'Base Financials '!#REF!</f>
        <v>#REF!</v>
      </c>
      <c r="N10" s="129" t="e">
        <f>'Base Financials '!#REF!</f>
        <v>#REF!</v>
      </c>
      <c r="O10" s="129" t="e">
        <f>'Base Financials '!#REF!</f>
        <v>#REF!</v>
      </c>
      <c r="P10" s="129" t="e">
        <f>'Base Financials '!#REF!</f>
        <v>#REF!</v>
      </c>
      <c r="Q10" s="129" t="e">
        <f>'Base Financials '!#REF!</f>
        <v>#REF!</v>
      </c>
      <c r="R10" s="6"/>
      <c r="S10" s="23" t="e">
        <f>SUM(J10:M10)</f>
        <v>#REF!</v>
      </c>
      <c r="T10" s="23" t="e">
        <f>SUM(N10:Q10)</f>
        <v>#REF!</v>
      </c>
      <c r="U10" s="17"/>
      <c r="V10" s="24" t="e">
        <f t="shared" si="0"/>
        <v>#REF!</v>
      </c>
      <c r="W10" s="6"/>
      <c r="X10" s="6"/>
      <c r="Y10" s="6"/>
    </row>
    <row r="11" spans="1:25" x14ac:dyDescent="0.25">
      <c r="A11" s="6"/>
      <c r="B11" s="39" t="s">
        <v>23</v>
      </c>
      <c r="C11" s="26" t="e">
        <f>SUM(C9:C10)</f>
        <v>#REF!</v>
      </c>
      <c r="D11" s="26" t="e">
        <f t="shared" ref="D11:E11" si="1">SUM(D9:D10)</f>
        <v>#REF!</v>
      </c>
      <c r="E11" s="26" t="e">
        <f t="shared" si="1"/>
        <v>#REF!</v>
      </c>
      <c r="F11" s="21"/>
      <c r="G11" s="26" t="e">
        <f t="shared" ref="G11:P11" si="2">SUM(G9:G10)</f>
        <v>#REF!</v>
      </c>
      <c r="H11" s="26" t="e">
        <f t="shared" si="2"/>
        <v>#REF!</v>
      </c>
      <c r="I11" s="26" t="e">
        <f t="shared" si="2"/>
        <v>#REF!</v>
      </c>
      <c r="J11" s="26" t="e">
        <f t="shared" si="2"/>
        <v>#REF!</v>
      </c>
      <c r="K11" s="26" t="e">
        <f t="shared" si="2"/>
        <v>#REF!</v>
      </c>
      <c r="L11" s="26" t="e">
        <f t="shared" si="2"/>
        <v>#REF!</v>
      </c>
      <c r="M11" s="26" t="e">
        <f t="shared" si="2"/>
        <v>#REF!</v>
      </c>
      <c r="N11" s="26" t="e">
        <f t="shared" si="2"/>
        <v>#REF!</v>
      </c>
      <c r="O11" s="26" t="e">
        <f t="shared" si="2"/>
        <v>#REF!</v>
      </c>
      <c r="P11" s="26" t="e">
        <f t="shared" si="2"/>
        <v>#REF!</v>
      </c>
      <c r="Q11" s="26" t="e">
        <f t="shared" ref="Q11" si="3">SUM(Q9:Q10)</f>
        <v>#REF!</v>
      </c>
      <c r="R11" s="6"/>
      <c r="S11" s="26" t="e">
        <f t="shared" ref="S11:T11" si="4">SUM(S9:S10)</f>
        <v>#REF!</v>
      </c>
      <c r="T11" s="26" t="e">
        <f t="shared" si="4"/>
        <v>#REF!</v>
      </c>
      <c r="U11" s="17"/>
      <c r="V11" s="28" t="e">
        <f t="shared" si="0"/>
        <v>#REF!</v>
      </c>
      <c r="W11" s="6"/>
      <c r="X11" s="6"/>
      <c r="Y11" s="6"/>
    </row>
    <row r="12" spans="1:25" ht="15.75" x14ac:dyDescent="0.25">
      <c r="A12" s="6"/>
      <c r="B12" s="36"/>
      <c r="C12" s="129"/>
      <c r="D12" s="129"/>
      <c r="E12" s="129"/>
      <c r="F12" s="21"/>
      <c r="G12" s="129"/>
      <c r="H12" s="129"/>
      <c r="I12" s="129"/>
      <c r="J12" s="129"/>
      <c r="K12" s="129"/>
      <c r="L12" s="129"/>
      <c r="M12" s="129"/>
      <c r="N12" s="129"/>
      <c r="O12" s="129"/>
      <c r="P12" s="129"/>
      <c r="Q12" s="129"/>
      <c r="R12" s="6"/>
      <c r="S12" s="129"/>
      <c r="T12" s="129"/>
      <c r="U12" s="17"/>
      <c r="V12" s="130"/>
      <c r="W12" s="6"/>
      <c r="X12" s="6"/>
      <c r="Y12" s="6"/>
    </row>
    <row r="13" spans="1:25" x14ac:dyDescent="0.25">
      <c r="B13" s="36" t="s">
        <v>26</v>
      </c>
      <c r="C13" s="17"/>
      <c r="D13" s="17"/>
      <c r="E13" s="17"/>
      <c r="F13" s="6"/>
      <c r="G13" s="19"/>
      <c r="H13" s="131"/>
      <c r="I13" s="131"/>
      <c r="J13" s="31"/>
      <c r="K13" s="31"/>
      <c r="L13" s="31"/>
      <c r="M13" s="31"/>
      <c r="N13" s="31"/>
      <c r="O13" s="31"/>
      <c r="P13" s="31"/>
      <c r="Q13" s="31"/>
      <c r="R13" s="6"/>
      <c r="S13" s="19"/>
      <c r="T13" s="19"/>
    </row>
    <row r="14" spans="1:25" x14ac:dyDescent="0.25">
      <c r="B14" s="25" t="str">
        <f>'Base Financials '!B11</f>
        <v>General and administrative</v>
      </c>
      <c r="C14" s="129">
        <f>'Base Financials '!D11</f>
        <v>-13070</v>
      </c>
      <c r="D14" s="129">
        <f>'Base Financials '!E11</f>
        <v>-12039</v>
      </c>
      <c r="E14" s="129">
        <f>'Base Financials '!F11</f>
        <v>-11039</v>
      </c>
      <c r="F14" s="129">
        <f>'Base Financials '!H11</f>
        <v>-3066.951</v>
      </c>
      <c r="G14" s="129" t="e">
        <f>'Base Financials '!#REF!</f>
        <v>#REF!</v>
      </c>
      <c r="H14" s="129">
        <f>'Base Financials '!I11</f>
        <v>-2915.1579999999999</v>
      </c>
      <c r="I14" s="129">
        <f>'Base Financials '!J11</f>
        <v>-3185.451</v>
      </c>
      <c r="J14" s="129">
        <f>'Base Financials '!K11</f>
        <v>-3902.4399999999987</v>
      </c>
      <c r="K14" s="129">
        <f>'Base Financials '!L11</f>
        <v>-3317.0360000000001</v>
      </c>
      <c r="L14" s="129">
        <f>'Base Financials '!M11</f>
        <v>-2882.5680000000002</v>
      </c>
      <c r="M14" s="129">
        <f>'Base Financials '!N11</f>
        <v>-3247.8429999999998</v>
      </c>
      <c r="N14" s="129">
        <f>'Base Financials '!O11</f>
        <v>-2591.5529999999999</v>
      </c>
      <c r="O14" s="129">
        <f>'Base Financials '!P11</f>
        <v>-2609</v>
      </c>
      <c r="P14" s="129">
        <f>'Base Financials '!Q11</f>
        <v>-2790</v>
      </c>
      <c r="Q14" s="129">
        <f>'Base Financials '!R11</f>
        <v>-2859</v>
      </c>
      <c r="R14" s="6"/>
      <c r="S14" s="23">
        <f t="shared" ref="S14:S17" si="5">SUM(J14:M14)</f>
        <v>-13349.886999999999</v>
      </c>
      <c r="T14" s="23">
        <f t="shared" ref="T14:T17" si="6">SUM(N14:Q14)</f>
        <v>-10849.553</v>
      </c>
      <c r="V14" s="24">
        <f t="shared" ref="V14:V18" si="7">SUM(T14/S14)-1</f>
        <v>-0.1872925216520559</v>
      </c>
    </row>
    <row r="15" spans="1:25" x14ac:dyDescent="0.25">
      <c r="B15" s="25" t="str">
        <f>'Base Financials '!B12</f>
        <v>Research and development</v>
      </c>
      <c r="C15" s="129">
        <f>'Base Financials '!D12</f>
        <v>-37916</v>
      </c>
      <c r="D15" s="129">
        <f>'Base Financials '!E12</f>
        <v>-43717</v>
      </c>
      <c r="E15" s="129">
        <f>'Base Financials '!F12</f>
        <v>-41838</v>
      </c>
      <c r="F15" s="129">
        <f>'Base Financials '!H12</f>
        <v>-8656.4390000000003</v>
      </c>
      <c r="G15" s="129" t="e">
        <f>'Base Financials '!#REF!</f>
        <v>#REF!</v>
      </c>
      <c r="H15" s="129">
        <f>'Base Financials '!I12</f>
        <v>-8604.5889999999999</v>
      </c>
      <c r="I15" s="129">
        <f>'Base Financials '!J12</f>
        <v>-9273.2690000000002</v>
      </c>
      <c r="J15" s="129">
        <f>'Base Financials '!K12</f>
        <v>-11381.703000000001</v>
      </c>
      <c r="K15" s="129">
        <f>'Base Financials '!L12</f>
        <v>-12066.919</v>
      </c>
      <c r="L15" s="129">
        <f>'Base Financials '!M12</f>
        <v>-11306.591</v>
      </c>
      <c r="M15" s="129">
        <f>'Base Financials '!N12</f>
        <v>-10282.853999999999</v>
      </c>
      <c r="N15" s="129">
        <f>'Base Financials '!O12</f>
        <v>-10060.635999999999</v>
      </c>
      <c r="O15" s="129">
        <f>'Base Financials '!P12</f>
        <v>-8684</v>
      </c>
      <c r="P15" s="129">
        <f>'Base Financials '!Q12</f>
        <v>-9729</v>
      </c>
      <c r="Q15" s="129">
        <f>'Base Financials '!R12</f>
        <v>-11870</v>
      </c>
      <c r="R15" s="6"/>
      <c r="S15" s="23">
        <f t="shared" si="5"/>
        <v>-45038.067000000003</v>
      </c>
      <c r="T15" s="23">
        <f t="shared" si="6"/>
        <v>-40343.635999999999</v>
      </c>
      <c r="V15" s="24">
        <f t="shared" si="7"/>
        <v>-0.10423251512992338</v>
      </c>
    </row>
    <row r="16" spans="1:25" x14ac:dyDescent="0.25">
      <c r="B16" s="25" t="e">
        <f>'Base Financials '!#REF!</f>
        <v>#REF!</v>
      </c>
      <c r="C16" s="129" t="e">
        <f>'Base Financials '!#REF!</f>
        <v>#REF!</v>
      </c>
      <c r="D16" s="129" t="e">
        <f>'Base Financials '!#REF!</f>
        <v>#REF!</v>
      </c>
      <c r="E16" s="129" t="e">
        <f>'Base Financials '!#REF!</f>
        <v>#REF!</v>
      </c>
      <c r="F16" s="129" t="e">
        <f>'Base Financials '!#REF!</f>
        <v>#REF!</v>
      </c>
      <c r="G16" s="129" t="e">
        <f>'Base Financials '!#REF!</f>
        <v>#REF!</v>
      </c>
      <c r="H16" s="129" t="e">
        <f>'Base Financials '!#REF!</f>
        <v>#REF!</v>
      </c>
      <c r="I16" s="129" t="e">
        <f>'Base Financials '!#REF!</f>
        <v>#REF!</v>
      </c>
      <c r="J16" s="129" t="e">
        <f>'Base Financials '!#REF!</f>
        <v>#REF!</v>
      </c>
      <c r="K16" s="129" t="e">
        <f>'Base Financials '!#REF!</f>
        <v>#REF!</v>
      </c>
      <c r="L16" s="129" t="e">
        <f>'Base Financials '!#REF!</f>
        <v>#REF!</v>
      </c>
      <c r="M16" s="129" t="e">
        <f>'Base Financials '!#REF!</f>
        <v>#REF!</v>
      </c>
      <c r="N16" s="129" t="e">
        <f>'Base Financials '!#REF!</f>
        <v>#REF!</v>
      </c>
      <c r="O16" s="129" t="e">
        <f>'Base Financials '!#REF!</f>
        <v>#REF!</v>
      </c>
      <c r="P16" s="129" t="e">
        <f>'Base Financials '!#REF!</f>
        <v>#REF!</v>
      </c>
      <c r="Q16" s="129" t="e">
        <f>'Base Financials '!#REF!</f>
        <v>#REF!</v>
      </c>
      <c r="R16" s="6"/>
      <c r="S16" s="23" t="e">
        <f t="shared" si="5"/>
        <v>#REF!</v>
      </c>
      <c r="T16" s="23" t="e">
        <f t="shared" si="6"/>
        <v>#REF!</v>
      </c>
      <c r="V16" s="24" t="e">
        <f t="shared" si="7"/>
        <v>#REF!</v>
      </c>
    </row>
    <row r="17" spans="2:22" x14ac:dyDescent="0.25">
      <c r="B17" s="25" t="e">
        <f>'Base Financials '!#REF!</f>
        <v>#REF!</v>
      </c>
      <c r="C17" s="129" t="e">
        <f>'Base Financials '!#REF!</f>
        <v>#REF!</v>
      </c>
      <c r="D17" s="129" t="e">
        <f>'Base Financials '!#REF!</f>
        <v>#REF!</v>
      </c>
      <c r="E17" s="129" t="e">
        <f>'Base Financials '!#REF!</f>
        <v>#REF!</v>
      </c>
      <c r="F17" s="129" t="e">
        <f>'Base Financials '!#REF!</f>
        <v>#REF!</v>
      </c>
      <c r="G17" s="129" t="e">
        <f>'Base Financials '!#REF!</f>
        <v>#REF!</v>
      </c>
      <c r="H17" s="129" t="e">
        <f>'Base Financials '!#REF!</f>
        <v>#REF!</v>
      </c>
      <c r="I17" s="129" t="e">
        <f>'Base Financials '!#REF!</f>
        <v>#REF!</v>
      </c>
      <c r="J17" s="129" t="e">
        <f>'Base Financials '!#REF!</f>
        <v>#REF!</v>
      </c>
      <c r="K17" s="129" t="e">
        <f>'Base Financials '!#REF!</f>
        <v>#REF!</v>
      </c>
      <c r="L17" s="129" t="e">
        <f>'Base Financials '!#REF!</f>
        <v>#REF!</v>
      </c>
      <c r="M17" s="129" t="e">
        <f>'Base Financials '!#REF!</f>
        <v>#REF!</v>
      </c>
      <c r="N17" s="129" t="e">
        <f>'Base Financials '!#REF!</f>
        <v>#REF!</v>
      </c>
      <c r="O17" s="129" t="e">
        <f>'Base Financials '!#REF!</f>
        <v>#REF!</v>
      </c>
      <c r="P17" s="129" t="e">
        <f>'Base Financials '!#REF!</f>
        <v>#REF!</v>
      </c>
      <c r="Q17" s="129" t="e">
        <f>'Base Financials '!#REF!</f>
        <v>#REF!</v>
      </c>
      <c r="R17" s="6"/>
      <c r="S17" s="23" t="e">
        <f t="shared" si="5"/>
        <v>#REF!</v>
      </c>
      <c r="T17" s="23" t="e">
        <f t="shared" si="6"/>
        <v>#REF!</v>
      </c>
      <c r="V17" s="24" t="e">
        <f t="shared" si="7"/>
        <v>#REF!</v>
      </c>
    </row>
    <row r="18" spans="2:22" x14ac:dyDescent="0.25">
      <c r="B18" s="39" t="s">
        <v>27</v>
      </c>
      <c r="C18" s="26" t="e">
        <f>SUM(C11+SUM((C14:C17)))</f>
        <v>#REF!</v>
      </c>
      <c r="D18" s="26" t="e">
        <f t="shared" ref="D18:E18" si="8">SUM(D11+SUM((D14:D17)))</f>
        <v>#REF!</v>
      </c>
      <c r="E18" s="26" t="e">
        <f t="shared" si="8"/>
        <v>#REF!</v>
      </c>
      <c r="F18" s="21"/>
      <c r="G18" s="26" t="e">
        <f t="shared" ref="G18:P18" si="9">SUM(G11+SUM((G14:G17)))</f>
        <v>#REF!</v>
      </c>
      <c r="H18" s="26" t="e">
        <f t="shared" si="9"/>
        <v>#REF!</v>
      </c>
      <c r="I18" s="26" t="e">
        <f t="shared" si="9"/>
        <v>#REF!</v>
      </c>
      <c r="J18" s="26" t="e">
        <f t="shared" si="9"/>
        <v>#REF!</v>
      </c>
      <c r="K18" s="26" t="e">
        <f t="shared" si="9"/>
        <v>#REF!</v>
      </c>
      <c r="L18" s="26" t="e">
        <f t="shared" si="9"/>
        <v>#REF!</v>
      </c>
      <c r="M18" s="26" t="e">
        <f t="shared" si="9"/>
        <v>#REF!</v>
      </c>
      <c r="N18" s="26" t="e">
        <f t="shared" si="9"/>
        <v>#REF!</v>
      </c>
      <c r="O18" s="26" t="e">
        <f t="shared" si="9"/>
        <v>#REF!</v>
      </c>
      <c r="P18" s="26" t="e">
        <f t="shared" si="9"/>
        <v>#REF!</v>
      </c>
      <c r="Q18" s="26" t="e">
        <f t="shared" ref="Q18" si="10">SUM(Q11+SUM((Q14:Q17)))</f>
        <v>#REF!</v>
      </c>
      <c r="R18" s="6"/>
      <c r="S18" s="26" t="e">
        <f t="shared" ref="S18:T18" si="11">SUM(S11+SUM((S14:S17)))</f>
        <v>#REF!</v>
      </c>
      <c r="T18" s="26" t="e">
        <f t="shared" si="11"/>
        <v>#REF!</v>
      </c>
      <c r="V18" s="28" t="e">
        <f t="shared" si="7"/>
        <v>#REF!</v>
      </c>
    </row>
    <row r="19" spans="2:22" x14ac:dyDescent="0.25">
      <c r="B19" s="29" t="s">
        <v>24</v>
      </c>
      <c r="C19" s="30"/>
      <c r="D19" s="31" t="e">
        <f>D18/C18-1</f>
        <v>#REF!</v>
      </c>
      <c r="E19" s="31" t="e">
        <f>E18/D18-1</f>
        <v>#REF!</v>
      </c>
      <c r="F19" s="31"/>
      <c r="G19" s="31"/>
      <c r="H19" s="31" t="e">
        <f t="shared" ref="H19:Q19" si="12">H18/G18-1</f>
        <v>#REF!</v>
      </c>
      <c r="I19" s="31" t="e">
        <f t="shared" si="12"/>
        <v>#REF!</v>
      </c>
      <c r="J19" s="31" t="e">
        <f t="shared" si="12"/>
        <v>#REF!</v>
      </c>
      <c r="K19" s="31" t="e">
        <f t="shared" si="12"/>
        <v>#REF!</v>
      </c>
      <c r="L19" s="31" t="e">
        <f t="shared" si="12"/>
        <v>#REF!</v>
      </c>
      <c r="M19" s="31" t="e">
        <f t="shared" si="12"/>
        <v>#REF!</v>
      </c>
      <c r="N19" s="31" t="e">
        <f>N18/M18-1</f>
        <v>#REF!</v>
      </c>
      <c r="O19" s="31" t="e">
        <f t="shared" si="12"/>
        <v>#REF!</v>
      </c>
      <c r="P19" s="31" t="e">
        <f t="shared" si="12"/>
        <v>#REF!</v>
      </c>
      <c r="Q19" s="31" t="e">
        <f t="shared" si="12"/>
        <v>#REF!</v>
      </c>
      <c r="R19" s="6"/>
      <c r="S19" s="6"/>
      <c r="T19" s="31" t="e">
        <f>T18/S18-1</f>
        <v>#REF!</v>
      </c>
    </row>
    <row r="20" spans="2:22" x14ac:dyDescent="0.25">
      <c r="B20" s="36" t="s">
        <v>10</v>
      </c>
    </row>
    <row r="21" spans="2:22" x14ac:dyDescent="0.25">
      <c r="B21" s="25" t="str">
        <f>'Base Financials '!B17</f>
        <v>Grant income</v>
      </c>
      <c r="C21" s="129">
        <f>'Base Financials '!D17</f>
        <v>0</v>
      </c>
      <c r="D21" s="129">
        <f>'Base Financials '!E17</f>
        <v>25</v>
      </c>
      <c r="E21" s="129">
        <f>'Base Financials '!F17</f>
        <v>75</v>
      </c>
      <c r="F21" s="129">
        <f>'Base Financials '!G17</f>
        <v>0</v>
      </c>
      <c r="G21" s="129">
        <f>'Base Financials '!H17</f>
        <v>0</v>
      </c>
      <c r="H21" s="129" t="str">
        <f>'Base Financials '!I17</f>
        <v xml:space="preserve"> </v>
      </c>
      <c r="I21" s="129">
        <f>'Base Financials '!J17</f>
        <v>0</v>
      </c>
      <c r="J21" s="129">
        <f>'Base Financials '!K17</f>
        <v>0</v>
      </c>
      <c r="K21" s="129">
        <f>'Base Financials '!L17</f>
        <v>25</v>
      </c>
      <c r="L21" s="129" t="str">
        <f>'Base Financials '!M17</f>
        <v xml:space="preserve"> </v>
      </c>
      <c r="M21" s="129" t="str">
        <f>'Base Financials '!N17</f>
        <v xml:space="preserve"> </v>
      </c>
      <c r="N21" s="129">
        <f>'Base Financials '!O17</f>
        <v>0</v>
      </c>
      <c r="O21" s="129" t="str">
        <f>'Base Financials '!P17</f>
        <v xml:space="preserve"> </v>
      </c>
      <c r="P21" s="129">
        <f>'Base Financials '!Q17</f>
        <v>0</v>
      </c>
      <c r="Q21" s="129">
        <f>'Base Financials '!R17</f>
        <v>0</v>
      </c>
      <c r="R21" s="6"/>
      <c r="S21" s="23">
        <f t="shared" ref="S21:S23" si="13">SUM(J21:M21)</f>
        <v>25</v>
      </c>
      <c r="T21" s="23">
        <f t="shared" ref="T21:T23" si="14">SUM(N21:Q21)</f>
        <v>0</v>
      </c>
      <c r="V21" s="24">
        <f t="shared" ref="V21:V23" si="15">SUM(T21/S21)-1</f>
        <v>-1</v>
      </c>
    </row>
    <row r="22" spans="2:22" x14ac:dyDescent="0.25">
      <c r="B22" s="25" t="str">
        <f>'Base Financials '!B21</f>
        <v>Foreign exchange gain (loss)</v>
      </c>
      <c r="C22" s="129">
        <f>'Base Financials '!D21</f>
        <v>-904</v>
      </c>
      <c r="D22" s="129">
        <f>'Base Financials '!E21</f>
        <v>-40</v>
      </c>
      <c r="E22" s="129">
        <f>'Base Financials '!F21</f>
        <v>189</v>
      </c>
      <c r="F22" s="129">
        <f>'Base Financials '!G21</f>
        <v>0</v>
      </c>
      <c r="G22" s="129">
        <f>'Base Financials '!H21</f>
        <v>55.363</v>
      </c>
      <c r="H22" s="129">
        <f>'Base Financials '!I21</f>
        <v>268.64499999999998</v>
      </c>
      <c r="I22" s="129">
        <f>'Base Financials '!J21</f>
        <v>-732.54899999999998</v>
      </c>
      <c r="J22" s="129">
        <f>'Base Financials '!K21</f>
        <v>-495.459</v>
      </c>
      <c r="K22" s="129">
        <f>'Base Financials '!L21</f>
        <v>365.983</v>
      </c>
      <c r="L22" s="129">
        <f>'Base Financials '!M21</f>
        <v>-118.678</v>
      </c>
      <c r="M22" s="129">
        <f>'Base Financials '!N21</f>
        <v>-101.066</v>
      </c>
      <c r="N22" s="129">
        <f>'Base Financials '!O21</f>
        <v>-186.239</v>
      </c>
      <c r="O22" s="129">
        <f>'Base Financials '!P21</f>
        <v>156</v>
      </c>
      <c r="P22" s="129">
        <f>'Base Financials '!Q21</f>
        <v>-150</v>
      </c>
      <c r="Q22" s="129">
        <f>'Base Financials '!R21</f>
        <v>67</v>
      </c>
      <c r="R22" s="6"/>
      <c r="S22" s="23">
        <f t="shared" ref="S22" si="16">SUM(J22:M22)</f>
        <v>-349.22</v>
      </c>
      <c r="T22" s="23">
        <f t="shared" ref="T22" si="17">SUM(N22:Q22)</f>
        <v>-113.239</v>
      </c>
      <c r="V22" s="24">
        <f t="shared" si="15"/>
        <v>-0.6757373575396598</v>
      </c>
    </row>
    <row r="23" spans="2:22" x14ac:dyDescent="0.25">
      <c r="B23" s="25" t="str">
        <f>'Base Financials '!B22</f>
        <v>Gain on settlement of accounts payable</v>
      </c>
      <c r="C23" s="129">
        <f>'Base Financials '!D22</f>
        <v>0</v>
      </c>
      <c r="D23" s="129">
        <f>'Base Financials '!E22</f>
        <v>0</v>
      </c>
      <c r="E23" s="129">
        <f>'Base Financials '!F22</f>
        <v>0</v>
      </c>
      <c r="F23" s="129">
        <f>'Base Financials '!G22</f>
        <v>0</v>
      </c>
      <c r="G23" s="129">
        <f>'Base Financials '!H22</f>
        <v>0</v>
      </c>
      <c r="H23" s="129">
        <f>'Base Financials '!I22</f>
        <v>0</v>
      </c>
      <c r="I23" s="129">
        <f>'Base Financials '!J22</f>
        <v>0</v>
      </c>
      <c r="J23" s="129">
        <f>'Base Financials '!K22</f>
        <v>0</v>
      </c>
      <c r="K23" s="129">
        <f>'Base Financials '!L22</f>
        <v>0</v>
      </c>
      <c r="L23" s="129">
        <f>'Base Financials '!M22</f>
        <v>0</v>
      </c>
      <c r="M23" s="129">
        <f>'Base Financials '!N22</f>
        <v>0</v>
      </c>
      <c r="N23" s="129">
        <f>'Base Financials '!O22</f>
        <v>0</v>
      </c>
      <c r="O23" s="129">
        <f>'Base Financials '!P22</f>
        <v>0</v>
      </c>
      <c r="P23" s="129">
        <f>'Base Financials '!Q22</f>
        <v>0</v>
      </c>
      <c r="Q23" s="129">
        <f>'Base Financials '!R22</f>
        <v>59</v>
      </c>
      <c r="R23" s="6"/>
      <c r="S23" s="23">
        <f t="shared" si="13"/>
        <v>0</v>
      </c>
      <c r="T23" s="23">
        <f t="shared" si="14"/>
        <v>59</v>
      </c>
      <c r="V23" s="24" t="e">
        <f t="shared" si="15"/>
        <v>#DIV/0!</v>
      </c>
    </row>
    <row r="24" spans="2:22" x14ac:dyDescent="0.25">
      <c r="B24" s="39" t="s">
        <v>47</v>
      </c>
      <c r="C24" s="26" t="e">
        <f>SUM(C18+SUM(C21:C23))</f>
        <v>#REF!</v>
      </c>
      <c r="D24" s="26" t="e">
        <f>SUM(D18+SUM(D21:D23))</f>
        <v>#REF!</v>
      </c>
      <c r="E24" s="26" t="e">
        <f>SUM(E18+SUM(E21:E23))</f>
        <v>#REF!</v>
      </c>
      <c r="F24" s="6"/>
      <c r="G24" s="26" t="e">
        <f t="shared" ref="G24:Q24" si="18">SUM(G18+SUM(G21:G23))</f>
        <v>#REF!</v>
      </c>
      <c r="H24" s="26" t="e">
        <f t="shared" si="18"/>
        <v>#REF!</v>
      </c>
      <c r="I24" s="26" t="e">
        <f t="shared" si="18"/>
        <v>#REF!</v>
      </c>
      <c r="J24" s="26" t="e">
        <f t="shared" si="18"/>
        <v>#REF!</v>
      </c>
      <c r="K24" s="26" t="e">
        <f t="shared" si="18"/>
        <v>#REF!</v>
      </c>
      <c r="L24" s="26" t="e">
        <f t="shared" si="18"/>
        <v>#REF!</v>
      </c>
      <c r="M24" s="26" t="e">
        <f t="shared" si="18"/>
        <v>#REF!</v>
      </c>
      <c r="N24" s="26" t="e">
        <f t="shared" si="18"/>
        <v>#REF!</v>
      </c>
      <c r="O24" s="26" t="e">
        <f t="shared" si="18"/>
        <v>#REF!</v>
      </c>
      <c r="P24" s="26" t="e">
        <f t="shared" si="18"/>
        <v>#REF!</v>
      </c>
      <c r="Q24" s="26" t="e">
        <f t="shared" si="18"/>
        <v>#REF!</v>
      </c>
      <c r="R24" s="6"/>
      <c r="S24" s="26" t="e">
        <f>SUM(S18+SUM(S21:S23))</f>
        <v>#REF!</v>
      </c>
      <c r="T24" s="26" t="e">
        <f>SUM(T18+SUM(T21:T23))</f>
        <v>#REF!</v>
      </c>
      <c r="V24" s="28" t="e">
        <f t="shared" ref="V24" si="19">SUM(T24/S24)-1</f>
        <v>#REF!</v>
      </c>
    </row>
    <row r="25" spans="2:22" x14ac:dyDescent="0.25">
      <c r="B25" s="29" t="s">
        <v>24</v>
      </c>
      <c r="C25" s="40"/>
      <c r="D25" s="31" t="e">
        <f>D24/C24-1</f>
        <v>#REF!</v>
      </c>
      <c r="E25" s="31" t="e">
        <f>E24/D24-1</f>
        <v>#REF!</v>
      </c>
      <c r="F25" s="31"/>
      <c r="G25" s="31"/>
      <c r="H25" s="31" t="e">
        <f t="shared" ref="H25:Q25" si="20">H24/G24-1</f>
        <v>#REF!</v>
      </c>
      <c r="I25" s="31" t="e">
        <f t="shared" si="20"/>
        <v>#REF!</v>
      </c>
      <c r="J25" s="31" t="e">
        <f t="shared" si="20"/>
        <v>#REF!</v>
      </c>
      <c r="K25" s="31" t="e">
        <f t="shared" si="20"/>
        <v>#REF!</v>
      </c>
      <c r="L25" s="31" t="e">
        <f t="shared" si="20"/>
        <v>#REF!</v>
      </c>
      <c r="M25" s="31" t="e">
        <f t="shared" si="20"/>
        <v>#REF!</v>
      </c>
      <c r="N25" s="31" t="e">
        <f t="shared" si="20"/>
        <v>#REF!</v>
      </c>
      <c r="O25" s="31" t="e">
        <f t="shared" si="20"/>
        <v>#REF!</v>
      </c>
      <c r="P25" s="31" t="e">
        <f t="shared" si="20"/>
        <v>#REF!</v>
      </c>
      <c r="Q25" s="31" t="e">
        <f t="shared" si="20"/>
        <v>#REF!</v>
      </c>
      <c r="R25" s="6"/>
      <c r="S25" s="6"/>
      <c r="T25" s="31" t="e">
        <f>T24/S24-1</f>
        <v>#REF!</v>
      </c>
    </row>
    <row r="26" spans="2:22" x14ac:dyDescent="0.25">
      <c r="B26" s="3" t="s">
        <v>48</v>
      </c>
      <c r="C26" s="40"/>
      <c r="D26" s="31"/>
      <c r="E26" s="31"/>
      <c r="F26" s="31"/>
      <c r="G26" s="31"/>
      <c r="H26" s="31"/>
      <c r="I26" s="31"/>
      <c r="J26" s="31"/>
      <c r="K26" s="31"/>
      <c r="L26" s="31"/>
      <c r="M26" s="31"/>
      <c r="N26" s="31"/>
      <c r="O26" s="31"/>
      <c r="P26" s="31"/>
      <c r="Q26" s="31"/>
      <c r="R26" s="6"/>
      <c r="S26" s="6"/>
      <c r="T26" s="31"/>
    </row>
    <row r="27" spans="2:22" x14ac:dyDescent="0.25">
      <c r="B27" s="99" t="str">
        <f>'[1]3-Statement Model '!B101</f>
        <v>Depreciation and amortization</v>
      </c>
      <c r="C27" s="129">
        <f>'Base Financials '!D68</f>
        <v>0</v>
      </c>
      <c r="D27" s="129">
        <f>'Base Financials '!E68</f>
        <v>845</v>
      </c>
      <c r="E27" s="129">
        <f>'Base Financials '!F68</f>
        <v>0</v>
      </c>
      <c r="F27" s="129">
        <f>'Base Financials '!G68</f>
        <v>0</v>
      </c>
      <c r="G27" s="129">
        <f>'Base Financials '!H68</f>
        <v>0</v>
      </c>
      <c r="H27" s="129">
        <f>'Base Financials '!I68</f>
        <v>0</v>
      </c>
      <c r="I27" s="129">
        <f>'Base Financials '!J68</f>
        <v>0</v>
      </c>
      <c r="J27" s="129">
        <f>'Base Financials '!K68</f>
        <v>0</v>
      </c>
      <c r="K27" s="129">
        <f>'Base Financials '!L68</f>
        <v>0</v>
      </c>
      <c r="L27" s="129">
        <f>'Base Financials '!M68</f>
        <v>844.5</v>
      </c>
      <c r="M27" s="129">
        <f>'Base Financials '!N68</f>
        <v>0</v>
      </c>
      <c r="N27" s="129">
        <f>'Base Financials '!O68</f>
        <v>0.5</v>
      </c>
      <c r="O27" s="129">
        <f>'Base Financials '!P68</f>
        <v>0</v>
      </c>
      <c r="P27" s="129">
        <f>'Base Financials '!Q68</f>
        <v>0</v>
      </c>
      <c r="Q27" s="129">
        <f>'Base Financials '!R68</f>
        <v>0</v>
      </c>
      <c r="R27" s="6"/>
      <c r="S27" s="23">
        <f>SUM(J27:M27)</f>
        <v>844.5</v>
      </c>
      <c r="T27" s="23">
        <f>SUM(N27:Q27)</f>
        <v>0.5</v>
      </c>
      <c r="V27" s="24">
        <f t="shared" ref="V27:V28" si="21">SUM(T27/S27)-1</f>
        <v>-0.99940793368857317</v>
      </c>
    </row>
    <row r="28" spans="2:22" x14ac:dyDescent="0.25">
      <c r="B28" s="43" t="s">
        <v>49</v>
      </c>
      <c r="C28" s="132" t="e">
        <f>SUM(C24+C27)</f>
        <v>#REF!</v>
      </c>
      <c r="D28" s="132" t="e">
        <f>SUM(D24+D27)</f>
        <v>#REF!</v>
      </c>
      <c r="E28" s="132" t="e">
        <f t="shared" ref="E28" si="22">SUM(E24+E27)</f>
        <v>#REF!</v>
      </c>
      <c r="G28" s="132" t="e">
        <f t="shared" ref="G28:P28" si="23">SUM(G24+G27)</f>
        <v>#REF!</v>
      </c>
      <c r="H28" s="132" t="e">
        <f t="shared" si="23"/>
        <v>#REF!</v>
      </c>
      <c r="I28" s="132" t="e">
        <f t="shared" si="23"/>
        <v>#REF!</v>
      </c>
      <c r="J28" s="132" t="e">
        <f t="shared" si="23"/>
        <v>#REF!</v>
      </c>
      <c r="K28" s="132" t="e">
        <f t="shared" si="23"/>
        <v>#REF!</v>
      </c>
      <c r="L28" s="132" t="e">
        <f t="shared" si="23"/>
        <v>#REF!</v>
      </c>
      <c r="M28" s="132" t="e">
        <f t="shared" si="23"/>
        <v>#REF!</v>
      </c>
      <c r="N28" s="132" t="e">
        <f t="shared" si="23"/>
        <v>#REF!</v>
      </c>
      <c r="O28" s="132" t="e">
        <f t="shared" si="23"/>
        <v>#REF!</v>
      </c>
      <c r="P28" s="132" t="e">
        <f t="shared" si="23"/>
        <v>#REF!</v>
      </c>
      <c r="Q28" s="132" t="e">
        <f t="shared" ref="Q28:T28" si="24">SUM(Q24+Q27)</f>
        <v>#REF!</v>
      </c>
      <c r="S28" s="132" t="e">
        <f t="shared" si="24"/>
        <v>#REF!</v>
      </c>
      <c r="T28" s="132" t="e">
        <f t="shared" si="24"/>
        <v>#REF!</v>
      </c>
      <c r="V28" s="28" t="e">
        <f t="shared" si="21"/>
        <v>#REF!</v>
      </c>
    </row>
    <row r="29" spans="2:22" x14ac:dyDescent="0.25">
      <c r="B29" s="29" t="s">
        <v>24</v>
      </c>
      <c r="C29" s="40"/>
      <c r="D29" s="31" t="e">
        <f>D28/C28-1</f>
        <v>#REF!</v>
      </c>
      <c r="E29" s="31" t="e">
        <f>E28/D28-1</f>
        <v>#REF!</v>
      </c>
      <c r="F29" s="31"/>
      <c r="G29" s="31"/>
      <c r="H29" s="31" t="e">
        <f t="shared" ref="H29:Q29" si="25">H28/G28-1</f>
        <v>#REF!</v>
      </c>
      <c r="I29" s="31" t="e">
        <f t="shared" si="25"/>
        <v>#REF!</v>
      </c>
      <c r="J29" s="31" t="e">
        <f t="shared" si="25"/>
        <v>#REF!</v>
      </c>
      <c r="K29" s="31" t="e">
        <f t="shared" si="25"/>
        <v>#REF!</v>
      </c>
      <c r="L29" s="31" t="e">
        <f t="shared" si="25"/>
        <v>#REF!</v>
      </c>
      <c r="M29" s="31" t="e">
        <f t="shared" si="25"/>
        <v>#REF!</v>
      </c>
      <c r="N29" s="31" t="e">
        <f t="shared" si="25"/>
        <v>#REF!</v>
      </c>
      <c r="O29" s="31" t="e">
        <f t="shared" si="25"/>
        <v>#REF!</v>
      </c>
      <c r="P29" s="31" t="e">
        <f t="shared" si="25"/>
        <v>#REF!</v>
      </c>
      <c r="Q29" s="31" t="e">
        <f t="shared" si="25"/>
        <v>#REF!</v>
      </c>
      <c r="R29" s="6"/>
      <c r="S29" s="6"/>
      <c r="T29" s="31" t="e">
        <f>T28/S28-1</f>
        <v>#REF!</v>
      </c>
    </row>
    <row r="30" spans="2:22" x14ac:dyDescent="0.25">
      <c r="B30" s="29" t="s">
        <v>50</v>
      </c>
      <c r="C30" s="31" t="e">
        <f>SUM(C28/C9)</f>
        <v>#REF!</v>
      </c>
      <c r="D30" s="31" t="e">
        <f>SUM(D28/D9)</f>
        <v>#REF!</v>
      </c>
      <c r="E30" s="31" t="e">
        <f>SUM(E28/E9)</f>
        <v>#REF!</v>
      </c>
      <c r="F30" s="31"/>
      <c r="G30" s="31" t="e">
        <f t="shared" ref="G30:Q30" si="26">SUM(G28/G9)</f>
        <v>#REF!</v>
      </c>
      <c r="H30" s="31" t="e">
        <f t="shared" si="26"/>
        <v>#REF!</v>
      </c>
      <c r="I30" s="31" t="e">
        <f t="shared" si="26"/>
        <v>#REF!</v>
      </c>
      <c r="J30" s="31" t="e">
        <f t="shared" si="26"/>
        <v>#REF!</v>
      </c>
      <c r="K30" s="31" t="e">
        <f t="shared" si="26"/>
        <v>#REF!</v>
      </c>
      <c r="L30" s="31" t="e">
        <f t="shared" si="26"/>
        <v>#REF!</v>
      </c>
      <c r="M30" s="31" t="e">
        <f t="shared" si="26"/>
        <v>#REF!</v>
      </c>
      <c r="N30" s="31" t="e">
        <f t="shared" si="26"/>
        <v>#REF!</v>
      </c>
      <c r="O30" s="31" t="e">
        <f t="shared" si="26"/>
        <v>#REF!</v>
      </c>
      <c r="P30" s="31" t="e">
        <f t="shared" si="26"/>
        <v>#REF!</v>
      </c>
      <c r="Q30" s="31" t="e">
        <f t="shared" si="26"/>
        <v>#REF!</v>
      </c>
      <c r="R30" s="6"/>
      <c r="S30" s="31" t="e">
        <f>SUM(S28/S9)</f>
        <v>#REF!</v>
      </c>
      <c r="T30" s="31" t="e">
        <f>SUM(T28/T9)</f>
        <v>#REF!</v>
      </c>
    </row>
    <row r="31" spans="2:22" x14ac:dyDescent="0.25">
      <c r="B31" s="3" t="s">
        <v>51</v>
      </c>
      <c r="C31" s="40"/>
      <c r="D31" s="31"/>
      <c r="E31" s="31"/>
      <c r="F31" s="31"/>
      <c r="G31" s="31"/>
      <c r="H31" s="31"/>
      <c r="I31" s="31"/>
      <c r="J31" s="31"/>
      <c r="K31" s="31"/>
      <c r="L31" s="31"/>
      <c r="M31" s="31"/>
      <c r="N31" s="31"/>
      <c r="O31" s="31"/>
      <c r="P31" s="31"/>
      <c r="Q31" s="31"/>
      <c r="R31" s="6"/>
      <c r="S31" s="6"/>
      <c r="T31" s="31"/>
    </row>
    <row r="32" spans="2:22" x14ac:dyDescent="0.25">
      <c r="B32" s="99" t="str">
        <f>'[1]3-Statement Model '!B102</f>
        <v>Stock-based compensation</v>
      </c>
      <c r="C32" s="129">
        <f>'Base Financials '!D70</f>
        <v>18379</v>
      </c>
      <c r="D32" s="129">
        <f>'Base Financials '!E70</f>
        <v>16370</v>
      </c>
      <c r="E32" s="129">
        <f>'Base Financials '!F70</f>
        <v>9438</v>
      </c>
      <c r="F32" s="129">
        <f>'Base Financials '!G70</f>
        <v>0</v>
      </c>
      <c r="G32" s="129">
        <f>'Base Financials '!H70</f>
        <v>3908.7710000000002</v>
      </c>
      <c r="H32" s="129">
        <f>'Base Financials '!I70</f>
        <v>4439.4589999999989</v>
      </c>
      <c r="I32" s="129">
        <f>'Base Financials '!J70</f>
        <v>3988.614</v>
      </c>
      <c r="J32" s="129">
        <f>'Base Financials '!K70</f>
        <v>6042.1560000000009</v>
      </c>
      <c r="K32" s="129">
        <f>'Base Financials '!L70</f>
        <v>5346.5079999999998</v>
      </c>
      <c r="L32" s="129">
        <f>'Base Financials '!M70</f>
        <v>3970.0640000000003</v>
      </c>
      <c r="M32" s="129">
        <f>'Base Financials '!N70</f>
        <v>3866.780999999999</v>
      </c>
      <c r="N32" s="129">
        <f>'Base Financials '!O70</f>
        <v>3186.6470000000008</v>
      </c>
      <c r="O32" s="129">
        <f>'Base Financials '!P70</f>
        <v>2286</v>
      </c>
      <c r="P32" s="129">
        <f>'Base Financials '!Q70</f>
        <v>2652</v>
      </c>
      <c r="Q32" s="129">
        <f>'Base Financials '!R70</f>
        <v>2487</v>
      </c>
      <c r="S32" s="23">
        <f>SUM(J32:M32)</f>
        <v>19225.508999999998</v>
      </c>
      <c r="T32" s="23">
        <f>SUM(N32:Q32)</f>
        <v>10611.647000000001</v>
      </c>
      <c r="V32" s="24">
        <f t="shared" ref="V32" si="27">SUM(T32/S32)-1</f>
        <v>-0.44804337820132611</v>
      </c>
    </row>
    <row r="33" spans="2:22" x14ac:dyDescent="0.25">
      <c r="B33" s="43" t="s">
        <v>52</v>
      </c>
      <c r="C33" s="132" t="e">
        <f>SUM(C28+C32)</f>
        <v>#REF!</v>
      </c>
      <c r="D33" s="132" t="e">
        <f>SUM(D28+D32)</f>
        <v>#REF!</v>
      </c>
      <c r="E33" s="132" t="e">
        <f t="shared" ref="E33" si="28">SUM(E28+E32)</f>
        <v>#REF!</v>
      </c>
      <c r="G33" s="132" t="e">
        <f t="shared" ref="G33:P33" si="29">SUM(G28+G32)</f>
        <v>#REF!</v>
      </c>
      <c r="H33" s="132" t="e">
        <f t="shared" si="29"/>
        <v>#REF!</v>
      </c>
      <c r="I33" s="132" t="e">
        <f t="shared" si="29"/>
        <v>#REF!</v>
      </c>
      <c r="J33" s="132" t="e">
        <f t="shared" si="29"/>
        <v>#REF!</v>
      </c>
      <c r="K33" s="132" t="e">
        <f t="shared" si="29"/>
        <v>#REF!</v>
      </c>
      <c r="L33" s="132" t="e">
        <f t="shared" si="29"/>
        <v>#REF!</v>
      </c>
      <c r="M33" s="132" t="e">
        <f t="shared" si="29"/>
        <v>#REF!</v>
      </c>
      <c r="N33" s="132" t="e">
        <f t="shared" si="29"/>
        <v>#REF!</v>
      </c>
      <c r="O33" s="132" t="e">
        <f t="shared" si="29"/>
        <v>#REF!</v>
      </c>
      <c r="P33" s="132" t="e">
        <f t="shared" si="29"/>
        <v>#REF!</v>
      </c>
      <c r="Q33" s="132" t="e">
        <f t="shared" ref="Q33:T33" si="30">SUM(Q28+Q32)</f>
        <v>#REF!</v>
      </c>
      <c r="S33" s="132" t="e">
        <f t="shared" si="30"/>
        <v>#REF!</v>
      </c>
      <c r="T33" s="132" t="e">
        <f t="shared" si="30"/>
        <v>#REF!</v>
      </c>
      <c r="V33" s="28" t="e">
        <f>SUM(T33/S33)-1</f>
        <v>#REF!</v>
      </c>
    </row>
    <row r="34" spans="2:22" x14ac:dyDescent="0.25">
      <c r="B34" s="29" t="s">
        <v>24</v>
      </c>
      <c r="C34" s="40"/>
      <c r="D34" s="31" t="e">
        <f>D33/C33-1</f>
        <v>#REF!</v>
      </c>
      <c r="E34" s="31" t="e">
        <f>E33/D33-1</f>
        <v>#REF!</v>
      </c>
      <c r="F34" s="31"/>
      <c r="G34" s="31"/>
      <c r="H34" s="31" t="e">
        <f t="shared" ref="H34:Q34" si="31">H33/G33-1</f>
        <v>#REF!</v>
      </c>
      <c r="I34" s="31" t="e">
        <f t="shared" si="31"/>
        <v>#REF!</v>
      </c>
      <c r="J34" s="31" t="e">
        <f t="shared" si="31"/>
        <v>#REF!</v>
      </c>
      <c r="K34" s="31" t="e">
        <f t="shared" si="31"/>
        <v>#REF!</v>
      </c>
      <c r="L34" s="31" t="e">
        <f t="shared" si="31"/>
        <v>#REF!</v>
      </c>
      <c r="M34" s="31" t="e">
        <f t="shared" si="31"/>
        <v>#REF!</v>
      </c>
      <c r="N34" s="31" t="e">
        <f t="shared" si="31"/>
        <v>#REF!</v>
      </c>
      <c r="O34" s="31" t="e">
        <f t="shared" si="31"/>
        <v>#REF!</v>
      </c>
      <c r="P34" s="31" t="e">
        <f t="shared" si="31"/>
        <v>#REF!</v>
      </c>
      <c r="Q34" s="31" t="e">
        <f t="shared" si="31"/>
        <v>#REF!</v>
      </c>
      <c r="R34" s="6"/>
      <c r="S34" s="6"/>
      <c r="T34" s="31" t="e">
        <f>T33/S33-1</f>
        <v>#REF!</v>
      </c>
    </row>
    <row r="35" spans="2:22" x14ac:dyDescent="0.25">
      <c r="B35" s="29" t="s">
        <v>53</v>
      </c>
      <c r="C35" s="31" t="e">
        <f>C33/C9</f>
        <v>#REF!</v>
      </c>
      <c r="D35" s="31" t="e">
        <f>D33/D9</f>
        <v>#REF!</v>
      </c>
      <c r="E35" s="31" t="e">
        <f>E33/E9</f>
        <v>#REF!</v>
      </c>
      <c r="F35" s="31"/>
      <c r="G35" s="31" t="e">
        <f t="shared" ref="G35:Q35" si="32">G33/G9</f>
        <v>#REF!</v>
      </c>
      <c r="H35" s="31" t="e">
        <f t="shared" si="32"/>
        <v>#REF!</v>
      </c>
      <c r="I35" s="31" t="e">
        <f t="shared" si="32"/>
        <v>#REF!</v>
      </c>
      <c r="J35" s="31" t="e">
        <f t="shared" si="32"/>
        <v>#REF!</v>
      </c>
      <c r="K35" s="31" t="e">
        <f t="shared" si="32"/>
        <v>#REF!</v>
      </c>
      <c r="L35" s="31" t="e">
        <f t="shared" si="32"/>
        <v>#REF!</v>
      </c>
      <c r="M35" s="31" t="e">
        <f t="shared" si="32"/>
        <v>#REF!</v>
      </c>
      <c r="N35" s="31" t="e">
        <f t="shared" si="32"/>
        <v>#REF!</v>
      </c>
      <c r="O35" s="31" t="e">
        <f t="shared" si="32"/>
        <v>#REF!</v>
      </c>
      <c r="P35" s="31" t="e">
        <f t="shared" si="32"/>
        <v>#REF!</v>
      </c>
      <c r="Q35" s="31" t="e">
        <f t="shared" si="32"/>
        <v>#REF!</v>
      </c>
      <c r="S35" s="31" t="e">
        <f>S33/S9</f>
        <v>#REF!</v>
      </c>
      <c r="T35" s="31" t="e">
        <f>T33/T9</f>
        <v>#REF!</v>
      </c>
    </row>
    <row r="36" spans="2:22" x14ac:dyDescent="0.25">
      <c r="B36" s="3"/>
    </row>
  </sheetData>
  <mergeCells count="1">
    <mergeCell ref="V7:V8"/>
  </mergeCells>
  <conditionalFormatting sqref="C13:I13 K13:Q13">
    <cfRule type="timePeriod" dxfId="1" priority="5" timePeriod="lastWeek">
      <formula>AND(TODAY()-ROUNDDOWN(C13,0)&gt;=(WEEKDAY(TODAY())),TODAY()-ROUNDDOWN(C13,0)&lt;(WEEKDAY(TODAY())+7))</formula>
    </cfRule>
  </conditionalFormatting>
  <conditionalFormatting sqref="C8:T8">
    <cfRule type="timePeriod" dxfId="0" priority="1" timePeriod="lastWeek">
      <formula>AND(TODAY()-ROUNDDOWN(C8,0)&gt;=(WEEKDAY(TODAY())),TODAY()-ROUNDDOWN(C8,0)&lt;(WEEKDAY(TODAY())+7))</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Firm Background</vt:lpstr>
      <vt:lpstr>Base Financials </vt:lpstr>
      <vt:lpstr>Adjusted EBITDA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Garcia</dc:creator>
  <cp:lastModifiedBy>Felix Garcia</cp:lastModifiedBy>
  <dcterms:created xsi:type="dcterms:W3CDTF">2024-12-28T10:46:35Z</dcterms:created>
  <dcterms:modified xsi:type="dcterms:W3CDTF">2025-01-01T01:45:59Z</dcterms:modified>
</cp:coreProperties>
</file>