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Felix\Downloads\"/>
    </mc:Choice>
  </mc:AlternateContent>
  <xr:revisionPtr revIDLastSave="0" documentId="8_{8CDA2054-06CA-4C98-BAB9-912F8CAD88FE}" xr6:coauthVersionLast="47" xr6:coauthVersionMax="47" xr10:uidLastSave="{00000000-0000-0000-0000-000000000000}"/>
  <bookViews>
    <workbookView xWindow="-120" yWindow="-120" windowWidth="29040" windowHeight="15720" activeTab="2" xr2:uid="{7B81E29B-4D22-4918-9EB5-0ACAEFB2AC71}"/>
  </bookViews>
  <sheets>
    <sheet name="Firm Background" sheetId="5" r:id="rId1"/>
    <sheet name="Base Financials" sheetId="4" r:id="rId2"/>
    <sheet name="EBITDA Analysis" sheetId="6" r:id="rId3"/>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2" i="6" l="1"/>
  <c r="S32" i="6"/>
  <c r="T37" i="6"/>
  <c r="S37" i="6"/>
  <c r="V35" i="6"/>
  <c r="V34" i="6"/>
  <c r="V30" i="6"/>
  <c r="V29" i="6"/>
  <c r="V22" i="6"/>
  <c r="V23" i="6"/>
  <c r="V24" i="6"/>
  <c r="V25" i="6"/>
  <c r="V26" i="6"/>
  <c r="V21" i="6"/>
  <c r="V18" i="6"/>
  <c r="V15" i="6"/>
  <c r="V16" i="6"/>
  <c r="V17" i="6"/>
  <c r="V14" i="6"/>
  <c r="V10" i="6"/>
  <c r="V11" i="6"/>
  <c r="V9" i="6"/>
  <c r="Q37" i="6"/>
  <c r="P37" i="6"/>
  <c r="O37" i="6"/>
  <c r="N37" i="6"/>
  <c r="M37" i="6"/>
  <c r="L37" i="6"/>
  <c r="K37" i="6"/>
  <c r="J37" i="6"/>
  <c r="I37" i="6"/>
  <c r="H37" i="6"/>
  <c r="G37" i="6"/>
  <c r="E37" i="6"/>
  <c r="D37" i="6"/>
  <c r="C37" i="6"/>
  <c r="Q32" i="6"/>
  <c r="P32" i="6"/>
  <c r="O32" i="6"/>
  <c r="N32" i="6"/>
  <c r="M32" i="6"/>
  <c r="L32" i="6"/>
  <c r="K32" i="6"/>
  <c r="J32" i="6"/>
  <c r="I32" i="6"/>
  <c r="H32" i="6"/>
  <c r="G32" i="6"/>
  <c r="E32" i="6"/>
  <c r="D32" i="6"/>
  <c r="C32" i="6"/>
  <c r="S24" i="6"/>
  <c r="S23" i="6"/>
  <c r="Q34" i="6"/>
  <c r="P34" i="6"/>
  <c r="O34" i="6"/>
  <c r="N34" i="6"/>
  <c r="M34" i="6"/>
  <c r="L34" i="6"/>
  <c r="K34" i="6"/>
  <c r="J34" i="6"/>
  <c r="I34" i="6"/>
  <c r="H34" i="6"/>
  <c r="G34" i="6"/>
  <c r="F34" i="6"/>
  <c r="E34" i="6"/>
  <c r="D34" i="6"/>
  <c r="C34" i="6"/>
  <c r="B34" i="6"/>
  <c r="Q29" i="6"/>
  <c r="P29" i="6"/>
  <c r="O29" i="6"/>
  <c r="T29" i="6" s="1"/>
  <c r="N29" i="6"/>
  <c r="M29" i="6"/>
  <c r="L29" i="6"/>
  <c r="K29" i="6"/>
  <c r="J29" i="6"/>
  <c r="S29" i="6" s="1"/>
  <c r="I29" i="6"/>
  <c r="H29" i="6"/>
  <c r="G29" i="6"/>
  <c r="F29" i="6"/>
  <c r="E29" i="6"/>
  <c r="D29" i="6"/>
  <c r="C29" i="6"/>
  <c r="B29" i="6"/>
  <c r="Q25" i="6"/>
  <c r="P25" i="6"/>
  <c r="O25" i="6"/>
  <c r="N25" i="6"/>
  <c r="M25" i="6"/>
  <c r="L25" i="6"/>
  <c r="K25" i="6"/>
  <c r="J25" i="6"/>
  <c r="I25" i="6"/>
  <c r="H25" i="6"/>
  <c r="G25" i="6"/>
  <c r="F25" i="6"/>
  <c r="E25" i="6"/>
  <c r="D25" i="6"/>
  <c r="C25" i="6"/>
  <c r="Q24" i="6"/>
  <c r="P24" i="6"/>
  <c r="O24" i="6"/>
  <c r="N24" i="6"/>
  <c r="T24" i="6" s="1"/>
  <c r="M24" i="6"/>
  <c r="L24" i="6"/>
  <c r="K24" i="6"/>
  <c r="J24" i="6"/>
  <c r="I24" i="6"/>
  <c r="H24" i="6"/>
  <c r="G24" i="6"/>
  <c r="F24" i="6"/>
  <c r="E24" i="6"/>
  <c r="D24" i="6"/>
  <c r="C24" i="6"/>
  <c r="Q23" i="6"/>
  <c r="P23" i="6"/>
  <c r="O23" i="6"/>
  <c r="N23" i="6"/>
  <c r="T23" i="6" s="1"/>
  <c r="M23" i="6"/>
  <c r="L23" i="6"/>
  <c r="K23" i="6"/>
  <c r="J23" i="6"/>
  <c r="I23" i="6"/>
  <c r="H23" i="6"/>
  <c r="G23" i="6"/>
  <c r="F23" i="6"/>
  <c r="E23" i="6"/>
  <c r="D23" i="6"/>
  <c r="C23" i="6"/>
  <c r="Q22" i="6"/>
  <c r="P22" i="6"/>
  <c r="O22" i="6"/>
  <c r="N22" i="6"/>
  <c r="T22" i="6" s="1"/>
  <c r="M22" i="6"/>
  <c r="L22" i="6"/>
  <c r="K22" i="6"/>
  <c r="J22" i="6"/>
  <c r="S22" i="6" s="1"/>
  <c r="I22" i="6"/>
  <c r="H22" i="6"/>
  <c r="G22" i="6"/>
  <c r="F22" i="6"/>
  <c r="E22" i="6"/>
  <c r="D22" i="6"/>
  <c r="C22" i="6"/>
  <c r="Q21" i="6"/>
  <c r="P21" i="6"/>
  <c r="O21" i="6"/>
  <c r="N21" i="6"/>
  <c r="T21" i="6" s="1"/>
  <c r="M21" i="6"/>
  <c r="L21" i="6"/>
  <c r="K21" i="6"/>
  <c r="J21" i="6"/>
  <c r="S21" i="6" s="1"/>
  <c r="I21" i="6"/>
  <c r="H21" i="6"/>
  <c r="G21" i="6"/>
  <c r="F21" i="6"/>
  <c r="E21" i="6"/>
  <c r="D21" i="6"/>
  <c r="C21" i="6"/>
  <c r="Q17" i="6"/>
  <c r="P17" i="6"/>
  <c r="O17" i="6"/>
  <c r="N17" i="6"/>
  <c r="M17" i="6"/>
  <c r="L17" i="6"/>
  <c r="K17" i="6"/>
  <c r="J17" i="6"/>
  <c r="I17" i="6"/>
  <c r="H17" i="6"/>
  <c r="G17" i="6"/>
  <c r="F17" i="6"/>
  <c r="E17" i="6"/>
  <c r="D17" i="6"/>
  <c r="C17" i="6"/>
  <c r="Q16" i="6"/>
  <c r="P16" i="6"/>
  <c r="O16" i="6"/>
  <c r="N16" i="6"/>
  <c r="M16" i="6"/>
  <c r="L16" i="6"/>
  <c r="K16" i="6"/>
  <c r="J16" i="6"/>
  <c r="I16" i="6"/>
  <c r="H16" i="6"/>
  <c r="G16" i="6"/>
  <c r="F16" i="6"/>
  <c r="E16" i="6"/>
  <c r="D16" i="6"/>
  <c r="C16" i="6"/>
  <c r="Q15" i="6"/>
  <c r="P15" i="6"/>
  <c r="O15" i="6"/>
  <c r="N15" i="6"/>
  <c r="M15" i="6"/>
  <c r="L15" i="6"/>
  <c r="K15" i="6"/>
  <c r="J15" i="6"/>
  <c r="I15" i="6"/>
  <c r="H15" i="6"/>
  <c r="G15" i="6"/>
  <c r="F15" i="6"/>
  <c r="E15" i="6"/>
  <c r="D15" i="6"/>
  <c r="C15" i="6"/>
  <c r="Q14" i="6"/>
  <c r="P14" i="6"/>
  <c r="O14" i="6"/>
  <c r="N14" i="6"/>
  <c r="M14" i="6"/>
  <c r="L14" i="6"/>
  <c r="K14" i="6"/>
  <c r="J14" i="6"/>
  <c r="I14" i="6"/>
  <c r="H14" i="6"/>
  <c r="G14" i="6"/>
  <c r="F14" i="6"/>
  <c r="E14" i="6"/>
  <c r="D14" i="6"/>
  <c r="C14" i="6"/>
  <c r="Q10" i="6"/>
  <c r="P10" i="6"/>
  <c r="O10" i="6"/>
  <c r="N10" i="6"/>
  <c r="M10" i="6"/>
  <c r="L10" i="6"/>
  <c r="K10" i="6"/>
  <c r="J10" i="6"/>
  <c r="I10" i="6"/>
  <c r="H10" i="6"/>
  <c r="G10" i="6"/>
  <c r="F10" i="6"/>
  <c r="E10" i="6"/>
  <c r="D10" i="6"/>
  <c r="C10" i="6"/>
  <c r="Q9" i="6"/>
  <c r="P9" i="6"/>
  <c r="O9" i="6"/>
  <c r="N9" i="6"/>
  <c r="M9" i="6"/>
  <c r="L9" i="6"/>
  <c r="K9" i="6"/>
  <c r="J9" i="6"/>
  <c r="I9" i="6"/>
  <c r="H9" i="6"/>
  <c r="G9" i="6"/>
  <c r="F9" i="6"/>
  <c r="E9" i="6"/>
  <c r="D9" i="6"/>
  <c r="C9" i="6"/>
  <c r="T153" i="4"/>
  <c r="Q153" i="4"/>
  <c r="P153" i="4"/>
  <c r="O153" i="4"/>
  <c r="N153" i="4"/>
  <c r="M153" i="4"/>
  <c r="L153" i="4"/>
  <c r="K153" i="4"/>
  <c r="J153" i="4"/>
  <c r="I153" i="4"/>
  <c r="H153" i="4"/>
  <c r="E153" i="4"/>
  <c r="D153" i="4"/>
  <c r="T152" i="4"/>
  <c r="S152" i="4"/>
  <c r="T143" i="4"/>
  <c r="S143" i="4"/>
  <c r="T149" i="4"/>
  <c r="S149" i="4"/>
  <c r="Q152" i="4"/>
  <c r="P152" i="4"/>
  <c r="O152" i="4"/>
  <c r="N152" i="4"/>
  <c r="M152" i="4"/>
  <c r="L152" i="4"/>
  <c r="K152" i="4"/>
  <c r="J152" i="4"/>
  <c r="I152" i="4"/>
  <c r="H152" i="4"/>
  <c r="G152" i="4"/>
  <c r="E152" i="4"/>
  <c r="D152" i="4"/>
  <c r="C152" i="4"/>
  <c r="H149" i="4"/>
  <c r="I149" i="4" s="1"/>
  <c r="N146" i="4"/>
  <c r="N145" i="4"/>
  <c r="N144" i="4"/>
  <c r="J145" i="4"/>
  <c r="J144" i="4"/>
  <c r="J146" i="4"/>
  <c r="J143" i="4"/>
  <c r="T131" i="4"/>
  <c r="T137" i="4"/>
  <c r="T129" i="4"/>
  <c r="H140" i="4"/>
  <c r="I140" i="4" s="1"/>
  <c r="J140" i="4" s="1"/>
  <c r="H135" i="4"/>
  <c r="I135" i="4" s="1"/>
  <c r="J135" i="4" s="1"/>
  <c r="S135" i="4" s="1"/>
  <c r="H134" i="4"/>
  <c r="I134" i="4" s="1"/>
  <c r="J134" i="4" s="1"/>
  <c r="S134" i="4" s="1"/>
  <c r="I132" i="4"/>
  <c r="H130" i="4"/>
  <c r="I130" i="4" s="1"/>
  <c r="J130" i="4" s="1"/>
  <c r="S130" i="4" s="1"/>
  <c r="H129" i="4"/>
  <c r="I129" i="4" s="1"/>
  <c r="T109" i="4"/>
  <c r="S109" i="4"/>
  <c r="V109" i="4" s="1"/>
  <c r="I124" i="4"/>
  <c r="I126" i="4" s="1"/>
  <c r="I123" i="4"/>
  <c r="O126" i="4"/>
  <c r="K126" i="4"/>
  <c r="H126" i="4"/>
  <c r="G126" i="4"/>
  <c r="E126" i="4"/>
  <c r="D126" i="4"/>
  <c r="C126" i="4"/>
  <c r="P98" i="4"/>
  <c r="M98" i="4"/>
  <c r="L98" i="4"/>
  <c r="H114" i="4"/>
  <c r="H116" i="4"/>
  <c r="I116" i="4" s="1"/>
  <c r="J116" i="4" s="1"/>
  <c r="H117" i="4"/>
  <c r="I117" i="4" s="1"/>
  <c r="J117" i="4" s="1"/>
  <c r="H118" i="4"/>
  <c r="I118" i="4" s="1"/>
  <c r="H119" i="4"/>
  <c r="I119" i="4" s="1"/>
  <c r="J119" i="4" s="1"/>
  <c r="I114" i="4"/>
  <c r="I107" i="4"/>
  <c r="J107" i="4" s="1"/>
  <c r="S107" i="4" s="1"/>
  <c r="H101" i="4"/>
  <c r="H102" i="4"/>
  <c r="H103" i="4"/>
  <c r="H104" i="4"/>
  <c r="H105" i="4"/>
  <c r="I105" i="4" s="1"/>
  <c r="J105" i="4" s="1"/>
  <c r="S105" i="4" s="1"/>
  <c r="I104" i="4"/>
  <c r="J104" i="4" s="1"/>
  <c r="I103" i="4"/>
  <c r="J103" i="4" s="1"/>
  <c r="I102" i="4"/>
  <c r="I101" i="4"/>
  <c r="H98" i="4"/>
  <c r="I98" i="4" s="1"/>
  <c r="J98" i="4" s="1"/>
  <c r="T115" i="4"/>
  <c r="T7" i="6"/>
  <c r="S7" i="6"/>
  <c r="P149" i="4"/>
  <c r="Q149" i="4" s="1"/>
  <c r="L149" i="4"/>
  <c r="P144" i="4"/>
  <c r="Q144" i="4" s="1"/>
  <c r="P143" i="4"/>
  <c r="Q143" i="4" s="1"/>
  <c r="M143" i="4"/>
  <c r="N143" i="4" s="1"/>
  <c r="P140" i="4"/>
  <c r="Q140" i="4" s="1"/>
  <c r="L140" i="4"/>
  <c r="P139" i="4"/>
  <c r="Q139" i="4" s="1"/>
  <c r="N139" i="4"/>
  <c r="T139" i="4" s="1"/>
  <c r="V139" i="4" s="1"/>
  <c r="J139" i="4"/>
  <c r="S139" i="4" s="1"/>
  <c r="P138" i="4"/>
  <c r="Q138" i="4" s="1"/>
  <c r="M138" i="4"/>
  <c r="N138" i="4" s="1"/>
  <c r="T138" i="4" s="1"/>
  <c r="V138" i="4" s="1"/>
  <c r="J138" i="4"/>
  <c r="S138" i="4" s="1"/>
  <c r="M137" i="4"/>
  <c r="N137" i="4" s="1"/>
  <c r="J137" i="4"/>
  <c r="S137" i="4" s="1"/>
  <c r="P136" i="4"/>
  <c r="Q136" i="4" s="1"/>
  <c r="N136" i="4"/>
  <c r="T136" i="4" s="1"/>
  <c r="V136" i="4" s="1"/>
  <c r="J136" i="4"/>
  <c r="S136" i="4" s="1"/>
  <c r="N135" i="4"/>
  <c r="T135" i="4" s="1"/>
  <c r="V135" i="4" s="1"/>
  <c r="N134" i="4"/>
  <c r="T134" i="4" s="1"/>
  <c r="P133" i="4"/>
  <c r="Q133" i="4" s="1"/>
  <c r="L133" i="4"/>
  <c r="J133" i="4"/>
  <c r="N132" i="4"/>
  <c r="T132" i="4" s="1"/>
  <c r="V132" i="4" s="1"/>
  <c r="J132" i="4"/>
  <c r="S132" i="4" s="1"/>
  <c r="J131" i="4"/>
  <c r="S131" i="4" s="1"/>
  <c r="N130" i="4"/>
  <c r="T130" i="4" s="1"/>
  <c r="N129" i="4"/>
  <c r="P125" i="4"/>
  <c r="Q125" i="4" s="1"/>
  <c r="L125" i="4"/>
  <c r="J125" i="4"/>
  <c r="P124" i="4"/>
  <c r="Q124" i="4" s="1"/>
  <c r="L124" i="4"/>
  <c r="J124" i="4"/>
  <c r="P123" i="4"/>
  <c r="Q123" i="4" s="1"/>
  <c r="Q126" i="4" s="1"/>
  <c r="L123" i="4"/>
  <c r="M123" i="4" s="1"/>
  <c r="N123" i="4" s="1"/>
  <c r="J123" i="4"/>
  <c r="N119" i="4"/>
  <c r="P118" i="4"/>
  <c r="Q118" i="4" s="1"/>
  <c r="L118" i="4"/>
  <c r="M118" i="4" s="1"/>
  <c r="N118" i="4" s="1"/>
  <c r="T118" i="4" s="1"/>
  <c r="P117" i="4"/>
  <c r="Q117" i="4" s="1"/>
  <c r="L117" i="4"/>
  <c r="P116" i="4"/>
  <c r="Q116" i="4" s="1"/>
  <c r="K116" i="4"/>
  <c r="L116" i="4" s="1"/>
  <c r="P115" i="4"/>
  <c r="Q115" i="4" s="1"/>
  <c r="L115" i="4"/>
  <c r="M115" i="4" s="1"/>
  <c r="N115" i="4" s="1"/>
  <c r="G115" i="4"/>
  <c r="H115" i="4" s="1"/>
  <c r="I115" i="4" s="1"/>
  <c r="C115" i="4"/>
  <c r="C120" i="4" s="1"/>
  <c r="P114" i="4"/>
  <c r="Q114" i="4" s="1"/>
  <c r="L114" i="4"/>
  <c r="J114" i="4"/>
  <c r="N111" i="4"/>
  <c r="T111" i="4" s="1"/>
  <c r="J111" i="4"/>
  <c r="S111" i="4" s="1"/>
  <c r="P110" i="4"/>
  <c r="Q110" i="4" s="1"/>
  <c r="L110" i="4"/>
  <c r="J110" i="4"/>
  <c r="P108" i="4"/>
  <c r="Q108" i="4" s="1"/>
  <c r="K108" i="4"/>
  <c r="L108" i="4" s="1"/>
  <c r="G108" i="4"/>
  <c r="H108" i="4" s="1"/>
  <c r="P107" i="4"/>
  <c r="Q107" i="4" s="1"/>
  <c r="L107" i="4"/>
  <c r="M107" i="4" s="1"/>
  <c r="N107" i="4" s="1"/>
  <c r="T107" i="4" s="1"/>
  <c r="L106" i="4"/>
  <c r="M106" i="4" s="1"/>
  <c r="N106" i="4" s="1"/>
  <c r="T106" i="4" s="1"/>
  <c r="J106" i="4"/>
  <c r="S106" i="4" s="1"/>
  <c r="L105" i="4"/>
  <c r="M105" i="4" s="1"/>
  <c r="N105" i="4" s="1"/>
  <c r="T105" i="4" s="1"/>
  <c r="P104" i="4"/>
  <c r="Q104" i="4" s="1"/>
  <c r="L104" i="4"/>
  <c r="P103" i="4"/>
  <c r="Q103" i="4" s="1"/>
  <c r="L103" i="4"/>
  <c r="M103" i="4" s="1"/>
  <c r="N103" i="4" s="1"/>
  <c r="P102" i="4"/>
  <c r="Q102" i="4" s="1"/>
  <c r="L102" i="4"/>
  <c r="J102" i="4"/>
  <c r="P101" i="4"/>
  <c r="Q101" i="4" s="1"/>
  <c r="L101" i="4"/>
  <c r="M101" i="4" s="1"/>
  <c r="N101" i="4" s="1"/>
  <c r="J101" i="4"/>
  <c r="Q98" i="4"/>
  <c r="N98" i="4"/>
  <c r="Q85" i="4"/>
  <c r="P85" i="4"/>
  <c r="O85" i="4"/>
  <c r="N85" i="4"/>
  <c r="M85" i="4"/>
  <c r="L85" i="4"/>
  <c r="K85" i="4"/>
  <c r="J85" i="4"/>
  <c r="I85" i="4"/>
  <c r="H85" i="4"/>
  <c r="G85" i="4"/>
  <c r="E85" i="4"/>
  <c r="D85" i="4"/>
  <c r="V80" i="4"/>
  <c r="T74" i="4"/>
  <c r="S74" i="4"/>
  <c r="T73" i="4"/>
  <c r="S73" i="4"/>
  <c r="T72" i="4"/>
  <c r="S72" i="4"/>
  <c r="T71" i="4"/>
  <c r="S71" i="4"/>
  <c r="T50" i="4"/>
  <c r="S50" i="4"/>
  <c r="T49" i="4"/>
  <c r="S49" i="4"/>
  <c r="T48" i="4"/>
  <c r="S48" i="4"/>
  <c r="T47" i="4"/>
  <c r="S47" i="4"/>
  <c r="T46" i="4"/>
  <c r="S46" i="4"/>
  <c r="T58" i="4"/>
  <c r="S58" i="4"/>
  <c r="T57" i="4"/>
  <c r="S57" i="4"/>
  <c r="T56" i="4"/>
  <c r="S56" i="4"/>
  <c r="T55" i="4"/>
  <c r="S55" i="4"/>
  <c r="T64" i="4"/>
  <c r="S64" i="4"/>
  <c r="T63" i="4"/>
  <c r="S63" i="4"/>
  <c r="U34" i="4"/>
  <c r="T33" i="4"/>
  <c r="S33" i="4"/>
  <c r="S28" i="4"/>
  <c r="T28" i="4"/>
  <c r="S29" i="4"/>
  <c r="T29" i="4"/>
  <c r="S30" i="4"/>
  <c r="T30" i="4"/>
  <c r="S31" i="4"/>
  <c r="T31" i="4"/>
  <c r="T27" i="4"/>
  <c r="S27" i="4"/>
  <c r="T26" i="4"/>
  <c r="S26" i="4"/>
  <c r="O141" i="4"/>
  <c r="K141" i="4"/>
  <c r="G141" i="4"/>
  <c r="E141" i="4"/>
  <c r="D141" i="4"/>
  <c r="C141" i="4"/>
  <c r="O120" i="4"/>
  <c r="E120" i="4"/>
  <c r="D120" i="4"/>
  <c r="C85" i="4"/>
  <c r="T84" i="4"/>
  <c r="S84" i="4"/>
  <c r="T83" i="4"/>
  <c r="T82" i="4"/>
  <c r="S82" i="4"/>
  <c r="T81" i="4"/>
  <c r="S81" i="4"/>
  <c r="T79" i="4"/>
  <c r="S79" i="4"/>
  <c r="T75" i="4"/>
  <c r="S75" i="4"/>
  <c r="Q68" i="4"/>
  <c r="Q76" i="4" s="1"/>
  <c r="P68" i="4"/>
  <c r="P76" i="4" s="1"/>
  <c r="O68" i="4"/>
  <c r="O76" i="4" s="1"/>
  <c r="M68" i="4"/>
  <c r="M76" i="4" s="1"/>
  <c r="L68" i="4"/>
  <c r="L76" i="4" s="1"/>
  <c r="K68" i="4"/>
  <c r="K76" i="4" s="1"/>
  <c r="I68" i="4"/>
  <c r="I76" i="4" s="1"/>
  <c r="H68" i="4"/>
  <c r="H76" i="4" s="1"/>
  <c r="G68" i="4"/>
  <c r="G76" i="4" s="1"/>
  <c r="E68" i="4"/>
  <c r="E76" i="4" s="1"/>
  <c r="D68" i="4"/>
  <c r="D76" i="4" s="1"/>
  <c r="C68" i="4"/>
  <c r="C76" i="4" s="1"/>
  <c r="T67" i="4"/>
  <c r="S67" i="4"/>
  <c r="T66" i="4"/>
  <c r="S66" i="4"/>
  <c r="T65" i="4"/>
  <c r="S65" i="4"/>
  <c r="T62" i="4"/>
  <c r="T54" i="4"/>
  <c r="S54" i="4"/>
  <c r="Q51" i="4"/>
  <c r="Q59" i="4" s="1"/>
  <c r="Q89" i="4" s="1"/>
  <c r="T89" i="4" s="1"/>
  <c r="P51" i="4"/>
  <c r="P59" i="4" s="1"/>
  <c r="P89" i="4" s="1"/>
  <c r="O51" i="4"/>
  <c r="O59" i="4" s="1"/>
  <c r="O89" i="4" s="1"/>
  <c r="M51" i="4"/>
  <c r="M59" i="4" s="1"/>
  <c r="M89" i="4" s="1"/>
  <c r="S89" i="4" s="1"/>
  <c r="L51" i="4"/>
  <c r="L59" i="4" s="1"/>
  <c r="L89" i="4" s="1"/>
  <c r="K51" i="4"/>
  <c r="K59" i="4" s="1"/>
  <c r="K89" i="4" s="1"/>
  <c r="I51" i="4"/>
  <c r="I59" i="4" s="1"/>
  <c r="I89" i="4" s="1"/>
  <c r="H51" i="4"/>
  <c r="H59" i="4" s="1"/>
  <c r="H89" i="4" s="1"/>
  <c r="G51" i="4"/>
  <c r="G59" i="4" s="1"/>
  <c r="G89" i="4" s="1"/>
  <c r="E51" i="4"/>
  <c r="E59" i="4" s="1"/>
  <c r="E89" i="4" s="1"/>
  <c r="D51" i="4"/>
  <c r="D59" i="4" s="1"/>
  <c r="D89" i="4" s="1"/>
  <c r="C51" i="4"/>
  <c r="C59" i="4" s="1"/>
  <c r="C89" i="4" s="1"/>
  <c r="T45" i="4"/>
  <c r="S45" i="4"/>
  <c r="N39" i="4"/>
  <c r="J39" i="4"/>
  <c r="N38" i="4"/>
  <c r="J38" i="4"/>
  <c r="T20" i="4"/>
  <c r="S20" i="4"/>
  <c r="T19" i="4"/>
  <c r="S19" i="4"/>
  <c r="T18" i="4"/>
  <c r="S18" i="4"/>
  <c r="T17" i="4"/>
  <c r="S17" i="4"/>
  <c r="Q12" i="4"/>
  <c r="Q21" i="4" s="1"/>
  <c r="Q32" i="4" s="1"/>
  <c r="Q34" i="4" s="1"/>
  <c r="Q36" i="4" s="1"/>
  <c r="P12" i="4"/>
  <c r="P21" i="4" s="1"/>
  <c r="P32" i="4" s="1"/>
  <c r="P34" i="4" s="1"/>
  <c r="P36" i="4" s="1"/>
  <c r="O12" i="4"/>
  <c r="O21" i="4" s="1"/>
  <c r="O32" i="4" s="1"/>
  <c r="O34" i="4" s="1"/>
  <c r="O36" i="4" s="1"/>
  <c r="M12" i="4"/>
  <c r="M21" i="4" s="1"/>
  <c r="M32" i="4" s="1"/>
  <c r="M34" i="4" s="1"/>
  <c r="L12" i="4"/>
  <c r="L21" i="4" s="1"/>
  <c r="L32" i="4" s="1"/>
  <c r="L34" i="4" s="1"/>
  <c r="K12" i="4"/>
  <c r="K21" i="4" s="1"/>
  <c r="K32" i="4" s="1"/>
  <c r="K34" i="4" s="1"/>
  <c r="I12" i="4"/>
  <c r="I21" i="4" s="1"/>
  <c r="I32" i="4" s="1"/>
  <c r="I34" i="4" s="1"/>
  <c r="I36" i="4" s="1"/>
  <c r="H12" i="4"/>
  <c r="H21" i="4" s="1"/>
  <c r="H32" i="4" s="1"/>
  <c r="H34" i="4" s="1"/>
  <c r="H36" i="4" s="1"/>
  <c r="G12" i="4"/>
  <c r="G21" i="4" s="1"/>
  <c r="G32" i="4" s="1"/>
  <c r="G34" i="4" s="1"/>
  <c r="G36" i="4" s="1"/>
  <c r="E12" i="4"/>
  <c r="E21" i="4" s="1"/>
  <c r="E32" i="4" s="1"/>
  <c r="E34" i="4" s="1"/>
  <c r="E36" i="4" s="1"/>
  <c r="D12" i="4"/>
  <c r="D21" i="4" s="1"/>
  <c r="D32" i="4" s="1"/>
  <c r="D34" i="4" s="1"/>
  <c r="C12" i="4"/>
  <c r="C21" i="4" s="1"/>
  <c r="C32" i="4" s="1"/>
  <c r="C34" i="4" s="1"/>
  <c r="C36" i="4" s="1"/>
  <c r="T11" i="4"/>
  <c r="S11" i="4"/>
  <c r="T10" i="4"/>
  <c r="S10" i="4"/>
  <c r="T8" i="4"/>
  <c r="S8" i="4"/>
  <c r="T7" i="4"/>
  <c r="S7" i="4"/>
  <c r="S15" i="6" l="1"/>
  <c r="T17" i="6"/>
  <c r="Q11" i="6"/>
  <c r="Q18" i="6" s="1"/>
  <c r="I11" i="6"/>
  <c r="I18" i="6" s="1"/>
  <c r="T15" i="6"/>
  <c r="S16" i="6"/>
  <c r="T16" i="6"/>
  <c r="S17" i="6"/>
  <c r="S9" i="6"/>
  <c r="D11" i="6"/>
  <c r="D18" i="6" s="1"/>
  <c r="D26" i="6" s="1"/>
  <c r="D30" i="6" s="1"/>
  <c r="D35" i="6" s="1"/>
  <c r="L11" i="6"/>
  <c r="L18" i="6" s="1"/>
  <c r="L26" i="6" s="1"/>
  <c r="L30" i="6" s="1"/>
  <c r="L35" i="6" s="1"/>
  <c r="E11" i="6"/>
  <c r="E18" i="6" s="1"/>
  <c r="E26" i="6" s="1"/>
  <c r="E30" i="6" s="1"/>
  <c r="E35" i="6" s="1"/>
  <c r="E36" i="6" s="1"/>
  <c r="M11" i="6"/>
  <c r="M18" i="6" s="1"/>
  <c r="M26" i="6" s="1"/>
  <c r="M30" i="6" s="1"/>
  <c r="M31" i="6" s="1"/>
  <c r="N11" i="6"/>
  <c r="N18" i="6" s="1"/>
  <c r="N26" i="6" s="1"/>
  <c r="N30" i="6" s="1"/>
  <c r="C11" i="6"/>
  <c r="C18" i="6" s="1"/>
  <c r="C26" i="6" s="1"/>
  <c r="K11" i="6"/>
  <c r="K18" i="6" s="1"/>
  <c r="H11" i="6"/>
  <c r="H18" i="6" s="1"/>
  <c r="H26" i="6" s="1"/>
  <c r="H30" i="6" s="1"/>
  <c r="H35" i="6" s="1"/>
  <c r="P11" i="6"/>
  <c r="P18" i="6" s="1"/>
  <c r="P26" i="6" s="1"/>
  <c r="P30" i="6" s="1"/>
  <c r="P35" i="6" s="1"/>
  <c r="G11" i="6"/>
  <c r="G18" i="6" s="1"/>
  <c r="G26" i="6" s="1"/>
  <c r="O11" i="6"/>
  <c r="O18" i="6" s="1"/>
  <c r="J11" i="6"/>
  <c r="J18" i="6" s="1"/>
  <c r="J26" i="6" s="1"/>
  <c r="J30" i="6" s="1"/>
  <c r="J35" i="6" s="1"/>
  <c r="T10" i="6"/>
  <c r="T9" i="6"/>
  <c r="S10" i="6"/>
  <c r="T25" i="6"/>
  <c r="T34" i="6"/>
  <c r="T14" i="6"/>
  <c r="S34" i="6"/>
  <c r="S25" i="6"/>
  <c r="V107" i="4"/>
  <c r="V111" i="4"/>
  <c r="V106" i="4"/>
  <c r="V134" i="4"/>
  <c r="V130" i="4"/>
  <c r="V105" i="4"/>
  <c r="V137" i="4"/>
  <c r="S110" i="4"/>
  <c r="V131" i="4"/>
  <c r="J129" i="4"/>
  <c r="S129" i="4" s="1"/>
  <c r="V129" i="4" s="1"/>
  <c r="H90" i="4"/>
  <c r="D90" i="4"/>
  <c r="P126" i="4"/>
  <c r="P90" i="4"/>
  <c r="J118" i="4"/>
  <c r="S118" i="4" s="1"/>
  <c r="V118" i="4" s="1"/>
  <c r="G91" i="4"/>
  <c r="I108" i="4"/>
  <c r="O91" i="4"/>
  <c r="L92" i="4"/>
  <c r="L126" i="4"/>
  <c r="Q92" i="4"/>
  <c r="T92" i="4" s="1"/>
  <c r="J149" i="4"/>
  <c r="T123" i="4"/>
  <c r="V123" i="4" s="1"/>
  <c r="J126" i="4"/>
  <c r="S123" i="4"/>
  <c r="M90" i="4"/>
  <c r="S90" i="4" s="1"/>
  <c r="I92" i="4"/>
  <c r="E90" i="4"/>
  <c r="H91" i="4"/>
  <c r="P91" i="4"/>
  <c r="G90" i="4"/>
  <c r="O90" i="4"/>
  <c r="I91" i="4"/>
  <c r="Q91" i="4"/>
  <c r="T91" i="4" s="1"/>
  <c r="K92" i="4"/>
  <c r="I90" i="4"/>
  <c r="Q90" i="4"/>
  <c r="T90" i="4" s="1"/>
  <c r="K91" i="4"/>
  <c r="D92" i="4"/>
  <c r="M92" i="4"/>
  <c r="S92" i="4" s="1"/>
  <c r="C91" i="4"/>
  <c r="L91" i="4"/>
  <c r="E92" i="4"/>
  <c r="C92" i="4"/>
  <c r="K90" i="4"/>
  <c r="D91" i="4"/>
  <c r="M91" i="4"/>
  <c r="S91" i="4" s="1"/>
  <c r="G92" i="4"/>
  <c r="O92" i="4"/>
  <c r="C90" i="4"/>
  <c r="L90" i="4"/>
  <c r="E91" i="4"/>
  <c r="H92" i="4"/>
  <c r="P92" i="4"/>
  <c r="S14" i="6"/>
  <c r="V46" i="4"/>
  <c r="V48" i="4"/>
  <c r="D35" i="4"/>
  <c r="V50" i="4"/>
  <c r="I35" i="4"/>
  <c r="L35" i="4"/>
  <c r="P35" i="4"/>
  <c r="M35" i="4"/>
  <c r="V49" i="4"/>
  <c r="D36" i="4"/>
  <c r="H35" i="4"/>
  <c r="V47" i="4"/>
  <c r="E35" i="4"/>
  <c r="Q35" i="4"/>
  <c r="K36" i="4"/>
  <c r="L36" i="4"/>
  <c r="M36" i="4"/>
  <c r="D23" i="4"/>
  <c r="M23" i="4"/>
  <c r="E14" i="4"/>
  <c r="E23" i="4"/>
  <c r="G14" i="4"/>
  <c r="O14" i="4"/>
  <c r="G23" i="4"/>
  <c r="O23" i="4"/>
  <c r="H14" i="4"/>
  <c r="P14" i="4"/>
  <c r="H23" i="4"/>
  <c r="P23" i="4"/>
  <c r="I14" i="4"/>
  <c r="Q14" i="4"/>
  <c r="I23" i="4"/>
  <c r="Q23" i="4"/>
  <c r="K14" i="4"/>
  <c r="K23" i="4"/>
  <c r="L14" i="4"/>
  <c r="C23" i="4"/>
  <c r="L23" i="4"/>
  <c r="D14" i="4"/>
  <c r="M14" i="4"/>
  <c r="C14" i="4"/>
  <c r="L141" i="4"/>
  <c r="M149" i="4"/>
  <c r="M133" i="4"/>
  <c r="N133" i="4" s="1"/>
  <c r="T133" i="4" s="1"/>
  <c r="M140" i="4"/>
  <c r="N140" i="4" s="1"/>
  <c r="T140" i="4" s="1"/>
  <c r="O86" i="4"/>
  <c r="M125" i="4"/>
  <c r="N125" i="4" s="1"/>
  <c r="T125" i="4" s="1"/>
  <c r="M124" i="4"/>
  <c r="N124" i="4" s="1"/>
  <c r="T124" i="4" s="1"/>
  <c r="G120" i="4"/>
  <c r="J115" i="4"/>
  <c r="S115" i="4" s="1"/>
  <c r="V115" i="4" s="1"/>
  <c r="M116" i="4"/>
  <c r="N116" i="4" s="1"/>
  <c r="T116" i="4" s="1"/>
  <c r="M117" i="4"/>
  <c r="S117" i="4" s="1"/>
  <c r="M114" i="4"/>
  <c r="N114" i="4" s="1"/>
  <c r="T114" i="4" s="1"/>
  <c r="K120" i="4"/>
  <c r="M102" i="4"/>
  <c r="N102" i="4" s="1"/>
  <c r="T102" i="4" s="1"/>
  <c r="M104" i="4"/>
  <c r="N104" i="4" s="1"/>
  <c r="T104" i="4" s="1"/>
  <c r="J108" i="4"/>
  <c r="M110" i="4"/>
  <c r="N110" i="4" s="1"/>
  <c r="T110" i="4" s="1"/>
  <c r="M108" i="4"/>
  <c r="N108" i="4" s="1"/>
  <c r="T108" i="4" s="1"/>
  <c r="P86" i="4"/>
  <c r="G86" i="4"/>
  <c r="V73" i="4"/>
  <c r="V74" i="4"/>
  <c r="D86" i="4"/>
  <c r="H86" i="4"/>
  <c r="V81" i="4"/>
  <c r="K86" i="4"/>
  <c r="L86" i="4"/>
  <c r="M86" i="4"/>
  <c r="T85" i="4"/>
  <c r="E86" i="4"/>
  <c r="C86" i="4"/>
  <c r="I86" i="4"/>
  <c r="Q86" i="4"/>
  <c r="V29" i="4"/>
  <c r="V56" i="4"/>
  <c r="S51" i="4"/>
  <c r="S59" i="4" s="1"/>
  <c r="T68" i="4"/>
  <c r="T76" i="4" s="1"/>
  <c r="V58" i="4"/>
  <c r="V63" i="4"/>
  <c r="V57" i="4"/>
  <c r="V64" i="4"/>
  <c r="V72" i="4"/>
  <c r="V55" i="4"/>
  <c r="T51" i="4"/>
  <c r="T59" i="4" s="1"/>
  <c r="V71" i="4"/>
  <c r="V31" i="4"/>
  <c r="V28" i="4"/>
  <c r="V27" i="4"/>
  <c r="V30" i="4"/>
  <c r="V33" i="4"/>
  <c r="V26" i="4"/>
  <c r="V17" i="4"/>
  <c r="V67" i="4"/>
  <c r="V82" i="4"/>
  <c r="E13" i="4"/>
  <c r="Q13" i="4"/>
  <c r="V11" i="4"/>
  <c r="L13" i="4"/>
  <c r="I13" i="4"/>
  <c r="V75" i="4"/>
  <c r="V65" i="4"/>
  <c r="P22" i="4"/>
  <c r="P141" i="4"/>
  <c r="T12" i="4"/>
  <c r="V20" i="4"/>
  <c r="T119" i="4"/>
  <c r="V18" i="4"/>
  <c r="T103" i="4"/>
  <c r="M13" i="4"/>
  <c r="S12" i="4"/>
  <c r="D22" i="4"/>
  <c r="E22" i="4"/>
  <c r="S83" i="4"/>
  <c r="S85" i="4" s="1"/>
  <c r="S103" i="4"/>
  <c r="Q141" i="4"/>
  <c r="N51" i="4"/>
  <c r="L120" i="4"/>
  <c r="H22" i="4"/>
  <c r="J68" i="4"/>
  <c r="N68" i="4"/>
  <c r="P120" i="4"/>
  <c r="V19" i="4"/>
  <c r="N12" i="4"/>
  <c r="L22" i="4"/>
  <c r="S62" i="4"/>
  <c r="S68" i="4" s="1"/>
  <c r="S76" i="4" s="1"/>
  <c r="S119" i="4"/>
  <c r="H141" i="4"/>
  <c r="V79" i="4"/>
  <c r="V54" i="4"/>
  <c r="V66" i="4"/>
  <c r="V84" i="4"/>
  <c r="Q120" i="4"/>
  <c r="H120" i="4"/>
  <c r="D13" i="4"/>
  <c r="V10" i="4"/>
  <c r="V45" i="4"/>
  <c r="T101" i="4"/>
  <c r="H13" i="4"/>
  <c r="P13" i="4"/>
  <c r="T98" i="4"/>
  <c r="J12" i="4"/>
  <c r="J51" i="4"/>
  <c r="N31" i="6" l="1"/>
  <c r="E31" i="6"/>
  <c r="N35" i="6"/>
  <c r="M35" i="6"/>
  <c r="M36" i="6" s="1"/>
  <c r="G30" i="6"/>
  <c r="C30" i="6"/>
  <c r="S11" i="6"/>
  <c r="S18" i="6" s="1"/>
  <c r="S30" i="6" s="1"/>
  <c r="K19" i="6"/>
  <c r="T11" i="6"/>
  <c r="T18" i="6" s="1"/>
  <c r="Q19" i="6"/>
  <c r="O19" i="6"/>
  <c r="K26" i="6"/>
  <c r="E19" i="6"/>
  <c r="I19" i="6"/>
  <c r="D19" i="6"/>
  <c r="N19" i="6"/>
  <c r="Q26" i="6"/>
  <c r="M19" i="6"/>
  <c r="L19" i="6"/>
  <c r="J19" i="6"/>
  <c r="I26" i="6"/>
  <c r="H19" i="6"/>
  <c r="P19" i="6"/>
  <c r="O26" i="6"/>
  <c r="S108" i="4"/>
  <c r="S140" i="4"/>
  <c r="S114" i="4"/>
  <c r="V114" i="4" s="1"/>
  <c r="S125" i="4"/>
  <c r="V125" i="4" s="1"/>
  <c r="V140" i="4"/>
  <c r="V108" i="4"/>
  <c r="V116" i="4"/>
  <c r="S124" i="4"/>
  <c r="V124" i="4" s="1"/>
  <c r="S133" i="4"/>
  <c r="V133" i="4" s="1"/>
  <c r="V110" i="4"/>
  <c r="M126" i="4"/>
  <c r="S116" i="4"/>
  <c r="T141" i="4"/>
  <c r="T126" i="4"/>
  <c r="N126" i="4"/>
  <c r="N59" i="4"/>
  <c r="N89" i="4" s="1"/>
  <c r="N91" i="4"/>
  <c r="J59" i="4"/>
  <c r="J89" i="4" s="1"/>
  <c r="J91" i="4"/>
  <c r="J76" i="4"/>
  <c r="J86" i="4" s="1"/>
  <c r="J90" i="4"/>
  <c r="J92" i="4"/>
  <c r="N76" i="4"/>
  <c r="N86" i="4" s="1"/>
  <c r="N92" i="4"/>
  <c r="N90" i="4"/>
  <c r="D27" i="6"/>
  <c r="M27" i="6"/>
  <c r="N27" i="6"/>
  <c r="H27" i="6"/>
  <c r="E27" i="6"/>
  <c r="J21" i="4"/>
  <c r="J14" i="4"/>
  <c r="S21" i="4"/>
  <c r="S14" i="4"/>
  <c r="T21" i="4"/>
  <c r="T14" i="4"/>
  <c r="N21" i="4"/>
  <c r="O22" i="4" s="1"/>
  <c r="N14" i="4"/>
  <c r="N149" i="4"/>
  <c r="V149" i="4" s="1"/>
  <c r="M141" i="4"/>
  <c r="S102" i="4"/>
  <c r="V102" i="4" s="1"/>
  <c r="N117" i="4"/>
  <c r="S104" i="4"/>
  <c r="V104" i="4" s="1"/>
  <c r="N141" i="4"/>
  <c r="I22" i="4"/>
  <c r="O13" i="4"/>
  <c r="V12" i="4"/>
  <c r="Q22" i="4"/>
  <c r="T13" i="4"/>
  <c r="V62" i="4"/>
  <c r="N13" i="4"/>
  <c r="V103" i="4"/>
  <c r="M22" i="4"/>
  <c r="I120" i="4"/>
  <c r="V119" i="4"/>
  <c r="V83" i="4"/>
  <c r="V51" i="4"/>
  <c r="S101" i="4"/>
  <c r="V101" i="4" s="1"/>
  <c r="K13" i="4"/>
  <c r="J13" i="4"/>
  <c r="M120" i="4"/>
  <c r="I141" i="4"/>
  <c r="S86" i="4"/>
  <c r="V59" i="4"/>
  <c r="J120" i="4"/>
  <c r="S98" i="4"/>
  <c r="V85" i="4"/>
  <c r="V76" i="4"/>
  <c r="V68" i="4"/>
  <c r="N36" i="6" l="1"/>
  <c r="D31" i="6"/>
  <c r="C35" i="6"/>
  <c r="H31" i="6"/>
  <c r="G35" i="6"/>
  <c r="J27" i="6"/>
  <c r="I30" i="6"/>
  <c r="I35" i="6" s="1"/>
  <c r="K30" i="6"/>
  <c r="K35" i="6" s="1"/>
  <c r="Q30" i="6"/>
  <c r="P27" i="6"/>
  <c r="O30" i="6"/>
  <c r="O35" i="6" s="1"/>
  <c r="L27" i="6"/>
  <c r="K27" i="6"/>
  <c r="Q27" i="6"/>
  <c r="T19" i="6"/>
  <c r="T30" i="6" s="1"/>
  <c r="T31" i="6" s="1"/>
  <c r="S26" i="6"/>
  <c r="I27" i="6"/>
  <c r="S35" i="6"/>
  <c r="T35" i="6"/>
  <c r="T26" i="6"/>
  <c r="O27" i="6"/>
  <c r="T117" i="4"/>
  <c r="V117" i="4" s="1"/>
  <c r="S126" i="4"/>
  <c r="V126" i="4" s="1"/>
  <c r="S141" i="4"/>
  <c r="T22" i="4"/>
  <c r="V14" i="4"/>
  <c r="N120" i="4"/>
  <c r="N22" i="4"/>
  <c r="T32" i="4"/>
  <c r="T23" i="4"/>
  <c r="S32" i="4"/>
  <c r="S34" i="4" s="1"/>
  <c r="S36" i="4" s="1"/>
  <c r="S23" i="4"/>
  <c r="N32" i="4"/>
  <c r="N34" i="4" s="1"/>
  <c r="N23" i="4"/>
  <c r="J32" i="4"/>
  <c r="J34" i="4" s="1"/>
  <c r="J23" i="4"/>
  <c r="V21" i="4"/>
  <c r="T86" i="4"/>
  <c r="V86" i="4" s="1"/>
  <c r="S120" i="4"/>
  <c r="V98" i="4"/>
  <c r="J141" i="4"/>
  <c r="J22" i="4"/>
  <c r="K22" i="4"/>
  <c r="T36" i="6" l="1"/>
  <c r="I36" i="6"/>
  <c r="J36" i="6"/>
  <c r="H36" i="6"/>
  <c r="D36" i="6"/>
  <c r="O36" i="6"/>
  <c r="P36" i="6"/>
  <c r="K36" i="6"/>
  <c r="L36" i="6"/>
  <c r="Q31" i="6"/>
  <c r="Q35" i="6"/>
  <c r="I31" i="6"/>
  <c r="J31" i="6"/>
  <c r="O31" i="6"/>
  <c r="P31" i="6"/>
  <c r="K31" i="6"/>
  <c r="L31" i="6"/>
  <c r="T27" i="6"/>
  <c r="T120" i="4"/>
  <c r="V120" i="4" s="1"/>
  <c r="O35" i="4"/>
  <c r="N35" i="4"/>
  <c r="N36" i="4"/>
  <c r="J36" i="4"/>
  <c r="J35" i="4"/>
  <c r="K35" i="4"/>
  <c r="V23" i="4"/>
  <c r="V32" i="4"/>
  <c r="T34" i="4"/>
  <c r="V141" i="4"/>
  <c r="Q36" i="6" l="1"/>
  <c r="V34" i="4"/>
  <c r="T36" i="4"/>
  <c r="V36" i="4" s="1"/>
  <c r="T35" i="4"/>
</calcChain>
</file>

<file path=xl/sharedStrings.xml><?xml version="1.0" encoding="utf-8"?>
<sst xmlns="http://schemas.openxmlformats.org/spreadsheetml/2006/main" count="217" uniqueCount="160">
  <si>
    <t>FYE</t>
  </si>
  <si>
    <t>Quarterly</t>
  </si>
  <si>
    <t>LTM</t>
  </si>
  <si>
    <t>Revenue</t>
  </si>
  <si>
    <t>Cost of revenue</t>
  </si>
  <si>
    <t>Operating expenses:</t>
  </si>
  <si>
    <t>Research and development</t>
  </si>
  <si>
    <t>Selling, general and administrative</t>
  </si>
  <si>
    <t>Goodwill impairment</t>
  </si>
  <si>
    <t>Restructuring</t>
  </si>
  <si>
    <t>Other income (expense), net</t>
  </si>
  <si>
    <t>Interest expense</t>
  </si>
  <si>
    <t>Interest income</t>
  </si>
  <si>
    <t>Change in fair value of derivative warrant liabilities</t>
  </si>
  <si>
    <t>Change in fair value of earn-out liabilities</t>
  </si>
  <si>
    <t>Transaction costs</t>
  </si>
  <si>
    <t>Net loss before provision for income taxes</t>
  </si>
  <si>
    <t>Provision for income taxes</t>
  </si>
  <si>
    <t>Net loss</t>
  </si>
  <si>
    <t>Cash and cash equivalents</t>
  </si>
  <si>
    <t>Available-for-sale investments</t>
  </si>
  <si>
    <t>Accounts receivable</t>
  </si>
  <si>
    <t>Prepaid expenses and other current assets</t>
  </si>
  <si>
    <t>Forward contract—assets</t>
  </si>
  <si>
    <t>Deferred offering costs</t>
  </si>
  <si>
    <t>Total current assets</t>
  </si>
  <si>
    <t>Property and equipment, net</t>
  </si>
  <si>
    <t>Operating lease right-of-use assets</t>
  </si>
  <si>
    <t>Other assets</t>
  </si>
  <si>
    <t>Total assets</t>
  </si>
  <si>
    <t>Accounts payable</t>
  </si>
  <si>
    <t>Accrued expenses and other current liabilities</t>
  </si>
  <si>
    <t>Deferred revenue</t>
  </si>
  <si>
    <t>Current portion of debt</t>
  </si>
  <si>
    <t>Current portion of operating lease liabilities</t>
  </si>
  <si>
    <t>Total current liabilities</t>
  </si>
  <si>
    <t>Debt, less current portion</t>
  </si>
  <si>
    <t>Operating lease liabilities, less current portion</t>
  </si>
  <si>
    <t>Derivative warrant liabilities</t>
  </si>
  <si>
    <t>Earn-out liabilities</t>
  </si>
  <si>
    <t>Additional paid-in capital</t>
  </si>
  <si>
    <t>Accumulated other comprehensive income (loss)</t>
  </si>
  <si>
    <t>Accumulated deficit</t>
  </si>
  <si>
    <t>Adjustments to reconcile net loss to net cash used in operating activities:</t>
  </si>
  <si>
    <t>Depreciation and amortization</t>
  </si>
  <si>
    <t>Stock-based compensation</t>
  </si>
  <si>
    <t>Change in fair value of forward contract</t>
  </si>
  <si>
    <t>Impairment of deferred offering costs</t>
  </si>
  <si>
    <t>Accretion of available-for-sale securities</t>
  </si>
  <si>
    <t>Amortization of debt issuance costs, commitment fees and accretion of debt end-of-term liabilities</t>
  </si>
  <si>
    <t>Non-cash lease expense</t>
  </si>
  <si>
    <t>Changes in operating assets and liabilities:</t>
  </si>
  <si>
    <t>Prepaid expenses, other current assets and other assets</t>
  </si>
  <si>
    <t>Accrued expenses and operating lease liabilities</t>
  </si>
  <si>
    <t>Other liabilities</t>
  </si>
  <si>
    <t>Net cash used in operating activities</t>
  </si>
  <si>
    <t>Cash flows from investing activities:</t>
  </si>
  <si>
    <t>Purchases of property and equipment</t>
  </si>
  <si>
    <t>Purchases of available-for-sale securities</t>
  </si>
  <si>
    <t>Maturities of available-for-sale securities</t>
  </si>
  <si>
    <t>Cash flows from financing activities:</t>
  </si>
  <si>
    <t>Proceeds from Business Combination, net of transaction costs paid</t>
  </si>
  <si>
    <t>Transaction costs paid directly by Rigetti</t>
  </si>
  <si>
    <t>Proceeds from issuance of notes payable</t>
  </si>
  <si>
    <t>Payments of principal of notes payable</t>
  </si>
  <si>
    <t>Payments of debt issuance costs</t>
  </si>
  <si>
    <t>Payment of loan and security agreement exit fees</t>
  </si>
  <si>
    <t>Payments of offering costs</t>
  </si>
  <si>
    <t>Proceeds from sale of common stock through Common Stock Purchase Agreement</t>
  </si>
  <si>
    <t>Proceeds from issuance of common stock upon exercise of stock options and warrants</t>
  </si>
  <si>
    <t>Net cash provided by financing activities</t>
  </si>
  <si>
    <t>Effects of exchange rate changes on cash and cash equivalents</t>
  </si>
  <si>
    <t>Net (decrease) increase in cash and cash equivalents</t>
  </si>
  <si>
    <t>Cash and cash equivalents – beginning of period</t>
  </si>
  <si>
    <t>Cash and cash equivalents – end of period</t>
  </si>
  <si>
    <t>Supplemental disclosures of other cash flow information:</t>
  </si>
  <si>
    <t>Cash paid for interest</t>
  </si>
  <si>
    <t>Proceeds from sale of common stock from sales through At-The-Market (ATM) Offering</t>
  </si>
  <si>
    <t>Restricted cash</t>
  </si>
  <si>
    <t>Goodwill</t>
  </si>
  <si>
    <t>Forward contract - liabilities</t>
  </si>
  <si>
    <t>Redeemable convertible preferred stock</t>
  </si>
  <si>
    <t>Preferred stock, par value $ 0.0001  per share</t>
  </si>
  <si>
    <t>Common stock, par value $ 0.0001  per share</t>
  </si>
  <si>
    <t>Net loss per share attributable to common stockholders – basic and diluted</t>
  </si>
  <si>
    <t>Weighted average shares used in computing net loss per share attributable to common stockholders – basic and diluted</t>
  </si>
  <si>
    <t>Other income</t>
  </si>
  <si>
    <t>Payments on deferred offering costs</t>
  </si>
  <si>
    <t>Amortization of exit fee asset</t>
  </si>
  <si>
    <t>Proceeds from issuance of debt and warrants</t>
  </si>
  <si>
    <t>V</t>
  </si>
  <si>
    <t>LTM VAR</t>
  </si>
  <si>
    <t>X</t>
  </si>
  <si>
    <t xml:space="preserve">Income Statement </t>
  </si>
  <si>
    <t>FY2021</t>
  </si>
  <si>
    <t>FY2022</t>
  </si>
  <si>
    <t>FY2023</t>
  </si>
  <si>
    <t>1Q22</t>
  </si>
  <si>
    <t>2Q22</t>
  </si>
  <si>
    <t>3Q22</t>
  </si>
  <si>
    <t>4Q22</t>
  </si>
  <si>
    <t>1Q23</t>
  </si>
  <si>
    <t>2Q23</t>
  </si>
  <si>
    <t>3Q23</t>
  </si>
  <si>
    <t>4Q23</t>
  </si>
  <si>
    <t>1Q24</t>
  </si>
  <si>
    <t>2Q24</t>
  </si>
  <si>
    <t>3Q24</t>
  </si>
  <si>
    <t>VAR</t>
  </si>
  <si>
    <t>Consolidated Statements of Income - USD ($) shares in Thousands</t>
  </si>
  <si>
    <t>Y/Y Growth, Q/Q Growth</t>
  </si>
  <si>
    <t xml:space="preserve">Balance Sheet Statement </t>
  </si>
  <si>
    <t>Consolidated Balance Sheets - USD ($) $ in Millions</t>
  </si>
  <si>
    <t>Current Assets</t>
  </si>
  <si>
    <t>Long-Term Assets</t>
  </si>
  <si>
    <t>Current Liabilities</t>
  </si>
  <si>
    <t>Long-Term Liabilities</t>
  </si>
  <si>
    <t>Total Liabilities</t>
  </si>
  <si>
    <t>Stockholders’ equity (deficit):</t>
  </si>
  <si>
    <t>Total stockholders' equity</t>
  </si>
  <si>
    <t>Total liabilities and stockholders' equity</t>
  </si>
  <si>
    <t>Cash-Flows Statement</t>
  </si>
  <si>
    <t>Consolidated Statements of Cash Flows - USD ($) $ in Millions</t>
  </si>
  <si>
    <t>CASH FLOWS FROM OPERATING ACTIVITIES:</t>
  </si>
  <si>
    <t>Net cash used in investing activities</t>
  </si>
  <si>
    <t>Company Name</t>
  </si>
  <si>
    <t xml:space="preserve">Ticker </t>
  </si>
  <si>
    <t xml:space="preserve">Snapshot </t>
  </si>
  <si>
    <t>Equity Value</t>
  </si>
  <si>
    <t>Cash Position</t>
  </si>
  <si>
    <t>Total Debt</t>
  </si>
  <si>
    <t xml:space="preserve">Enterprise Value </t>
  </si>
  <si>
    <t>LTM Revenue</t>
  </si>
  <si>
    <t>LTM Adjusted EBITDA</t>
  </si>
  <si>
    <t xml:space="preserve">Background </t>
  </si>
  <si>
    <t>Gross Margin</t>
  </si>
  <si>
    <t>Gross Profit</t>
  </si>
  <si>
    <t>Profit From Operations</t>
  </si>
  <si>
    <t>Operating Margin</t>
  </si>
  <si>
    <t>Net Margin</t>
  </si>
  <si>
    <t>Rigetti Computing, Inc. and its subsidiaries (collectively, the “Company” or “Rigetti”), builds quantum computers and the superconducting quantum processors that power them. The Company markets a 9-qubit quantum processing unit (QPU) under the Novera™ QPU trade name. Through the Company’s Quantum Computing as a Service (“QCaaS”) platform, the Company’s machines can be integrated into any public, private or hybrid cloud.
The Company is located and headquartered in Berkeley, California. The Company also operates in Fremont, California; London, United Kingdom; Adelaide, Australia and British Columbia, Canada. The Company’s revenue is derived primarily from operations in the United States and the United Kingdom.</t>
  </si>
  <si>
    <t>(In Thousands)</t>
  </si>
  <si>
    <t>Ratio Analysis</t>
  </si>
  <si>
    <t>Debt-to Asset</t>
  </si>
  <si>
    <t>Quick Ratio</t>
  </si>
  <si>
    <t>Current Ratio</t>
  </si>
  <si>
    <t>Cash Ratio</t>
  </si>
  <si>
    <t>Earnings Before Interest &amp; Taxes (EBIT)</t>
  </si>
  <si>
    <t>Adjusted EBITDA</t>
  </si>
  <si>
    <t>Cash-Flows Analysis</t>
  </si>
  <si>
    <t>Free-Cash Flow</t>
  </si>
  <si>
    <t>EBITDA</t>
  </si>
  <si>
    <t>EBITDA Add-Backs:</t>
  </si>
  <si>
    <t>Adjusted EBITDA Add-Backs:</t>
  </si>
  <si>
    <t>EBITDA Margin</t>
  </si>
  <si>
    <t>Adjusted EBITDA Margin</t>
  </si>
  <si>
    <t>EBITDA Analysis</t>
  </si>
  <si>
    <t>RGTI</t>
  </si>
  <si>
    <t>Rigetti Computing Inc</t>
  </si>
  <si>
    <t>Rigetti Computing Inc. (NASDAQ: RGTI)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</si>
</sst>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_);_(@_)"/>
    <numFmt numFmtId="165" formatCode="_(&quot;$ &quot;#,##0_);_(&quot;$ &quot;\(#,##0\)"/>
    <numFmt numFmtId="166" formatCode="&quot;$&quot;#,##0"/>
    <numFmt numFmtId="167" formatCode="_(* #,##0_);_(* \(#,##0\);_(* &quot;-&quot;??_);_(@_)"/>
    <numFmt numFmtId="168" formatCode="0.00&quot;x&quot;"/>
  </numFmts>
  <fonts count="32"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b/>
      <sz val="11"/>
      <name val="Calibri"/>
      <family val="2"/>
    </font>
    <font>
      <b/>
      <sz val="11"/>
      <color indexed="8"/>
      <name val="Calibri"/>
      <family val="2"/>
      <charset val="1"/>
    </font>
    <font>
      <i/>
      <sz val="11"/>
      <color theme="0"/>
      <name val="Aptos Narrow"/>
      <family val="2"/>
      <scheme val="minor"/>
    </font>
    <font>
      <b/>
      <sz val="12"/>
      <color theme="0"/>
      <name val="Aptos Narrow"/>
      <family val="2"/>
      <scheme val="minor"/>
    </font>
    <font>
      <i/>
      <sz val="11"/>
      <color theme="0"/>
      <name val="Calibri"/>
      <family val="2"/>
    </font>
    <font>
      <b/>
      <sz val="11"/>
      <name val="Aptos Narrow"/>
      <family val="2"/>
      <scheme val="minor"/>
    </font>
    <font>
      <sz val="10"/>
      <name val="Calibri"/>
      <family val="2"/>
    </font>
    <font>
      <sz val="11"/>
      <name val="Calibri"/>
      <family val="2"/>
    </font>
    <font>
      <sz val="11"/>
      <color rgb="FF0000CC"/>
      <name val="Calibri"/>
      <family val="2"/>
    </font>
    <font>
      <sz val="11"/>
      <color theme="1"/>
      <name val="Calibri"/>
      <family val="2"/>
    </font>
    <font>
      <i/>
      <sz val="9"/>
      <color theme="1"/>
      <name val="Aptos Narrow"/>
      <family val="2"/>
      <scheme val="minor"/>
    </font>
    <font>
      <b/>
      <sz val="11"/>
      <color theme="1"/>
      <name val="Calibri"/>
      <family val="2"/>
    </font>
    <font>
      <b/>
      <i/>
      <sz val="9"/>
      <color theme="1"/>
      <name val="Aptos Narrow"/>
      <family val="2"/>
      <scheme val="minor"/>
    </font>
    <font>
      <i/>
      <sz val="10"/>
      <name val="Calibri"/>
      <family val="2"/>
    </font>
    <font>
      <sz val="11"/>
      <color rgb="FF0000E1"/>
      <name val="Calibri"/>
      <family val="2"/>
    </font>
    <font>
      <sz val="11"/>
      <color rgb="FF0000E1"/>
      <name val="Aptos Narrow"/>
      <family val="2"/>
      <scheme val="minor"/>
    </font>
    <font>
      <sz val="11"/>
      <color theme="9" tint="-0.249977111117893"/>
      <name val="Calibri"/>
      <family val="2"/>
    </font>
    <font>
      <b/>
      <sz val="11"/>
      <color theme="0"/>
      <name val="Calibri"/>
      <family val="2"/>
    </font>
    <font>
      <sz val="12"/>
      <color rgb="FF0000E1"/>
      <name val="Aptos Narrow"/>
      <family val="2"/>
      <scheme val="minor"/>
    </font>
    <font>
      <b/>
      <sz val="12"/>
      <color theme="1"/>
      <name val="Aptos Narrow"/>
      <family val="2"/>
      <scheme val="minor"/>
    </font>
    <font>
      <b/>
      <sz val="12"/>
      <name val="Aptos Narrow"/>
      <family val="2"/>
      <scheme val="minor"/>
    </font>
    <font>
      <b/>
      <sz val="11"/>
      <color rgb="FF0000CC"/>
      <name val="Calibri"/>
      <family val="2"/>
    </font>
    <font>
      <sz val="11"/>
      <color rgb="FF0000CC"/>
      <name val="Aptos Narrow"/>
      <family val="2"/>
      <scheme val="minor"/>
    </font>
    <font>
      <b/>
      <sz val="12"/>
      <color indexed="8"/>
      <name val="Calibri"/>
      <family val="2"/>
      <charset val="1"/>
    </font>
    <font>
      <sz val="11"/>
      <color rgb="FF0000FF"/>
      <name val="Calibri"/>
      <family val="2"/>
    </font>
    <font>
      <i/>
      <sz val="11"/>
      <color theme="1"/>
      <name val="Aptos Narrow"/>
      <family val="2"/>
      <scheme val="minor"/>
    </font>
    <font>
      <b/>
      <sz val="11"/>
      <color rgb="FF0000FF"/>
      <name val="Calibri"/>
      <family val="2"/>
    </font>
  </fonts>
  <fills count="6">
    <fill>
      <patternFill patternType="none"/>
    </fill>
    <fill>
      <patternFill patternType="gray125"/>
    </fill>
    <fill>
      <patternFill patternType="solid">
        <fgColor rgb="FFFFFF00"/>
        <bgColor indexed="64"/>
      </patternFill>
    </fill>
    <fill>
      <patternFill patternType="solid">
        <fgColor rgb="FF002060"/>
        <bgColor indexed="64"/>
      </patternFill>
    </fill>
    <fill>
      <patternFill patternType="solid">
        <fgColor theme="0" tint="-0.14999847407452621"/>
        <bgColor indexed="64"/>
      </patternFill>
    </fill>
    <fill>
      <patternFill patternType="solid">
        <fgColor theme="3" tint="0.89999084444715716"/>
        <bgColor indexed="64"/>
      </patternFill>
    </fill>
  </fills>
  <borders count="13">
    <border>
      <left/>
      <right/>
      <top/>
      <bottom/>
      <diagonal/>
    </border>
    <border>
      <left/>
      <right/>
      <top/>
      <bottom style="medium">
        <color indexed="64"/>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87">
    <xf numFmtId="0" fontId="0" fillId="0" borderId="0" xfId="0"/>
    <xf numFmtId="0" fontId="3" fillId="0" borderId="2" xfId="0" applyFont="1" applyBorder="1"/>
    <xf numFmtId="0" fontId="3" fillId="0" borderId="0" xfId="0" applyFont="1"/>
    <xf numFmtId="0" fontId="6" fillId="0" borderId="0" xfId="0" applyFont="1"/>
    <xf numFmtId="3" fontId="3" fillId="0" borderId="2" xfId="0" applyNumberFormat="1" applyFont="1" applyBorder="1"/>
    <xf numFmtId="0" fontId="0" fillId="0" borderId="0" xfId="0" applyAlignment="1">
      <alignment wrapText="1"/>
    </xf>
    <xf numFmtId="0" fontId="2" fillId="3" borderId="0" xfId="0" applyFont="1" applyFill="1" applyAlignment="1">
      <alignment wrapText="1"/>
    </xf>
    <xf numFmtId="0" fontId="0" fillId="3" borderId="0" xfId="0" applyFill="1" applyAlignment="1">
      <alignment wrapText="1"/>
    </xf>
    <xf numFmtId="0" fontId="7" fillId="3" borderId="0" xfId="0" applyFont="1" applyFill="1" applyAlignment="1">
      <alignment wrapText="1"/>
    </xf>
    <xf numFmtId="0" fontId="7" fillId="0" borderId="0" xfId="0" applyFont="1" applyAlignment="1">
      <alignment wrapText="1"/>
    </xf>
    <xf numFmtId="0" fontId="3" fillId="0" borderId="1" xfId="0" applyFont="1" applyBorder="1" applyAlignment="1">
      <alignment horizontal="centerContinuous" wrapText="1"/>
    </xf>
    <xf numFmtId="0" fontId="3" fillId="0" borderId="0" xfId="0" applyFont="1" applyAlignment="1">
      <alignment horizontal="centerContinuous" wrapText="1"/>
    </xf>
    <xf numFmtId="0" fontId="2" fillId="3" borderId="0" xfId="0" applyFont="1" applyFill="1" applyAlignment="1">
      <alignment horizontal="center" wrapText="1"/>
    </xf>
    <xf numFmtId="0" fontId="2" fillId="0" borderId="0" xfId="0" applyFont="1" applyAlignment="1">
      <alignment horizontal="center" wrapText="1"/>
    </xf>
    <xf numFmtId="0" fontId="9" fillId="3" borderId="0" xfId="0" applyFont="1" applyFill="1" applyAlignment="1">
      <alignment vertical="center"/>
    </xf>
    <xf numFmtId="14" fontId="7" fillId="3" borderId="0" xfId="0" applyNumberFormat="1" applyFont="1" applyFill="1" applyAlignment="1">
      <alignment horizontal="center" wrapText="1"/>
    </xf>
    <xf numFmtId="14" fontId="4" fillId="3" borderId="0" xfId="0" applyNumberFormat="1" applyFont="1" applyFill="1" applyAlignment="1">
      <alignment horizontal="center" wrapText="1"/>
    </xf>
    <xf numFmtId="14" fontId="7" fillId="0" borderId="0" xfId="0" applyNumberFormat="1" applyFont="1" applyAlignment="1">
      <alignment horizontal="center" wrapText="1"/>
    </xf>
    <xf numFmtId="0" fontId="9" fillId="0" borderId="0" xfId="0" applyFont="1" applyAlignment="1">
      <alignment vertical="center" wrapText="1"/>
    </xf>
    <xf numFmtId="14" fontId="2" fillId="0" borderId="0" xfId="0" applyNumberFormat="1" applyFont="1" applyAlignment="1">
      <alignment horizontal="center" wrapText="1"/>
    </xf>
    <xf numFmtId="10" fontId="10" fillId="0" borderId="0" xfId="0" applyNumberFormat="1" applyFont="1" applyAlignment="1">
      <alignment horizontal="center" wrapText="1"/>
    </xf>
    <xf numFmtId="9" fontId="11" fillId="0" borderId="0" xfId="2" applyFont="1" applyBorder="1" applyAlignment="1">
      <alignment horizontal="right" vertical="center" wrapText="1"/>
    </xf>
    <xf numFmtId="0" fontId="12" fillId="0" borderId="0" xfId="0" applyFont="1" applyAlignment="1">
      <alignment vertical="top" wrapText="1"/>
    </xf>
    <xf numFmtId="37" fontId="13" fillId="0" borderId="0" xfId="0" applyNumberFormat="1" applyFont="1" applyAlignment="1">
      <alignment horizontal="right" vertical="top" wrapText="1"/>
    </xf>
    <xf numFmtId="37" fontId="0" fillId="0" borderId="0" xfId="0" applyNumberFormat="1" applyAlignment="1">
      <alignment wrapText="1"/>
    </xf>
    <xf numFmtId="37" fontId="12" fillId="0" borderId="0" xfId="0" applyNumberFormat="1" applyFont="1" applyAlignment="1">
      <alignment horizontal="right" vertical="top" wrapText="1"/>
    </xf>
    <xf numFmtId="37" fontId="14" fillId="0" borderId="0" xfId="0" applyNumberFormat="1" applyFont="1" applyAlignment="1">
      <alignment wrapText="1"/>
    </xf>
    <xf numFmtId="165" fontId="14" fillId="0" borderId="0" xfId="0" applyNumberFormat="1" applyFont="1" applyAlignment="1">
      <alignment wrapText="1"/>
    </xf>
    <xf numFmtId="10" fontId="15" fillId="4" borderId="0" xfId="2" applyNumberFormat="1" applyFont="1" applyFill="1" applyAlignment="1">
      <alignment horizontal="center" wrapText="1"/>
    </xf>
    <xf numFmtId="166" fontId="5" fillId="0" borderId="2" xfId="0" applyNumberFormat="1" applyFont="1" applyBorder="1" applyAlignment="1">
      <alignment vertical="top" wrapText="1"/>
    </xf>
    <xf numFmtId="37" fontId="5" fillId="0" borderId="2" xfId="0" applyNumberFormat="1" applyFont="1" applyBorder="1" applyAlignment="1">
      <alignment horizontal="right" vertical="top" wrapText="1"/>
    </xf>
    <xf numFmtId="166" fontId="5" fillId="0" borderId="2" xfId="0" applyNumberFormat="1" applyFont="1" applyBorder="1" applyAlignment="1">
      <alignment horizontal="right" vertical="top" wrapText="1"/>
    </xf>
    <xf numFmtId="165" fontId="16" fillId="0" borderId="0" xfId="0" applyNumberFormat="1" applyFont="1" applyAlignment="1">
      <alignment wrapText="1"/>
    </xf>
    <xf numFmtId="10" fontId="17" fillId="4" borderId="0" xfId="2" applyNumberFormat="1" applyFont="1" applyFill="1" applyAlignment="1">
      <alignment horizontal="center" wrapText="1"/>
    </xf>
    <xf numFmtId="0" fontId="18" fillId="0" borderId="0" xfId="0" applyFont="1" applyAlignment="1">
      <alignment horizontal="right" vertical="center" wrapText="1"/>
    </xf>
    <xf numFmtId="166" fontId="5" fillId="0" borderId="0" xfId="0" applyNumberFormat="1" applyFont="1" applyAlignment="1">
      <alignment horizontal="right" vertical="top" wrapText="1"/>
    </xf>
    <xf numFmtId="10" fontId="17" fillId="0" borderId="0" xfId="2" applyNumberFormat="1" applyFont="1" applyFill="1" applyAlignment="1">
      <alignment horizontal="center" wrapText="1"/>
    </xf>
    <xf numFmtId="166" fontId="5" fillId="0" borderId="0" xfId="0" applyNumberFormat="1" applyFont="1" applyAlignment="1">
      <alignment vertical="top" wrapText="1"/>
    </xf>
    <xf numFmtId="0" fontId="14" fillId="0" borderId="0" xfId="0" applyFont="1" applyAlignment="1">
      <alignment wrapText="1"/>
    </xf>
    <xf numFmtId="0" fontId="5" fillId="0" borderId="0" xfId="0" applyFont="1" applyAlignment="1">
      <alignment vertical="top" wrapText="1"/>
    </xf>
    <xf numFmtId="0" fontId="5" fillId="0" borderId="2" xfId="0" applyFont="1" applyBorder="1" applyAlignment="1">
      <alignment vertical="top" wrapText="1"/>
    </xf>
    <xf numFmtId="39" fontId="11" fillId="0" borderId="0" xfId="0" applyNumberFormat="1" applyFont="1" applyAlignment="1">
      <alignment horizontal="right" vertical="center" wrapText="1"/>
    </xf>
    <xf numFmtId="9" fontId="11" fillId="0" borderId="0" xfId="2" applyFont="1" applyFill="1" applyBorder="1" applyAlignment="1">
      <alignment horizontal="right" vertical="center" wrapText="1"/>
    </xf>
    <xf numFmtId="10" fontId="15" fillId="0" borderId="0" xfId="2" applyNumberFormat="1" applyFont="1" applyFill="1" applyAlignment="1">
      <alignment horizontal="center" wrapText="1"/>
    </xf>
    <xf numFmtId="9" fontId="12" fillId="0" borderId="0" xfId="2" applyFont="1" applyBorder="1" applyAlignment="1">
      <alignment horizontal="right" vertical="center"/>
    </xf>
    <xf numFmtId="0" fontId="22" fillId="3" borderId="0" xfId="0" applyFont="1" applyFill="1" applyAlignment="1">
      <alignment horizontal="center" vertical="center" wrapText="1"/>
    </xf>
    <xf numFmtId="0" fontId="9" fillId="3" borderId="0" xfId="0" applyFont="1" applyFill="1" applyAlignment="1">
      <alignment horizontal="left" vertical="center" wrapText="1"/>
    </xf>
    <xf numFmtId="0" fontId="9" fillId="3" borderId="0" xfId="0" applyFont="1" applyFill="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horizontal="center" vertical="center" wrapText="1"/>
    </xf>
    <xf numFmtId="37" fontId="23" fillId="0" borderId="0" xfId="0" applyNumberFormat="1" applyFont="1" applyAlignment="1">
      <alignment wrapText="1"/>
    </xf>
    <xf numFmtId="37" fontId="21" fillId="0" borderId="0" xfId="0" applyNumberFormat="1" applyFont="1" applyAlignment="1">
      <alignment horizontal="right" vertical="top" wrapText="1"/>
    </xf>
    <xf numFmtId="37" fontId="3" fillId="0" borderId="2" xfId="0" applyNumberFormat="1" applyFont="1" applyBorder="1" applyAlignment="1">
      <alignment wrapText="1"/>
    </xf>
    <xf numFmtId="37" fontId="24" fillId="0" borderId="0" xfId="0" applyNumberFormat="1" applyFont="1" applyAlignment="1">
      <alignment wrapText="1"/>
    </xf>
    <xf numFmtId="37" fontId="3" fillId="0" borderId="0" xfId="0" applyNumberFormat="1" applyFont="1" applyAlignment="1">
      <alignment wrapText="1"/>
    </xf>
    <xf numFmtId="37" fontId="5" fillId="0" borderId="0" xfId="0" applyNumberFormat="1" applyFont="1" applyAlignment="1">
      <alignment horizontal="right" vertical="top" wrapText="1"/>
    </xf>
    <xf numFmtId="37" fontId="20" fillId="0" borderId="0" xfId="0" applyNumberFormat="1" applyFont="1" applyAlignment="1">
      <alignment wrapText="1"/>
    </xf>
    <xf numFmtId="37" fontId="19" fillId="0" borderId="0" xfId="0" applyNumberFormat="1" applyFont="1" applyAlignment="1">
      <alignment horizontal="right" vertical="top" wrapText="1"/>
    </xf>
    <xf numFmtId="37" fontId="10" fillId="0" borderId="2" xfId="0" applyNumberFormat="1" applyFont="1" applyBorder="1" applyAlignment="1">
      <alignment wrapText="1"/>
    </xf>
    <xf numFmtId="37" fontId="25" fillId="0" borderId="0" xfId="0" applyNumberFormat="1" applyFont="1" applyAlignment="1">
      <alignment wrapText="1"/>
    </xf>
    <xf numFmtId="37" fontId="26" fillId="0" borderId="0" xfId="0" applyNumberFormat="1" applyFont="1" applyAlignment="1">
      <alignment horizontal="right" vertical="top" wrapText="1"/>
    </xf>
    <xf numFmtId="0" fontId="24" fillId="0" borderId="0" xfId="0" applyFont="1" applyAlignment="1">
      <alignment wrapText="1"/>
    </xf>
    <xf numFmtId="37" fontId="10" fillId="0" borderId="0" xfId="0" applyNumberFormat="1" applyFont="1" applyAlignment="1">
      <alignment wrapText="1"/>
    </xf>
    <xf numFmtId="37" fontId="27" fillId="0" borderId="0" xfId="0" applyNumberFormat="1" applyFont="1" applyAlignment="1">
      <alignment wrapText="1"/>
    </xf>
    <xf numFmtId="0" fontId="19" fillId="0" borderId="0" xfId="0" applyFont="1" applyAlignment="1">
      <alignment wrapText="1"/>
    </xf>
    <xf numFmtId="37" fontId="19" fillId="0" borderId="0" xfId="0" applyNumberFormat="1" applyFont="1" applyAlignment="1">
      <alignment wrapText="1"/>
    </xf>
    <xf numFmtId="37" fontId="19" fillId="0" borderId="0" xfId="0" applyNumberFormat="1" applyFont="1" applyAlignment="1">
      <alignment vertical="top" wrapText="1"/>
    </xf>
    <xf numFmtId="37" fontId="5" fillId="0" borderId="2" xfId="0" applyNumberFormat="1" applyFont="1" applyBorder="1" applyAlignment="1">
      <alignment wrapText="1"/>
    </xf>
    <xf numFmtId="0" fontId="5" fillId="0" borderId="0" xfId="0" applyFont="1" applyAlignment="1">
      <alignment wrapText="1"/>
    </xf>
    <xf numFmtId="37" fontId="12" fillId="0" borderId="0" xfId="0" applyNumberFormat="1" applyFont="1" applyAlignment="1">
      <alignment wrapText="1"/>
    </xf>
    <xf numFmtId="0" fontId="3" fillId="0" borderId="0" xfId="0" applyFont="1" applyAlignment="1">
      <alignment wrapText="1"/>
    </xf>
    <xf numFmtId="0" fontId="28" fillId="0" borderId="0" xfId="0" applyFont="1" applyAlignment="1">
      <alignment wrapText="1"/>
    </xf>
    <xf numFmtId="167" fontId="0" fillId="0" borderId="0" xfId="1" applyNumberFormat="1" applyFont="1" applyBorder="1" applyAlignment="1">
      <alignment wrapText="1"/>
    </xf>
    <xf numFmtId="37" fontId="13" fillId="0" borderId="0" xfId="1" applyNumberFormat="1" applyFont="1" applyBorder="1" applyAlignment="1">
      <alignment wrapText="1"/>
    </xf>
    <xf numFmtId="37" fontId="12" fillId="0" borderId="0" xfId="1" applyNumberFormat="1" applyFont="1" applyBorder="1" applyAlignment="1">
      <alignment wrapText="1"/>
    </xf>
    <xf numFmtId="37" fontId="13" fillId="0" borderId="0" xfId="1" applyNumberFormat="1" applyFont="1" applyFill="1" applyBorder="1" applyAlignment="1">
      <alignment wrapText="1"/>
    </xf>
    <xf numFmtId="0" fontId="24" fillId="0" borderId="2" xfId="0" applyFont="1" applyBorder="1" applyAlignment="1">
      <alignment wrapText="1"/>
    </xf>
    <xf numFmtId="37" fontId="5" fillId="0" borderId="2" xfId="1" applyNumberFormat="1" applyFont="1" applyBorder="1" applyAlignment="1">
      <alignment wrapText="1"/>
    </xf>
    <xf numFmtId="37" fontId="5" fillId="0" borderId="0" xfId="1" applyNumberFormat="1" applyFont="1" applyBorder="1" applyAlignment="1">
      <alignment wrapText="1"/>
    </xf>
    <xf numFmtId="0" fontId="25" fillId="0" borderId="2" xfId="0" applyFont="1" applyBorder="1" applyAlignment="1">
      <alignment wrapText="1"/>
    </xf>
    <xf numFmtId="0" fontId="25" fillId="0" borderId="0" xfId="0" applyFont="1" applyAlignment="1">
      <alignment wrapText="1"/>
    </xf>
    <xf numFmtId="37" fontId="16" fillId="0" borderId="0" xfId="1" applyNumberFormat="1" applyFont="1" applyBorder="1" applyAlignment="1">
      <alignment wrapText="1"/>
    </xf>
    <xf numFmtId="37" fontId="16" fillId="0" borderId="0" xfId="1" applyNumberFormat="1" applyFont="1" applyFill="1" applyBorder="1" applyAlignment="1">
      <alignment wrapText="1"/>
    </xf>
    <xf numFmtId="37" fontId="19" fillId="0" borderId="0" xfId="1" applyNumberFormat="1" applyFont="1" applyFill="1" applyBorder="1" applyAlignment="1">
      <alignment wrapText="1"/>
    </xf>
    <xf numFmtId="37" fontId="12" fillId="0" borderId="0" xfId="1" applyNumberFormat="1" applyFont="1" applyFill="1" applyBorder="1" applyAlignment="1">
      <alignment wrapText="1"/>
    </xf>
    <xf numFmtId="167" fontId="3" fillId="0" borderId="0" xfId="1" applyNumberFormat="1" applyFont="1" applyBorder="1" applyAlignment="1">
      <alignment wrapText="1"/>
    </xf>
    <xf numFmtId="0" fontId="0" fillId="0" borderId="2" xfId="0" applyBorder="1" applyAlignment="1">
      <alignment wrapText="1"/>
    </xf>
    <xf numFmtId="0" fontId="12" fillId="0" borderId="0" xfId="0" applyFont="1" applyAlignment="1">
      <alignment horizontal="left" vertical="top" wrapText="1" indent="1"/>
    </xf>
    <xf numFmtId="0" fontId="12" fillId="0" borderId="0" xfId="0" applyFont="1" applyAlignment="1">
      <alignment horizontal="left" vertical="top" wrapText="1"/>
    </xf>
    <xf numFmtId="37" fontId="29" fillId="0" borderId="0" xfId="0" applyNumberFormat="1" applyFont="1" applyAlignment="1">
      <alignment wrapText="1"/>
    </xf>
    <xf numFmtId="37" fontId="29" fillId="0" borderId="0" xfId="0" applyNumberFormat="1" applyFont="1" applyAlignment="1">
      <alignment horizontal="right" vertical="top" wrapText="1"/>
    </xf>
    <xf numFmtId="0" fontId="29" fillId="0" borderId="0" xfId="0" applyFont="1" applyAlignment="1">
      <alignment wrapText="1"/>
    </xf>
    <xf numFmtId="37" fontId="29" fillId="0" borderId="0" xfId="0" applyNumberFormat="1" applyFont="1" applyAlignment="1">
      <alignment vertical="top" wrapText="1"/>
    </xf>
    <xf numFmtId="0" fontId="12" fillId="0" borderId="0" xfId="0" applyFont="1" applyAlignment="1">
      <alignment horizontal="left" vertical="top" indent="1"/>
    </xf>
    <xf numFmtId="0" fontId="2" fillId="3" borderId="3" xfId="0" applyFont="1" applyFill="1" applyBorder="1"/>
    <xf numFmtId="0" fontId="2" fillId="3" borderId="4" xfId="0" applyFont="1" applyFill="1" applyBorder="1"/>
    <xf numFmtId="0" fontId="0" fillId="0" borderId="5" xfId="0" applyBorder="1"/>
    <xf numFmtId="0" fontId="0" fillId="0" borderId="6" xfId="0" applyBorder="1"/>
    <xf numFmtId="0" fontId="2" fillId="3" borderId="7" xfId="0" applyFont="1" applyFill="1" applyBorder="1"/>
    <xf numFmtId="0" fontId="4" fillId="3" borderId="8" xfId="0" applyFont="1" applyFill="1" applyBorder="1"/>
    <xf numFmtId="0" fontId="4" fillId="3" borderId="9" xfId="0" applyFont="1" applyFill="1" applyBorder="1"/>
    <xf numFmtId="0" fontId="0" fillId="0" borderId="11" xfId="0" applyBorder="1"/>
    <xf numFmtId="0" fontId="0" fillId="0" borderId="10" xfId="0" applyBorder="1"/>
    <xf numFmtId="0" fontId="0" fillId="0" borderId="0" xfId="0" applyAlignment="1">
      <alignment horizontal="center" wrapText="1"/>
    </xf>
    <xf numFmtId="0" fontId="0" fillId="0" borderId="3" xfId="0" applyBorder="1"/>
    <xf numFmtId="39" fontId="19" fillId="0" borderId="12" xfId="0" applyNumberFormat="1" applyFont="1" applyBorder="1" applyAlignment="1">
      <alignment horizontal="right" vertical="center"/>
    </xf>
    <xf numFmtId="39" fontId="19" fillId="0" borderId="12" xfId="2" applyNumberFormat="1" applyFont="1" applyBorder="1" applyAlignment="1">
      <alignment horizontal="right" vertical="center"/>
    </xf>
    <xf numFmtId="39" fontId="19" fillId="0" borderId="4" xfId="2" applyNumberFormat="1" applyFont="1" applyBorder="1" applyAlignment="1">
      <alignment horizontal="right" vertical="center"/>
    </xf>
    <xf numFmtId="37" fontId="19" fillId="0" borderId="1" xfId="0" applyNumberFormat="1" applyFont="1" applyBorder="1" applyAlignment="1">
      <alignment horizontal="right" vertical="center"/>
    </xf>
    <xf numFmtId="37" fontId="19" fillId="0" borderId="1" xfId="2" applyNumberFormat="1" applyFont="1" applyBorder="1" applyAlignment="1">
      <alignment horizontal="right" vertical="center"/>
    </xf>
    <xf numFmtId="37" fontId="19" fillId="0" borderId="6" xfId="2" applyNumberFormat="1" applyFont="1" applyBorder="1" applyAlignment="1">
      <alignment horizontal="right" vertical="center"/>
    </xf>
    <xf numFmtId="39" fontId="20" fillId="0" borderId="3" xfId="0" applyNumberFormat="1" applyFont="1" applyBorder="1" applyAlignment="1">
      <alignment horizontal="right"/>
    </xf>
    <xf numFmtId="39" fontId="12" fillId="0" borderId="12" xfId="0" applyNumberFormat="1" applyFont="1" applyBorder="1" applyAlignment="1">
      <alignment horizontal="right" vertical="top"/>
    </xf>
    <xf numFmtId="39" fontId="19" fillId="0" borderId="12" xfId="2" applyNumberFormat="1" applyFont="1" applyFill="1" applyBorder="1" applyAlignment="1">
      <alignment horizontal="right" vertical="center"/>
    </xf>
    <xf numFmtId="37" fontId="20" fillId="0" borderId="5" xfId="0" applyNumberFormat="1" applyFont="1" applyBorder="1" applyAlignment="1">
      <alignment horizontal="right"/>
    </xf>
    <xf numFmtId="37" fontId="21" fillId="0" borderId="1" xfId="2" applyNumberFormat="1" applyFont="1" applyBorder="1" applyAlignment="1">
      <alignment horizontal="right" vertical="center"/>
    </xf>
    <xf numFmtId="37" fontId="12" fillId="5" borderId="4" xfId="0" applyNumberFormat="1" applyFont="1" applyFill="1" applyBorder="1" applyAlignment="1">
      <alignment wrapText="1"/>
    </xf>
    <xf numFmtId="37" fontId="12" fillId="5" borderId="3" xfId="0" applyNumberFormat="1" applyFont="1" applyFill="1" applyBorder="1" applyAlignment="1">
      <alignment wrapText="1"/>
    </xf>
    <xf numFmtId="37" fontId="12" fillId="5" borderId="3" xfId="0" applyNumberFormat="1" applyFont="1" applyFill="1" applyBorder="1"/>
    <xf numFmtId="37" fontId="12" fillId="5" borderId="12" xfId="0" applyNumberFormat="1" applyFont="1" applyFill="1" applyBorder="1"/>
    <xf numFmtId="37" fontId="12" fillId="5" borderId="4" xfId="0" applyNumberFormat="1" applyFont="1" applyFill="1" applyBorder="1"/>
    <xf numFmtId="168" fontId="12" fillId="5" borderId="10" xfId="0" applyNumberFormat="1" applyFont="1" applyFill="1" applyBorder="1" applyAlignment="1">
      <alignment horizontal="center" vertical="center"/>
    </xf>
    <xf numFmtId="168" fontId="12" fillId="5" borderId="0" xfId="0" applyNumberFormat="1" applyFont="1" applyFill="1" applyAlignment="1">
      <alignment horizontal="center" vertical="center"/>
    </xf>
    <xf numFmtId="168" fontId="12" fillId="5" borderId="11" xfId="0" applyNumberFormat="1" applyFont="1" applyFill="1" applyBorder="1" applyAlignment="1">
      <alignment horizontal="center" vertical="center"/>
    </xf>
    <xf numFmtId="168" fontId="12" fillId="5" borderId="5" xfId="0" applyNumberFormat="1" applyFont="1" applyFill="1" applyBorder="1" applyAlignment="1">
      <alignment horizontal="center"/>
    </xf>
    <xf numFmtId="168" fontId="12" fillId="5" borderId="1" xfId="0" applyNumberFormat="1" applyFont="1" applyFill="1" applyBorder="1" applyAlignment="1">
      <alignment horizontal="center"/>
    </xf>
    <xf numFmtId="168" fontId="12" fillId="5" borderId="6" xfId="0" applyNumberFormat="1" applyFont="1" applyFill="1" applyBorder="1" applyAlignment="1">
      <alignment horizontal="center"/>
    </xf>
    <xf numFmtId="0" fontId="5" fillId="5" borderId="3" xfId="0" applyFont="1" applyFill="1" applyBorder="1" applyAlignment="1">
      <alignment vertical="top"/>
    </xf>
    <xf numFmtId="168" fontId="12" fillId="5" borderId="1" xfId="0" applyNumberFormat="1" applyFont="1" applyFill="1" applyBorder="1" applyAlignment="1">
      <alignment horizontal="center" vertical="center"/>
    </xf>
    <xf numFmtId="168" fontId="12" fillId="5" borderId="6" xfId="0" applyNumberFormat="1" applyFont="1" applyFill="1" applyBorder="1" applyAlignment="1">
      <alignment horizontal="center" vertical="center"/>
    </xf>
    <xf numFmtId="0" fontId="12" fillId="5" borderId="10" xfId="0" applyFont="1" applyFill="1" applyBorder="1" applyAlignment="1">
      <alignment horizontal="left" vertical="top" indent="1"/>
    </xf>
    <xf numFmtId="0" fontId="0" fillId="5" borderId="10" xfId="0" applyFill="1" applyBorder="1" applyAlignment="1">
      <alignment horizontal="left" indent="1"/>
    </xf>
    <xf numFmtId="0" fontId="12" fillId="5" borderId="5" xfId="0" applyFont="1" applyFill="1" applyBorder="1" applyAlignment="1">
      <alignment horizontal="left" vertical="top" indent="1"/>
    </xf>
    <xf numFmtId="168" fontId="14" fillId="5" borderId="10" xfId="0" applyNumberFormat="1" applyFont="1" applyFill="1" applyBorder="1" applyAlignment="1">
      <alignment horizontal="center" vertical="center"/>
    </xf>
    <xf numFmtId="168" fontId="14" fillId="5" borderId="11" xfId="0" applyNumberFormat="1" applyFont="1" applyFill="1" applyBorder="1" applyAlignment="1">
      <alignment horizontal="center" vertical="center"/>
    </xf>
    <xf numFmtId="168" fontId="14" fillId="5" borderId="5" xfId="0" applyNumberFormat="1" applyFont="1" applyFill="1" applyBorder="1" applyAlignment="1">
      <alignment horizontal="center" vertical="center"/>
    </xf>
    <xf numFmtId="168" fontId="14" fillId="5" borderId="6" xfId="0" applyNumberFormat="1" applyFont="1" applyFill="1" applyBorder="1" applyAlignment="1">
      <alignment horizontal="center" vertical="center"/>
    </xf>
    <xf numFmtId="0" fontId="2" fillId="3" borderId="0" xfId="0" applyFont="1" applyFill="1"/>
    <xf numFmtId="0" fontId="2" fillId="3" borderId="0" xfId="0" applyFont="1" applyFill="1" applyAlignment="1">
      <alignment horizontal="center"/>
    </xf>
    <xf numFmtId="14" fontId="7" fillId="3" borderId="0" xfId="0" applyNumberFormat="1" applyFont="1" applyFill="1" applyAlignment="1">
      <alignment horizontal="center"/>
    </xf>
    <xf numFmtId="14" fontId="4" fillId="3" borderId="0" xfId="0" applyNumberFormat="1" applyFont="1" applyFill="1" applyAlignment="1">
      <alignment horizontal="center"/>
    </xf>
    <xf numFmtId="37" fontId="3" fillId="0" borderId="2" xfId="0" applyNumberFormat="1" applyFont="1" applyBorder="1"/>
    <xf numFmtId="37" fontId="29" fillId="0" borderId="0" xfId="1" applyNumberFormat="1" applyFont="1" applyBorder="1" applyAlignment="1">
      <alignment wrapText="1"/>
    </xf>
    <xf numFmtId="0" fontId="14" fillId="0" borderId="0" xfId="0" applyFont="1"/>
    <xf numFmtId="3" fontId="14" fillId="0" borderId="0" xfId="0" applyNumberFormat="1" applyFont="1"/>
    <xf numFmtId="3" fontId="29" fillId="0" borderId="0" xfId="0" applyNumberFormat="1" applyFont="1"/>
    <xf numFmtId="37" fontId="29" fillId="0" borderId="0" xfId="0" applyNumberFormat="1" applyFont="1"/>
    <xf numFmtId="37" fontId="14" fillId="0" borderId="0" xfId="0" applyNumberFormat="1" applyFont="1"/>
    <xf numFmtId="37" fontId="14" fillId="0" borderId="0" xfId="0" applyNumberFormat="1" applyFont="1" applyAlignment="1">
      <alignment horizontal="right"/>
    </xf>
    <xf numFmtId="37" fontId="29" fillId="0" borderId="0" xfId="0" applyNumberFormat="1" applyFont="1" applyAlignment="1">
      <alignment horizontal="right"/>
    </xf>
    <xf numFmtId="37" fontId="31" fillId="0" borderId="0" xfId="1" applyNumberFormat="1" applyFont="1" applyBorder="1" applyAlignment="1">
      <alignment wrapText="1"/>
    </xf>
    <xf numFmtId="164" fontId="14" fillId="0" borderId="0" xfId="0" applyNumberFormat="1" applyFont="1"/>
    <xf numFmtId="164" fontId="29" fillId="0" borderId="0" xfId="0" applyNumberFormat="1" applyFont="1"/>
    <xf numFmtId="37" fontId="12" fillId="0" borderId="0" xfId="0" applyNumberFormat="1" applyFont="1"/>
    <xf numFmtId="37" fontId="29" fillId="2" borderId="0" xfId="0" applyNumberFormat="1" applyFont="1" applyFill="1"/>
    <xf numFmtId="37" fontId="14" fillId="2" borderId="0" xfId="0" applyNumberFormat="1" applyFont="1" applyFill="1"/>
    <xf numFmtId="37" fontId="14" fillId="2" borderId="0" xfId="0" applyNumberFormat="1" applyFont="1" applyFill="1" applyAlignment="1">
      <alignment horizontal="right"/>
    </xf>
    <xf numFmtId="0" fontId="16" fillId="5" borderId="3" xfId="0" applyFont="1" applyFill="1" applyBorder="1" applyAlignment="1">
      <alignment wrapText="1"/>
    </xf>
    <xf numFmtId="167" fontId="14" fillId="5" borderId="12" xfId="1" applyNumberFormat="1" applyFont="1" applyFill="1" applyBorder="1" applyAlignment="1">
      <alignment wrapText="1"/>
    </xf>
    <xf numFmtId="167" fontId="14" fillId="5" borderId="4" xfId="1" applyNumberFormat="1" applyFont="1" applyFill="1" applyBorder="1" applyAlignment="1">
      <alignment wrapText="1"/>
    </xf>
    <xf numFmtId="0" fontId="14" fillId="5" borderId="10" xfId="0" applyFont="1" applyFill="1" applyBorder="1" applyAlignment="1">
      <alignment horizontal="left" wrapText="1" indent="1"/>
    </xf>
    <xf numFmtId="167" fontId="14" fillId="5" borderId="0" xfId="1" applyNumberFormat="1" applyFont="1" applyFill="1" applyBorder="1" applyAlignment="1">
      <alignment wrapText="1"/>
    </xf>
    <xf numFmtId="167" fontId="14" fillId="5" borderId="11" xfId="1" applyNumberFormat="1" applyFont="1" applyFill="1" applyBorder="1" applyAlignment="1">
      <alignment wrapText="1"/>
    </xf>
    <xf numFmtId="0" fontId="18" fillId="5" borderId="5" xfId="0" applyFont="1" applyFill="1" applyBorder="1" applyAlignment="1">
      <alignment horizontal="right" vertical="center" wrapText="1"/>
    </xf>
    <xf numFmtId="166" fontId="5" fillId="5" borderId="1" xfId="0" applyNumberFormat="1" applyFont="1" applyFill="1" applyBorder="1" applyAlignment="1">
      <alignment horizontal="right" vertical="top" wrapText="1"/>
    </xf>
    <xf numFmtId="9" fontId="11" fillId="5" borderId="1" xfId="2" applyFont="1" applyFill="1" applyBorder="1" applyAlignment="1">
      <alignment horizontal="right" vertical="center" wrapText="1"/>
    </xf>
    <xf numFmtId="9" fontId="11" fillId="5" borderId="6" xfId="2" applyFont="1" applyFill="1" applyBorder="1" applyAlignment="1">
      <alignment horizontal="right" vertical="center" wrapText="1"/>
    </xf>
    <xf numFmtId="0" fontId="14" fillId="5" borderId="3" xfId="0" applyFont="1" applyFill="1" applyBorder="1" applyAlignment="1">
      <alignment wrapText="1"/>
    </xf>
    <xf numFmtId="0" fontId="14" fillId="5" borderId="12" xfId="0" applyFont="1" applyFill="1" applyBorder="1" applyAlignment="1">
      <alignment wrapText="1"/>
    </xf>
    <xf numFmtId="0" fontId="14" fillId="5" borderId="4" xfId="0" applyFont="1" applyFill="1" applyBorder="1" applyAlignment="1">
      <alignment wrapText="1"/>
    </xf>
    <xf numFmtId="167" fontId="14" fillId="5" borderId="10" xfId="1" applyNumberFormat="1" applyFont="1" applyFill="1" applyBorder="1" applyAlignment="1">
      <alignment wrapText="1"/>
    </xf>
    <xf numFmtId="9" fontId="11" fillId="5" borderId="5" xfId="2" applyFont="1" applyFill="1" applyBorder="1" applyAlignment="1">
      <alignment horizontal="right" vertical="center" wrapText="1"/>
    </xf>
    <xf numFmtId="37" fontId="16" fillId="5" borderId="10" xfId="0" applyNumberFormat="1" applyFont="1" applyFill="1" applyBorder="1" applyAlignment="1">
      <alignment wrapText="1"/>
    </xf>
    <xf numFmtId="37" fontId="16" fillId="5" borderId="11" xfId="0" applyNumberFormat="1" applyFont="1" applyFill="1" applyBorder="1" applyAlignment="1">
      <alignment wrapText="1"/>
    </xf>
    <xf numFmtId="0" fontId="8" fillId="0" borderId="0" xfId="0" applyFont="1" applyAlignment="1">
      <alignment horizontal="center" vertical="center" wrapText="1"/>
    </xf>
    <xf numFmtId="0" fontId="0" fillId="0" borderId="0" xfId="0" applyAlignment="1">
      <alignment horizontal="left" indent="1"/>
    </xf>
    <xf numFmtId="0" fontId="0" fillId="0" borderId="0" xfId="0" applyAlignment="1">
      <alignment horizontal="left" wrapText="1" indent="1"/>
    </xf>
    <xf numFmtId="0" fontId="30" fillId="0" borderId="3" xfId="0" applyFont="1" applyBorder="1" applyAlignment="1">
      <alignment horizontal="center" vertical="center" wrapText="1"/>
    </xf>
    <xf numFmtId="0" fontId="30" fillId="0" borderId="12" xfId="0" applyFont="1" applyBorder="1" applyAlignment="1">
      <alignment horizontal="center" vertical="center" wrapText="1"/>
    </xf>
    <xf numFmtId="0" fontId="30" fillId="0" borderId="4" xfId="0" applyFont="1" applyBorder="1" applyAlignment="1">
      <alignment horizontal="center" vertical="center" wrapText="1"/>
    </xf>
    <xf numFmtId="0" fontId="30" fillId="0" borderId="10" xfId="0" applyFont="1" applyBorder="1" applyAlignment="1">
      <alignment horizontal="center" vertical="center" wrapText="1"/>
    </xf>
    <xf numFmtId="0" fontId="30" fillId="0" borderId="0" xfId="0" applyFont="1" applyAlignment="1">
      <alignment horizontal="center" vertical="center" wrapText="1"/>
    </xf>
    <xf numFmtId="0" fontId="30" fillId="0" borderId="11"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1" xfId="0" applyFont="1" applyBorder="1" applyAlignment="1">
      <alignment horizontal="center" vertical="center" wrapText="1"/>
    </xf>
    <xf numFmtId="0" fontId="30" fillId="0" borderId="6" xfId="0" applyFont="1" applyBorder="1" applyAlignment="1">
      <alignment horizontal="center" vertical="center" wrapText="1"/>
    </xf>
    <xf numFmtId="0" fontId="8" fillId="3" borderId="0" xfId="0" applyFont="1" applyFill="1" applyAlignment="1">
      <alignment horizontal="center" vertical="center" wrapText="1"/>
    </xf>
  </cellXfs>
  <cellStyles count="3">
    <cellStyle name="Comma" xfId="1" builtinId="3"/>
    <cellStyle name="Normal" xfId="0" builtinId="0"/>
    <cellStyle name="Percent" xfId="2"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65AC2-932B-4259-B5DB-5C9AE4D101DA}">
  <dimension ref="B1:F16"/>
  <sheetViews>
    <sheetView showGridLines="0" zoomScale="175" zoomScaleNormal="175" workbookViewId="0">
      <selection activeCell="E4" sqref="E4"/>
    </sheetView>
  </sheetViews>
  <sheetFormatPr defaultRowHeight="15" x14ac:dyDescent="0.25"/>
  <cols>
    <col min="1" max="1" width="3.140625" customWidth="1"/>
    <col min="2" max="2" width="44.85546875" bestFit="1" customWidth="1"/>
    <col min="3" max="3" width="20.5703125" bestFit="1" customWidth="1"/>
    <col min="4" max="4" width="29.140625" bestFit="1" customWidth="1"/>
    <col min="6" max="6" width="12.42578125" bestFit="1" customWidth="1"/>
  </cols>
  <sheetData>
    <row r="1" spans="2:6" ht="15.75" thickBot="1" x14ac:dyDescent="0.3"/>
    <row r="2" spans="2:6" x14ac:dyDescent="0.25">
      <c r="B2" s="94" t="s">
        <v>125</v>
      </c>
      <c r="C2" s="95" t="s">
        <v>126</v>
      </c>
    </row>
    <row r="3" spans="2:6" ht="15.75" thickBot="1" x14ac:dyDescent="0.3">
      <c r="B3" s="96" t="s">
        <v>158</v>
      </c>
      <c r="C3" s="97" t="s">
        <v>157</v>
      </c>
    </row>
    <row r="4" spans="2:6" ht="15.75" thickBot="1" x14ac:dyDescent="0.3"/>
    <row r="5" spans="2:6" ht="15.75" thickBot="1" x14ac:dyDescent="0.3">
      <c r="B5" s="98" t="s">
        <v>134</v>
      </c>
      <c r="C5" s="99"/>
      <c r="D5" s="99"/>
      <c r="E5" s="99"/>
      <c r="F5" s="100"/>
    </row>
    <row r="6" spans="2:6" ht="54.75" customHeight="1" x14ac:dyDescent="0.25">
      <c r="B6" s="177" t="s">
        <v>140</v>
      </c>
      <c r="C6" s="178"/>
      <c r="D6" s="178"/>
      <c r="E6" s="178"/>
      <c r="F6" s="179"/>
    </row>
    <row r="7" spans="2:6" ht="27" customHeight="1" x14ac:dyDescent="0.25">
      <c r="B7" s="180"/>
      <c r="C7" s="181"/>
      <c r="D7" s="181"/>
      <c r="E7" s="181"/>
      <c r="F7" s="182"/>
    </row>
    <row r="8" spans="2:6" ht="45.75" customHeight="1" thickBot="1" x14ac:dyDescent="0.3">
      <c r="B8" s="183"/>
      <c r="C8" s="184"/>
      <c r="D8" s="184"/>
      <c r="E8" s="184"/>
      <c r="F8" s="185"/>
    </row>
    <row r="9" spans="2:6" ht="15.75" thickBot="1" x14ac:dyDescent="0.3"/>
    <row r="10" spans="2:6" x14ac:dyDescent="0.25">
      <c r="B10" s="94" t="s">
        <v>127</v>
      </c>
      <c r="C10" s="95"/>
    </row>
    <row r="11" spans="2:6" x14ac:dyDescent="0.25">
      <c r="B11" s="102" t="s">
        <v>128</v>
      </c>
      <c r="C11" s="101"/>
    </row>
    <row r="12" spans="2:6" x14ac:dyDescent="0.25">
      <c r="B12" s="102" t="s">
        <v>129</v>
      </c>
      <c r="C12" s="101"/>
    </row>
    <row r="13" spans="2:6" x14ac:dyDescent="0.25">
      <c r="B13" s="102" t="s">
        <v>130</v>
      </c>
      <c r="C13" s="101"/>
    </row>
    <row r="14" spans="2:6" x14ac:dyDescent="0.25">
      <c r="B14" s="102" t="s">
        <v>131</v>
      </c>
      <c r="C14" s="101"/>
    </row>
    <row r="15" spans="2:6" x14ac:dyDescent="0.25">
      <c r="B15" s="102" t="s">
        <v>132</v>
      </c>
      <c r="C15" s="101"/>
    </row>
    <row r="16" spans="2:6" ht="15.75" thickBot="1" x14ac:dyDescent="0.3">
      <c r="B16" s="96" t="s">
        <v>133</v>
      </c>
      <c r="C16" s="97"/>
    </row>
  </sheetData>
  <mergeCells count="1">
    <mergeCell ref="B6: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F203D-5C3A-4F65-B939-89A20FD3AE6B}">
  <dimension ref="A1:V163"/>
  <sheetViews>
    <sheetView showGridLines="0" topLeftCell="B137" zoomScaleNormal="100" workbookViewId="0">
      <selection activeCell="B2" sqref="B2"/>
    </sheetView>
  </sheetViews>
  <sheetFormatPr defaultRowHeight="15" x14ac:dyDescent="0.25"/>
  <cols>
    <col min="1" max="1" width="2.42578125" style="5" customWidth="1"/>
    <col min="2" max="2" width="60" style="5" customWidth="1"/>
    <col min="3" max="5" width="15.7109375" style="5" bestFit="1" customWidth="1"/>
    <col min="6" max="6" width="3.140625" style="5" customWidth="1"/>
    <col min="7" max="7" width="10.85546875" style="5" bestFit="1" customWidth="1"/>
    <col min="8" max="9" width="10.7109375" style="5" bestFit="1" customWidth="1"/>
    <col min="10" max="10" width="11.28515625" style="5" bestFit="1" customWidth="1"/>
    <col min="11" max="13" width="10.7109375" style="5" bestFit="1" customWidth="1"/>
    <col min="14" max="14" width="11.28515625" style="5" bestFit="1" customWidth="1"/>
    <col min="15" max="17" width="10.7109375" style="5" bestFit="1" customWidth="1"/>
    <col min="18" max="18" width="4.28515625" style="5" customWidth="1"/>
    <col min="19" max="19" width="11.85546875" style="5" bestFit="1" customWidth="1"/>
    <col min="20" max="20" width="11" style="5" bestFit="1" customWidth="1"/>
    <col min="21" max="21" width="1.42578125" style="5" customWidth="1"/>
    <col min="22" max="22" width="11.42578125" style="5" bestFit="1" customWidth="1"/>
    <col min="23" max="23" width="1.5703125" style="5" customWidth="1"/>
    <col min="24" max="16384" width="9.140625" style="5"/>
  </cols>
  <sheetData>
    <row r="1" spans="1:22" ht="6" customHeight="1" x14ac:dyDescent="0.25">
      <c r="A1" s="5" t="s">
        <v>90</v>
      </c>
    </row>
    <row r="2" spans="1:22" x14ac:dyDescent="0.25">
      <c r="B2" s="6" t="s">
        <v>159</v>
      </c>
      <c r="C2" s="7"/>
      <c r="D2" s="7"/>
      <c r="E2" s="7"/>
      <c r="F2" s="7"/>
      <c r="G2" s="7"/>
      <c r="H2" s="7"/>
      <c r="I2" s="7"/>
      <c r="J2" s="7"/>
      <c r="K2" s="7"/>
      <c r="L2" s="7"/>
      <c r="M2" s="7"/>
      <c r="N2" s="7"/>
      <c r="O2" s="7"/>
      <c r="P2" s="7"/>
      <c r="Q2" s="7"/>
      <c r="R2" s="7"/>
      <c r="S2" s="7"/>
      <c r="T2" s="7"/>
    </row>
    <row r="3" spans="1:22" x14ac:dyDescent="0.25">
      <c r="B3" s="8" t="s">
        <v>141</v>
      </c>
      <c r="C3" s="7"/>
      <c r="D3" s="7"/>
      <c r="E3" s="7"/>
      <c r="F3" s="7"/>
      <c r="G3" s="7"/>
      <c r="H3" s="7"/>
      <c r="I3" s="7"/>
      <c r="J3" s="7"/>
      <c r="K3" s="7"/>
      <c r="L3" s="7"/>
      <c r="M3" s="7"/>
      <c r="N3" s="7"/>
      <c r="O3" s="7"/>
      <c r="P3" s="7"/>
      <c r="Q3" s="7"/>
      <c r="R3" s="7"/>
      <c r="S3" s="7"/>
      <c r="T3" s="7"/>
    </row>
    <row r="4" spans="1:22" ht="5.25" customHeight="1" x14ac:dyDescent="0.25">
      <c r="B4" s="9"/>
    </row>
    <row r="5" spans="1:22" ht="15.75" thickBot="1" x14ac:dyDescent="0.3">
      <c r="B5" s="10"/>
      <c r="C5" s="10" t="s">
        <v>0</v>
      </c>
      <c r="D5" s="10"/>
      <c r="E5" s="10"/>
      <c r="G5" s="10" t="s">
        <v>1</v>
      </c>
      <c r="H5" s="10"/>
      <c r="I5" s="10"/>
      <c r="J5" s="10"/>
      <c r="K5" s="10"/>
      <c r="L5" s="10"/>
      <c r="M5" s="10"/>
      <c r="N5" s="10"/>
      <c r="O5" s="10"/>
      <c r="P5" s="10"/>
      <c r="Q5" s="10"/>
      <c r="S5" s="10" t="s">
        <v>2</v>
      </c>
      <c r="T5" s="10"/>
      <c r="U5" s="11"/>
      <c r="V5" s="10" t="s">
        <v>91</v>
      </c>
    </row>
    <row r="6" spans="1:22" ht="4.5" customHeight="1" x14ac:dyDescent="0.25"/>
    <row r="7" spans="1:22" x14ac:dyDescent="0.25">
      <c r="A7" s="5" t="s">
        <v>92</v>
      </c>
      <c r="B7" s="6" t="s">
        <v>93</v>
      </c>
      <c r="C7" s="12" t="s">
        <v>94</v>
      </c>
      <c r="D7" s="12" t="s">
        <v>95</v>
      </c>
      <c r="E7" s="12" t="s">
        <v>96</v>
      </c>
      <c r="G7" s="12" t="s">
        <v>97</v>
      </c>
      <c r="H7" s="12" t="s">
        <v>98</v>
      </c>
      <c r="I7" s="12" t="s">
        <v>99</v>
      </c>
      <c r="J7" s="12" t="s">
        <v>100</v>
      </c>
      <c r="K7" s="12" t="s">
        <v>101</v>
      </c>
      <c r="L7" s="12" t="s">
        <v>102</v>
      </c>
      <c r="M7" s="12" t="s">
        <v>103</v>
      </c>
      <c r="N7" s="12" t="s">
        <v>104</v>
      </c>
      <c r="O7" s="12" t="s">
        <v>105</v>
      </c>
      <c r="P7" s="12" t="s">
        <v>106</v>
      </c>
      <c r="Q7" s="12" t="s">
        <v>107</v>
      </c>
      <c r="S7" s="12" t="str">
        <f>M7</f>
        <v>3Q23</v>
      </c>
      <c r="T7" s="12" t="str">
        <f>Q7</f>
        <v>3Q24</v>
      </c>
      <c r="U7" s="13"/>
      <c r="V7" s="186" t="s">
        <v>108</v>
      </c>
    </row>
    <row r="8" spans="1:22" x14ac:dyDescent="0.25">
      <c r="B8" s="14" t="s">
        <v>109</v>
      </c>
      <c r="C8" s="15">
        <v>44561</v>
      </c>
      <c r="D8" s="15">
        <v>44926</v>
      </c>
      <c r="E8" s="15">
        <v>45291</v>
      </c>
      <c r="G8" s="16">
        <v>44651</v>
      </c>
      <c r="H8" s="16">
        <v>44742</v>
      </c>
      <c r="I8" s="16">
        <v>44834</v>
      </c>
      <c r="J8" s="16">
        <v>44926</v>
      </c>
      <c r="K8" s="16">
        <v>45016</v>
      </c>
      <c r="L8" s="16">
        <v>45107</v>
      </c>
      <c r="M8" s="16">
        <v>45199</v>
      </c>
      <c r="N8" s="16">
        <v>45291</v>
      </c>
      <c r="O8" s="16">
        <v>45382</v>
      </c>
      <c r="P8" s="16">
        <v>45473</v>
      </c>
      <c r="Q8" s="16">
        <v>45565</v>
      </c>
      <c r="S8" s="16">
        <f>M8</f>
        <v>45199</v>
      </c>
      <c r="T8" s="16">
        <f>Q8</f>
        <v>45565</v>
      </c>
      <c r="U8" s="17"/>
      <c r="V8" s="186"/>
    </row>
    <row r="9" spans="1:22" ht="3.75" customHeight="1" x14ac:dyDescent="0.25">
      <c r="B9" s="18"/>
      <c r="C9" s="17"/>
      <c r="D9" s="17"/>
      <c r="E9" s="17"/>
      <c r="G9" s="19"/>
      <c r="H9" s="19"/>
      <c r="I9" s="19"/>
      <c r="J9" s="19"/>
      <c r="K9" s="19"/>
      <c r="L9" s="19"/>
      <c r="M9" s="19"/>
      <c r="N9" s="19"/>
      <c r="O9" s="19"/>
      <c r="P9" s="19"/>
      <c r="Q9" s="19"/>
      <c r="S9" s="19"/>
      <c r="T9" s="19"/>
      <c r="U9" s="19"/>
    </row>
    <row r="10" spans="1:22" x14ac:dyDescent="0.25">
      <c r="B10" s="22" t="s">
        <v>3</v>
      </c>
      <c r="C10" s="23">
        <v>8196</v>
      </c>
      <c r="D10" s="23">
        <v>13102</v>
      </c>
      <c r="E10" s="23">
        <v>12008</v>
      </c>
      <c r="F10" s="24"/>
      <c r="G10" s="90">
        <v>2104</v>
      </c>
      <c r="H10" s="90">
        <v>2134</v>
      </c>
      <c r="I10" s="90">
        <v>2804</v>
      </c>
      <c r="J10" s="90">
        <v>6060</v>
      </c>
      <c r="K10" s="90">
        <v>2201</v>
      </c>
      <c r="L10" s="90">
        <v>3327</v>
      </c>
      <c r="M10" s="90">
        <v>3105</v>
      </c>
      <c r="N10" s="90">
        <v>3375</v>
      </c>
      <c r="O10" s="90">
        <v>3052</v>
      </c>
      <c r="P10" s="90">
        <v>3086</v>
      </c>
      <c r="Q10" s="90">
        <v>2378</v>
      </c>
      <c r="S10" s="26">
        <f t="shared" ref="S10:S11" si="0">SUM(J10:M10)</f>
        <v>14693</v>
      </c>
      <c r="T10" s="26">
        <f t="shared" ref="T10:T11" si="1">SUM(N10:Q10)</f>
        <v>11891</v>
      </c>
      <c r="U10" s="27"/>
      <c r="V10" s="28">
        <f>SUM(T10/S10)-1</f>
        <v>-0.19070305587694825</v>
      </c>
    </row>
    <row r="11" spans="1:22" x14ac:dyDescent="0.25">
      <c r="B11" s="87" t="s">
        <v>4</v>
      </c>
      <c r="C11" s="23">
        <v>-1623</v>
      </c>
      <c r="D11" s="23">
        <v>-2873</v>
      </c>
      <c r="E11" s="23">
        <v>-2800</v>
      </c>
      <c r="F11" s="24"/>
      <c r="G11" s="90">
        <v>-414</v>
      </c>
      <c r="H11" s="90">
        <v>-873</v>
      </c>
      <c r="I11" s="90">
        <v>-776</v>
      </c>
      <c r="J11" s="90">
        <v>-810</v>
      </c>
      <c r="K11" s="90">
        <v>-510</v>
      </c>
      <c r="L11" s="90">
        <v>-597</v>
      </c>
      <c r="M11" s="90">
        <v>-834</v>
      </c>
      <c r="N11" s="90">
        <v>-859</v>
      </c>
      <c r="O11" s="90">
        <v>-1552</v>
      </c>
      <c r="P11" s="90">
        <v>-1096</v>
      </c>
      <c r="Q11" s="90">
        <v>-1174</v>
      </c>
      <c r="S11" s="26">
        <f t="shared" si="0"/>
        <v>-2751</v>
      </c>
      <c r="T11" s="26">
        <f t="shared" si="1"/>
        <v>-4681</v>
      </c>
      <c r="U11" s="26"/>
      <c r="V11" s="28">
        <f>SUM(T11/S11)-1</f>
        <v>0.70156306797528178</v>
      </c>
    </row>
    <row r="12" spans="1:22" x14ac:dyDescent="0.25">
      <c r="B12" s="29" t="s">
        <v>136</v>
      </c>
      <c r="C12" s="30">
        <f>SUM(C10:C11)</f>
        <v>6573</v>
      </c>
      <c r="D12" s="30">
        <f t="shared" ref="D12:E12" si="2">SUM(D10:D11)</f>
        <v>10229</v>
      </c>
      <c r="E12" s="30">
        <f t="shared" si="2"/>
        <v>9208</v>
      </c>
      <c r="F12" s="24"/>
      <c r="G12" s="30">
        <f t="shared" ref="G12:Q12" si="3">SUM(G10:G11)</f>
        <v>1690</v>
      </c>
      <c r="H12" s="30">
        <f t="shared" si="3"/>
        <v>1261</v>
      </c>
      <c r="I12" s="30">
        <f t="shared" si="3"/>
        <v>2028</v>
      </c>
      <c r="J12" s="30">
        <f t="shared" si="3"/>
        <v>5250</v>
      </c>
      <c r="K12" s="30">
        <f t="shared" si="3"/>
        <v>1691</v>
      </c>
      <c r="L12" s="30">
        <f t="shared" si="3"/>
        <v>2730</v>
      </c>
      <c r="M12" s="30">
        <f t="shared" si="3"/>
        <v>2271</v>
      </c>
      <c r="N12" s="30">
        <f t="shared" si="3"/>
        <v>2516</v>
      </c>
      <c r="O12" s="30">
        <f t="shared" si="3"/>
        <v>1500</v>
      </c>
      <c r="P12" s="30">
        <f t="shared" si="3"/>
        <v>1990</v>
      </c>
      <c r="Q12" s="30">
        <f t="shared" si="3"/>
        <v>1204</v>
      </c>
      <c r="S12" s="31">
        <f>SUM(S10:S11)</f>
        <v>11942</v>
      </c>
      <c r="T12" s="31">
        <f>SUM(T10:T11)</f>
        <v>7210</v>
      </c>
      <c r="U12" s="32"/>
      <c r="V12" s="33">
        <f>SUM(T12/S12)-1</f>
        <v>-0.39624853458382181</v>
      </c>
    </row>
    <row r="13" spans="1:22" x14ac:dyDescent="0.25">
      <c r="B13" s="34" t="s">
        <v>110</v>
      </c>
      <c r="C13" s="35"/>
      <c r="D13" s="21">
        <f>D12/C12-1</f>
        <v>0.55621481819564877</v>
      </c>
      <c r="E13" s="21">
        <f>E12/D12-1</f>
        <v>-9.9814253592726554E-2</v>
      </c>
      <c r="F13" s="21"/>
      <c r="H13" s="21">
        <f t="shared" ref="H13:Q13" si="4">H12/G12-1</f>
        <v>-0.25384615384615383</v>
      </c>
      <c r="I13" s="21">
        <f t="shared" si="4"/>
        <v>0.60824742268041243</v>
      </c>
      <c r="J13" s="21">
        <f t="shared" si="4"/>
        <v>1.5887573964497039</v>
      </c>
      <c r="K13" s="21">
        <f t="shared" si="4"/>
        <v>-0.6779047619047619</v>
      </c>
      <c r="L13" s="21">
        <f t="shared" si="4"/>
        <v>0.61442933175635717</v>
      </c>
      <c r="M13" s="21">
        <f t="shared" si="4"/>
        <v>-0.16813186813186809</v>
      </c>
      <c r="N13" s="21">
        <f t="shared" si="4"/>
        <v>0.10788199031263757</v>
      </c>
      <c r="O13" s="21">
        <f>O12/N12-1</f>
        <v>-0.40381558028616849</v>
      </c>
      <c r="P13" s="21">
        <f t="shared" si="4"/>
        <v>0.32666666666666666</v>
      </c>
      <c r="Q13" s="21">
        <f t="shared" si="4"/>
        <v>-0.3949748743718593</v>
      </c>
      <c r="T13" s="21">
        <f>T12/S12-1</f>
        <v>-0.39624853458382181</v>
      </c>
      <c r="U13" s="32"/>
      <c r="V13" s="36"/>
    </row>
    <row r="14" spans="1:22" x14ac:dyDescent="0.25">
      <c r="B14" s="34" t="s">
        <v>135</v>
      </c>
      <c r="C14" s="21">
        <f>SUM(C12/C10)</f>
        <v>0.80197657393850663</v>
      </c>
      <c r="D14" s="21">
        <f t="shared" ref="D14:T14" si="5">SUM(D12/D10)</f>
        <v>0.78072050068691801</v>
      </c>
      <c r="E14" s="21">
        <f t="shared" si="5"/>
        <v>0.76682211858760829</v>
      </c>
      <c r="F14" s="21"/>
      <c r="G14" s="21">
        <f t="shared" si="5"/>
        <v>0.80323193916349811</v>
      </c>
      <c r="H14" s="21">
        <f t="shared" si="5"/>
        <v>0.59090909090909094</v>
      </c>
      <c r="I14" s="21">
        <f t="shared" si="5"/>
        <v>0.72325249643366618</v>
      </c>
      <c r="J14" s="21">
        <f t="shared" si="5"/>
        <v>0.86633663366336633</v>
      </c>
      <c r="K14" s="21">
        <f t="shared" si="5"/>
        <v>0.76828714220808725</v>
      </c>
      <c r="L14" s="21">
        <f t="shared" si="5"/>
        <v>0.82055906221821462</v>
      </c>
      <c r="M14" s="21">
        <f t="shared" si="5"/>
        <v>0.73140096618357486</v>
      </c>
      <c r="N14" s="21">
        <f t="shared" si="5"/>
        <v>0.74548148148148152</v>
      </c>
      <c r="O14" s="21">
        <f t="shared" si="5"/>
        <v>0.49148099606815204</v>
      </c>
      <c r="P14" s="21">
        <f t="shared" si="5"/>
        <v>0.64484769928710306</v>
      </c>
      <c r="Q14" s="21">
        <f t="shared" si="5"/>
        <v>0.50630782169890665</v>
      </c>
      <c r="S14" s="21">
        <f t="shared" si="5"/>
        <v>0.81276798475464507</v>
      </c>
      <c r="T14" s="21">
        <f t="shared" si="5"/>
        <v>0.60634093011521317</v>
      </c>
      <c r="U14" s="32"/>
      <c r="V14" s="28">
        <f>SUM(T14/S14)-1</f>
        <v>-0.25398029758978169</v>
      </c>
    </row>
    <row r="15" spans="1:22" ht="2.25" customHeight="1" x14ac:dyDescent="0.25">
      <c r="B15" s="37" t="s">
        <v>12</v>
      </c>
      <c r="C15" s="35">
        <v>49</v>
      </c>
      <c r="D15" s="35">
        <v>2777</v>
      </c>
      <c r="E15" s="35">
        <v>7833</v>
      </c>
      <c r="G15" s="35"/>
      <c r="H15" s="35"/>
      <c r="I15" s="35"/>
      <c r="J15" s="35"/>
      <c r="K15" s="35"/>
      <c r="L15" s="35">
        <v>-28777</v>
      </c>
      <c r="M15" s="35">
        <v>-27879</v>
      </c>
      <c r="N15" s="35"/>
      <c r="O15" s="35">
        <v>-19934</v>
      </c>
      <c r="P15" s="35">
        <v>-61402</v>
      </c>
      <c r="Q15" s="35"/>
      <c r="S15" s="38"/>
      <c r="T15" s="38"/>
      <c r="U15" s="38"/>
      <c r="V15" s="103"/>
    </row>
    <row r="16" spans="1:22" x14ac:dyDescent="0.25">
      <c r="B16" s="39" t="s">
        <v>5</v>
      </c>
      <c r="C16" s="23"/>
      <c r="D16" s="23"/>
      <c r="E16" s="23"/>
      <c r="G16" s="23"/>
      <c r="H16" s="23"/>
      <c r="I16" s="23"/>
      <c r="J16" s="25"/>
      <c r="K16" s="23"/>
      <c r="L16" s="23"/>
      <c r="M16" s="23"/>
      <c r="N16" s="25"/>
      <c r="O16" s="23"/>
      <c r="P16" s="23"/>
      <c r="Q16" s="23"/>
      <c r="S16" s="26"/>
      <c r="T16" s="26"/>
      <c r="U16" s="26"/>
      <c r="V16" s="43"/>
    </row>
    <row r="17" spans="2:22" x14ac:dyDescent="0.25">
      <c r="B17" s="87" t="s">
        <v>6</v>
      </c>
      <c r="C17" s="23">
        <v>-26928</v>
      </c>
      <c r="D17" s="23">
        <v>-59952</v>
      </c>
      <c r="E17" s="23">
        <v>-52768</v>
      </c>
      <c r="G17" s="90">
        <v>-13927</v>
      </c>
      <c r="H17" s="90">
        <v>-12747</v>
      </c>
      <c r="I17" s="90">
        <v>-17365</v>
      </c>
      <c r="J17" s="90">
        <v>-15913</v>
      </c>
      <c r="K17" s="90">
        <v>-13707</v>
      </c>
      <c r="L17" s="90">
        <v>-13219</v>
      </c>
      <c r="M17" s="90">
        <v>-13056</v>
      </c>
      <c r="N17" s="90">
        <v>-12786</v>
      </c>
      <c r="O17" s="90">
        <v>-11471</v>
      </c>
      <c r="P17" s="90">
        <v>-11870</v>
      </c>
      <c r="Q17" s="90">
        <v>-12752</v>
      </c>
      <c r="S17" s="26">
        <f t="shared" ref="S17:S20" si="6">SUM(J17:M17)</f>
        <v>-55895</v>
      </c>
      <c r="T17" s="26">
        <f t="shared" ref="T17:T20" si="7">SUM(N17:Q17)</f>
        <v>-48879</v>
      </c>
      <c r="U17" s="26"/>
      <c r="V17" s="28">
        <f t="shared" ref="V17:V20" si="8">SUM(T17/S17)-1</f>
        <v>-0.12552106628499871</v>
      </c>
    </row>
    <row r="18" spans="2:22" x14ac:dyDescent="0.25">
      <c r="B18" s="87" t="s">
        <v>7</v>
      </c>
      <c r="C18" s="23">
        <v>-13774</v>
      </c>
      <c r="D18" s="23">
        <v>-53980</v>
      </c>
      <c r="E18" s="23">
        <v>-27744</v>
      </c>
      <c r="G18" s="90">
        <v>-13035</v>
      </c>
      <c r="H18" s="90">
        <v>-14272</v>
      </c>
      <c r="I18" s="90">
        <v>-15987</v>
      </c>
      <c r="J18" s="90">
        <v>-10686</v>
      </c>
      <c r="K18" s="90">
        <v>-9013</v>
      </c>
      <c r="L18" s="90">
        <v>-5747</v>
      </c>
      <c r="M18" s="90">
        <v>-6047</v>
      </c>
      <c r="N18" s="90">
        <v>-6937</v>
      </c>
      <c r="O18" s="90">
        <v>-6614</v>
      </c>
      <c r="P18" s="90">
        <v>-6205</v>
      </c>
      <c r="Q18" s="90">
        <v>-5798</v>
      </c>
      <c r="S18" s="26">
        <f t="shared" si="6"/>
        <v>-31493</v>
      </c>
      <c r="T18" s="26">
        <f t="shared" si="7"/>
        <v>-25554</v>
      </c>
      <c r="U18" s="26"/>
      <c r="V18" s="28">
        <f t="shared" si="8"/>
        <v>-0.18858158955958471</v>
      </c>
    </row>
    <row r="19" spans="2:22" x14ac:dyDescent="0.25">
      <c r="B19" s="87" t="s">
        <v>8</v>
      </c>
      <c r="C19" s="23">
        <v>0</v>
      </c>
      <c r="D19" s="23">
        <v>-5377</v>
      </c>
      <c r="E19" s="23">
        <v>0</v>
      </c>
      <c r="G19" s="90"/>
      <c r="H19" s="90"/>
      <c r="I19" s="90"/>
      <c r="J19" s="90">
        <v>-5377</v>
      </c>
      <c r="K19" s="90"/>
      <c r="L19" s="90"/>
      <c r="M19" s="90"/>
      <c r="N19" s="90">
        <v>0</v>
      </c>
      <c r="O19" s="90"/>
      <c r="P19" s="90"/>
      <c r="Q19" s="90"/>
      <c r="S19" s="26">
        <f t="shared" si="6"/>
        <v>-5377</v>
      </c>
      <c r="T19" s="26">
        <f t="shared" si="7"/>
        <v>0</v>
      </c>
      <c r="U19" s="26"/>
      <c r="V19" s="28">
        <f t="shared" si="8"/>
        <v>-1</v>
      </c>
    </row>
    <row r="20" spans="2:22" x14ac:dyDescent="0.25">
      <c r="B20" s="87" t="s">
        <v>9</v>
      </c>
      <c r="C20" s="23">
        <v>0</v>
      </c>
      <c r="D20" s="23">
        <v>0</v>
      </c>
      <c r="E20" s="23">
        <v>-991</v>
      </c>
      <c r="G20" s="90"/>
      <c r="H20" s="90"/>
      <c r="I20" s="90"/>
      <c r="J20" s="90">
        <v>0</v>
      </c>
      <c r="K20" s="90">
        <v>-991</v>
      </c>
      <c r="L20" s="90"/>
      <c r="M20" s="90">
        <v>0</v>
      </c>
      <c r="N20" s="90">
        <v>0</v>
      </c>
      <c r="O20" s="90">
        <v>0</v>
      </c>
      <c r="P20" s="90">
        <v>0</v>
      </c>
      <c r="Q20" s="90">
        <v>0</v>
      </c>
      <c r="S20" s="26">
        <f t="shared" si="6"/>
        <v>-991</v>
      </c>
      <c r="T20" s="26">
        <f t="shared" si="7"/>
        <v>0</v>
      </c>
      <c r="U20" s="26"/>
      <c r="V20" s="28">
        <f t="shared" si="8"/>
        <v>-1</v>
      </c>
    </row>
    <row r="21" spans="2:22" x14ac:dyDescent="0.25">
      <c r="B21" s="40" t="s">
        <v>137</v>
      </c>
      <c r="C21" s="30">
        <f>SUM(C12+SUM(C17:C20))</f>
        <v>-34129</v>
      </c>
      <c r="D21" s="30">
        <f t="shared" ref="D21:E21" si="9">SUM(D12+SUM(D17:D20))</f>
        <v>-109080</v>
      </c>
      <c r="E21" s="30">
        <f t="shared" si="9"/>
        <v>-72295</v>
      </c>
      <c r="G21" s="30">
        <f t="shared" ref="G21" si="10">SUM(G12+SUM(G17:G20))</f>
        <v>-25272</v>
      </c>
      <c r="H21" s="30">
        <f t="shared" ref="H21" si="11">SUM(H12+SUM(H17:H20))</f>
        <v>-25758</v>
      </c>
      <c r="I21" s="30">
        <f t="shared" ref="I21" si="12">SUM(I12+SUM(I17:I20))</f>
        <v>-31324</v>
      </c>
      <c r="J21" s="30">
        <f t="shared" ref="J21" si="13">SUM(J12+SUM(J17:J20))</f>
        <v>-26726</v>
      </c>
      <c r="K21" s="30">
        <f t="shared" ref="K21" si="14">SUM(K12+SUM(K17:K20))</f>
        <v>-22020</v>
      </c>
      <c r="L21" s="30">
        <f t="shared" ref="L21" si="15">SUM(L12+SUM(L17:L20))</f>
        <v>-16236</v>
      </c>
      <c r="M21" s="30">
        <f t="shared" ref="M21" si="16">SUM(M12+SUM(M17:M20))</f>
        <v>-16832</v>
      </c>
      <c r="N21" s="30">
        <f t="shared" ref="N21" si="17">SUM(N12+SUM(N17:N20))</f>
        <v>-17207</v>
      </c>
      <c r="O21" s="30">
        <f t="shared" ref="O21" si="18">SUM(O12+SUM(O17:O20))</f>
        <v>-16585</v>
      </c>
      <c r="P21" s="30">
        <f t="shared" ref="P21" si="19">SUM(P12+SUM(P17:P20))</f>
        <v>-16085</v>
      </c>
      <c r="Q21" s="30">
        <f t="shared" ref="Q21" si="20">SUM(Q12+SUM(Q17:Q20))</f>
        <v>-17346</v>
      </c>
      <c r="S21" s="30">
        <f>SUM(S12+SUM(S17:S20))</f>
        <v>-81814</v>
      </c>
      <c r="T21" s="30">
        <f t="shared" ref="T21" si="21">SUM(T12+SUM(T17:T20))</f>
        <v>-67223</v>
      </c>
      <c r="U21" s="32"/>
      <c r="V21" s="33">
        <f>SUM(T21/S21)-1</f>
        <v>-0.17834355978194438</v>
      </c>
    </row>
    <row r="22" spans="2:22" x14ac:dyDescent="0.25">
      <c r="B22" s="34" t="s">
        <v>110</v>
      </c>
      <c r="C22" s="41"/>
      <c r="D22" s="21">
        <f>D21/C21-1</f>
        <v>2.1961088810102845</v>
      </c>
      <c r="E22" s="21">
        <f>E21/D21-1</f>
        <v>-0.33722955628896223</v>
      </c>
      <c r="F22" s="21"/>
      <c r="H22" s="21">
        <f t="shared" ref="H22:Q22" si="22">H21/G21-1</f>
        <v>1.9230769230769162E-2</v>
      </c>
      <c r="I22" s="21">
        <f t="shared" si="22"/>
        <v>0.21608820560602537</v>
      </c>
      <c r="J22" s="21">
        <f t="shared" si="22"/>
        <v>-0.14678840505682544</v>
      </c>
      <c r="K22" s="21">
        <f t="shared" si="22"/>
        <v>-0.17608321484696554</v>
      </c>
      <c r="L22" s="21">
        <f t="shared" si="22"/>
        <v>-0.26267029972752043</v>
      </c>
      <c r="M22" s="21">
        <f t="shared" si="22"/>
        <v>3.6708548903670923E-2</v>
      </c>
      <c r="N22" s="21">
        <f t="shared" si="22"/>
        <v>2.227899239543718E-2</v>
      </c>
      <c r="O22" s="21">
        <f t="shared" si="22"/>
        <v>-3.614807927006447E-2</v>
      </c>
      <c r="P22" s="21">
        <f t="shared" si="22"/>
        <v>-3.0147723846849606E-2</v>
      </c>
      <c r="Q22" s="21">
        <f t="shared" si="22"/>
        <v>7.839602113770594E-2</v>
      </c>
      <c r="T22" s="21">
        <f>T21/S21-1</f>
        <v>-0.17834355978194438</v>
      </c>
      <c r="U22" s="42"/>
      <c r="V22" s="43"/>
    </row>
    <row r="23" spans="2:22" x14ac:dyDescent="0.25">
      <c r="B23" s="34" t="s">
        <v>138</v>
      </c>
      <c r="C23" s="21">
        <f>SUM(C21/C10)</f>
        <v>-4.1641044411908252</v>
      </c>
      <c r="D23" s="21">
        <f t="shared" ref="D23:T23" si="23">SUM(D21/D10)</f>
        <v>-8.3254464967180581</v>
      </c>
      <c r="E23" s="21">
        <f t="shared" si="23"/>
        <v>-6.0205696202531644</v>
      </c>
      <c r="F23" s="21"/>
      <c r="G23" s="21">
        <f t="shared" si="23"/>
        <v>-12.011406844106464</v>
      </c>
      <c r="H23" s="21">
        <f t="shared" si="23"/>
        <v>-12.070290534208061</v>
      </c>
      <c r="I23" s="21">
        <f t="shared" si="23"/>
        <v>-11.171184022824537</v>
      </c>
      <c r="J23" s="21">
        <f t="shared" si="23"/>
        <v>-4.4102310231023099</v>
      </c>
      <c r="K23" s="21">
        <f t="shared" si="23"/>
        <v>-10.004543389368468</v>
      </c>
      <c r="L23" s="21">
        <f t="shared" si="23"/>
        <v>-4.8800721370604148</v>
      </c>
      <c r="M23" s="21">
        <f t="shared" si="23"/>
        <v>-5.4209339774557161</v>
      </c>
      <c r="N23" s="21">
        <f t="shared" si="23"/>
        <v>-5.09837037037037</v>
      </c>
      <c r="O23" s="21">
        <f t="shared" si="23"/>
        <v>-5.4341415465268676</v>
      </c>
      <c r="P23" s="21">
        <f t="shared" si="23"/>
        <v>-5.2122488658457549</v>
      </c>
      <c r="Q23" s="21">
        <f t="shared" si="23"/>
        <v>-7.2943650126156436</v>
      </c>
      <c r="S23" s="21">
        <f t="shared" si="23"/>
        <v>-5.5682297692778873</v>
      </c>
      <c r="T23" s="21">
        <f t="shared" si="23"/>
        <v>-5.6532671768564464</v>
      </c>
      <c r="U23" s="42"/>
      <c r="V23" s="28">
        <f>SUM(T23/S23)-1</f>
        <v>1.5271892702370948E-2</v>
      </c>
    </row>
    <row r="24" spans="2:22" ht="2.25" customHeight="1" x14ac:dyDescent="0.25">
      <c r="B24" s="37" t="s">
        <v>12</v>
      </c>
      <c r="C24" s="35">
        <v>49</v>
      </c>
      <c r="D24" s="35">
        <v>2777</v>
      </c>
      <c r="E24" s="35">
        <v>7833</v>
      </c>
      <c r="G24" s="35"/>
      <c r="H24" s="35"/>
      <c r="I24" s="35"/>
      <c r="J24" s="35"/>
      <c r="K24" s="35"/>
      <c r="L24" s="35">
        <v>-28777</v>
      </c>
      <c r="M24" s="35">
        <v>-27879</v>
      </c>
      <c r="N24" s="35"/>
      <c r="O24" s="35">
        <v>-19934</v>
      </c>
      <c r="P24" s="35">
        <v>-61402</v>
      </c>
      <c r="Q24" s="35"/>
      <c r="S24" s="38"/>
      <c r="T24" s="38"/>
      <c r="U24" s="38"/>
      <c r="V24" s="103"/>
    </row>
    <row r="25" spans="2:22" x14ac:dyDescent="0.25">
      <c r="B25" s="39" t="s">
        <v>10</v>
      </c>
      <c r="C25" s="41"/>
      <c r="D25" s="21"/>
      <c r="E25" s="21"/>
      <c r="F25" s="21"/>
      <c r="H25" s="21"/>
      <c r="I25" s="21"/>
      <c r="J25" s="21"/>
      <c r="K25" s="21"/>
      <c r="L25" s="21"/>
      <c r="M25" s="21"/>
      <c r="N25" s="21"/>
      <c r="O25" s="21"/>
      <c r="P25" s="21"/>
      <c r="Q25" s="21"/>
      <c r="T25" s="21"/>
      <c r="U25" s="42"/>
      <c r="V25" s="43"/>
    </row>
    <row r="26" spans="2:22" x14ac:dyDescent="0.25">
      <c r="B26" s="87" t="s">
        <v>11</v>
      </c>
      <c r="C26" s="23">
        <v>-2465</v>
      </c>
      <c r="D26" s="23">
        <v>-5286</v>
      </c>
      <c r="E26" s="23">
        <v>-5779</v>
      </c>
      <c r="G26" s="90">
        <v>-1205</v>
      </c>
      <c r="H26" s="90">
        <v>-1040</v>
      </c>
      <c r="I26" s="90">
        <v>-1436</v>
      </c>
      <c r="J26" s="90">
        <v>-1605</v>
      </c>
      <c r="K26" s="90">
        <v>-1464</v>
      </c>
      <c r="L26" s="90">
        <v>-1574</v>
      </c>
      <c r="M26" s="90">
        <v>-1473</v>
      </c>
      <c r="N26" s="90">
        <v>-1268</v>
      </c>
      <c r="O26" s="90">
        <v>-1107</v>
      </c>
      <c r="P26" s="90">
        <v>-969</v>
      </c>
      <c r="Q26" s="90">
        <v>-733</v>
      </c>
      <c r="S26" s="26">
        <f t="shared" ref="S26:S27" si="24">SUM(J26:M26)</f>
        <v>-6116</v>
      </c>
      <c r="T26" s="26">
        <f t="shared" ref="T26:T27" si="25">SUM(N26:Q26)</f>
        <v>-4077</v>
      </c>
      <c r="U26" s="42"/>
      <c r="V26" s="28">
        <f t="shared" ref="V26:V33" si="26">SUM(T26/S26)-1</f>
        <v>-0.33338783518639636</v>
      </c>
    </row>
    <row r="27" spans="2:22" x14ac:dyDescent="0.25">
      <c r="B27" s="87" t="s">
        <v>12</v>
      </c>
      <c r="C27" s="23">
        <v>10</v>
      </c>
      <c r="D27" s="23">
        <v>2433</v>
      </c>
      <c r="E27" s="23">
        <v>5076</v>
      </c>
      <c r="G27" s="90">
        <v>0</v>
      </c>
      <c r="H27" s="90"/>
      <c r="I27" s="90">
        <v>1042</v>
      </c>
      <c r="J27" s="90">
        <v>1391</v>
      </c>
      <c r="K27" s="90">
        <v>1284</v>
      </c>
      <c r="L27" s="90">
        <v>1199</v>
      </c>
      <c r="M27" s="90">
        <v>1263</v>
      </c>
      <c r="N27" s="90">
        <v>1330</v>
      </c>
      <c r="O27" s="90">
        <v>1123</v>
      </c>
      <c r="P27" s="90">
        <v>1218</v>
      </c>
      <c r="Q27" s="90">
        <v>1226</v>
      </c>
      <c r="S27" s="26">
        <f t="shared" si="24"/>
        <v>5137</v>
      </c>
      <c r="T27" s="26">
        <f t="shared" si="25"/>
        <v>4897</v>
      </c>
      <c r="U27" s="42"/>
      <c r="V27" s="28">
        <f t="shared" si="26"/>
        <v>-4.6719875413665513E-2</v>
      </c>
    </row>
    <row r="28" spans="2:22" x14ac:dyDescent="0.25">
      <c r="B28" s="87" t="s">
        <v>13</v>
      </c>
      <c r="C28" s="23">
        <v>-1664</v>
      </c>
      <c r="D28" s="23">
        <v>22132</v>
      </c>
      <c r="E28" s="23">
        <v>-1160</v>
      </c>
      <c r="G28" s="90">
        <v>3771</v>
      </c>
      <c r="H28" s="90">
        <v>7980</v>
      </c>
      <c r="I28" s="90">
        <v>8103</v>
      </c>
      <c r="J28" s="90">
        <v>2278</v>
      </c>
      <c r="K28" s="90">
        <v>-873</v>
      </c>
      <c r="L28" s="90">
        <v>-5</v>
      </c>
      <c r="M28" s="90">
        <v>-3442</v>
      </c>
      <c r="N28" s="90">
        <v>3160</v>
      </c>
      <c r="O28" s="90">
        <v>-2583</v>
      </c>
      <c r="P28" s="90">
        <v>2100</v>
      </c>
      <c r="Q28" s="90">
        <v>1200</v>
      </c>
      <c r="S28" s="26">
        <f t="shared" ref="S28:S31" si="27">SUM(J28:M28)</f>
        <v>-2042</v>
      </c>
      <c r="T28" s="26">
        <f t="shared" ref="T28:T31" si="28">SUM(N28:Q28)</f>
        <v>3877</v>
      </c>
      <c r="U28" s="42"/>
      <c r="V28" s="28">
        <f t="shared" si="26"/>
        <v>-2.8986287952987269</v>
      </c>
    </row>
    <row r="29" spans="2:22" x14ac:dyDescent="0.25">
      <c r="B29" s="87" t="s">
        <v>14</v>
      </c>
      <c r="C29" s="23"/>
      <c r="D29" s="23">
        <v>19207</v>
      </c>
      <c r="E29" s="23">
        <v>-949</v>
      </c>
      <c r="G29" s="90">
        <v>5991</v>
      </c>
      <c r="H29" s="90">
        <v>6566</v>
      </c>
      <c r="I29" s="90">
        <v>4860</v>
      </c>
      <c r="J29" s="90">
        <v>1790</v>
      </c>
      <c r="K29" s="90">
        <v>-281</v>
      </c>
      <c r="L29" s="90">
        <v>-350</v>
      </c>
      <c r="M29" s="90">
        <v>-1731</v>
      </c>
      <c r="N29" s="90">
        <v>1413</v>
      </c>
      <c r="O29" s="90">
        <v>-1621</v>
      </c>
      <c r="P29" s="90">
        <v>1315</v>
      </c>
      <c r="Q29" s="90">
        <v>820</v>
      </c>
      <c r="S29" s="26">
        <f t="shared" si="27"/>
        <v>-572</v>
      </c>
      <c r="T29" s="26">
        <f t="shared" si="28"/>
        <v>1927</v>
      </c>
      <c r="U29" s="42"/>
      <c r="V29" s="28">
        <f t="shared" si="26"/>
        <v>-4.3688811188811183</v>
      </c>
    </row>
    <row r="30" spans="2:22" x14ac:dyDescent="0.25">
      <c r="B30" s="87" t="s">
        <v>15</v>
      </c>
      <c r="C30" s="23"/>
      <c r="D30" s="23">
        <v>-927</v>
      </c>
      <c r="E30" s="23">
        <v>0</v>
      </c>
      <c r="G30" s="90">
        <v>-927</v>
      </c>
      <c r="H30" s="90"/>
      <c r="I30" s="90"/>
      <c r="J30" s="90">
        <v>0</v>
      </c>
      <c r="K30" s="90">
        <v>0</v>
      </c>
      <c r="L30" s="90">
        <v>0</v>
      </c>
      <c r="M30" s="90">
        <v>0</v>
      </c>
      <c r="N30" s="90">
        <v>0</v>
      </c>
      <c r="O30" s="90"/>
      <c r="P30" s="90"/>
      <c r="Q30" s="90"/>
      <c r="S30" s="26">
        <f t="shared" si="27"/>
        <v>0</v>
      </c>
      <c r="T30" s="26">
        <f t="shared" si="28"/>
        <v>0</v>
      </c>
      <c r="U30" s="42"/>
      <c r="V30" s="28" t="e">
        <f t="shared" si="26"/>
        <v>#DIV/0!</v>
      </c>
    </row>
    <row r="31" spans="2:22" x14ac:dyDescent="0.25">
      <c r="B31" s="87" t="s">
        <v>86</v>
      </c>
      <c r="C31" s="23">
        <v>7</v>
      </c>
      <c r="D31" s="23"/>
      <c r="E31" s="23"/>
      <c r="G31" s="90"/>
      <c r="H31" s="90"/>
      <c r="I31" s="90"/>
      <c r="J31" s="90">
        <v>0</v>
      </c>
      <c r="K31" s="90"/>
      <c r="L31" s="90">
        <v>0</v>
      </c>
      <c r="M31" s="90">
        <v>0</v>
      </c>
      <c r="N31" s="90">
        <v>0</v>
      </c>
      <c r="O31" s="90"/>
      <c r="P31" s="90"/>
      <c r="Q31" s="90"/>
      <c r="S31" s="26">
        <f t="shared" si="27"/>
        <v>0</v>
      </c>
      <c r="T31" s="26">
        <f t="shared" si="28"/>
        <v>0</v>
      </c>
      <c r="U31" s="42"/>
      <c r="V31" s="28" t="e">
        <f t="shared" si="26"/>
        <v>#DIV/0!</v>
      </c>
    </row>
    <row r="32" spans="2:22" x14ac:dyDescent="0.25">
      <c r="B32" s="40" t="s">
        <v>16</v>
      </c>
      <c r="C32" s="4">
        <f>SUM(C26:C31)+C21</f>
        <v>-38241</v>
      </c>
      <c r="D32" s="4">
        <f t="shared" ref="D32:E32" si="29">SUM(D26:D31)+D21</f>
        <v>-71521</v>
      </c>
      <c r="E32" s="4">
        <f t="shared" si="29"/>
        <v>-75107</v>
      </c>
      <c r="F32" s="21"/>
      <c r="G32" s="4">
        <f t="shared" ref="G32" si="30">SUM(G26:G31)+G21</f>
        <v>-17642</v>
      </c>
      <c r="H32" s="4">
        <f t="shared" ref="H32" si="31">SUM(H26:H31)+H21</f>
        <v>-12252</v>
      </c>
      <c r="I32" s="4">
        <f t="shared" ref="I32" si="32">SUM(I26:I31)+I21</f>
        <v>-18755</v>
      </c>
      <c r="J32" s="4">
        <f t="shared" ref="J32" si="33">SUM(J26:J31)+J21</f>
        <v>-22872</v>
      </c>
      <c r="K32" s="4">
        <f t="shared" ref="K32" si="34">SUM(K26:K31)+K21</f>
        <v>-23354</v>
      </c>
      <c r="L32" s="4">
        <f t="shared" ref="L32" si="35">SUM(L26:L31)+L21</f>
        <v>-16966</v>
      </c>
      <c r="M32" s="4">
        <f t="shared" ref="M32" si="36">SUM(M26:M31)+M21</f>
        <v>-22215</v>
      </c>
      <c r="N32" s="4">
        <f t="shared" ref="N32" si="37">SUM(N26:N31)+N21</f>
        <v>-12572</v>
      </c>
      <c r="O32" s="4">
        <f t="shared" ref="O32" si="38">SUM(O26:O31)+O21</f>
        <v>-20773</v>
      </c>
      <c r="P32" s="4">
        <f t="shared" ref="P32" si="39">SUM(P26:P31)+P21</f>
        <v>-12421</v>
      </c>
      <c r="Q32" s="4">
        <f t="shared" ref="Q32" si="40">SUM(Q26:Q31)+Q21</f>
        <v>-14833</v>
      </c>
      <c r="S32" s="30">
        <f>SUM(S21+SUM(S26:S31))</f>
        <v>-85407</v>
      </c>
      <c r="T32" s="30">
        <f t="shared" ref="T32" si="41">SUM(T21+SUM(T26:T31))</f>
        <v>-60599</v>
      </c>
      <c r="U32" s="42"/>
      <c r="V32" s="33">
        <f>SUM(T32/S32)-1</f>
        <v>-0.29046799442668636</v>
      </c>
    </row>
    <row r="33" spans="1:22" x14ac:dyDescent="0.25">
      <c r="B33" s="88" t="s">
        <v>17</v>
      </c>
      <c r="C33" s="23">
        <v>0</v>
      </c>
      <c r="D33" s="23">
        <v>0</v>
      </c>
      <c r="E33" s="23">
        <v>0</v>
      </c>
      <c r="F33" s="21"/>
      <c r="G33" s="23">
        <v>0</v>
      </c>
      <c r="H33" s="23">
        <v>0</v>
      </c>
      <c r="I33" s="23">
        <v>0</v>
      </c>
      <c r="J33" s="23">
        <v>0</v>
      </c>
      <c r="K33" s="23">
        <v>0</v>
      </c>
      <c r="L33" s="23">
        <v>0</v>
      </c>
      <c r="M33" s="23">
        <v>0</v>
      </c>
      <c r="N33" s="23">
        <v>0</v>
      </c>
      <c r="O33" s="23">
        <v>0</v>
      </c>
      <c r="P33" s="23">
        <v>0</v>
      </c>
      <c r="Q33" s="23">
        <v>0</v>
      </c>
      <c r="S33" s="26">
        <f t="shared" ref="S33" si="42">SUM(J33:M33)</f>
        <v>0</v>
      </c>
      <c r="T33" s="26">
        <f t="shared" ref="T33" si="43">SUM(N33:Q33)</f>
        <v>0</v>
      </c>
      <c r="U33" s="42"/>
      <c r="V33" s="28" t="e">
        <f t="shared" si="26"/>
        <v>#DIV/0!</v>
      </c>
    </row>
    <row r="34" spans="1:22" x14ac:dyDescent="0.25">
      <c r="B34" s="40" t="s">
        <v>18</v>
      </c>
      <c r="C34" s="4">
        <f>SUM(C32+C33)</f>
        <v>-38241</v>
      </c>
      <c r="D34" s="4">
        <f t="shared" ref="D34:E34" si="44">SUM(D32+D33)</f>
        <v>-71521</v>
      </c>
      <c r="E34" s="4">
        <f t="shared" si="44"/>
        <v>-75107</v>
      </c>
      <c r="F34" s="2"/>
      <c r="G34" s="4">
        <f t="shared" ref="G34" si="45">SUM(G32+G33)</f>
        <v>-17642</v>
      </c>
      <c r="H34" s="4">
        <f t="shared" ref="H34" si="46">SUM(H32+H33)</f>
        <v>-12252</v>
      </c>
      <c r="I34" s="4">
        <f t="shared" ref="I34" si="47">SUM(I32+I33)</f>
        <v>-18755</v>
      </c>
      <c r="J34" s="4">
        <f t="shared" ref="J34" si="48">SUM(J32+J33)</f>
        <v>-22872</v>
      </c>
      <c r="K34" s="4">
        <f t="shared" ref="K34" si="49">SUM(K32+K33)</f>
        <v>-23354</v>
      </c>
      <c r="L34" s="4">
        <f t="shared" ref="L34" si="50">SUM(L32+L33)</f>
        <v>-16966</v>
      </c>
      <c r="M34" s="4">
        <f t="shared" ref="M34" si="51">SUM(M32+M33)</f>
        <v>-22215</v>
      </c>
      <c r="N34" s="4">
        <f t="shared" ref="N34" si="52">SUM(N32+N33)</f>
        <v>-12572</v>
      </c>
      <c r="O34" s="4">
        <f t="shared" ref="O34" si="53">SUM(O32+O33)</f>
        <v>-20773</v>
      </c>
      <c r="P34" s="4">
        <f t="shared" ref="P34" si="54">SUM(P32+P33)</f>
        <v>-12421</v>
      </c>
      <c r="Q34" s="4">
        <f t="shared" ref="Q34" si="55">SUM(Q32+Q33)</f>
        <v>-14833</v>
      </c>
      <c r="R34" s="86"/>
      <c r="S34" s="4">
        <f t="shared" ref="S34" si="56">SUM(S32+S33)</f>
        <v>-85407</v>
      </c>
      <c r="T34" s="4">
        <f t="shared" ref="T34" si="57">SUM(T32+T33)</f>
        <v>-60599</v>
      </c>
      <c r="U34" s="1">
        <f t="shared" ref="U34" si="58">SUM(U33-U32)</f>
        <v>0</v>
      </c>
      <c r="V34" s="33">
        <f>SUM(T34/S34)-1</f>
        <v>-0.29046799442668636</v>
      </c>
    </row>
    <row r="35" spans="1:22" x14ac:dyDescent="0.25">
      <c r="B35" s="34" t="s">
        <v>110</v>
      </c>
      <c r="C35" s="41"/>
      <c r="D35" s="21">
        <f>D34/C34-1</f>
        <v>0.87027012891922273</v>
      </c>
      <c r="E35" s="21">
        <f>E34/D34-1</f>
        <v>5.0139119978747537E-2</v>
      </c>
      <c r="F35" s="21"/>
      <c r="H35" s="21">
        <f t="shared" ref="H35" si="59">H34/G34-1</f>
        <v>-0.3055209159959188</v>
      </c>
      <c r="I35" s="21">
        <f t="shared" ref="I35" si="60">I34/H34-1</f>
        <v>0.53077048645119174</v>
      </c>
      <c r="J35" s="21">
        <f t="shared" ref="J35" si="61">J34/I34-1</f>
        <v>0.21951479605438551</v>
      </c>
      <c r="K35" s="21">
        <f t="shared" ref="K35" si="62">K34/J34-1</f>
        <v>2.1073802028681365E-2</v>
      </c>
      <c r="L35" s="21">
        <f t="shared" ref="L35" si="63">L34/K34-1</f>
        <v>-0.27352915988695725</v>
      </c>
      <c r="M35" s="21">
        <f t="shared" ref="M35" si="64">M34/L34-1</f>
        <v>0.30938347282800893</v>
      </c>
      <c r="N35" s="21">
        <f t="shared" ref="N35" si="65">N34/M34-1</f>
        <v>-0.43407607472428544</v>
      </c>
      <c r="O35" s="21">
        <f t="shared" ref="O35" si="66">O34/N34-1</f>
        <v>0.65232262169901367</v>
      </c>
      <c r="P35" s="21">
        <f t="shared" ref="P35" si="67">P34/O34-1</f>
        <v>-0.40206036682231738</v>
      </c>
      <c r="Q35" s="21">
        <f t="shared" ref="Q35" si="68">Q34/P34-1</f>
        <v>0.19418726350535387</v>
      </c>
      <c r="T35" s="21">
        <f>T34/S34-1</f>
        <v>-0.29046799442668636</v>
      </c>
      <c r="U35" s="2"/>
      <c r="V35" s="36"/>
    </row>
    <row r="36" spans="1:22" x14ac:dyDescent="0.25">
      <c r="B36" s="34" t="s">
        <v>139</v>
      </c>
      <c r="C36" s="21">
        <f>SUM(C34/C10)</f>
        <v>-4.6658125915080531</v>
      </c>
      <c r="D36" s="21">
        <f t="shared" ref="D36:T36" si="69">SUM(D34/D10)</f>
        <v>-5.4587849183330786</v>
      </c>
      <c r="E36" s="21">
        <f t="shared" si="69"/>
        <v>-6.2547468354430382</v>
      </c>
      <c r="F36" s="21"/>
      <c r="G36" s="21">
        <f t="shared" si="69"/>
        <v>-8.3849809885931563</v>
      </c>
      <c r="H36" s="21">
        <f t="shared" si="69"/>
        <v>-5.741330834114339</v>
      </c>
      <c r="I36" s="21">
        <f t="shared" si="69"/>
        <v>-6.6886590584878745</v>
      </c>
      <c r="J36" s="21">
        <f t="shared" si="69"/>
        <v>-3.7742574257425741</v>
      </c>
      <c r="K36" s="21">
        <f t="shared" si="69"/>
        <v>-10.610631531122218</v>
      </c>
      <c r="L36" s="21">
        <f t="shared" si="69"/>
        <v>-5.0994890291553956</v>
      </c>
      <c r="M36" s="21">
        <f t="shared" si="69"/>
        <v>-7.1545893719806761</v>
      </c>
      <c r="N36" s="21">
        <f t="shared" si="69"/>
        <v>-3.7250370370370369</v>
      </c>
      <c r="O36" s="21">
        <f t="shared" si="69"/>
        <v>-6.8063564875491478</v>
      </c>
      <c r="P36" s="21">
        <f t="shared" si="69"/>
        <v>-4.0249513933895011</v>
      </c>
      <c r="Q36" s="21">
        <f t="shared" si="69"/>
        <v>-6.2375946173254837</v>
      </c>
      <c r="S36" s="21">
        <f t="shared" si="69"/>
        <v>-5.812767984754645</v>
      </c>
      <c r="T36" s="21">
        <f t="shared" si="69"/>
        <v>-5.096207215541166</v>
      </c>
      <c r="U36" s="42"/>
      <c r="V36" s="28">
        <f t="shared" ref="V36" si="70">SUM(T36/S36)-1</f>
        <v>-0.12327358860577764</v>
      </c>
    </row>
    <row r="37" spans="1:22" ht="15.75" thickBot="1" x14ac:dyDescent="0.3">
      <c r="B37" s="34"/>
      <c r="C37" s="41"/>
      <c r="D37" s="21"/>
      <c r="E37" s="21"/>
      <c r="F37" s="21"/>
      <c r="H37" s="21"/>
      <c r="I37" s="21"/>
      <c r="J37" s="21"/>
      <c r="K37" s="21"/>
      <c r="L37" s="21"/>
      <c r="M37" s="21"/>
      <c r="N37" s="21"/>
      <c r="O37" s="21"/>
      <c r="P37" s="21"/>
      <c r="Q37" s="21"/>
      <c r="T37" s="21"/>
      <c r="U37" s="42"/>
      <c r="V37" s="43"/>
    </row>
    <row r="38" spans="1:22" x14ac:dyDescent="0.25">
      <c r="B38" s="104" t="s">
        <v>84</v>
      </c>
      <c r="C38" s="105">
        <v>-1.64</v>
      </c>
      <c r="D38" s="106">
        <v>-0.7</v>
      </c>
      <c r="E38" s="107">
        <v>-0.56999999999999995</v>
      </c>
      <c r="F38" s="44"/>
      <c r="G38" s="111">
        <v>-0.33</v>
      </c>
      <c r="H38" s="106">
        <v>-0.11</v>
      </c>
      <c r="I38" s="106">
        <v>-0.16</v>
      </c>
      <c r="J38" s="112">
        <f t="shared" ref="J38" si="71">SUM(D38-SUM(G38:I38))</f>
        <v>-9.9999999999999978E-2</v>
      </c>
      <c r="K38" s="113">
        <v>-0.19</v>
      </c>
      <c r="L38" s="106">
        <v>-0.13</v>
      </c>
      <c r="M38" s="106">
        <v>-0.17</v>
      </c>
      <c r="N38" s="112">
        <f t="shared" ref="N38" si="72">SUM(E38-SUM(K38:M38))</f>
        <v>-7.999999999999996E-2</v>
      </c>
      <c r="O38" s="106">
        <v>-0.14000000000000001</v>
      </c>
      <c r="P38" s="106">
        <v>-7.0000000000000007E-2</v>
      </c>
      <c r="Q38" s="107">
        <v>-0.08</v>
      </c>
      <c r="T38" s="21"/>
      <c r="U38" s="42"/>
      <c r="V38" s="43"/>
    </row>
    <row r="39" spans="1:22" ht="15.75" thickBot="1" x14ac:dyDescent="0.3">
      <c r="B39" s="96" t="s">
        <v>85</v>
      </c>
      <c r="C39" s="108">
        <v>23337127</v>
      </c>
      <c r="D39" s="109">
        <v>102300852</v>
      </c>
      <c r="E39" s="110">
        <v>131977</v>
      </c>
      <c r="F39" s="44"/>
      <c r="G39" s="114">
        <v>53691948</v>
      </c>
      <c r="H39" s="109">
        <v>114096390</v>
      </c>
      <c r="I39" s="109">
        <v>118571295</v>
      </c>
      <c r="J39" s="115">
        <f>D39</f>
        <v>102300852</v>
      </c>
      <c r="K39" s="109">
        <v>124778</v>
      </c>
      <c r="L39" s="109">
        <v>128515</v>
      </c>
      <c r="M39" s="109">
        <v>133866</v>
      </c>
      <c r="N39" s="115">
        <f t="shared" ref="N39" si="73">E39</f>
        <v>131977</v>
      </c>
      <c r="O39" s="109">
        <v>151855</v>
      </c>
      <c r="P39" s="109">
        <v>171903</v>
      </c>
      <c r="Q39" s="110">
        <v>188389</v>
      </c>
      <c r="T39" s="21"/>
      <c r="U39" s="42"/>
      <c r="V39" s="43"/>
    </row>
    <row r="40" spans="1:22" x14ac:dyDescent="0.25">
      <c r="B40" s="34"/>
      <c r="C40" s="41"/>
      <c r="D40" s="21"/>
      <c r="E40" s="21"/>
      <c r="F40" s="21"/>
      <c r="H40" s="21"/>
      <c r="I40" s="21"/>
      <c r="J40" s="21"/>
      <c r="K40" s="21"/>
      <c r="L40" s="21"/>
      <c r="M40" s="21"/>
      <c r="N40" s="21"/>
      <c r="O40" s="21"/>
      <c r="P40" s="21"/>
      <c r="Q40" s="21"/>
      <c r="T40" s="21"/>
      <c r="U40" s="42"/>
      <c r="V40" s="43"/>
    </row>
    <row r="41" spans="1:22" x14ac:dyDescent="0.25">
      <c r="A41" s="5" t="s">
        <v>92</v>
      </c>
      <c r="B41" s="6" t="s">
        <v>111</v>
      </c>
      <c r="C41" s="45"/>
      <c r="D41" s="45"/>
      <c r="E41" s="45"/>
      <c r="F41" s="7"/>
      <c r="G41" s="7"/>
      <c r="H41" s="7"/>
      <c r="I41" s="7"/>
      <c r="J41" s="7"/>
      <c r="K41" s="7"/>
      <c r="L41" s="7"/>
      <c r="M41" s="7"/>
      <c r="N41" s="7"/>
      <c r="O41" s="7"/>
      <c r="P41" s="7"/>
      <c r="Q41" s="7"/>
      <c r="R41" s="7"/>
      <c r="S41" s="7"/>
      <c r="T41" s="7"/>
    </row>
    <row r="42" spans="1:22" x14ac:dyDescent="0.25">
      <c r="B42" s="46" t="s">
        <v>112</v>
      </c>
      <c r="C42" s="47"/>
      <c r="D42" s="47"/>
      <c r="E42" s="47"/>
      <c r="F42" s="7"/>
      <c r="G42" s="7"/>
      <c r="H42" s="7"/>
      <c r="I42" s="7"/>
      <c r="J42" s="7"/>
      <c r="K42" s="7"/>
      <c r="L42" s="7"/>
      <c r="M42" s="7"/>
      <c r="N42" s="7"/>
      <c r="O42" s="7"/>
      <c r="P42" s="7"/>
      <c r="Q42" s="7"/>
      <c r="R42" s="7"/>
      <c r="S42" s="7"/>
      <c r="T42" s="7"/>
    </row>
    <row r="43" spans="1:22" ht="3.75" customHeight="1" x14ac:dyDescent="0.25">
      <c r="B43" s="48"/>
      <c r="C43" s="49"/>
      <c r="D43" s="49"/>
      <c r="E43" s="49"/>
    </row>
    <row r="44" spans="1:22" x14ac:dyDescent="0.25">
      <c r="B44" s="39" t="s">
        <v>113</v>
      </c>
      <c r="D44" s="23"/>
      <c r="E44" s="23"/>
    </row>
    <row r="45" spans="1:22" ht="15.75" x14ac:dyDescent="0.25">
      <c r="B45" s="87" t="s">
        <v>19</v>
      </c>
      <c r="C45" s="50">
        <v>11729</v>
      </c>
      <c r="D45" s="50">
        <v>57888</v>
      </c>
      <c r="E45" s="23">
        <v>21392</v>
      </c>
      <c r="G45" s="90">
        <v>206626</v>
      </c>
      <c r="H45" s="90">
        <v>184020</v>
      </c>
      <c r="I45" s="90">
        <v>73837</v>
      </c>
      <c r="J45" s="90">
        <v>57888</v>
      </c>
      <c r="K45" s="90">
        <v>26117</v>
      </c>
      <c r="L45" s="90">
        <v>21712</v>
      </c>
      <c r="M45" s="90">
        <v>41757</v>
      </c>
      <c r="N45" s="90">
        <v>21392</v>
      </c>
      <c r="O45" s="90">
        <v>35098</v>
      </c>
      <c r="P45" s="90">
        <v>20684</v>
      </c>
      <c r="Q45" s="90">
        <v>20286</v>
      </c>
      <c r="S45" s="26">
        <f>SUM(J45:M45)</f>
        <v>147474</v>
      </c>
      <c r="T45" s="26">
        <f>SUM(N45:Q45)</f>
        <v>97460</v>
      </c>
      <c r="U45" s="26"/>
      <c r="V45" s="28">
        <f t="shared" ref="V45:V59" si="74">SUM(T45/S45)-1</f>
        <v>-0.33913774631460458</v>
      </c>
    </row>
    <row r="46" spans="1:22" ht="15.75" x14ac:dyDescent="0.25">
      <c r="B46" s="87" t="s">
        <v>20</v>
      </c>
      <c r="C46" s="50">
        <v>0</v>
      </c>
      <c r="D46" s="50">
        <v>84923</v>
      </c>
      <c r="E46" s="23">
        <v>78537</v>
      </c>
      <c r="G46" s="90">
        <v>0</v>
      </c>
      <c r="H46" s="90"/>
      <c r="I46" s="90">
        <v>87186</v>
      </c>
      <c r="J46" s="90">
        <v>84923</v>
      </c>
      <c r="K46" s="90">
        <v>95849</v>
      </c>
      <c r="L46" s="90">
        <v>83765</v>
      </c>
      <c r="M46" s="90">
        <v>68470</v>
      </c>
      <c r="N46" s="90">
        <v>78537</v>
      </c>
      <c r="O46" s="90">
        <v>67661</v>
      </c>
      <c r="P46" s="90">
        <v>79792</v>
      </c>
      <c r="Q46" s="90">
        <v>72294</v>
      </c>
      <c r="S46" s="26">
        <f t="shared" ref="S46:S50" si="75">SUM(J46:M46)</f>
        <v>333007</v>
      </c>
      <c r="T46" s="26">
        <f t="shared" ref="T46:T50" si="76">SUM(N46:Q46)</f>
        <v>298284</v>
      </c>
      <c r="U46" s="26"/>
      <c r="V46" s="28">
        <f t="shared" si="74"/>
        <v>-0.10427108138867947</v>
      </c>
    </row>
    <row r="47" spans="1:22" ht="15.75" x14ac:dyDescent="0.25">
      <c r="B47" s="87" t="s">
        <v>21</v>
      </c>
      <c r="C47" s="50">
        <v>1543</v>
      </c>
      <c r="D47" s="50">
        <v>6235</v>
      </c>
      <c r="E47" s="23">
        <v>5029</v>
      </c>
      <c r="G47" s="90">
        <v>1261</v>
      </c>
      <c r="H47" s="90">
        <v>2572</v>
      </c>
      <c r="I47" s="90">
        <v>2295</v>
      </c>
      <c r="J47" s="90">
        <v>6235</v>
      </c>
      <c r="K47" s="90">
        <v>5320</v>
      </c>
      <c r="L47" s="90">
        <v>7629</v>
      </c>
      <c r="M47" s="90">
        <v>2996</v>
      </c>
      <c r="N47" s="90">
        <v>5029</v>
      </c>
      <c r="O47" s="90">
        <v>4706</v>
      </c>
      <c r="P47" s="90">
        <v>5232</v>
      </c>
      <c r="Q47" s="90">
        <v>6384</v>
      </c>
      <c r="S47" s="26">
        <f t="shared" si="75"/>
        <v>22180</v>
      </c>
      <c r="T47" s="26">
        <f t="shared" si="76"/>
        <v>21351</v>
      </c>
      <c r="U47" s="26"/>
      <c r="V47" s="28">
        <f t="shared" si="74"/>
        <v>-3.7376014427412119E-2</v>
      </c>
    </row>
    <row r="48" spans="1:22" ht="15.75" x14ac:dyDescent="0.25">
      <c r="B48" s="87" t="s">
        <v>22</v>
      </c>
      <c r="C48" s="50">
        <v>1351</v>
      </c>
      <c r="D48" s="50">
        <v>2450</v>
      </c>
      <c r="E48" s="23">
        <v>2709</v>
      </c>
      <c r="G48" s="90">
        <v>4405</v>
      </c>
      <c r="H48" s="90">
        <v>4248</v>
      </c>
      <c r="I48" s="90">
        <v>3633</v>
      </c>
      <c r="J48" s="90">
        <v>2450</v>
      </c>
      <c r="K48" s="90">
        <v>1756</v>
      </c>
      <c r="L48" s="90">
        <v>3338</v>
      </c>
      <c r="M48" s="90">
        <v>3473</v>
      </c>
      <c r="N48" s="90">
        <v>2709</v>
      </c>
      <c r="O48" s="90">
        <v>2579</v>
      </c>
      <c r="P48" s="90">
        <v>3959</v>
      </c>
      <c r="Q48" s="90">
        <v>4902</v>
      </c>
      <c r="S48" s="26">
        <f t="shared" si="75"/>
        <v>11017</v>
      </c>
      <c r="T48" s="26">
        <f t="shared" si="76"/>
        <v>14149</v>
      </c>
      <c r="U48" s="26"/>
      <c r="V48" s="28">
        <f t="shared" si="74"/>
        <v>0.28428791867114467</v>
      </c>
    </row>
    <row r="49" spans="2:22" ht="15.75" x14ac:dyDescent="0.25">
      <c r="B49" s="87" t="s">
        <v>23</v>
      </c>
      <c r="C49" s="50">
        <v>0</v>
      </c>
      <c r="D49" s="50">
        <v>2229</v>
      </c>
      <c r="E49" s="23">
        <v>0</v>
      </c>
      <c r="G49" s="90">
        <v>2740</v>
      </c>
      <c r="H49" s="90">
        <v>1543</v>
      </c>
      <c r="I49" s="90">
        <v>1930</v>
      </c>
      <c r="J49" s="90">
        <v>2229</v>
      </c>
      <c r="K49" s="90">
        <v>1129</v>
      </c>
      <c r="L49" s="90">
        <v>1085</v>
      </c>
      <c r="M49" s="90"/>
      <c r="N49" s="90">
        <v>0</v>
      </c>
      <c r="O49" s="90"/>
      <c r="P49" s="90"/>
      <c r="Q49" s="90"/>
      <c r="S49" s="26">
        <f t="shared" si="75"/>
        <v>4443</v>
      </c>
      <c r="T49" s="26">
        <f t="shared" si="76"/>
        <v>0</v>
      </c>
      <c r="U49" s="26"/>
      <c r="V49" s="28">
        <f t="shared" si="74"/>
        <v>-1</v>
      </c>
    </row>
    <row r="50" spans="2:22" ht="15.75" x14ac:dyDescent="0.25">
      <c r="B50" s="87" t="s">
        <v>24</v>
      </c>
      <c r="C50" s="50">
        <v>3449</v>
      </c>
      <c r="D50" s="50">
        <v>742</v>
      </c>
      <c r="E50" s="23">
        <v>0</v>
      </c>
      <c r="G50" s="90">
        <v>151</v>
      </c>
      <c r="H50" s="90"/>
      <c r="I50" s="90">
        <v>742</v>
      </c>
      <c r="J50" s="90">
        <v>742</v>
      </c>
      <c r="K50" s="90">
        <v>94</v>
      </c>
      <c r="L50" s="90"/>
      <c r="M50" s="90"/>
      <c r="N50" s="90">
        <v>0</v>
      </c>
      <c r="O50" s="90"/>
      <c r="P50" s="90"/>
      <c r="Q50" s="90"/>
      <c r="S50" s="26">
        <f t="shared" si="75"/>
        <v>836</v>
      </c>
      <c r="T50" s="26">
        <f t="shared" si="76"/>
        <v>0</v>
      </c>
      <c r="U50" s="26"/>
      <c r="V50" s="28">
        <f t="shared" si="74"/>
        <v>-1</v>
      </c>
    </row>
    <row r="51" spans="2:22" x14ac:dyDescent="0.25">
      <c r="B51" s="40" t="s">
        <v>25</v>
      </c>
      <c r="C51" s="52">
        <f>SUM(C45:C50)</f>
        <v>18072</v>
      </c>
      <c r="D51" s="52">
        <f>SUM(D45:D50)</f>
        <v>154467</v>
      </c>
      <c r="E51" s="52">
        <f>SUM(E45:E50)</f>
        <v>107667</v>
      </c>
      <c r="G51" s="52">
        <f t="shared" ref="G51:Q51" si="77">SUM(G45:G50)</f>
        <v>215183</v>
      </c>
      <c r="H51" s="52">
        <f t="shared" si="77"/>
        <v>192383</v>
      </c>
      <c r="I51" s="52">
        <f t="shared" si="77"/>
        <v>169623</v>
      </c>
      <c r="J51" s="52">
        <f t="shared" si="77"/>
        <v>154467</v>
      </c>
      <c r="K51" s="52">
        <f t="shared" si="77"/>
        <v>130265</v>
      </c>
      <c r="L51" s="52">
        <f t="shared" si="77"/>
        <v>117529</v>
      </c>
      <c r="M51" s="52">
        <f t="shared" si="77"/>
        <v>116696</v>
      </c>
      <c r="N51" s="52">
        <f t="shared" si="77"/>
        <v>107667</v>
      </c>
      <c r="O51" s="52">
        <f t="shared" si="77"/>
        <v>110044</v>
      </c>
      <c r="P51" s="52">
        <f t="shared" si="77"/>
        <v>109667</v>
      </c>
      <c r="Q51" s="52">
        <f t="shared" si="77"/>
        <v>103866</v>
      </c>
      <c r="S51" s="52">
        <f t="shared" ref="S51:T51" si="78">SUM(S45:S50)</f>
        <v>518957</v>
      </c>
      <c r="T51" s="52">
        <f t="shared" si="78"/>
        <v>431244</v>
      </c>
      <c r="U51" s="32"/>
      <c r="V51" s="33">
        <f t="shared" si="74"/>
        <v>-0.16901785697080873</v>
      </c>
    </row>
    <row r="52" spans="2:22" ht="15.75" x14ac:dyDescent="0.25">
      <c r="B52" s="39"/>
      <c r="C52" s="53"/>
      <c r="D52" s="54"/>
      <c r="E52" s="55"/>
      <c r="G52" s="55"/>
      <c r="H52" s="55"/>
      <c r="I52" s="55"/>
      <c r="J52" s="55"/>
      <c r="K52" s="55"/>
      <c r="L52" s="55"/>
      <c r="M52" s="55"/>
      <c r="N52" s="55"/>
      <c r="O52" s="55"/>
      <c r="P52" s="55"/>
      <c r="Q52" s="55"/>
      <c r="S52" s="32"/>
      <c r="T52" s="32"/>
      <c r="U52" s="32"/>
      <c r="V52" s="36"/>
    </row>
    <row r="53" spans="2:22" ht="15.75" x14ac:dyDescent="0.25">
      <c r="B53" s="39" t="s">
        <v>114</v>
      </c>
      <c r="C53" s="53"/>
      <c r="D53" s="54"/>
      <c r="E53" s="55"/>
      <c r="G53" s="55"/>
      <c r="H53" s="55"/>
      <c r="I53" s="55"/>
      <c r="J53" s="55"/>
      <c r="K53" s="55"/>
      <c r="L53" s="55"/>
      <c r="M53" s="55"/>
      <c r="N53" s="55"/>
      <c r="O53" s="55"/>
      <c r="P53" s="55"/>
      <c r="Q53" s="55"/>
      <c r="S53" s="32"/>
      <c r="T53" s="32"/>
      <c r="U53" s="32"/>
      <c r="V53" s="36"/>
    </row>
    <row r="54" spans="2:22" ht="15.75" x14ac:dyDescent="0.25">
      <c r="B54" s="87" t="s">
        <v>26</v>
      </c>
      <c r="C54" s="50">
        <v>22497</v>
      </c>
      <c r="D54" s="56">
        <v>39530</v>
      </c>
      <c r="E54" s="57">
        <v>44483</v>
      </c>
      <c r="G54" s="90">
        <v>23943</v>
      </c>
      <c r="H54" s="90">
        <v>30583</v>
      </c>
      <c r="I54" s="90">
        <v>37440</v>
      </c>
      <c r="J54" s="90">
        <v>39530</v>
      </c>
      <c r="K54" s="90">
        <v>42575</v>
      </c>
      <c r="L54" s="90">
        <v>41356</v>
      </c>
      <c r="M54" s="90">
        <v>40348</v>
      </c>
      <c r="N54" s="90">
        <v>44483</v>
      </c>
      <c r="O54" s="90">
        <v>44610</v>
      </c>
      <c r="P54" s="90">
        <v>45651</v>
      </c>
      <c r="Q54" s="90">
        <v>44837</v>
      </c>
      <c r="S54" s="26">
        <f>SUM(J54:M54)</f>
        <v>163809</v>
      </c>
      <c r="T54" s="26">
        <f>SUM(N54:Q54)</f>
        <v>179581</v>
      </c>
      <c r="U54" s="26"/>
      <c r="V54" s="28">
        <f t="shared" si="74"/>
        <v>9.6282866020792612E-2</v>
      </c>
    </row>
    <row r="55" spans="2:22" ht="15.75" x14ac:dyDescent="0.25">
      <c r="B55" s="87" t="s">
        <v>27</v>
      </c>
      <c r="C55" s="50">
        <v>0</v>
      </c>
      <c r="D55" s="56">
        <v>9316</v>
      </c>
      <c r="E55" s="57">
        <v>7634</v>
      </c>
      <c r="G55" s="90"/>
      <c r="H55" s="90"/>
      <c r="I55" s="90"/>
      <c r="J55" s="90">
        <v>9316</v>
      </c>
      <c r="K55" s="90">
        <v>8937</v>
      </c>
      <c r="L55" s="90">
        <v>8552</v>
      </c>
      <c r="M55" s="90">
        <v>8028</v>
      </c>
      <c r="N55" s="90">
        <v>7634</v>
      </c>
      <c r="O55" s="90">
        <v>7243</v>
      </c>
      <c r="P55" s="90">
        <v>6850</v>
      </c>
      <c r="Q55" s="90">
        <v>8369</v>
      </c>
      <c r="S55" s="26">
        <f t="shared" ref="S55:S58" si="79">SUM(J55:M55)</f>
        <v>34833</v>
      </c>
      <c r="T55" s="26">
        <f t="shared" ref="T55:T58" si="80">SUM(N55:Q55)</f>
        <v>30096</v>
      </c>
      <c r="U55" s="26"/>
      <c r="V55" s="28">
        <f t="shared" si="74"/>
        <v>-0.13599173197829639</v>
      </c>
    </row>
    <row r="56" spans="2:22" ht="15.75" x14ac:dyDescent="0.25">
      <c r="B56" s="87" t="s">
        <v>28</v>
      </c>
      <c r="C56" s="50">
        <v>165</v>
      </c>
      <c r="D56" s="56">
        <v>129</v>
      </c>
      <c r="E56" s="57">
        <v>129</v>
      </c>
      <c r="G56" s="90">
        <v>1083</v>
      </c>
      <c r="H56" s="90">
        <v>130</v>
      </c>
      <c r="I56" s="90">
        <v>129</v>
      </c>
      <c r="J56" s="90">
        <v>129</v>
      </c>
      <c r="K56" s="90">
        <v>130</v>
      </c>
      <c r="L56" s="90">
        <v>130</v>
      </c>
      <c r="M56" s="90">
        <v>132</v>
      </c>
      <c r="N56" s="90">
        <v>129</v>
      </c>
      <c r="O56" s="90">
        <v>218</v>
      </c>
      <c r="P56" s="90">
        <v>244</v>
      </c>
      <c r="Q56" s="90">
        <v>178</v>
      </c>
      <c r="S56" s="26">
        <f t="shared" si="79"/>
        <v>521</v>
      </c>
      <c r="T56" s="26">
        <f t="shared" si="80"/>
        <v>769</v>
      </c>
      <c r="U56" s="26"/>
      <c r="V56" s="28">
        <f t="shared" si="74"/>
        <v>0.47600767754318607</v>
      </c>
    </row>
    <row r="57" spans="2:22" ht="15.75" x14ac:dyDescent="0.25">
      <c r="B57" s="87" t="s">
        <v>78</v>
      </c>
      <c r="C57" s="50">
        <v>317</v>
      </c>
      <c r="D57" s="56">
        <v>0</v>
      </c>
      <c r="E57" s="57">
        <v>0</v>
      </c>
      <c r="G57" s="90">
        <v>317</v>
      </c>
      <c r="H57" s="90">
        <v>117</v>
      </c>
      <c r="I57" s="90">
        <v>117</v>
      </c>
      <c r="J57" s="90">
        <v>0</v>
      </c>
      <c r="K57" s="90"/>
      <c r="L57" s="90"/>
      <c r="M57" s="90"/>
      <c r="N57" s="90">
        <v>0</v>
      </c>
      <c r="O57" s="90"/>
      <c r="P57" s="90"/>
      <c r="Q57" s="90">
        <v>0</v>
      </c>
      <c r="S57" s="26">
        <f t="shared" si="79"/>
        <v>0</v>
      </c>
      <c r="T57" s="26">
        <f t="shared" si="80"/>
        <v>0</v>
      </c>
      <c r="U57" s="26"/>
      <c r="V57" s="28" t="e">
        <f t="shared" si="74"/>
        <v>#DIV/0!</v>
      </c>
    </row>
    <row r="58" spans="2:22" ht="15.75" x14ac:dyDescent="0.25">
      <c r="B58" s="87" t="s">
        <v>79</v>
      </c>
      <c r="C58" s="50">
        <v>5377</v>
      </c>
      <c r="D58" s="56">
        <v>0</v>
      </c>
      <c r="E58" s="57">
        <v>0</v>
      </c>
      <c r="G58" s="90">
        <v>5377</v>
      </c>
      <c r="H58" s="90">
        <v>5377</v>
      </c>
      <c r="I58" s="90">
        <v>5377</v>
      </c>
      <c r="J58" s="90">
        <v>0</v>
      </c>
      <c r="K58" s="90"/>
      <c r="L58" s="90"/>
      <c r="M58" s="90"/>
      <c r="N58" s="90">
        <v>0</v>
      </c>
      <c r="O58" s="90"/>
      <c r="P58" s="90"/>
      <c r="Q58" s="90">
        <v>0</v>
      </c>
      <c r="S58" s="26">
        <f t="shared" si="79"/>
        <v>0</v>
      </c>
      <c r="T58" s="26">
        <f t="shared" si="80"/>
        <v>0</v>
      </c>
      <c r="U58" s="26"/>
      <c r="V58" s="28" t="e">
        <f t="shared" si="74"/>
        <v>#DIV/0!</v>
      </c>
    </row>
    <row r="59" spans="2:22" x14ac:dyDescent="0.25">
      <c r="B59" s="40" t="s">
        <v>29</v>
      </c>
      <c r="C59" s="58">
        <f>SUM(C54:C58)+C51</f>
        <v>46428</v>
      </c>
      <c r="D59" s="58">
        <f>SUM(D54:D58)+D51</f>
        <v>203442</v>
      </c>
      <c r="E59" s="58">
        <f>SUM(E54:E58)+E51</f>
        <v>159913</v>
      </c>
      <c r="G59" s="58">
        <f t="shared" ref="G59:Q59" si="81">SUM(G54:G58)+G51</f>
        <v>245903</v>
      </c>
      <c r="H59" s="58">
        <f t="shared" si="81"/>
        <v>228590</v>
      </c>
      <c r="I59" s="58">
        <f t="shared" si="81"/>
        <v>212686</v>
      </c>
      <c r="J59" s="58">
        <f t="shared" si="81"/>
        <v>203442</v>
      </c>
      <c r="K59" s="58">
        <f t="shared" si="81"/>
        <v>181907</v>
      </c>
      <c r="L59" s="58">
        <f t="shared" si="81"/>
        <v>167567</v>
      </c>
      <c r="M59" s="58">
        <f t="shared" si="81"/>
        <v>165204</v>
      </c>
      <c r="N59" s="58">
        <f t="shared" si="81"/>
        <v>159913</v>
      </c>
      <c r="O59" s="58">
        <f t="shared" si="81"/>
        <v>162115</v>
      </c>
      <c r="P59" s="58">
        <f t="shared" si="81"/>
        <v>162412</v>
      </c>
      <c r="Q59" s="58">
        <f t="shared" si="81"/>
        <v>157250</v>
      </c>
      <c r="S59" s="58">
        <f t="shared" ref="S59:T59" si="82">SUM(S54:S58)+S51</f>
        <v>718120</v>
      </c>
      <c r="T59" s="58">
        <f t="shared" si="82"/>
        <v>641690</v>
      </c>
      <c r="U59" s="32"/>
      <c r="V59" s="33">
        <f t="shared" si="74"/>
        <v>-0.106430680109174</v>
      </c>
    </row>
    <row r="60" spans="2:22" ht="15.75" x14ac:dyDescent="0.25">
      <c r="B60" s="39"/>
      <c r="C60" s="59"/>
      <c r="D60" s="59"/>
      <c r="E60" s="55"/>
      <c r="G60" s="55"/>
      <c r="H60" s="55"/>
      <c r="I60" s="55"/>
      <c r="J60" s="55"/>
      <c r="K60" s="55"/>
      <c r="L60" s="55"/>
      <c r="M60" s="55"/>
      <c r="N60" s="55"/>
      <c r="O60" s="55"/>
      <c r="P60" s="55"/>
      <c r="Q60" s="55"/>
      <c r="S60" s="32"/>
      <c r="T60" s="32"/>
      <c r="U60" s="32"/>
      <c r="V60" s="36"/>
    </row>
    <row r="61" spans="2:22" s="61" customFormat="1" ht="15.75" x14ac:dyDescent="0.25">
      <c r="B61" s="39" t="s">
        <v>115</v>
      </c>
      <c r="C61" s="53"/>
      <c r="D61" s="53"/>
      <c r="E61" s="60"/>
      <c r="G61" s="60"/>
      <c r="H61" s="60"/>
      <c r="I61" s="60"/>
      <c r="J61" s="60"/>
      <c r="K61" s="60"/>
      <c r="L61" s="60"/>
      <c r="M61" s="60"/>
      <c r="N61" s="60"/>
      <c r="O61" s="60"/>
      <c r="P61" s="60"/>
      <c r="Q61" s="60"/>
      <c r="S61" s="60"/>
      <c r="T61" s="60"/>
      <c r="U61" s="60"/>
    </row>
    <row r="62" spans="2:22" ht="15.75" x14ac:dyDescent="0.25">
      <c r="B62" s="87" t="s">
        <v>30</v>
      </c>
      <c r="C62" s="50">
        <v>1971</v>
      </c>
      <c r="D62" s="56">
        <v>1938</v>
      </c>
      <c r="E62" s="57">
        <v>5772</v>
      </c>
      <c r="G62" s="90">
        <v>3453</v>
      </c>
      <c r="H62" s="90">
        <v>1517</v>
      </c>
      <c r="I62" s="90">
        <v>1726</v>
      </c>
      <c r="J62" s="90">
        <v>1938</v>
      </c>
      <c r="K62" s="90">
        <v>1664</v>
      </c>
      <c r="L62" s="90">
        <v>947</v>
      </c>
      <c r="M62" s="90">
        <v>1447</v>
      </c>
      <c r="N62" s="90">
        <v>5772</v>
      </c>
      <c r="O62" s="90">
        <v>3822</v>
      </c>
      <c r="P62" s="90">
        <v>1843</v>
      </c>
      <c r="Q62" s="90">
        <v>1604</v>
      </c>
      <c r="S62" s="26">
        <f t="shared" ref="S62:S67" si="83">SUM(J62:M62)</f>
        <v>5996</v>
      </c>
      <c r="T62" s="26">
        <f t="shared" ref="T62:T67" si="84">SUM(N62:Q62)</f>
        <v>13041</v>
      </c>
      <c r="U62" s="26"/>
      <c r="V62" s="28">
        <f t="shared" ref="V62:V67" si="85">SUM(T62/S62)-1</f>
        <v>1.1749499666444296</v>
      </c>
    </row>
    <row r="63" spans="2:22" ht="15.75" x14ac:dyDescent="0.25">
      <c r="B63" s="87" t="s">
        <v>31</v>
      </c>
      <c r="C63" s="50">
        <v>3806</v>
      </c>
      <c r="D63" s="56">
        <v>8205</v>
      </c>
      <c r="E63" s="57">
        <v>8563</v>
      </c>
      <c r="G63" s="90">
        <v>6708</v>
      </c>
      <c r="H63" s="90">
        <v>6018</v>
      </c>
      <c r="I63" s="90">
        <v>6934</v>
      </c>
      <c r="J63" s="90">
        <v>8205</v>
      </c>
      <c r="K63" s="90">
        <v>8731</v>
      </c>
      <c r="L63" s="90">
        <v>6557</v>
      </c>
      <c r="M63" s="90">
        <v>7389</v>
      </c>
      <c r="N63" s="90">
        <v>8563</v>
      </c>
      <c r="O63" s="90">
        <v>5892</v>
      </c>
      <c r="P63" s="90">
        <v>7609</v>
      </c>
      <c r="Q63" s="90">
        <v>5581</v>
      </c>
      <c r="S63" s="26">
        <f t="shared" ref="S63:S64" si="86">SUM(J63:M63)</f>
        <v>30882</v>
      </c>
      <c r="T63" s="26">
        <f t="shared" ref="T63:T64" si="87">SUM(N63:Q63)</f>
        <v>27645</v>
      </c>
      <c r="U63" s="26"/>
      <c r="V63" s="28">
        <f t="shared" si="85"/>
        <v>-0.10481834078103747</v>
      </c>
    </row>
    <row r="64" spans="2:22" ht="15.75" x14ac:dyDescent="0.25">
      <c r="B64" s="87" t="s">
        <v>32</v>
      </c>
      <c r="C64" s="50">
        <v>985</v>
      </c>
      <c r="D64" s="56">
        <v>961</v>
      </c>
      <c r="E64" s="57">
        <v>343</v>
      </c>
      <c r="G64" s="90">
        <v>519</v>
      </c>
      <c r="H64" s="90">
        <v>1108</v>
      </c>
      <c r="I64" s="90">
        <v>811</v>
      </c>
      <c r="J64" s="90">
        <v>961</v>
      </c>
      <c r="K64" s="90">
        <v>559</v>
      </c>
      <c r="L64" s="90">
        <v>833</v>
      </c>
      <c r="M64" s="90">
        <v>472</v>
      </c>
      <c r="N64" s="90">
        <v>343</v>
      </c>
      <c r="O64" s="90">
        <v>129</v>
      </c>
      <c r="P64" s="90">
        <v>836</v>
      </c>
      <c r="Q64" s="90">
        <v>886</v>
      </c>
      <c r="S64" s="26">
        <f t="shared" si="86"/>
        <v>2825</v>
      </c>
      <c r="T64" s="26">
        <f t="shared" si="87"/>
        <v>2194</v>
      </c>
      <c r="U64" s="26"/>
      <c r="V64" s="28">
        <f t="shared" si="85"/>
        <v>-0.22336283185840711</v>
      </c>
    </row>
    <row r="65" spans="2:22" ht="15.75" x14ac:dyDescent="0.25">
      <c r="B65" s="87" t="s">
        <v>33</v>
      </c>
      <c r="C65" s="50">
        <v>575</v>
      </c>
      <c r="D65" s="56">
        <v>8303</v>
      </c>
      <c r="E65" s="57">
        <v>12164</v>
      </c>
      <c r="G65" s="90">
        <v>2365</v>
      </c>
      <c r="H65" s="90">
        <v>4226</v>
      </c>
      <c r="I65" s="90">
        <v>6834</v>
      </c>
      <c r="J65" s="90">
        <v>8303</v>
      </c>
      <c r="K65" s="90">
        <v>9685</v>
      </c>
      <c r="L65" s="90">
        <v>10666</v>
      </c>
      <c r="M65" s="90">
        <v>11522</v>
      </c>
      <c r="N65" s="90">
        <v>12164</v>
      </c>
      <c r="O65" s="90">
        <v>12814</v>
      </c>
      <c r="P65" s="90">
        <v>13042</v>
      </c>
      <c r="Q65" s="90">
        <v>11247</v>
      </c>
      <c r="S65" s="26">
        <f t="shared" si="83"/>
        <v>40176</v>
      </c>
      <c r="T65" s="26">
        <f t="shared" si="84"/>
        <v>49267</v>
      </c>
      <c r="U65" s="26"/>
      <c r="V65" s="28">
        <f t="shared" si="85"/>
        <v>0.22627937076861815</v>
      </c>
    </row>
    <row r="66" spans="2:22" ht="15.75" x14ac:dyDescent="0.25">
      <c r="B66" s="87" t="s">
        <v>34</v>
      </c>
      <c r="C66" s="50">
        <v>0</v>
      </c>
      <c r="D66" s="56">
        <v>2345</v>
      </c>
      <c r="E66" s="57">
        <v>2210</v>
      </c>
      <c r="G66" s="90"/>
      <c r="H66" s="90"/>
      <c r="I66" s="90"/>
      <c r="J66" s="90">
        <v>2345</v>
      </c>
      <c r="K66" s="90">
        <v>2350</v>
      </c>
      <c r="L66" s="90">
        <v>2349</v>
      </c>
      <c r="M66" s="90">
        <v>2212</v>
      </c>
      <c r="N66" s="90">
        <v>2210</v>
      </c>
      <c r="O66" s="90">
        <v>2219</v>
      </c>
      <c r="P66" s="90">
        <v>2234</v>
      </c>
      <c r="Q66" s="90">
        <v>2142</v>
      </c>
      <c r="S66" s="26">
        <f t="shared" si="83"/>
        <v>9256</v>
      </c>
      <c r="T66" s="26">
        <f t="shared" si="84"/>
        <v>8805</v>
      </c>
      <c r="U66" s="26"/>
      <c r="V66" s="28">
        <f t="shared" si="85"/>
        <v>-4.8725151253241172E-2</v>
      </c>
    </row>
    <row r="67" spans="2:22" ht="15.75" x14ac:dyDescent="0.25">
      <c r="B67" s="93" t="s">
        <v>80</v>
      </c>
      <c r="C67" s="50">
        <v>230</v>
      </c>
      <c r="D67" s="56">
        <v>0</v>
      </c>
      <c r="E67" s="57">
        <v>0</v>
      </c>
      <c r="G67" s="90"/>
      <c r="H67" s="90"/>
      <c r="I67" s="90"/>
      <c r="J67" s="90">
        <v>0</v>
      </c>
      <c r="K67" s="90"/>
      <c r="L67" s="90"/>
      <c r="M67" s="90"/>
      <c r="N67" s="90">
        <v>0</v>
      </c>
      <c r="O67" s="90"/>
      <c r="P67" s="90"/>
      <c r="Q67" s="90">
        <v>0</v>
      </c>
      <c r="S67" s="26">
        <f t="shared" si="83"/>
        <v>0</v>
      </c>
      <c r="T67" s="26">
        <f t="shared" si="84"/>
        <v>0</v>
      </c>
      <c r="U67" s="26"/>
      <c r="V67" s="28" t="e">
        <f t="shared" si="85"/>
        <v>#DIV/0!</v>
      </c>
    </row>
    <row r="68" spans="2:22" x14ac:dyDescent="0.25">
      <c r="B68" s="40" t="s">
        <v>35</v>
      </c>
      <c r="C68" s="58">
        <f>SUM(C62:C67)</f>
        <v>7567</v>
      </c>
      <c r="D68" s="58">
        <f>SUM(D62:D67)</f>
        <v>21752</v>
      </c>
      <c r="E68" s="58">
        <f>SUM(E62:E67)</f>
        <v>29052</v>
      </c>
      <c r="G68" s="58">
        <f t="shared" ref="G68:Q68" si="88">SUM(G62:G67)</f>
        <v>13045</v>
      </c>
      <c r="H68" s="58">
        <f t="shared" si="88"/>
        <v>12869</v>
      </c>
      <c r="I68" s="58">
        <f t="shared" si="88"/>
        <v>16305</v>
      </c>
      <c r="J68" s="58">
        <f t="shared" si="88"/>
        <v>21752</v>
      </c>
      <c r="K68" s="58">
        <f t="shared" si="88"/>
        <v>22989</v>
      </c>
      <c r="L68" s="58">
        <f t="shared" si="88"/>
        <v>21352</v>
      </c>
      <c r="M68" s="58">
        <f t="shared" si="88"/>
        <v>23042</v>
      </c>
      <c r="N68" s="58">
        <f t="shared" si="88"/>
        <v>29052</v>
      </c>
      <c r="O68" s="58">
        <f t="shared" si="88"/>
        <v>24876</v>
      </c>
      <c r="P68" s="58">
        <f t="shared" si="88"/>
        <v>25564</v>
      </c>
      <c r="Q68" s="58">
        <f t="shared" si="88"/>
        <v>21460</v>
      </c>
      <c r="S68" s="58">
        <f t="shared" ref="S68:T68" si="89">SUM(S62:S67)</f>
        <v>89135</v>
      </c>
      <c r="T68" s="58">
        <f t="shared" si="89"/>
        <v>100952</v>
      </c>
      <c r="U68" s="32"/>
      <c r="V68" s="33">
        <f>SUM(T68/S68)-1</f>
        <v>0.13257418522465914</v>
      </c>
    </row>
    <row r="69" spans="2:22" ht="15.75" x14ac:dyDescent="0.25">
      <c r="B69" s="39"/>
      <c r="C69" s="59"/>
      <c r="D69" s="62"/>
      <c r="E69" s="55"/>
      <c r="G69" s="55"/>
      <c r="H69" s="55"/>
      <c r="I69" s="55"/>
      <c r="J69" s="55"/>
      <c r="K69" s="55"/>
      <c r="L69" s="55"/>
      <c r="M69" s="55"/>
      <c r="N69" s="55"/>
      <c r="O69" s="55"/>
      <c r="P69" s="55"/>
      <c r="Q69" s="55"/>
      <c r="S69" s="32"/>
      <c r="T69" s="32"/>
      <c r="U69" s="32"/>
      <c r="V69" s="36"/>
    </row>
    <row r="70" spans="2:22" ht="15.75" x14ac:dyDescent="0.25">
      <c r="B70" s="39" t="s">
        <v>116</v>
      </c>
      <c r="C70" s="59"/>
      <c r="D70" s="62"/>
      <c r="E70" s="55"/>
      <c r="G70" s="55"/>
      <c r="H70" s="55"/>
      <c r="I70" s="55"/>
      <c r="J70" s="55"/>
      <c r="K70" s="55"/>
      <c r="L70" s="55"/>
      <c r="M70" s="55"/>
      <c r="N70" s="55"/>
      <c r="O70" s="55"/>
      <c r="P70" s="55"/>
      <c r="Q70" s="55"/>
      <c r="S70" s="32"/>
      <c r="T70" s="32"/>
      <c r="U70" s="32"/>
      <c r="V70" s="36"/>
    </row>
    <row r="71" spans="2:22" x14ac:dyDescent="0.25">
      <c r="B71" s="87" t="s">
        <v>36</v>
      </c>
      <c r="C71" s="89">
        <v>24216</v>
      </c>
      <c r="D71" s="89">
        <v>20635</v>
      </c>
      <c r="E71" s="90">
        <v>9894</v>
      </c>
      <c r="F71" s="91"/>
      <c r="G71" s="90">
        <v>27678</v>
      </c>
      <c r="H71" s="90">
        <v>25201</v>
      </c>
      <c r="I71" s="90">
        <v>22999</v>
      </c>
      <c r="J71" s="90">
        <v>20635</v>
      </c>
      <c r="K71" s="90">
        <v>17846</v>
      </c>
      <c r="L71" s="90">
        <v>16096</v>
      </c>
      <c r="M71" s="90">
        <v>13111</v>
      </c>
      <c r="N71" s="90">
        <v>9894</v>
      </c>
      <c r="O71" s="90">
        <v>6496</v>
      </c>
      <c r="P71" s="90">
        <v>3364</v>
      </c>
      <c r="Q71" s="90">
        <v>2061</v>
      </c>
      <c r="S71" s="26">
        <f t="shared" ref="S71:S74" si="90">SUM(J71:M71)</f>
        <v>67688</v>
      </c>
      <c r="T71" s="26">
        <f t="shared" ref="T71:T74" si="91">SUM(N71:Q71)</f>
        <v>21815</v>
      </c>
      <c r="U71" s="32"/>
      <c r="V71" s="28">
        <f t="shared" ref="V71:V74" si="92">SUM(T71/S71)-1</f>
        <v>-0.67771244533743058</v>
      </c>
    </row>
    <row r="72" spans="2:22" x14ac:dyDescent="0.25">
      <c r="B72" s="87" t="s">
        <v>37</v>
      </c>
      <c r="C72" s="89">
        <v>0</v>
      </c>
      <c r="D72" s="89">
        <v>7858</v>
      </c>
      <c r="E72" s="90">
        <v>6297</v>
      </c>
      <c r="F72" s="91"/>
      <c r="G72" s="90"/>
      <c r="H72" s="90"/>
      <c r="I72" s="90"/>
      <c r="J72" s="90">
        <v>7858</v>
      </c>
      <c r="K72" s="90">
        <v>7479</v>
      </c>
      <c r="L72" s="90">
        <v>7275</v>
      </c>
      <c r="M72" s="90">
        <v>6705</v>
      </c>
      <c r="N72" s="90">
        <v>6297</v>
      </c>
      <c r="O72" s="90">
        <v>5880</v>
      </c>
      <c r="P72" s="90">
        <v>5455</v>
      </c>
      <c r="Q72" s="90">
        <v>7040</v>
      </c>
      <c r="S72" s="26">
        <f t="shared" si="90"/>
        <v>29317</v>
      </c>
      <c r="T72" s="26">
        <f t="shared" si="91"/>
        <v>24672</v>
      </c>
      <c r="U72" s="32"/>
      <c r="V72" s="28">
        <f t="shared" si="92"/>
        <v>-0.15844049527577853</v>
      </c>
    </row>
    <row r="73" spans="2:22" x14ac:dyDescent="0.25">
      <c r="B73" s="93" t="s">
        <v>38</v>
      </c>
      <c r="C73" s="89">
        <v>4355</v>
      </c>
      <c r="D73" s="89">
        <v>1767</v>
      </c>
      <c r="E73" s="90">
        <v>2927</v>
      </c>
      <c r="F73" s="91"/>
      <c r="G73" s="90">
        <v>26497</v>
      </c>
      <c r="H73" s="90">
        <v>12148</v>
      </c>
      <c r="I73" s="90">
        <v>4046</v>
      </c>
      <c r="J73" s="90">
        <v>1767</v>
      </c>
      <c r="K73" s="90">
        <v>2640</v>
      </c>
      <c r="L73" s="90">
        <v>2645</v>
      </c>
      <c r="M73" s="90">
        <v>6087</v>
      </c>
      <c r="N73" s="90">
        <v>2927</v>
      </c>
      <c r="O73" s="90">
        <v>5510</v>
      </c>
      <c r="P73" s="90">
        <v>3410</v>
      </c>
      <c r="Q73" s="90">
        <v>2210</v>
      </c>
      <c r="S73" s="26">
        <f t="shared" si="90"/>
        <v>13139</v>
      </c>
      <c r="T73" s="26">
        <f t="shared" si="91"/>
        <v>14057</v>
      </c>
      <c r="U73" s="26"/>
      <c r="V73" s="28">
        <f t="shared" si="92"/>
        <v>6.9868330923205768E-2</v>
      </c>
    </row>
    <row r="74" spans="2:22" x14ac:dyDescent="0.25">
      <c r="B74" s="93" t="s">
        <v>39</v>
      </c>
      <c r="C74" s="89">
        <v>0</v>
      </c>
      <c r="D74" s="89">
        <v>1206</v>
      </c>
      <c r="E74" s="90">
        <v>2155</v>
      </c>
      <c r="F74" s="91"/>
      <c r="G74" s="90">
        <v>14422</v>
      </c>
      <c r="H74" s="90">
        <v>7856</v>
      </c>
      <c r="I74" s="90">
        <v>2995</v>
      </c>
      <c r="J74" s="90">
        <v>1206</v>
      </c>
      <c r="K74" s="90">
        <v>1487</v>
      </c>
      <c r="L74" s="90">
        <v>1837</v>
      </c>
      <c r="M74" s="90">
        <v>3568</v>
      </c>
      <c r="N74" s="90">
        <v>2155</v>
      </c>
      <c r="O74" s="90">
        <v>3776</v>
      </c>
      <c r="P74" s="90">
        <v>2461</v>
      </c>
      <c r="Q74" s="90">
        <v>1641</v>
      </c>
      <c r="S74" s="26">
        <f t="shared" si="90"/>
        <v>8098</v>
      </c>
      <c r="T74" s="26">
        <f t="shared" si="91"/>
        <v>10033</v>
      </c>
      <c r="U74" s="26"/>
      <c r="V74" s="28">
        <f t="shared" si="92"/>
        <v>0.23894788836749825</v>
      </c>
    </row>
    <row r="75" spans="2:22" x14ac:dyDescent="0.25">
      <c r="B75" s="93" t="s">
        <v>54</v>
      </c>
      <c r="C75" s="89">
        <v>295</v>
      </c>
      <c r="D75" s="89"/>
      <c r="E75" s="90"/>
      <c r="F75" s="91"/>
      <c r="G75" s="90">
        <v>278</v>
      </c>
      <c r="H75" s="90">
        <v>416</v>
      </c>
      <c r="I75" s="90">
        <v>436</v>
      </c>
      <c r="J75" s="90">
        <v>0</v>
      </c>
      <c r="K75" s="90"/>
      <c r="L75" s="90"/>
      <c r="M75" s="90"/>
      <c r="N75" s="90">
        <v>0</v>
      </c>
      <c r="O75" s="90"/>
      <c r="P75" s="90"/>
      <c r="Q75" s="90"/>
      <c r="S75" s="26">
        <f t="shared" ref="S75" si="93">SUM(J75:M75)</f>
        <v>0</v>
      </c>
      <c r="T75" s="26">
        <f t="shared" ref="T75" si="94">SUM(N75:Q75)</f>
        <v>0</v>
      </c>
      <c r="U75" s="26"/>
      <c r="V75" s="28" t="e">
        <f>SUM(T75/S75)-1</f>
        <v>#DIV/0!</v>
      </c>
    </row>
    <row r="76" spans="2:22" x14ac:dyDescent="0.25">
      <c r="B76" s="40" t="s">
        <v>117</v>
      </c>
      <c r="C76" s="52">
        <f t="shared" ref="C76:E76" si="95">SUM(C71:C75)+C68</f>
        <v>36433</v>
      </c>
      <c r="D76" s="52">
        <f t="shared" si="95"/>
        <v>53218</v>
      </c>
      <c r="E76" s="52">
        <f t="shared" si="95"/>
        <v>50325</v>
      </c>
      <c r="G76" s="52">
        <f t="shared" ref="G76:P76" si="96">SUM(G71:G75)+G68</f>
        <v>81920</v>
      </c>
      <c r="H76" s="52">
        <f t="shared" si="96"/>
        <v>58490</v>
      </c>
      <c r="I76" s="52">
        <f t="shared" si="96"/>
        <v>46781</v>
      </c>
      <c r="J76" s="52">
        <f t="shared" si="96"/>
        <v>53218</v>
      </c>
      <c r="K76" s="52">
        <f t="shared" si="96"/>
        <v>52441</v>
      </c>
      <c r="L76" s="52">
        <f t="shared" si="96"/>
        <v>49205</v>
      </c>
      <c r="M76" s="52">
        <f t="shared" si="96"/>
        <v>52513</v>
      </c>
      <c r="N76" s="52">
        <f t="shared" si="96"/>
        <v>50325</v>
      </c>
      <c r="O76" s="52">
        <f t="shared" si="96"/>
        <v>46538</v>
      </c>
      <c r="P76" s="52">
        <f t="shared" si="96"/>
        <v>40254</v>
      </c>
      <c r="Q76" s="52">
        <f>SUM(Q71:Q75)+Q68</f>
        <v>34412</v>
      </c>
      <c r="S76" s="52">
        <f t="shared" ref="S76:T76" si="97">SUM(S71:S75)+S68</f>
        <v>207377</v>
      </c>
      <c r="T76" s="52">
        <f t="shared" si="97"/>
        <v>171529</v>
      </c>
      <c r="U76" s="32"/>
      <c r="V76" s="33">
        <f>SUM(T76/S76)-1</f>
        <v>-0.17286391451318128</v>
      </c>
    </row>
    <row r="77" spans="2:22" ht="15.75" x14ac:dyDescent="0.25">
      <c r="B77" s="39"/>
      <c r="C77" s="53"/>
      <c r="D77" s="54"/>
      <c r="E77" s="55"/>
      <c r="G77" s="55"/>
      <c r="H77" s="55"/>
      <c r="I77" s="55"/>
      <c r="J77" s="55"/>
      <c r="K77" s="55"/>
      <c r="L77" s="55"/>
      <c r="M77" s="55"/>
      <c r="N77" s="55"/>
      <c r="O77" s="55"/>
      <c r="P77" s="55"/>
      <c r="Q77" s="55"/>
      <c r="S77" s="32"/>
      <c r="T77" s="32"/>
      <c r="U77" s="32"/>
      <c r="V77" s="36"/>
    </row>
    <row r="78" spans="2:22" x14ac:dyDescent="0.25">
      <c r="B78" s="39" t="s">
        <v>118</v>
      </c>
      <c r="C78" s="24"/>
      <c r="D78" s="63"/>
      <c r="E78" s="23"/>
      <c r="G78" s="23"/>
      <c r="H78" s="23"/>
      <c r="I78" s="23"/>
      <c r="J78" s="23"/>
      <c r="K78" s="23"/>
      <c r="L78" s="23"/>
      <c r="M78" s="23"/>
      <c r="N78" s="23"/>
      <c r="O78" s="23"/>
      <c r="P78" s="23"/>
      <c r="Q78" s="23"/>
    </row>
    <row r="79" spans="2:22" x14ac:dyDescent="0.25">
      <c r="B79" s="93" t="s">
        <v>81</v>
      </c>
      <c r="C79" s="57">
        <v>81523</v>
      </c>
      <c r="D79" s="57"/>
      <c r="E79" s="57"/>
      <c r="F79" s="64"/>
      <c r="G79" s="90">
        <v>0</v>
      </c>
      <c r="H79" s="90">
        <v>0</v>
      </c>
      <c r="I79" s="90">
        <v>0</v>
      </c>
      <c r="J79" s="90">
        <v>0</v>
      </c>
      <c r="K79" s="90">
        <v>0</v>
      </c>
      <c r="L79" s="90">
        <v>0</v>
      </c>
      <c r="M79" s="90">
        <v>0</v>
      </c>
      <c r="N79" s="90">
        <v>0</v>
      </c>
      <c r="O79" s="90">
        <v>0</v>
      </c>
      <c r="P79" s="90">
        <v>0</v>
      </c>
      <c r="Q79" s="90">
        <v>0</v>
      </c>
      <c r="S79" s="26">
        <f t="shared" ref="S79:S81" si="98">SUM(J79:M79)</f>
        <v>0</v>
      </c>
      <c r="T79" s="26">
        <f t="shared" ref="T79:T81" si="99">SUM(N79:Q79)</f>
        <v>0</v>
      </c>
      <c r="U79" s="26"/>
      <c r="V79" s="28" t="e">
        <f>SUM(T79/S79)-1</f>
        <v>#DIV/0!</v>
      </c>
    </row>
    <row r="80" spans="2:22" x14ac:dyDescent="0.25">
      <c r="B80" s="93" t="s">
        <v>82</v>
      </c>
      <c r="C80" s="57">
        <v>0</v>
      </c>
      <c r="D80" s="57">
        <v>0</v>
      </c>
      <c r="E80" s="57">
        <v>0</v>
      </c>
      <c r="F80" s="64"/>
      <c r="G80" s="90">
        <v>0</v>
      </c>
      <c r="H80" s="90">
        <v>0</v>
      </c>
      <c r="I80" s="90">
        <v>0</v>
      </c>
      <c r="J80" s="90">
        <v>0</v>
      </c>
      <c r="K80" s="90">
        <v>0</v>
      </c>
      <c r="L80" s="90">
        <v>0</v>
      </c>
      <c r="M80" s="90">
        <v>0</v>
      </c>
      <c r="N80" s="90">
        <v>0</v>
      </c>
      <c r="O80" s="90">
        <v>0</v>
      </c>
      <c r="P80" s="90">
        <v>0</v>
      </c>
      <c r="Q80" s="90">
        <v>0</v>
      </c>
      <c r="S80" s="26"/>
      <c r="T80" s="26"/>
      <c r="U80" s="26"/>
      <c r="V80" s="28" t="e">
        <f t="shared" ref="V80:V81" si="100">SUM(T80/S80)-1</f>
        <v>#DIV/0!</v>
      </c>
    </row>
    <row r="81" spans="1:22" x14ac:dyDescent="0.25">
      <c r="B81" s="93" t="s">
        <v>83</v>
      </c>
      <c r="C81" s="57">
        <v>2</v>
      </c>
      <c r="D81" s="57">
        <v>12</v>
      </c>
      <c r="E81" s="57">
        <v>14</v>
      </c>
      <c r="F81" s="64"/>
      <c r="G81" s="90">
        <v>11</v>
      </c>
      <c r="H81" s="90">
        <v>11</v>
      </c>
      <c r="I81" s="90">
        <v>12</v>
      </c>
      <c r="J81" s="90">
        <v>12</v>
      </c>
      <c r="K81" s="90">
        <v>12</v>
      </c>
      <c r="L81" s="90">
        <v>13</v>
      </c>
      <c r="M81" s="90">
        <v>14</v>
      </c>
      <c r="N81" s="90">
        <v>14</v>
      </c>
      <c r="O81" s="90">
        <v>16</v>
      </c>
      <c r="P81" s="90">
        <v>17</v>
      </c>
      <c r="Q81" s="90">
        <v>19</v>
      </c>
      <c r="S81" s="26">
        <f t="shared" si="98"/>
        <v>51</v>
      </c>
      <c r="T81" s="26">
        <f t="shared" si="99"/>
        <v>66</v>
      </c>
      <c r="U81" s="26"/>
      <c r="V81" s="28">
        <f t="shared" si="100"/>
        <v>0.29411764705882359</v>
      </c>
    </row>
    <row r="82" spans="1:22" x14ac:dyDescent="0.25">
      <c r="B82" s="93" t="s">
        <v>40</v>
      </c>
      <c r="C82" s="65">
        <v>135549</v>
      </c>
      <c r="D82" s="65">
        <v>429025</v>
      </c>
      <c r="E82" s="66">
        <v>463089</v>
      </c>
      <c r="F82" s="64"/>
      <c r="G82" s="92">
        <v>388684</v>
      </c>
      <c r="H82" s="92">
        <v>407015</v>
      </c>
      <c r="I82" s="92">
        <v>422200</v>
      </c>
      <c r="J82" s="90">
        <v>429025</v>
      </c>
      <c r="K82" s="92">
        <v>431466</v>
      </c>
      <c r="L82" s="92">
        <v>437320</v>
      </c>
      <c r="M82" s="92">
        <v>453790</v>
      </c>
      <c r="N82" s="90">
        <v>463089</v>
      </c>
      <c r="O82" s="92">
        <v>489955</v>
      </c>
      <c r="P82" s="92">
        <v>508971</v>
      </c>
      <c r="Q82" s="92">
        <v>524351</v>
      </c>
      <c r="S82" s="26">
        <f t="shared" ref="S82:S84" si="101">SUM(J82:M82)</f>
        <v>1751601</v>
      </c>
      <c r="T82" s="26">
        <f t="shared" ref="T82:T84" si="102">SUM(N82:Q82)</f>
        <v>1986366</v>
      </c>
      <c r="U82" s="26"/>
      <c r="V82" s="28">
        <f>SUM(T82/S82)-1</f>
        <v>0.13402881135601086</v>
      </c>
    </row>
    <row r="83" spans="1:22" x14ac:dyDescent="0.25">
      <c r="B83" s="93" t="s">
        <v>41</v>
      </c>
      <c r="C83" s="65">
        <v>52</v>
      </c>
      <c r="D83" s="65">
        <v>-161</v>
      </c>
      <c r="E83" s="57">
        <v>244</v>
      </c>
      <c r="F83" s="64"/>
      <c r="G83" s="90">
        <v>61</v>
      </c>
      <c r="H83" s="90">
        <v>99</v>
      </c>
      <c r="I83" s="90">
        <v>-527</v>
      </c>
      <c r="J83" s="90">
        <v>-161</v>
      </c>
      <c r="K83" s="90">
        <v>-6</v>
      </c>
      <c r="L83" s="90">
        <v>1</v>
      </c>
      <c r="M83" s="90">
        <v>74</v>
      </c>
      <c r="N83" s="90">
        <v>244</v>
      </c>
      <c r="O83" s="90">
        <v>138</v>
      </c>
      <c r="P83" s="90">
        <v>123</v>
      </c>
      <c r="Q83" s="90">
        <v>254</v>
      </c>
      <c r="S83" s="26">
        <f t="shared" si="101"/>
        <v>-92</v>
      </c>
      <c r="T83" s="26">
        <f t="shared" si="102"/>
        <v>759</v>
      </c>
      <c r="U83" s="26"/>
      <c r="V83" s="28">
        <f>SUM(T83/S83)-1</f>
        <v>-9.25</v>
      </c>
    </row>
    <row r="84" spans="1:22" x14ac:dyDescent="0.25">
      <c r="B84" s="93" t="s">
        <v>42</v>
      </c>
      <c r="C84" s="65">
        <v>-207131</v>
      </c>
      <c r="D84" s="65">
        <v>-278652</v>
      </c>
      <c r="E84" s="57">
        <v>-353759</v>
      </c>
      <c r="F84" s="64"/>
      <c r="G84" s="90">
        <v>-224773</v>
      </c>
      <c r="H84" s="90">
        <v>-237025</v>
      </c>
      <c r="I84" s="90">
        <v>-255780</v>
      </c>
      <c r="J84" s="90">
        <v>-278652</v>
      </c>
      <c r="K84" s="90">
        <v>-302006</v>
      </c>
      <c r="L84" s="90">
        <v>-318972</v>
      </c>
      <c r="M84" s="90">
        <v>-341187</v>
      </c>
      <c r="N84" s="90">
        <v>-353759</v>
      </c>
      <c r="O84" s="90">
        <v>-374532</v>
      </c>
      <c r="P84" s="90">
        <v>-386953</v>
      </c>
      <c r="Q84" s="90">
        <v>-401786</v>
      </c>
      <c r="S84" s="26">
        <f t="shared" si="101"/>
        <v>-1240817</v>
      </c>
      <c r="T84" s="26">
        <f t="shared" si="102"/>
        <v>-1517030</v>
      </c>
      <c r="U84" s="26"/>
      <c r="V84" s="28">
        <f>SUM(T84/S84)-1</f>
        <v>0.2226057508883259</v>
      </c>
    </row>
    <row r="85" spans="1:22" x14ac:dyDescent="0.25">
      <c r="B85" s="40" t="s">
        <v>119</v>
      </c>
      <c r="C85" s="67">
        <f>SUM(C79:C84)</f>
        <v>9995</v>
      </c>
      <c r="D85" s="67">
        <f t="shared" ref="D85:E85" si="103">SUM(D79:D84)</f>
        <v>150224</v>
      </c>
      <c r="E85" s="67">
        <f t="shared" si="103"/>
        <v>109588</v>
      </c>
      <c r="F85" s="68"/>
      <c r="G85" s="67">
        <f t="shared" ref="G85" si="104">SUM(G79:G84)</f>
        <v>163983</v>
      </c>
      <c r="H85" s="67">
        <f t="shared" ref="H85" si="105">SUM(H79:H84)</f>
        <v>170100</v>
      </c>
      <c r="I85" s="67">
        <f t="shared" ref="I85" si="106">SUM(I79:I84)</f>
        <v>165905</v>
      </c>
      <c r="J85" s="67">
        <f t="shared" ref="J85" si="107">SUM(J79:J84)</f>
        <v>150224</v>
      </c>
      <c r="K85" s="67">
        <f t="shared" ref="K85" si="108">SUM(K79:K84)</f>
        <v>129466</v>
      </c>
      <c r="L85" s="67">
        <f t="shared" ref="L85" si="109">SUM(L79:L84)</f>
        <v>118362</v>
      </c>
      <c r="M85" s="67">
        <f t="shared" ref="M85" si="110">SUM(M79:M84)</f>
        <v>112691</v>
      </c>
      <c r="N85" s="67">
        <f t="shared" ref="N85" si="111">SUM(N79:N84)</f>
        <v>109588</v>
      </c>
      <c r="O85" s="67">
        <f t="shared" ref="O85" si="112">SUM(O79:O84)</f>
        <v>115577</v>
      </c>
      <c r="P85" s="67">
        <f t="shared" ref="P85" si="113">SUM(P79:P84)</f>
        <v>122158</v>
      </c>
      <c r="Q85" s="67">
        <f t="shared" ref="Q85" si="114">SUM(Q79:Q84)</f>
        <v>122838</v>
      </c>
      <c r="S85" s="67">
        <f t="shared" ref="S85" si="115">SUM(S79:S84)</f>
        <v>510743</v>
      </c>
      <c r="T85" s="67">
        <f t="shared" ref="T85" si="116">SUM(T79:T84)</f>
        <v>470161</v>
      </c>
      <c r="U85" s="32"/>
      <c r="V85" s="28">
        <f>SUM(T85/S85)-1</f>
        <v>-7.9456791380400738E-2</v>
      </c>
    </row>
    <row r="86" spans="1:22" x14ac:dyDescent="0.25">
      <c r="B86" s="22" t="s">
        <v>120</v>
      </c>
      <c r="C86" s="69">
        <f t="shared" ref="C86:E86" si="117">SUM(C85+C76)</f>
        <v>46428</v>
      </c>
      <c r="D86" s="69">
        <f t="shared" si="117"/>
        <v>203442</v>
      </c>
      <c r="E86" s="69">
        <f t="shared" si="117"/>
        <v>159913</v>
      </c>
      <c r="F86" s="64"/>
      <c r="G86" s="69">
        <f t="shared" ref="G86:Q86" si="118">SUM(G85+G76)</f>
        <v>245903</v>
      </c>
      <c r="H86" s="69">
        <f t="shared" si="118"/>
        <v>228590</v>
      </c>
      <c r="I86" s="69">
        <f t="shared" si="118"/>
        <v>212686</v>
      </c>
      <c r="J86" s="69">
        <f t="shared" si="118"/>
        <v>203442</v>
      </c>
      <c r="K86" s="69">
        <f t="shared" si="118"/>
        <v>181907</v>
      </c>
      <c r="L86" s="69">
        <f t="shared" si="118"/>
        <v>167567</v>
      </c>
      <c r="M86" s="69">
        <f t="shared" si="118"/>
        <v>165204</v>
      </c>
      <c r="N86" s="69">
        <f t="shared" si="118"/>
        <v>159913</v>
      </c>
      <c r="O86" s="69">
        <f t="shared" si="118"/>
        <v>162115</v>
      </c>
      <c r="P86" s="69">
        <f t="shared" si="118"/>
        <v>162412</v>
      </c>
      <c r="Q86" s="69">
        <f t="shared" si="118"/>
        <v>157250</v>
      </c>
      <c r="S86" s="69">
        <f>SUM(S85+S76)</f>
        <v>718120</v>
      </c>
      <c r="T86" s="69">
        <f>SUM(T85+T76)</f>
        <v>641690</v>
      </c>
      <c r="U86" s="26"/>
      <c r="V86" s="28">
        <f>SUM(T86/S86)-1</f>
        <v>-0.106430680109174</v>
      </c>
    </row>
    <row r="87" spans="1:22" ht="15.75" thickBot="1" x14ac:dyDescent="0.3">
      <c r="B87" s="22"/>
      <c r="C87" s="69"/>
      <c r="D87" s="69"/>
      <c r="E87" s="69"/>
      <c r="F87" s="64"/>
      <c r="G87" s="69"/>
      <c r="H87" s="69"/>
      <c r="I87" s="69"/>
      <c r="J87" s="69"/>
      <c r="K87" s="69"/>
      <c r="L87" s="69"/>
      <c r="M87" s="69"/>
      <c r="N87" s="69"/>
      <c r="O87" s="69"/>
      <c r="P87" s="69"/>
      <c r="Q87" s="69"/>
      <c r="S87" s="69"/>
      <c r="T87" s="69"/>
      <c r="U87" s="26"/>
      <c r="V87" s="43"/>
    </row>
    <row r="88" spans="1:22" x14ac:dyDescent="0.25">
      <c r="B88" s="127" t="s">
        <v>142</v>
      </c>
      <c r="C88" s="119"/>
      <c r="D88" s="119"/>
      <c r="E88" s="120"/>
      <c r="F88" s="64"/>
      <c r="G88" s="118"/>
      <c r="H88" s="119"/>
      <c r="I88" s="119"/>
      <c r="J88" s="119"/>
      <c r="K88" s="119"/>
      <c r="L88" s="119"/>
      <c r="M88" s="119"/>
      <c r="N88" s="119"/>
      <c r="O88" s="119"/>
      <c r="P88" s="119"/>
      <c r="Q88" s="120"/>
      <c r="S88" s="117"/>
      <c r="T88" s="116"/>
      <c r="U88" s="26"/>
      <c r="V88" s="43"/>
    </row>
    <row r="89" spans="1:22" x14ac:dyDescent="0.25">
      <c r="B89" s="130" t="s">
        <v>143</v>
      </c>
      <c r="C89" s="122">
        <f>SUM(C71+C65)/C59</f>
        <v>0.5339665718962695</v>
      </c>
      <c r="D89" s="122">
        <f>SUM(D71+D65)/D59</f>
        <v>0.14224201492317221</v>
      </c>
      <c r="E89" s="123">
        <f>SUM(E71+E65)/E59</f>
        <v>0.13793750351753767</v>
      </c>
      <c r="F89" s="64"/>
      <c r="G89" s="121">
        <f t="shared" ref="G89:Q89" si="119">SUM(G71+G65)/G59</f>
        <v>0.12217419063614515</v>
      </c>
      <c r="H89" s="122">
        <f t="shared" si="119"/>
        <v>0.12873266547093049</v>
      </c>
      <c r="I89" s="122">
        <f t="shared" si="119"/>
        <v>0.1402678126439916</v>
      </c>
      <c r="J89" s="122">
        <f t="shared" si="119"/>
        <v>0.14224201492317221</v>
      </c>
      <c r="K89" s="122">
        <f t="shared" si="119"/>
        <v>0.15134656720192186</v>
      </c>
      <c r="L89" s="122">
        <f t="shared" si="119"/>
        <v>0.15970925062810695</v>
      </c>
      <c r="M89" s="122">
        <f t="shared" si="119"/>
        <v>0.14910655916321638</v>
      </c>
      <c r="N89" s="122">
        <f t="shared" si="119"/>
        <v>0.13793750351753767</v>
      </c>
      <c r="O89" s="122">
        <f t="shared" si="119"/>
        <v>0.11911297535699966</v>
      </c>
      <c r="P89" s="122">
        <f t="shared" si="119"/>
        <v>0.10101470334704332</v>
      </c>
      <c r="Q89" s="123">
        <f t="shared" si="119"/>
        <v>8.4629570747217803E-2</v>
      </c>
      <c r="S89" s="133">
        <f>M89</f>
        <v>0.14910655916321638</v>
      </c>
      <c r="T89" s="134">
        <f>Q89</f>
        <v>8.4629570747217803E-2</v>
      </c>
      <c r="U89" s="26"/>
      <c r="V89" s="43"/>
    </row>
    <row r="90" spans="1:22" x14ac:dyDescent="0.25">
      <c r="B90" s="130" t="s">
        <v>144</v>
      </c>
      <c r="C90" s="122">
        <f>SUM(C45+C46+C47)/C68</f>
        <v>1.753931544865865</v>
      </c>
      <c r="D90" s="122">
        <f t="shared" ref="D90:Q90" si="120">SUM(D45+D46+D47)/D68</f>
        <v>6.8520595807282092</v>
      </c>
      <c r="E90" s="123">
        <f t="shared" si="120"/>
        <v>3.6127633209417596</v>
      </c>
      <c r="F90" s="64"/>
      <c r="G90" s="121">
        <f t="shared" si="120"/>
        <v>15.93614411651974</v>
      </c>
      <c r="H90" s="122">
        <f t="shared" si="120"/>
        <v>14.499339498018495</v>
      </c>
      <c r="I90" s="122">
        <f t="shared" si="120"/>
        <v>10.016436675866299</v>
      </c>
      <c r="J90" s="122">
        <f t="shared" si="120"/>
        <v>6.8520595807282092</v>
      </c>
      <c r="K90" s="122">
        <f t="shared" si="120"/>
        <v>5.5368219583278959</v>
      </c>
      <c r="L90" s="122">
        <f t="shared" si="120"/>
        <v>5.2972086923941548</v>
      </c>
      <c r="M90" s="122">
        <f t="shared" si="120"/>
        <v>4.9137661661314125</v>
      </c>
      <c r="N90" s="122">
        <f t="shared" si="120"/>
        <v>3.6127633209417596</v>
      </c>
      <c r="O90" s="122">
        <f t="shared" si="120"/>
        <v>4.3200273355844994</v>
      </c>
      <c r="P90" s="122">
        <f t="shared" si="120"/>
        <v>4.1350336410577375</v>
      </c>
      <c r="Q90" s="123">
        <f t="shared" si="120"/>
        <v>4.6115563839701768</v>
      </c>
      <c r="S90" s="133">
        <f t="shared" ref="S90:S92" si="121">M90</f>
        <v>4.9137661661314125</v>
      </c>
      <c r="T90" s="134">
        <f t="shared" ref="T90:T92" si="122">Q90</f>
        <v>4.6115563839701768</v>
      </c>
      <c r="U90" s="26"/>
      <c r="V90" s="43"/>
    </row>
    <row r="91" spans="1:22" x14ac:dyDescent="0.25">
      <c r="B91" s="131" t="s">
        <v>145</v>
      </c>
      <c r="C91" s="122">
        <f>SUM(C51/C68)</f>
        <v>2.3882648341482753</v>
      </c>
      <c r="D91" s="122">
        <f t="shared" ref="D91:Q91" si="123">SUM(D51/D68)</f>
        <v>7.1012780433983078</v>
      </c>
      <c r="E91" s="123">
        <f t="shared" si="123"/>
        <v>3.7060099132589839</v>
      </c>
      <c r="G91" s="121">
        <f t="shared" si="123"/>
        <v>16.495438865465697</v>
      </c>
      <c r="H91" s="122">
        <f t="shared" si="123"/>
        <v>14.949335612712721</v>
      </c>
      <c r="I91" s="122">
        <f t="shared" si="123"/>
        <v>10.403127874885005</v>
      </c>
      <c r="J91" s="122">
        <f t="shared" si="123"/>
        <v>7.1012780433983078</v>
      </c>
      <c r="K91" s="122">
        <f t="shared" si="123"/>
        <v>5.6664056722780458</v>
      </c>
      <c r="L91" s="122">
        <f t="shared" si="123"/>
        <v>5.504355563881604</v>
      </c>
      <c r="M91" s="122">
        <f t="shared" si="123"/>
        <v>5.064490929606805</v>
      </c>
      <c r="N91" s="122">
        <f t="shared" si="123"/>
        <v>3.7060099132589839</v>
      </c>
      <c r="O91" s="122">
        <f t="shared" si="123"/>
        <v>4.4237015597362923</v>
      </c>
      <c r="P91" s="122">
        <f t="shared" si="123"/>
        <v>4.2898998591769679</v>
      </c>
      <c r="Q91" s="123">
        <f t="shared" si="123"/>
        <v>4.8399813606710156</v>
      </c>
      <c r="S91" s="133">
        <f t="shared" si="121"/>
        <v>5.064490929606805</v>
      </c>
      <c r="T91" s="134">
        <f t="shared" si="122"/>
        <v>4.8399813606710156</v>
      </c>
    </row>
    <row r="92" spans="1:22" ht="15.75" thickBot="1" x14ac:dyDescent="0.3">
      <c r="B92" s="132" t="s">
        <v>146</v>
      </c>
      <c r="C92" s="128">
        <f>SUM(C45+C46)/C68</f>
        <v>1.5500198229152902</v>
      </c>
      <c r="D92" s="128">
        <f t="shared" ref="D92:Q92" si="124">SUM(D45+D46)/D68</f>
        <v>6.5654192717910993</v>
      </c>
      <c r="E92" s="129">
        <f t="shared" si="124"/>
        <v>3.4396599201431917</v>
      </c>
      <c r="F92" s="64"/>
      <c r="G92" s="124">
        <f t="shared" si="124"/>
        <v>15.839478727481794</v>
      </c>
      <c r="H92" s="125">
        <f t="shared" si="124"/>
        <v>14.299479369026342</v>
      </c>
      <c r="I92" s="125">
        <f t="shared" si="124"/>
        <v>9.8756823060410923</v>
      </c>
      <c r="J92" s="125">
        <f t="shared" si="124"/>
        <v>6.5654192717910993</v>
      </c>
      <c r="K92" s="125">
        <f t="shared" si="124"/>
        <v>5.3054069337509242</v>
      </c>
      <c r="L92" s="125">
        <f t="shared" si="124"/>
        <v>4.939911952041963</v>
      </c>
      <c r="M92" s="125">
        <f t="shared" si="124"/>
        <v>4.7837427306657405</v>
      </c>
      <c r="N92" s="125">
        <f t="shared" si="124"/>
        <v>3.4396599201431917</v>
      </c>
      <c r="O92" s="125">
        <f t="shared" si="124"/>
        <v>4.1308490110950311</v>
      </c>
      <c r="P92" s="125">
        <f t="shared" si="124"/>
        <v>3.9303708339852919</v>
      </c>
      <c r="Q92" s="126">
        <f t="shared" si="124"/>
        <v>4.3140726933830384</v>
      </c>
      <c r="S92" s="135">
        <f t="shared" si="121"/>
        <v>4.7837427306657405</v>
      </c>
      <c r="T92" s="136">
        <f t="shared" si="122"/>
        <v>4.3140726933830384</v>
      </c>
      <c r="U92" s="26"/>
      <c r="V92" s="43"/>
    </row>
    <row r="93" spans="1:22" x14ac:dyDescent="0.25">
      <c r="B93" s="39"/>
      <c r="C93" s="70"/>
      <c r="D93" s="25"/>
      <c r="E93" s="25"/>
      <c r="F93" s="70"/>
    </row>
    <row r="94" spans="1:22" x14ac:dyDescent="0.25">
      <c r="A94" s="5" t="s">
        <v>92</v>
      </c>
      <c r="B94" s="6" t="s">
        <v>121</v>
      </c>
      <c r="C94" s="12"/>
      <c r="D94" s="12"/>
      <c r="E94" s="12"/>
      <c r="F94" s="7"/>
      <c r="G94" s="7"/>
      <c r="H94" s="7"/>
      <c r="I94" s="7"/>
      <c r="J94" s="7"/>
      <c r="K94" s="7"/>
      <c r="L94" s="7"/>
      <c r="M94" s="7"/>
      <c r="N94" s="7"/>
      <c r="O94" s="7"/>
      <c r="P94" s="7"/>
      <c r="Q94" s="7"/>
      <c r="R94" s="7"/>
      <c r="S94" s="7"/>
      <c r="T94" s="7"/>
    </row>
    <row r="95" spans="1:22" x14ac:dyDescent="0.25">
      <c r="B95" s="8" t="s">
        <v>122</v>
      </c>
      <c r="C95" s="47"/>
      <c r="D95" s="47"/>
      <c r="E95" s="47"/>
      <c r="F95" s="7"/>
      <c r="G95" s="7"/>
      <c r="H95" s="7"/>
      <c r="I95" s="7"/>
      <c r="J95" s="7"/>
      <c r="K95" s="7"/>
      <c r="L95" s="7"/>
      <c r="M95" s="7"/>
      <c r="N95" s="7"/>
      <c r="O95" s="7"/>
      <c r="P95" s="7"/>
      <c r="Q95" s="7"/>
      <c r="R95" s="7"/>
      <c r="S95" s="7"/>
      <c r="T95" s="7"/>
    </row>
    <row r="96" spans="1:22" ht="3" customHeight="1" x14ac:dyDescent="0.25">
      <c r="B96" s="9"/>
      <c r="C96" s="49"/>
      <c r="D96" s="49"/>
      <c r="E96" s="49"/>
    </row>
    <row r="97" spans="2:22" ht="15.75" x14ac:dyDescent="0.25">
      <c r="B97" s="71" t="s">
        <v>123</v>
      </c>
      <c r="C97" s="72"/>
      <c r="D97" s="72"/>
      <c r="E97" s="72"/>
    </row>
    <row r="98" spans="2:22" x14ac:dyDescent="0.25">
      <c r="B98" s="176" t="s">
        <v>18</v>
      </c>
      <c r="C98" s="146">
        <v>-38241</v>
      </c>
      <c r="D98" s="146">
        <v>-71521</v>
      </c>
      <c r="E98" s="146">
        <v>-75107</v>
      </c>
      <c r="F98" s="26"/>
      <c r="G98" s="146">
        <v>-17642</v>
      </c>
      <c r="H98" s="147">
        <f>-29894-G98</f>
        <v>-12252</v>
      </c>
      <c r="I98" s="147">
        <f>-48649-H98-G98</f>
        <v>-18755</v>
      </c>
      <c r="J98" s="153">
        <f>SUM(D98-SUM(G98:I98))</f>
        <v>-22872</v>
      </c>
      <c r="K98" s="146">
        <v>-23354</v>
      </c>
      <c r="L98" s="147">
        <f>-40320-K98</f>
        <v>-16966</v>
      </c>
      <c r="M98" s="147">
        <f>-62535-L98-K98</f>
        <v>-22215</v>
      </c>
      <c r="N98" s="147">
        <f>SUM(E98-SUM(K98:M98))</f>
        <v>-12572</v>
      </c>
      <c r="O98" s="146">
        <v>-20773</v>
      </c>
      <c r="P98" s="147">
        <f>-33194-O98</f>
        <v>-12421</v>
      </c>
      <c r="Q98" s="147">
        <f>-48027-P98-O98</f>
        <v>-14833</v>
      </c>
      <c r="R98" s="38"/>
      <c r="S98" s="26">
        <f t="shared" ref="S98" si="125">SUM(J98:M98)</f>
        <v>-85407</v>
      </c>
      <c r="T98" s="26">
        <f t="shared" ref="T98" si="126">SUM(N98:Q98)</f>
        <v>-60599</v>
      </c>
      <c r="U98" s="26"/>
      <c r="V98" s="28">
        <f>SUM(T98/S98)-1</f>
        <v>-0.29046799442668636</v>
      </c>
    </row>
    <row r="99" spans="2:22" x14ac:dyDescent="0.25">
      <c r="C99" s="146"/>
      <c r="D99" s="146"/>
      <c r="E99" s="146"/>
      <c r="F99" s="26"/>
      <c r="G99" s="146"/>
      <c r="H99" s="147"/>
      <c r="I99" s="147"/>
      <c r="J99" s="153"/>
      <c r="K99" s="146"/>
      <c r="L99" s="147"/>
      <c r="M99" s="147"/>
      <c r="N99" s="147"/>
      <c r="O99" s="146"/>
      <c r="P99" s="147"/>
      <c r="Q99" s="147"/>
      <c r="R99" s="38"/>
      <c r="S99" s="26"/>
      <c r="T99" s="26"/>
      <c r="U99" s="26"/>
      <c r="V99" s="43"/>
    </row>
    <row r="100" spans="2:22" x14ac:dyDescent="0.25">
      <c r="B100" s="2" t="s">
        <v>43</v>
      </c>
      <c r="C100" s="142"/>
      <c r="D100" s="142"/>
      <c r="E100" s="142"/>
      <c r="F100" s="26"/>
      <c r="G100" s="142"/>
      <c r="H100" s="73"/>
      <c r="I100" s="73"/>
      <c r="J100" s="74"/>
      <c r="K100" s="142"/>
      <c r="L100" s="73"/>
      <c r="M100" s="73"/>
      <c r="N100" s="74"/>
      <c r="O100" s="142"/>
      <c r="P100" s="73"/>
      <c r="Q100" s="73"/>
      <c r="R100" s="38"/>
      <c r="S100" s="73"/>
      <c r="T100" s="73"/>
      <c r="U100" s="75"/>
    </row>
    <row r="101" spans="2:22" x14ac:dyDescent="0.25">
      <c r="B101" s="175" t="s">
        <v>44</v>
      </c>
      <c r="C101" s="146">
        <v>4651</v>
      </c>
      <c r="D101" s="149">
        <v>7017</v>
      </c>
      <c r="E101" s="149">
        <v>7426</v>
      </c>
      <c r="F101" s="147"/>
      <c r="G101" s="146">
        <v>1390</v>
      </c>
      <c r="H101" s="147">
        <f>2978-G101</f>
        <v>1588</v>
      </c>
      <c r="I101" s="147">
        <f>4801-H101-G101</f>
        <v>1823</v>
      </c>
      <c r="J101" s="153">
        <f t="shared" ref="J101:J108" si="127">SUM(D101-SUM(G101:I101))</f>
        <v>2216</v>
      </c>
      <c r="K101" s="146">
        <v>2089</v>
      </c>
      <c r="L101" s="148">
        <f>4249-K101</f>
        <v>2160</v>
      </c>
      <c r="M101" s="148">
        <f>6381-L101-K101</f>
        <v>2132</v>
      </c>
      <c r="N101" s="147">
        <f t="shared" ref="N101:N111" si="128">SUM(E101-SUM(K101:M101))</f>
        <v>1045</v>
      </c>
      <c r="O101" s="149">
        <v>1787</v>
      </c>
      <c r="P101" s="148">
        <f>3334-O101</f>
        <v>1547</v>
      </c>
      <c r="Q101" s="148">
        <f>5155-P101-O101</f>
        <v>1821</v>
      </c>
      <c r="R101" s="38"/>
      <c r="S101" s="26">
        <f t="shared" ref="S101:S104" si="129">SUM(J101:M101)</f>
        <v>8597</v>
      </c>
      <c r="T101" s="26">
        <f t="shared" ref="T101:T104" si="130">SUM(N101:Q101)</f>
        <v>6200</v>
      </c>
      <c r="U101" s="26"/>
      <c r="V101" s="28">
        <f>SUM(T101/S101)-1</f>
        <v>-0.27881819239269512</v>
      </c>
    </row>
    <row r="102" spans="2:22" x14ac:dyDescent="0.25">
      <c r="B102" s="175" t="s">
        <v>45</v>
      </c>
      <c r="C102" s="146">
        <v>1765</v>
      </c>
      <c r="D102" s="149">
        <v>44812</v>
      </c>
      <c r="E102" s="149">
        <v>12409</v>
      </c>
      <c r="F102" s="147"/>
      <c r="G102" s="146">
        <v>11481</v>
      </c>
      <c r="H102" s="147">
        <f>22522-G102</f>
        <v>11041</v>
      </c>
      <c r="I102" s="147">
        <f>37643-H102-G102</f>
        <v>15121</v>
      </c>
      <c r="J102" s="153">
        <f t="shared" si="127"/>
        <v>7169</v>
      </c>
      <c r="K102" s="146">
        <v>1703</v>
      </c>
      <c r="L102" s="148">
        <f>5058-K102</f>
        <v>3355</v>
      </c>
      <c r="M102" s="148">
        <f>8727-L102-K102</f>
        <v>3669</v>
      </c>
      <c r="N102" s="147">
        <f t="shared" si="128"/>
        <v>3682</v>
      </c>
      <c r="O102" s="149">
        <v>2991</v>
      </c>
      <c r="P102" s="148">
        <f>6278-O102</f>
        <v>3287</v>
      </c>
      <c r="Q102" s="148">
        <f>9705-P102-O102</f>
        <v>3427</v>
      </c>
      <c r="R102" s="38"/>
      <c r="S102" s="26">
        <f t="shared" si="129"/>
        <v>15896</v>
      </c>
      <c r="T102" s="26">
        <f t="shared" si="130"/>
        <v>13387</v>
      </c>
      <c r="U102" s="26"/>
      <c r="V102" s="28">
        <f>SUM(T102/S102)-1</f>
        <v>-0.15783844992450935</v>
      </c>
    </row>
    <row r="103" spans="2:22" x14ac:dyDescent="0.25">
      <c r="B103" s="175" t="s">
        <v>14</v>
      </c>
      <c r="C103" s="146"/>
      <c r="D103" s="149">
        <v>-19207</v>
      </c>
      <c r="E103" s="149">
        <v>949</v>
      </c>
      <c r="F103" s="147"/>
      <c r="G103" s="146">
        <v>-5991</v>
      </c>
      <c r="H103" s="147">
        <f>-12557-G103</f>
        <v>-6566</v>
      </c>
      <c r="I103" s="147">
        <f>-17418-H103-G103</f>
        <v>-4861</v>
      </c>
      <c r="J103" s="153">
        <f t="shared" si="127"/>
        <v>-1789</v>
      </c>
      <c r="K103" s="146">
        <v>281</v>
      </c>
      <c r="L103" s="148">
        <f>631-K103</f>
        <v>350</v>
      </c>
      <c r="M103" s="148">
        <f>2362-L103-K103</f>
        <v>1731</v>
      </c>
      <c r="N103" s="147">
        <f t="shared" si="128"/>
        <v>-1413</v>
      </c>
      <c r="O103" s="149">
        <v>1621</v>
      </c>
      <c r="P103" s="148">
        <f>306-O103</f>
        <v>-1315</v>
      </c>
      <c r="Q103" s="148">
        <f>-514-P103-O103</f>
        <v>-820</v>
      </c>
      <c r="R103" s="38"/>
      <c r="S103" s="26">
        <f t="shared" si="129"/>
        <v>573</v>
      </c>
      <c r="T103" s="26">
        <f t="shared" si="130"/>
        <v>-1927</v>
      </c>
      <c r="U103" s="26"/>
      <c r="V103" s="28">
        <f>SUM(T103/S103)-1</f>
        <v>-4.3630017452006982</v>
      </c>
    </row>
    <row r="104" spans="2:22" x14ac:dyDescent="0.25">
      <c r="B104" s="175" t="s">
        <v>13</v>
      </c>
      <c r="C104" s="146">
        <v>1664</v>
      </c>
      <c r="D104" s="149">
        <v>-22132</v>
      </c>
      <c r="E104" s="149">
        <v>1160</v>
      </c>
      <c r="F104" s="147"/>
      <c r="G104" s="146">
        <v>-3771</v>
      </c>
      <c r="H104" s="147">
        <f>-11750-G104</f>
        <v>-7979</v>
      </c>
      <c r="I104" s="147">
        <f>-19853-H104-G104</f>
        <v>-8103</v>
      </c>
      <c r="J104" s="153">
        <f t="shared" si="127"/>
        <v>-2279</v>
      </c>
      <c r="K104" s="146">
        <v>873</v>
      </c>
      <c r="L104" s="148">
        <f>878-K104</f>
        <v>5</v>
      </c>
      <c r="M104" s="148">
        <f>4320-L104-K104</f>
        <v>3442</v>
      </c>
      <c r="N104" s="147">
        <f t="shared" si="128"/>
        <v>-3160</v>
      </c>
      <c r="O104" s="149">
        <v>2583</v>
      </c>
      <c r="P104" s="148">
        <f>483-O104</f>
        <v>-2100</v>
      </c>
      <c r="Q104" s="148">
        <f>-717-P104-O104</f>
        <v>-1200</v>
      </c>
      <c r="R104" s="38"/>
      <c r="S104" s="26">
        <f t="shared" si="129"/>
        <v>2041</v>
      </c>
      <c r="T104" s="26">
        <f t="shared" si="130"/>
        <v>-3877</v>
      </c>
      <c r="U104" s="26"/>
      <c r="V104" s="28">
        <f t="shared" ref="V104:V111" si="131">SUM(T104/S104)-1</f>
        <v>-2.8995590396864284</v>
      </c>
    </row>
    <row r="105" spans="2:22" x14ac:dyDescent="0.25">
      <c r="B105" s="175" t="s">
        <v>46</v>
      </c>
      <c r="C105" s="146">
        <v>230</v>
      </c>
      <c r="D105" s="149">
        <v>-5764</v>
      </c>
      <c r="E105" s="149">
        <v>2229</v>
      </c>
      <c r="F105" s="147"/>
      <c r="G105" s="146">
        <v>-2970</v>
      </c>
      <c r="H105" s="147">
        <f>-5077-G105</f>
        <v>-2107</v>
      </c>
      <c r="I105" s="147">
        <f>-5465-H105-G105</f>
        <v>-388</v>
      </c>
      <c r="J105" s="153">
        <f t="shared" si="127"/>
        <v>-299</v>
      </c>
      <c r="K105" s="146">
        <v>1100</v>
      </c>
      <c r="L105" s="148">
        <f>1144-K105</f>
        <v>44</v>
      </c>
      <c r="M105" s="148">
        <f>2229-L105-K105</f>
        <v>1085</v>
      </c>
      <c r="N105" s="147">
        <f t="shared" si="128"/>
        <v>0</v>
      </c>
      <c r="O105" s="146"/>
      <c r="P105" s="147"/>
      <c r="Q105" s="147">
        <v>0</v>
      </c>
      <c r="R105" s="38"/>
      <c r="S105" s="26">
        <f t="shared" ref="S105:S111" si="132">SUM(J105:M105)</f>
        <v>1930</v>
      </c>
      <c r="T105" s="26">
        <f t="shared" ref="T105:T111" si="133">SUM(N105:Q105)</f>
        <v>0</v>
      </c>
      <c r="U105" s="26"/>
      <c r="V105" s="28">
        <f t="shared" si="131"/>
        <v>-1</v>
      </c>
    </row>
    <row r="106" spans="2:22" x14ac:dyDescent="0.25">
      <c r="B106" s="175" t="s">
        <v>47</v>
      </c>
      <c r="C106" s="146"/>
      <c r="D106" s="149">
        <v>0</v>
      </c>
      <c r="E106" s="149">
        <v>836</v>
      </c>
      <c r="F106" s="147"/>
      <c r="G106" s="146"/>
      <c r="H106" s="147"/>
      <c r="I106" s="147"/>
      <c r="J106" s="153">
        <f t="shared" si="127"/>
        <v>0</v>
      </c>
      <c r="K106" s="89">
        <v>742</v>
      </c>
      <c r="L106" s="148">
        <f>836-K106</f>
        <v>94</v>
      </c>
      <c r="M106" s="148">
        <f>836-L106-K106</f>
        <v>0</v>
      </c>
      <c r="N106" s="147">
        <f t="shared" si="128"/>
        <v>0</v>
      </c>
      <c r="O106" s="146"/>
      <c r="P106" s="147"/>
      <c r="Q106" s="147">
        <v>0</v>
      </c>
      <c r="R106" s="38"/>
      <c r="S106" s="26">
        <f t="shared" si="132"/>
        <v>836</v>
      </c>
      <c r="T106" s="26">
        <f t="shared" si="133"/>
        <v>0</v>
      </c>
      <c r="U106" s="26"/>
      <c r="V106" s="28">
        <f t="shared" si="131"/>
        <v>-1</v>
      </c>
    </row>
    <row r="107" spans="2:22" x14ac:dyDescent="0.25">
      <c r="B107" s="175" t="s">
        <v>48</v>
      </c>
      <c r="C107" s="146"/>
      <c r="D107" s="149">
        <v>-949</v>
      </c>
      <c r="E107" s="149">
        <v>-3121</v>
      </c>
      <c r="F107" s="147"/>
      <c r="G107" s="154"/>
      <c r="H107" s="155"/>
      <c r="I107" s="147">
        <f>-356-H107-G107</f>
        <v>-356</v>
      </c>
      <c r="J107" s="153">
        <f t="shared" si="127"/>
        <v>-593</v>
      </c>
      <c r="K107" s="146">
        <v>-506</v>
      </c>
      <c r="L107" s="148">
        <f>-1571-K107</f>
        <v>-1065</v>
      </c>
      <c r="M107" s="148">
        <f>-2310-L107-K107</f>
        <v>-739</v>
      </c>
      <c r="N107" s="147">
        <f t="shared" si="128"/>
        <v>-811</v>
      </c>
      <c r="O107" s="149">
        <v>-855</v>
      </c>
      <c r="P107" s="148">
        <f>-1776-O107</f>
        <v>-921</v>
      </c>
      <c r="Q107" s="148">
        <f>-2752-P107-O107</f>
        <v>-976</v>
      </c>
      <c r="R107" s="38"/>
      <c r="S107" s="26">
        <f t="shared" si="132"/>
        <v>-2903</v>
      </c>
      <c r="T107" s="26">
        <f t="shared" si="133"/>
        <v>-3563</v>
      </c>
      <c r="U107" s="26"/>
      <c r="V107" s="28">
        <f t="shared" si="131"/>
        <v>0.22735101619014819</v>
      </c>
    </row>
    <row r="108" spans="2:22" x14ac:dyDescent="0.25">
      <c r="B108" s="175" t="s">
        <v>49</v>
      </c>
      <c r="C108" s="146">
        <v>729</v>
      </c>
      <c r="D108" s="149">
        <v>1468</v>
      </c>
      <c r="E108" s="149">
        <v>1453</v>
      </c>
      <c r="F108" s="147"/>
      <c r="G108" s="146">
        <f>46+236</f>
        <v>282</v>
      </c>
      <c r="H108" s="147">
        <f>667-G108</f>
        <v>385</v>
      </c>
      <c r="I108" s="147">
        <f>1072-G108-H108</f>
        <v>405</v>
      </c>
      <c r="J108" s="153">
        <f t="shared" si="127"/>
        <v>396</v>
      </c>
      <c r="K108" s="146">
        <f>237+82+72</f>
        <v>391</v>
      </c>
      <c r="L108" s="156">
        <f>SUM(428+158+96)-K108</f>
        <v>291</v>
      </c>
      <c r="M108" s="148">
        <f>1100-L108-K108</f>
        <v>418</v>
      </c>
      <c r="N108" s="147">
        <f t="shared" si="128"/>
        <v>353</v>
      </c>
      <c r="O108" s="149">
        <v>298</v>
      </c>
      <c r="P108" s="148">
        <f>547-O108</f>
        <v>249</v>
      </c>
      <c r="Q108" s="148">
        <f>741-P108-O108</f>
        <v>194</v>
      </c>
      <c r="R108" s="38"/>
      <c r="S108" s="26">
        <f t="shared" si="132"/>
        <v>1496</v>
      </c>
      <c r="T108" s="26">
        <f t="shared" si="133"/>
        <v>1094</v>
      </c>
      <c r="U108" s="26"/>
      <c r="V108" s="28">
        <f t="shared" si="131"/>
        <v>-0.26871657754010692</v>
      </c>
    </row>
    <row r="109" spans="2:22" x14ac:dyDescent="0.25">
      <c r="B109" s="175" t="s">
        <v>88</v>
      </c>
      <c r="C109" s="146"/>
      <c r="D109" s="146">
        <v>47</v>
      </c>
      <c r="E109" s="149"/>
      <c r="F109" s="147"/>
      <c r="G109" s="146">
        <v>47</v>
      </c>
      <c r="H109" s="147"/>
      <c r="I109" s="147"/>
      <c r="J109" s="153"/>
      <c r="K109" s="146"/>
      <c r="L109" s="148"/>
      <c r="M109" s="148"/>
      <c r="N109" s="147"/>
      <c r="O109" s="149"/>
      <c r="P109" s="148"/>
      <c r="Q109" s="148"/>
      <c r="R109" s="38"/>
      <c r="S109" s="26">
        <f t="shared" si="132"/>
        <v>0</v>
      </c>
      <c r="T109" s="26">
        <f t="shared" si="133"/>
        <v>0</v>
      </c>
      <c r="U109" s="26"/>
      <c r="V109" s="28" t="e">
        <f t="shared" si="131"/>
        <v>#DIV/0!</v>
      </c>
    </row>
    <row r="110" spans="2:22" x14ac:dyDescent="0.25">
      <c r="B110" s="175" t="s">
        <v>50</v>
      </c>
      <c r="C110" s="146"/>
      <c r="D110" s="149">
        <v>537</v>
      </c>
      <c r="E110" s="149">
        <v>1682</v>
      </c>
      <c r="F110" s="147"/>
      <c r="G110" s="146"/>
      <c r="H110" s="147"/>
      <c r="I110" s="147"/>
      <c r="J110" s="153">
        <f>SUM(D110-SUM(G110:I110))</f>
        <v>537</v>
      </c>
      <c r="K110" s="146">
        <v>379</v>
      </c>
      <c r="L110" s="148">
        <f>764-K110</f>
        <v>385</v>
      </c>
      <c r="M110" s="148">
        <f>1288-L110-K110</f>
        <v>524</v>
      </c>
      <c r="N110" s="147">
        <f t="shared" si="128"/>
        <v>394</v>
      </c>
      <c r="O110" s="149">
        <v>391</v>
      </c>
      <c r="P110" s="148">
        <f>784-O110</f>
        <v>393</v>
      </c>
      <c r="Q110" s="148">
        <f>1533-P110-O110</f>
        <v>749</v>
      </c>
      <c r="R110" s="38"/>
      <c r="S110" s="26">
        <f t="shared" si="132"/>
        <v>1825</v>
      </c>
      <c r="T110" s="26">
        <f t="shared" si="133"/>
        <v>1927</v>
      </c>
      <c r="U110" s="26"/>
      <c r="V110" s="28">
        <f t="shared" si="131"/>
        <v>5.5890410958904013E-2</v>
      </c>
    </row>
    <row r="111" spans="2:22" x14ac:dyDescent="0.25">
      <c r="B111" s="175" t="s">
        <v>8</v>
      </c>
      <c r="C111" s="146"/>
      <c r="D111" s="149">
        <v>5377</v>
      </c>
      <c r="E111" s="149">
        <v>0</v>
      </c>
      <c r="F111" s="147"/>
      <c r="G111" s="146"/>
      <c r="H111" s="147"/>
      <c r="I111" s="147"/>
      <c r="J111" s="153">
        <f>SUM(D111-SUM(G111:I111))</f>
        <v>5377</v>
      </c>
      <c r="K111" s="146"/>
      <c r="L111" s="147"/>
      <c r="M111" s="147"/>
      <c r="N111" s="147">
        <f t="shared" si="128"/>
        <v>0</v>
      </c>
      <c r="O111" s="146"/>
      <c r="P111" s="147"/>
      <c r="Q111" s="147"/>
      <c r="R111" s="38"/>
      <c r="S111" s="26">
        <f t="shared" si="132"/>
        <v>5377</v>
      </c>
      <c r="T111" s="26">
        <f t="shared" si="133"/>
        <v>0</v>
      </c>
      <c r="U111" s="26"/>
      <c r="V111" s="28">
        <f t="shared" si="131"/>
        <v>-1</v>
      </c>
    </row>
    <row r="112" spans="2:22" x14ac:dyDescent="0.25">
      <c r="B112"/>
      <c r="C112" s="142"/>
      <c r="D112" s="142"/>
      <c r="E112" s="142"/>
      <c r="F112" s="26"/>
      <c r="G112" s="142"/>
      <c r="H112" s="73"/>
      <c r="I112" s="73"/>
      <c r="J112" s="74"/>
      <c r="K112" s="142"/>
      <c r="L112" s="73"/>
      <c r="M112" s="73"/>
      <c r="N112" s="74"/>
      <c r="O112" s="142"/>
      <c r="P112" s="73"/>
      <c r="Q112" s="73"/>
      <c r="R112" s="38"/>
      <c r="S112" s="26"/>
      <c r="T112" s="26"/>
      <c r="U112" s="26"/>
      <c r="V112" s="43"/>
    </row>
    <row r="113" spans="2:22" x14ac:dyDescent="0.25">
      <c r="B113" s="2" t="s">
        <v>51</v>
      </c>
      <c r="C113" s="142"/>
      <c r="D113" s="142"/>
      <c r="E113" s="142"/>
      <c r="F113" s="26"/>
      <c r="G113" s="142"/>
      <c r="H113" s="73"/>
      <c r="I113" s="73"/>
      <c r="J113" s="74"/>
      <c r="K113" s="142"/>
      <c r="L113" s="73"/>
      <c r="M113" s="73"/>
      <c r="N113" s="74"/>
      <c r="O113" s="142"/>
      <c r="P113" s="73"/>
      <c r="Q113" s="73"/>
      <c r="R113" s="38"/>
      <c r="S113" s="73"/>
      <c r="T113" s="73"/>
      <c r="U113" s="75"/>
    </row>
    <row r="114" spans="2:22" x14ac:dyDescent="0.25">
      <c r="B114" s="175" t="s">
        <v>21</v>
      </c>
      <c r="C114" s="146">
        <v>-1063</v>
      </c>
      <c r="D114" s="149">
        <v>-4692</v>
      </c>
      <c r="E114" s="149">
        <v>1206</v>
      </c>
      <c r="F114" s="147"/>
      <c r="G114" s="146">
        <v>282</v>
      </c>
      <c r="H114" s="147">
        <f>-1030-G114</f>
        <v>-1312</v>
      </c>
      <c r="I114" s="147">
        <f>-753-H114-G114</f>
        <v>277</v>
      </c>
      <c r="J114" s="153">
        <f t="shared" ref="J114:J119" si="134">SUM(D114-SUM(G114:I114))</f>
        <v>-3939</v>
      </c>
      <c r="K114" s="146">
        <v>915</v>
      </c>
      <c r="L114" s="148">
        <f>-1394-K114</f>
        <v>-2309</v>
      </c>
      <c r="M114" s="148">
        <f>3239-L114-K114</f>
        <v>4633</v>
      </c>
      <c r="N114" s="147">
        <f t="shared" ref="N114:N119" si="135">SUM(E114-SUM(K114:M114))</f>
        <v>-2033</v>
      </c>
      <c r="O114" s="149">
        <v>323</v>
      </c>
      <c r="P114" s="148">
        <f>-203-O114</f>
        <v>-526</v>
      </c>
      <c r="Q114" s="148">
        <f>-1355-P114-O114</f>
        <v>-1152</v>
      </c>
      <c r="R114" s="38"/>
      <c r="S114" s="26">
        <f t="shared" ref="S114:S118" si="136">SUM(J114:M114)</f>
        <v>-700</v>
      </c>
      <c r="T114" s="26">
        <f t="shared" ref="T114:T118" si="137">SUM(N114:Q114)</f>
        <v>-3388</v>
      </c>
      <c r="U114" s="75"/>
      <c r="V114" s="28">
        <f t="shared" ref="V114:V118" si="138">SUM(T114/S114)-1</f>
        <v>3.84</v>
      </c>
    </row>
    <row r="115" spans="2:22" x14ac:dyDescent="0.25">
      <c r="B115" s="175" t="s">
        <v>52</v>
      </c>
      <c r="C115" s="149">
        <f>-315+(-35)</f>
        <v>-350</v>
      </c>
      <c r="D115" s="149">
        <v>-1065</v>
      </c>
      <c r="E115" s="149">
        <v>-259</v>
      </c>
      <c r="F115" s="147"/>
      <c r="G115" s="146">
        <f>-3054+(-918)</f>
        <v>-3972</v>
      </c>
      <c r="H115" s="147">
        <f>-2898+34-G115</f>
        <v>1108</v>
      </c>
      <c r="I115" s="147">
        <f>(-2282)+(35)-H115-G115</f>
        <v>617</v>
      </c>
      <c r="J115" s="153">
        <f t="shared" si="134"/>
        <v>1182</v>
      </c>
      <c r="K115" s="146">
        <v>694</v>
      </c>
      <c r="L115" s="148">
        <f>-888-K115</f>
        <v>-1582</v>
      </c>
      <c r="M115" s="148">
        <f>-1027-L115-K115</f>
        <v>-139</v>
      </c>
      <c r="N115" s="147">
        <f t="shared" si="135"/>
        <v>768</v>
      </c>
      <c r="O115" s="149">
        <v>435</v>
      </c>
      <c r="P115" s="148">
        <f>-1021-O115</f>
        <v>-1456</v>
      </c>
      <c r="Q115" s="148">
        <f>-1955-P115-O115</f>
        <v>-934</v>
      </c>
      <c r="R115" s="38"/>
      <c r="S115" s="26">
        <f t="shared" si="136"/>
        <v>155</v>
      </c>
      <c r="T115" s="26">
        <f t="shared" si="137"/>
        <v>-1187</v>
      </c>
      <c r="U115" s="75"/>
      <c r="V115" s="28">
        <f t="shared" si="138"/>
        <v>-8.6580645161290324</v>
      </c>
    </row>
    <row r="116" spans="2:22" x14ac:dyDescent="0.25">
      <c r="B116" s="175" t="s">
        <v>32</v>
      </c>
      <c r="C116" s="146">
        <v>493</v>
      </c>
      <c r="D116" s="149">
        <v>-24</v>
      </c>
      <c r="E116" s="149">
        <v>-618</v>
      </c>
      <c r="F116" s="147"/>
      <c r="G116" s="146">
        <v>-466</v>
      </c>
      <c r="H116" s="147">
        <f>123-G116</f>
        <v>589</v>
      </c>
      <c r="I116" s="147">
        <f>-174-H116-G116</f>
        <v>-297</v>
      </c>
      <c r="J116" s="153">
        <f t="shared" si="134"/>
        <v>150</v>
      </c>
      <c r="K116" s="146">
        <f>-402+(-1)</f>
        <v>-403</v>
      </c>
      <c r="L116" s="148">
        <f>-128-K116</f>
        <v>275</v>
      </c>
      <c r="M116" s="148">
        <f>-489-L116-K116</f>
        <v>-361</v>
      </c>
      <c r="N116" s="147">
        <f t="shared" si="135"/>
        <v>-129</v>
      </c>
      <c r="O116" s="149">
        <v>-214</v>
      </c>
      <c r="P116" s="148">
        <f>493-O116</f>
        <v>707</v>
      </c>
      <c r="Q116" s="148">
        <f>543-P116-O116</f>
        <v>50</v>
      </c>
      <c r="R116" s="38"/>
      <c r="S116" s="26">
        <f t="shared" si="136"/>
        <v>-339</v>
      </c>
      <c r="T116" s="26">
        <f t="shared" si="137"/>
        <v>414</v>
      </c>
      <c r="U116" s="75"/>
      <c r="V116" s="28">
        <f t="shared" si="138"/>
        <v>-2.221238938053097</v>
      </c>
    </row>
    <row r="117" spans="2:22" x14ac:dyDescent="0.25">
      <c r="B117" s="175" t="s">
        <v>30</v>
      </c>
      <c r="C117" s="149">
        <v>-389</v>
      </c>
      <c r="D117" s="149">
        <v>-707</v>
      </c>
      <c r="E117" s="149">
        <v>895</v>
      </c>
      <c r="F117" s="147"/>
      <c r="G117" s="146">
        <v>1482</v>
      </c>
      <c r="H117" s="147">
        <f>-882-G117</f>
        <v>-2364</v>
      </c>
      <c r="I117" s="147">
        <f>-694-H117-G117</f>
        <v>188</v>
      </c>
      <c r="J117" s="153">
        <f t="shared" si="134"/>
        <v>-13</v>
      </c>
      <c r="K117" s="146">
        <v>-484</v>
      </c>
      <c r="L117" s="148">
        <f>-1298-K117</f>
        <v>-814</v>
      </c>
      <c r="M117" s="148">
        <f>-212-L117-K117</f>
        <v>1086</v>
      </c>
      <c r="N117" s="147">
        <f>SUM(E117-SUM(K117:M117))</f>
        <v>1107</v>
      </c>
      <c r="O117" s="149">
        <v>334</v>
      </c>
      <c r="P117" s="148">
        <f>-1085-O117</f>
        <v>-1419</v>
      </c>
      <c r="Q117" s="148">
        <f>-808-P117-O117</f>
        <v>277</v>
      </c>
      <c r="R117" s="38"/>
      <c r="S117" s="26">
        <f t="shared" si="136"/>
        <v>-225</v>
      </c>
      <c r="T117" s="26">
        <f t="shared" si="137"/>
        <v>299</v>
      </c>
      <c r="U117" s="26"/>
      <c r="V117" s="28">
        <f t="shared" si="138"/>
        <v>-2.3288888888888888</v>
      </c>
    </row>
    <row r="118" spans="2:22" x14ac:dyDescent="0.25">
      <c r="B118" s="175" t="s">
        <v>53</v>
      </c>
      <c r="C118" s="149">
        <v>1554</v>
      </c>
      <c r="D118" s="149">
        <v>4456</v>
      </c>
      <c r="E118" s="149">
        <v>-1719</v>
      </c>
      <c r="F118" s="147"/>
      <c r="G118" s="146">
        <v>4084</v>
      </c>
      <c r="H118" s="147">
        <f>2557-G118</f>
        <v>-1527</v>
      </c>
      <c r="I118" s="147">
        <f>3469-H118-G118</f>
        <v>912</v>
      </c>
      <c r="J118" s="153">
        <f t="shared" si="134"/>
        <v>987</v>
      </c>
      <c r="K118" s="146">
        <v>32</v>
      </c>
      <c r="L118" s="148">
        <f>-2260-K118</f>
        <v>-2292</v>
      </c>
      <c r="M118" s="148">
        <f>-2067-L118-K118</f>
        <v>193</v>
      </c>
      <c r="N118" s="147">
        <f t="shared" si="135"/>
        <v>348</v>
      </c>
      <c r="O118" s="149">
        <v>-2060</v>
      </c>
      <c r="P118" s="148">
        <f>-1602-O118</f>
        <v>458</v>
      </c>
      <c r="Q118" s="148">
        <f>-3632-P118-O118</f>
        <v>-2030</v>
      </c>
      <c r="R118" s="38"/>
      <c r="S118" s="26">
        <f t="shared" si="136"/>
        <v>-1080</v>
      </c>
      <c r="T118" s="26">
        <f t="shared" si="137"/>
        <v>-3284</v>
      </c>
      <c r="U118" s="75"/>
      <c r="V118" s="28">
        <f t="shared" si="138"/>
        <v>2.0407407407407407</v>
      </c>
    </row>
    <row r="119" spans="2:22" x14ac:dyDescent="0.25">
      <c r="B119" s="175" t="s">
        <v>54</v>
      </c>
      <c r="C119" s="146">
        <v>-87</v>
      </c>
      <c r="D119" s="149">
        <v>-295</v>
      </c>
      <c r="E119" s="149">
        <v>0</v>
      </c>
      <c r="F119" s="147"/>
      <c r="G119" s="146">
        <v>43</v>
      </c>
      <c r="H119" s="147">
        <f>122-G119</f>
        <v>79</v>
      </c>
      <c r="I119" s="147">
        <f>142-H119-G119</f>
        <v>20</v>
      </c>
      <c r="J119" s="153">
        <f t="shared" si="134"/>
        <v>-437</v>
      </c>
      <c r="K119" s="146"/>
      <c r="L119" s="147"/>
      <c r="M119" s="148">
        <v>0</v>
      </c>
      <c r="N119" s="147">
        <f t="shared" si="135"/>
        <v>0</v>
      </c>
      <c r="O119" s="146"/>
      <c r="P119" s="147"/>
      <c r="Q119" s="147"/>
      <c r="R119" s="38"/>
      <c r="S119" s="26">
        <f t="shared" ref="S119" si="139">SUM(J119:M119)</f>
        <v>-437</v>
      </c>
      <c r="T119" s="26">
        <f t="shared" ref="T119" si="140">SUM(N119:Q119)</f>
        <v>0</v>
      </c>
      <c r="U119" s="26"/>
      <c r="V119" s="28">
        <f>SUM(T119/S119)-1</f>
        <v>-1</v>
      </c>
    </row>
    <row r="120" spans="2:22" ht="15.75" x14ac:dyDescent="0.25">
      <c r="B120" s="76" t="s">
        <v>55</v>
      </c>
      <c r="C120" s="77">
        <f>SUM(C98:C119)</f>
        <v>-29044</v>
      </c>
      <c r="D120" s="77">
        <f>SUM(D98:D119)</f>
        <v>-62642</v>
      </c>
      <c r="E120" s="77">
        <f>SUM(E98:E119)</f>
        <v>-50579</v>
      </c>
      <c r="F120" s="38"/>
      <c r="G120" s="77">
        <f t="shared" ref="G120:Q120" si="141">SUM(G98:G119)</f>
        <v>-15721</v>
      </c>
      <c r="H120" s="77">
        <f t="shared" si="141"/>
        <v>-19317</v>
      </c>
      <c r="I120" s="77">
        <f t="shared" si="141"/>
        <v>-13397</v>
      </c>
      <c r="J120" s="77">
        <f t="shared" si="141"/>
        <v>-14207</v>
      </c>
      <c r="K120" s="77">
        <f t="shared" si="141"/>
        <v>-15548</v>
      </c>
      <c r="L120" s="77">
        <f t="shared" si="141"/>
        <v>-18069</v>
      </c>
      <c r="M120" s="77">
        <f t="shared" si="141"/>
        <v>-4541</v>
      </c>
      <c r="N120" s="77">
        <f t="shared" si="141"/>
        <v>-12421</v>
      </c>
      <c r="O120" s="77">
        <f t="shared" si="141"/>
        <v>-13139</v>
      </c>
      <c r="P120" s="77">
        <f t="shared" si="141"/>
        <v>-13517</v>
      </c>
      <c r="Q120" s="77">
        <f t="shared" si="141"/>
        <v>-15427</v>
      </c>
      <c r="R120" s="38"/>
      <c r="S120" s="77">
        <f>SUM(S98:S119)</f>
        <v>-52365</v>
      </c>
      <c r="T120" s="77">
        <f>SUM(T98:T119)</f>
        <v>-54504</v>
      </c>
      <c r="U120" s="32"/>
      <c r="V120" s="28">
        <f>SUM(T120/S120)-1</f>
        <v>4.0847894586078404E-2</v>
      </c>
    </row>
    <row r="121" spans="2:22" ht="15.75" x14ac:dyDescent="0.25">
      <c r="B121" s="61"/>
      <c r="C121" s="78"/>
      <c r="D121" s="78"/>
      <c r="E121" s="78"/>
      <c r="F121" s="38"/>
      <c r="G121" s="78"/>
      <c r="H121" s="78"/>
      <c r="I121" s="78"/>
      <c r="J121" s="78"/>
      <c r="K121" s="78"/>
      <c r="L121" s="78"/>
      <c r="M121" s="78"/>
      <c r="N121" s="78"/>
      <c r="O121" s="78"/>
      <c r="P121" s="78"/>
      <c r="Q121" s="78"/>
      <c r="R121" s="38"/>
      <c r="S121" s="32"/>
      <c r="T121" s="32"/>
      <c r="U121" s="32"/>
      <c r="V121" s="43"/>
    </row>
    <row r="122" spans="2:22" ht="15.75" x14ac:dyDescent="0.25">
      <c r="B122" s="61" t="s">
        <v>56</v>
      </c>
      <c r="C122" s="73"/>
      <c r="D122" s="73"/>
      <c r="E122" s="73"/>
      <c r="F122" s="38"/>
      <c r="G122" s="73"/>
      <c r="H122" s="73"/>
      <c r="I122" s="73"/>
      <c r="J122" s="74"/>
      <c r="K122" s="73"/>
      <c r="L122" s="73"/>
      <c r="M122" s="73"/>
      <c r="N122" s="74"/>
      <c r="O122" s="73"/>
      <c r="P122" s="73"/>
      <c r="Q122" s="73"/>
      <c r="R122" s="38"/>
      <c r="S122" s="73"/>
      <c r="T122" s="73"/>
      <c r="U122" s="75"/>
    </row>
    <row r="123" spans="2:22" x14ac:dyDescent="0.25">
      <c r="B123" s="175" t="s">
        <v>57</v>
      </c>
      <c r="C123" s="146">
        <v>-7008</v>
      </c>
      <c r="D123" s="146">
        <v>-22737</v>
      </c>
      <c r="E123" s="146">
        <v>-9059</v>
      </c>
      <c r="F123" s="147"/>
      <c r="G123" s="146">
        <v>-2836</v>
      </c>
      <c r="H123" s="147">
        <v>10636</v>
      </c>
      <c r="I123" s="147">
        <f>-19294-H123-G123</f>
        <v>-27094</v>
      </c>
      <c r="J123" s="147">
        <f>SUM(D123-SUM(G123:I123))</f>
        <v>-3443</v>
      </c>
      <c r="K123" s="146">
        <v>-4804</v>
      </c>
      <c r="L123" s="148">
        <f>-5735-K123</f>
        <v>-931</v>
      </c>
      <c r="M123" s="148">
        <f>-7511-L123-K123</f>
        <v>-1776</v>
      </c>
      <c r="N123" s="147">
        <f t="shared" ref="N123:N125" si="142">SUM(E123-SUM(K123:M123))</f>
        <v>-1548</v>
      </c>
      <c r="O123" s="149">
        <v>-5493</v>
      </c>
      <c r="P123" s="148">
        <f>-7538-O123</f>
        <v>-2045</v>
      </c>
      <c r="Q123" s="148">
        <f>-9816-P123-O123</f>
        <v>-2278</v>
      </c>
      <c r="R123" s="38"/>
      <c r="S123" s="26">
        <f t="shared" ref="S123:S125" si="143">SUM(J123:M123)</f>
        <v>-10954</v>
      </c>
      <c r="T123" s="26">
        <f t="shared" ref="T123:T125" si="144">SUM(N123:Q123)</f>
        <v>-11364</v>
      </c>
      <c r="U123" s="75"/>
      <c r="V123" s="33">
        <f t="shared" ref="V123:V125" si="145">SUM(T123/S123)-1</f>
        <v>3.7429249589191249E-2</v>
      </c>
    </row>
    <row r="124" spans="2:22" x14ac:dyDescent="0.25">
      <c r="B124" s="175" t="s">
        <v>58</v>
      </c>
      <c r="C124" s="146"/>
      <c r="D124" s="146">
        <v>-84287</v>
      </c>
      <c r="E124" s="146">
        <v>-109252</v>
      </c>
      <c r="F124" s="147"/>
      <c r="G124" s="146">
        <v>0</v>
      </c>
      <c r="H124" s="147"/>
      <c r="I124" s="147">
        <f>-87186-H124-G124</f>
        <v>-87186</v>
      </c>
      <c r="J124" s="147">
        <f>SUM(D124-SUM(G124:I124))</f>
        <v>2899</v>
      </c>
      <c r="K124" s="146">
        <v>-38528</v>
      </c>
      <c r="L124" s="148">
        <f>-57619-K124</f>
        <v>-19091</v>
      </c>
      <c r="M124" s="148">
        <f>-79047-L124-K124</f>
        <v>-21428</v>
      </c>
      <c r="N124" s="147">
        <f t="shared" si="142"/>
        <v>-30205</v>
      </c>
      <c r="O124" s="149">
        <v>-27287</v>
      </c>
      <c r="P124" s="148">
        <f>-75995-O124</f>
        <v>-48708</v>
      </c>
      <c r="Q124" s="148">
        <f>-98451-P124-O124</f>
        <v>-22456</v>
      </c>
      <c r="R124" s="38"/>
      <c r="S124" s="26">
        <f t="shared" si="143"/>
        <v>-76148</v>
      </c>
      <c r="T124" s="26">
        <f t="shared" si="144"/>
        <v>-128656</v>
      </c>
      <c r="U124" s="75"/>
      <c r="V124" s="33">
        <f t="shared" si="145"/>
        <v>0.689551925198298</v>
      </c>
    </row>
    <row r="125" spans="2:22" x14ac:dyDescent="0.25">
      <c r="B125" s="175" t="s">
        <v>59</v>
      </c>
      <c r="C125" s="146"/>
      <c r="D125" s="149"/>
      <c r="E125" s="149">
        <v>119084</v>
      </c>
      <c r="F125" s="147"/>
      <c r="G125" s="146">
        <v>0</v>
      </c>
      <c r="H125" s="147"/>
      <c r="I125" s="147"/>
      <c r="J125" s="147">
        <f>SUM(D125-SUM(G125:I125))</f>
        <v>0</v>
      </c>
      <c r="K125" s="146">
        <v>28346</v>
      </c>
      <c r="L125" s="148">
        <f>60589-K125</f>
        <v>32243</v>
      </c>
      <c r="M125" s="148">
        <f>98082-L125-K125</f>
        <v>37493</v>
      </c>
      <c r="N125" s="147">
        <f t="shared" si="142"/>
        <v>21002</v>
      </c>
      <c r="O125" s="149">
        <v>39000</v>
      </c>
      <c r="P125" s="148">
        <f>76500-O125</f>
        <v>37500</v>
      </c>
      <c r="Q125" s="148">
        <f>107499-P125-O125</f>
        <v>30999</v>
      </c>
      <c r="R125" s="38"/>
      <c r="S125" s="26">
        <f t="shared" si="143"/>
        <v>98082</v>
      </c>
      <c r="T125" s="26">
        <f t="shared" si="144"/>
        <v>128501</v>
      </c>
      <c r="U125" s="75"/>
      <c r="V125" s="33">
        <f t="shared" si="145"/>
        <v>0.31013845557798581</v>
      </c>
    </row>
    <row r="126" spans="2:22" ht="15.75" x14ac:dyDescent="0.25">
      <c r="B126" s="79" t="s">
        <v>124</v>
      </c>
      <c r="C126" s="77">
        <f>SUM(C123:C125)</f>
        <v>-7008</v>
      </c>
      <c r="D126" s="77">
        <f t="shared" ref="D126:E126" si="146">SUM(D123:D125)</f>
        <v>-107024</v>
      </c>
      <c r="E126" s="77">
        <f t="shared" si="146"/>
        <v>773</v>
      </c>
      <c r="F126" s="38"/>
      <c r="G126" s="77">
        <f t="shared" ref="G126" si="147">SUM(G123:G125)</f>
        <v>-2836</v>
      </c>
      <c r="H126" s="77">
        <f t="shared" ref="H126" si="148">SUM(H123:H125)</f>
        <v>10636</v>
      </c>
      <c r="I126" s="77">
        <f t="shared" ref="I126" si="149">SUM(I123:I125)</f>
        <v>-114280</v>
      </c>
      <c r="J126" s="77">
        <f t="shared" ref="J126" si="150">SUM(J123:J125)</f>
        <v>-544</v>
      </c>
      <c r="K126" s="77">
        <f t="shared" ref="K126" si="151">SUM(K123:K125)</f>
        <v>-14986</v>
      </c>
      <c r="L126" s="77">
        <f t="shared" ref="L126" si="152">SUM(L123:L125)</f>
        <v>12221</v>
      </c>
      <c r="M126" s="77">
        <f t="shared" ref="M126" si="153">SUM(M123:M125)</f>
        <v>14289</v>
      </c>
      <c r="N126" s="77">
        <f t="shared" ref="N126" si="154">SUM(N123:N125)</f>
        <v>-10751</v>
      </c>
      <c r="O126" s="77">
        <f t="shared" ref="O126" si="155">SUM(O123:O125)</f>
        <v>6220</v>
      </c>
      <c r="P126" s="77">
        <f t="shared" ref="P126" si="156">SUM(P123:P125)</f>
        <v>-13253</v>
      </c>
      <c r="Q126" s="77">
        <f t="shared" ref="Q126" si="157">SUM(Q123:Q125)</f>
        <v>6265</v>
      </c>
      <c r="R126" s="38"/>
      <c r="S126" s="77">
        <f t="shared" ref="S126" si="158">SUM(S123:S125)</f>
        <v>10980</v>
      </c>
      <c r="T126" s="77">
        <f t="shared" ref="T126" si="159">SUM(T123:T125)</f>
        <v>-11519</v>
      </c>
      <c r="U126" s="32"/>
      <c r="V126" s="33">
        <f>SUM(T126/S126)-1</f>
        <v>-2.0490892531876139</v>
      </c>
    </row>
    <row r="127" spans="2:22" ht="15.75" x14ac:dyDescent="0.25">
      <c r="B127" s="80"/>
      <c r="C127" s="78"/>
      <c r="D127" s="78"/>
      <c r="E127" s="78"/>
      <c r="F127" s="38"/>
      <c r="G127" s="78"/>
      <c r="H127" s="78"/>
      <c r="I127" s="78"/>
      <c r="J127" s="78"/>
      <c r="K127" s="78"/>
      <c r="L127" s="78"/>
      <c r="M127" s="78"/>
      <c r="N127" s="78"/>
      <c r="O127" s="78"/>
      <c r="P127" s="78"/>
      <c r="Q127" s="78"/>
      <c r="R127" s="38"/>
      <c r="S127" s="32"/>
      <c r="T127" s="32"/>
      <c r="U127" s="32"/>
      <c r="V127" s="43"/>
    </row>
    <row r="128" spans="2:22" ht="15.75" x14ac:dyDescent="0.25">
      <c r="B128" s="61" t="s">
        <v>60</v>
      </c>
      <c r="C128" s="81"/>
      <c r="D128" s="81"/>
      <c r="E128" s="81"/>
      <c r="F128" s="38"/>
      <c r="G128" s="81"/>
      <c r="H128" s="81"/>
      <c r="I128" s="81"/>
      <c r="J128" s="81"/>
      <c r="K128" s="81"/>
      <c r="L128" s="81"/>
      <c r="M128" s="81"/>
      <c r="N128" s="81"/>
      <c r="O128" s="150"/>
      <c r="P128" s="81"/>
      <c r="Q128" s="81"/>
      <c r="R128" s="38"/>
      <c r="S128" s="81"/>
      <c r="T128" s="81"/>
      <c r="U128" s="82"/>
    </row>
    <row r="129" spans="2:22" x14ac:dyDescent="0.25">
      <c r="B129" s="175" t="s">
        <v>61</v>
      </c>
      <c r="C129" s="146"/>
      <c r="D129" s="149">
        <v>225604</v>
      </c>
      <c r="E129" s="149">
        <v>0</v>
      </c>
      <c r="F129" s="143"/>
      <c r="G129" s="146">
        <v>225604</v>
      </c>
      <c r="H129" s="147">
        <f>225604-G129</f>
        <v>0</v>
      </c>
      <c r="I129" s="147">
        <f>225604-H129-G129</f>
        <v>0</v>
      </c>
      <c r="J129" s="147">
        <f t="shared" ref="J129:J140" si="160">SUM(D129-SUM(G129:I129))</f>
        <v>0</v>
      </c>
      <c r="K129" s="146"/>
      <c r="L129" s="147"/>
      <c r="M129" s="147"/>
      <c r="N129" s="147">
        <f t="shared" ref="N129:N140" si="161">SUM(E129-SUM(K129:M129))</f>
        <v>0</v>
      </c>
      <c r="O129" s="146"/>
      <c r="P129" s="147"/>
      <c r="Q129" s="147"/>
      <c r="R129" s="38"/>
      <c r="S129" s="26">
        <f t="shared" ref="S129" si="162">SUM(J129:M129)</f>
        <v>0</v>
      </c>
      <c r="T129" s="26">
        <f t="shared" ref="T129" si="163">SUM(N129:Q129)</f>
        <v>0</v>
      </c>
      <c r="U129" s="26"/>
      <c r="V129" s="28" t="e">
        <f t="shared" ref="V129:V140" si="164">SUM(T129/S129)-1</f>
        <v>#DIV/0!</v>
      </c>
    </row>
    <row r="130" spans="2:22" x14ac:dyDescent="0.25">
      <c r="B130" s="175" t="s">
        <v>62</v>
      </c>
      <c r="C130" s="146"/>
      <c r="D130" s="149">
        <v>-18842</v>
      </c>
      <c r="E130" s="149">
        <v>0</v>
      </c>
      <c r="F130" s="143"/>
      <c r="G130" s="146">
        <v>-16731</v>
      </c>
      <c r="H130" s="147">
        <f>-17428-G130</f>
        <v>-697</v>
      </c>
      <c r="I130" s="147">
        <f>-18420-H130-G130</f>
        <v>-992</v>
      </c>
      <c r="J130" s="147">
        <f t="shared" si="160"/>
        <v>-422</v>
      </c>
      <c r="K130" s="146"/>
      <c r="L130" s="147"/>
      <c r="M130" s="147"/>
      <c r="N130" s="147">
        <f t="shared" si="161"/>
        <v>0</v>
      </c>
      <c r="O130" s="146"/>
      <c r="P130" s="147"/>
      <c r="Q130" s="147"/>
      <c r="R130" s="38"/>
      <c r="S130" s="26">
        <f t="shared" ref="S130:S140" si="165">SUM(J130:M130)</f>
        <v>-422</v>
      </c>
      <c r="T130" s="26">
        <f t="shared" ref="T130:T140" si="166">SUM(N130:Q130)</f>
        <v>0</v>
      </c>
      <c r="U130" s="26"/>
      <c r="V130" s="28">
        <f t="shared" si="164"/>
        <v>-1</v>
      </c>
    </row>
    <row r="131" spans="2:22" x14ac:dyDescent="0.25">
      <c r="B131" s="175" t="s">
        <v>89</v>
      </c>
      <c r="C131" s="149"/>
      <c r="D131" s="146">
        <v>5000</v>
      </c>
      <c r="E131" s="149"/>
      <c r="F131" s="143"/>
      <c r="G131" s="146">
        <v>5000</v>
      </c>
      <c r="H131" s="147"/>
      <c r="I131" s="147"/>
      <c r="J131" s="147">
        <f t="shared" si="160"/>
        <v>0</v>
      </c>
      <c r="K131" s="146"/>
      <c r="L131" s="147"/>
      <c r="M131" s="147"/>
      <c r="N131" s="147"/>
      <c r="O131" s="146"/>
      <c r="P131" s="147"/>
      <c r="Q131" s="147"/>
      <c r="R131" s="38"/>
      <c r="S131" s="26">
        <f t="shared" si="165"/>
        <v>0</v>
      </c>
      <c r="T131" s="26">
        <f t="shared" si="166"/>
        <v>0</v>
      </c>
      <c r="U131" s="26"/>
      <c r="V131" s="28" t="e">
        <f t="shared" si="164"/>
        <v>#DIV/0!</v>
      </c>
    </row>
    <row r="132" spans="2:22" x14ac:dyDescent="0.25">
      <c r="B132" s="175" t="s">
        <v>63</v>
      </c>
      <c r="C132" s="146">
        <v>27000</v>
      </c>
      <c r="D132" s="149">
        <v>5000</v>
      </c>
      <c r="E132" s="149">
        <v>0</v>
      </c>
      <c r="F132" s="143"/>
      <c r="G132" s="146"/>
      <c r="H132" s="147">
        <v>5000</v>
      </c>
      <c r="I132" s="147">
        <f>5000-H132-G132</f>
        <v>0</v>
      </c>
      <c r="J132" s="147">
        <f t="shared" si="160"/>
        <v>0</v>
      </c>
      <c r="K132" s="146"/>
      <c r="L132" s="147"/>
      <c r="M132" s="147"/>
      <c r="N132" s="147">
        <f t="shared" si="161"/>
        <v>0</v>
      </c>
      <c r="O132" s="146"/>
      <c r="P132" s="147"/>
      <c r="Q132" s="147"/>
      <c r="R132" s="38"/>
      <c r="S132" s="26">
        <f t="shared" si="165"/>
        <v>0</v>
      </c>
      <c r="T132" s="26">
        <f t="shared" si="166"/>
        <v>0</v>
      </c>
      <c r="U132" s="26"/>
      <c r="V132" s="28" t="e">
        <f t="shared" si="164"/>
        <v>#DIV/0!</v>
      </c>
    </row>
    <row r="133" spans="2:22" x14ac:dyDescent="0.25">
      <c r="B133" s="175" t="s">
        <v>64</v>
      </c>
      <c r="C133" s="146"/>
      <c r="D133" s="149">
        <v>-1291</v>
      </c>
      <c r="E133" s="149">
        <v>-8333</v>
      </c>
      <c r="F133" s="143"/>
      <c r="G133" s="146"/>
      <c r="H133" s="147"/>
      <c r="I133" s="147"/>
      <c r="J133" s="147">
        <f t="shared" si="160"/>
        <v>-1291</v>
      </c>
      <c r="K133" s="146">
        <v>-1798</v>
      </c>
      <c r="L133" s="148">
        <f>-2858-K133</f>
        <v>-1060</v>
      </c>
      <c r="M133" s="148">
        <f>-5405-L133-K133</f>
        <v>-2547</v>
      </c>
      <c r="N133" s="147">
        <f t="shared" si="161"/>
        <v>-2928</v>
      </c>
      <c r="O133" s="149">
        <v>-3045</v>
      </c>
      <c r="P133" s="148">
        <f>-6199-O133</f>
        <v>-3154</v>
      </c>
      <c r="Q133" s="148">
        <f>-9491-P133-O133</f>
        <v>-3292</v>
      </c>
      <c r="R133" s="38"/>
      <c r="S133" s="26">
        <f t="shared" si="165"/>
        <v>-6696</v>
      </c>
      <c r="T133" s="26">
        <f t="shared" si="166"/>
        <v>-12419</v>
      </c>
      <c r="U133" s="26"/>
      <c r="V133" s="28">
        <f t="shared" si="164"/>
        <v>0.85468936678614105</v>
      </c>
    </row>
    <row r="134" spans="2:22" x14ac:dyDescent="0.25">
      <c r="B134" s="175" t="s">
        <v>65</v>
      </c>
      <c r="C134" s="146">
        <v>-247</v>
      </c>
      <c r="D134" s="149">
        <v>-85</v>
      </c>
      <c r="E134" s="149">
        <v>0</v>
      </c>
      <c r="F134" s="143"/>
      <c r="G134" s="146">
        <v>-30</v>
      </c>
      <c r="H134" s="147">
        <f>-85-G134</f>
        <v>-55</v>
      </c>
      <c r="I134" s="147">
        <f>-85-H134-G134</f>
        <v>0</v>
      </c>
      <c r="J134" s="147">
        <f t="shared" si="160"/>
        <v>0</v>
      </c>
      <c r="K134" s="146"/>
      <c r="L134" s="147"/>
      <c r="M134" s="147"/>
      <c r="N134" s="147">
        <f t="shared" si="161"/>
        <v>0</v>
      </c>
      <c r="O134" s="146"/>
      <c r="P134" s="147"/>
      <c r="Q134" s="147"/>
      <c r="R134" s="38"/>
      <c r="S134" s="26">
        <f t="shared" si="165"/>
        <v>0</v>
      </c>
      <c r="T134" s="26">
        <f t="shared" si="166"/>
        <v>0</v>
      </c>
      <c r="U134" s="26"/>
      <c r="V134" s="28" t="e">
        <f t="shared" si="164"/>
        <v>#DIV/0!</v>
      </c>
    </row>
    <row r="135" spans="2:22" x14ac:dyDescent="0.25">
      <c r="B135" s="175" t="s">
        <v>66</v>
      </c>
      <c r="C135" s="146"/>
      <c r="D135" s="149">
        <v>-1000</v>
      </c>
      <c r="E135" s="149">
        <v>0</v>
      </c>
      <c r="F135" s="143"/>
      <c r="G135" s="146">
        <v>-1000</v>
      </c>
      <c r="H135" s="147">
        <f>-1000-G135</f>
        <v>0</v>
      </c>
      <c r="I135" s="147">
        <f>-1000-H135-G135</f>
        <v>0</v>
      </c>
      <c r="J135" s="147">
        <f t="shared" si="160"/>
        <v>0</v>
      </c>
      <c r="K135" s="146"/>
      <c r="L135" s="147"/>
      <c r="M135" s="147"/>
      <c r="N135" s="147">
        <f t="shared" si="161"/>
        <v>0</v>
      </c>
      <c r="O135" s="146"/>
      <c r="P135" s="147"/>
      <c r="Q135" s="147"/>
      <c r="R135" s="38"/>
      <c r="S135" s="26">
        <f t="shared" si="165"/>
        <v>0</v>
      </c>
      <c r="T135" s="26">
        <f t="shared" si="166"/>
        <v>0</v>
      </c>
      <c r="U135" s="26"/>
      <c r="V135" s="28" t="e">
        <f t="shared" si="164"/>
        <v>#DIV/0!</v>
      </c>
    </row>
    <row r="136" spans="2:22" x14ac:dyDescent="0.25">
      <c r="B136" s="175" t="s">
        <v>67</v>
      </c>
      <c r="C136" s="146"/>
      <c r="D136" s="149">
        <v>0</v>
      </c>
      <c r="E136" s="149">
        <v>-107</v>
      </c>
      <c r="F136" s="143"/>
      <c r="G136" s="146"/>
      <c r="H136" s="147"/>
      <c r="I136" s="147"/>
      <c r="J136" s="147">
        <f t="shared" si="160"/>
        <v>0</v>
      </c>
      <c r="K136" s="146"/>
      <c r="L136" s="147"/>
      <c r="M136" s="147"/>
      <c r="N136" s="147">
        <f t="shared" si="161"/>
        <v>-107</v>
      </c>
      <c r="O136" s="149">
        <v>-174</v>
      </c>
      <c r="P136" s="148">
        <f>-447-O136</f>
        <v>-273</v>
      </c>
      <c r="Q136" s="148">
        <f>-476-P136-O136</f>
        <v>-29</v>
      </c>
      <c r="R136" s="38"/>
      <c r="S136" s="26">
        <f t="shared" si="165"/>
        <v>0</v>
      </c>
      <c r="T136" s="26">
        <f t="shared" si="166"/>
        <v>-583</v>
      </c>
      <c r="U136" s="26"/>
      <c r="V136" s="28" t="e">
        <f t="shared" si="164"/>
        <v>#DIV/0!</v>
      </c>
    </row>
    <row r="137" spans="2:22" x14ac:dyDescent="0.25">
      <c r="B137" s="175" t="s">
        <v>87</v>
      </c>
      <c r="C137" s="146">
        <v>-1548</v>
      </c>
      <c r="D137" s="149"/>
      <c r="E137" s="149"/>
      <c r="F137" s="143"/>
      <c r="G137" s="146"/>
      <c r="H137" s="147"/>
      <c r="I137" s="147"/>
      <c r="J137" s="147">
        <f t="shared" si="160"/>
        <v>0</v>
      </c>
      <c r="K137" s="146">
        <v>-107</v>
      </c>
      <c r="L137" s="148">
        <v>-107</v>
      </c>
      <c r="M137" s="148">
        <f>-107-L137-K137</f>
        <v>107</v>
      </c>
      <c r="N137" s="147">
        <f t="shared" si="161"/>
        <v>107</v>
      </c>
      <c r="O137" s="149"/>
      <c r="P137" s="148"/>
      <c r="Q137" s="148"/>
      <c r="R137" s="38"/>
      <c r="S137" s="26">
        <f t="shared" si="165"/>
        <v>-107</v>
      </c>
      <c r="T137" s="26">
        <f t="shared" si="166"/>
        <v>107</v>
      </c>
      <c r="U137" s="26"/>
      <c r="V137" s="28">
        <f t="shared" si="164"/>
        <v>-2</v>
      </c>
    </row>
    <row r="138" spans="2:22" x14ac:dyDescent="0.25">
      <c r="B138" s="175" t="s">
        <v>68</v>
      </c>
      <c r="C138" s="146"/>
      <c r="D138" s="149">
        <v>0</v>
      </c>
      <c r="E138" s="149">
        <v>20544</v>
      </c>
      <c r="F138" s="143"/>
      <c r="G138" s="146"/>
      <c r="H138" s="147"/>
      <c r="I138" s="147"/>
      <c r="J138" s="147">
        <f t="shared" si="160"/>
        <v>0</v>
      </c>
      <c r="K138" s="146"/>
      <c r="L138" s="148">
        <v>2348</v>
      </c>
      <c r="M138" s="148">
        <f>15051-L138-K138</f>
        <v>12703</v>
      </c>
      <c r="N138" s="147">
        <f t="shared" si="161"/>
        <v>5493</v>
      </c>
      <c r="O138" s="149">
        <v>12838</v>
      </c>
      <c r="P138" s="148">
        <f>12838-O138</f>
        <v>0</v>
      </c>
      <c r="Q138" s="148">
        <f>12838-P138-O138</f>
        <v>0</v>
      </c>
      <c r="R138" s="38"/>
      <c r="S138" s="26">
        <f t="shared" si="165"/>
        <v>15051</v>
      </c>
      <c r="T138" s="26">
        <f t="shared" si="166"/>
        <v>18331</v>
      </c>
      <c r="U138" s="26"/>
      <c r="V138" s="28">
        <f t="shared" si="164"/>
        <v>0.21792571922131421</v>
      </c>
    </row>
    <row r="139" spans="2:22" x14ac:dyDescent="0.25">
      <c r="B139" s="175" t="s">
        <v>77</v>
      </c>
      <c r="C139" s="146"/>
      <c r="D139" s="149"/>
      <c r="E139" s="149"/>
      <c r="F139" s="143"/>
      <c r="G139" s="146"/>
      <c r="H139" s="147"/>
      <c r="I139" s="147"/>
      <c r="J139" s="147">
        <f t="shared" si="160"/>
        <v>0</v>
      </c>
      <c r="K139" s="146"/>
      <c r="L139" s="147"/>
      <c r="M139" s="147"/>
      <c r="N139" s="147">
        <f t="shared" si="161"/>
        <v>0</v>
      </c>
      <c r="O139" s="149">
        <v>11031</v>
      </c>
      <c r="P139" s="148">
        <f>26833-O139</f>
        <v>15802</v>
      </c>
      <c r="Q139" s="148">
        <f>38831-P139-O139</f>
        <v>11998</v>
      </c>
      <c r="R139" s="38"/>
      <c r="S139" s="26">
        <f t="shared" si="165"/>
        <v>0</v>
      </c>
      <c r="T139" s="26">
        <f t="shared" si="166"/>
        <v>38831</v>
      </c>
      <c r="U139" s="26"/>
      <c r="V139" s="28" t="e">
        <f t="shared" si="164"/>
        <v>#DIV/0!</v>
      </c>
    </row>
    <row r="140" spans="2:22" x14ac:dyDescent="0.25">
      <c r="B140" s="175" t="s">
        <v>69</v>
      </c>
      <c r="C140" s="146">
        <v>378</v>
      </c>
      <c r="D140" s="149">
        <v>6068</v>
      </c>
      <c r="E140" s="149">
        <v>1126</v>
      </c>
      <c r="F140" s="143"/>
      <c r="G140" s="146">
        <v>602</v>
      </c>
      <c r="H140" s="147">
        <f>5675-G140</f>
        <v>5073</v>
      </c>
      <c r="I140" s="147">
        <f>5990-H140-G140</f>
        <v>315</v>
      </c>
      <c r="J140" s="147">
        <f t="shared" si="160"/>
        <v>78</v>
      </c>
      <c r="K140" s="146">
        <v>751</v>
      </c>
      <c r="L140" s="148">
        <f>903-K140</f>
        <v>152</v>
      </c>
      <c r="M140" s="148">
        <f>1002-L140--K140</f>
        <v>1601</v>
      </c>
      <c r="N140" s="147">
        <f t="shared" si="161"/>
        <v>-1378</v>
      </c>
      <c r="O140" s="149">
        <v>60</v>
      </c>
      <c r="P140" s="148">
        <f>68-O140</f>
        <v>8</v>
      </c>
      <c r="Q140" s="148">
        <f>83-P140-O140</f>
        <v>15</v>
      </c>
      <c r="R140" s="38"/>
      <c r="S140" s="26">
        <f t="shared" si="165"/>
        <v>2582</v>
      </c>
      <c r="T140" s="26">
        <f t="shared" si="166"/>
        <v>-1295</v>
      </c>
      <c r="U140" s="26"/>
      <c r="V140" s="28">
        <f t="shared" si="164"/>
        <v>-1.5015491866769946</v>
      </c>
    </row>
    <row r="141" spans="2:22" ht="15.75" x14ac:dyDescent="0.25">
      <c r="B141" s="76" t="s">
        <v>70</v>
      </c>
      <c r="C141" s="77">
        <f>SUM(C129:C140)</f>
        <v>25583</v>
      </c>
      <c r="D141" s="77">
        <f>SUM(D129:D140)</f>
        <v>220454</v>
      </c>
      <c r="E141" s="77">
        <f>SUM(E129:E140)</f>
        <v>13230</v>
      </c>
      <c r="F141" s="38"/>
      <c r="G141" s="77">
        <f t="shared" ref="G141:Q141" si="167">SUM(G129:G140)</f>
        <v>213445</v>
      </c>
      <c r="H141" s="77">
        <f t="shared" si="167"/>
        <v>9321</v>
      </c>
      <c r="I141" s="77">
        <f t="shared" si="167"/>
        <v>-677</v>
      </c>
      <c r="J141" s="77">
        <f t="shared" si="167"/>
        <v>-1635</v>
      </c>
      <c r="K141" s="77">
        <f t="shared" si="167"/>
        <v>-1154</v>
      </c>
      <c r="L141" s="77">
        <f t="shared" si="167"/>
        <v>1333</v>
      </c>
      <c r="M141" s="77">
        <f t="shared" si="167"/>
        <v>11864</v>
      </c>
      <c r="N141" s="77">
        <f t="shared" si="167"/>
        <v>1187</v>
      </c>
      <c r="O141" s="77">
        <f t="shared" si="167"/>
        <v>20710</v>
      </c>
      <c r="P141" s="77">
        <f t="shared" si="167"/>
        <v>12383</v>
      </c>
      <c r="Q141" s="77">
        <f t="shared" si="167"/>
        <v>8692</v>
      </c>
      <c r="R141" s="38"/>
      <c r="S141" s="77">
        <f>SUM(S129:S140)</f>
        <v>10408</v>
      </c>
      <c r="T141" s="77">
        <f>SUM(T129:T140)</f>
        <v>42972</v>
      </c>
      <c r="U141" s="32"/>
      <c r="V141" s="28">
        <f>SUM(T141/S141)-1</f>
        <v>3.1287471176018444</v>
      </c>
    </row>
    <row r="142" spans="2:22" ht="15.75" x14ac:dyDescent="0.25">
      <c r="B142" s="61"/>
      <c r="C142" s="78"/>
      <c r="D142" s="78"/>
      <c r="E142" s="78"/>
      <c r="F142" s="38"/>
      <c r="G142" s="78"/>
      <c r="H142" s="78"/>
      <c r="I142" s="78"/>
      <c r="J142" s="78"/>
      <c r="K142" s="78"/>
      <c r="L142" s="78"/>
      <c r="M142" s="78"/>
      <c r="N142" s="78"/>
      <c r="O142" s="78"/>
      <c r="P142" s="78"/>
      <c r="Q142" s="78"/>
      <c r="R142" s="38"/>
      <c r="S142" s="32"/>
      <c r="T142" s="32"/>
      <c r="U142" s="32"/>
      <c r="V142" s="43"/>
    </row>
    <row r="143" spans="2:22" x14ac:dyDescent="0.25">
      <c r="B143" t="s">
        <v>71</v>
      </c>
      <c r="C143" s="146">
        <v>-5</v>
      </c>
      <c r="D143" s="149">
        <v>101</v>
      </c>
      <c r="E143" s="149">
        <v>80</v>
      </c>
      <c r="F143" s="147"/>
      <c r="G143" s="146">
        <v>9</v>
      </c>
      <c r="H143" s="147">
        <v>46</v>
      </c>
      <c r="I143" s="147">
        <v>-219</v>
      </c>
      <c r="J143" s="147">
        <f t="shared" ref="J143" si="168">SUM(D143-SUM(G143:I143))</f>
        <v>265</v>
      </c>
      <c r="K143" s="146">
        <v>-83</v>
      </c>
      <c r="L143" s="148">
        <v>-79</v>
      </c>
      <c r="M143" s="148">
        <f>-38-L143-K143</f>
        <v>124</v>
      </c>
      <c r="N143" s="147">
        <f t="shared" ref="N143" si="169">SUM(E143-SUM(K143:M143))</f>
        <v>118</v>
      </c>
      <c r="O143" s="149">
        <v>-85</v>
      </c>
      <c r="P143" s="148">
        <f>-112-O143</f>
        <v>-27</v>
      </c>
      <c r="Q143" s="148">
        <f>-40-P143-O143</f>
        <v>72</v>
      </c>
      <c r="R143" s="26"/>
      <c r="S143" s="26">
        <f t="shared" ref="S143" si="170">SUM(J143:M143)</f>
        <v>227</v>
      </c>
      <c r="T143" s="26">
        <f t="shared" ref="T143" si="171">SUM(N143:Q143)</f>
        <v>78</v>
      </c>
      <c r="U143" s="26"/>
      <c r="V143" s="43"/>
    </row>
    <row r="144" spans="2:22" x14ac:dyDescent="0.25">
      <c r="B144" t="s">
        <v>72</v>
      </c>
      <c r="C144" s="146">
        <v>-10474</v>
      </c>
      <c r="D144" s="149">
        <v>45842</v>
      </c>
      <c r="E144" s="149">
        <v>-36496</v>
      </c>
      <c r="F144" s="147"/>
      <c r="G144" s="146">
        <v>194897</v>
      </c>
      <c r="H144" s="147">
        <v>172091</v>
      </c>
      <c r="I144" s="147">
        <v>61908</v>
      </c>
      <c r="J144" s="147">
        <f t="shared" ref="J144:J145" si="172">D144</f>
        <v>45842</v>
      </c>
      <c r="K144" s="146">
        <v>-31771</v>
      </c>
      <c r="L144" s="148">
        <v>-36176</v>
      </c>
      <c r="M144" s="148">
        <v>-16131</v>
      </c>
      <c r="N144" s="147">
        <f>E144</f>
        <v>-36496</v>
      </c>
      <c r="O144" s="149">
        <v>13706</v>
      </c>
      <c r="P144" s="148">
        <f>-708-O144</f>
        <v>-14414</v>
      </c>
      <c r="Q144" s="148">
        <f>-1106-P144-O144</f>
        <v>-398</v>
      </c>
      <c r="R144" s="26"/>
      <c r="S144" s="26"/>
      <c r="T144" s="26"/>
      <c r="U144" s="26"/>
      <c r="V144" s="43"/>
    </row>
    <row r="145" spans="2:22" x14ac:dyDescent="0.25">
      <c r="B145" t="s">
        <v>73</v>
      </c>
      <c r="C145" s="146">
        <v>22520</v>
      </c>
      <c r="D145" s="149">
        <v>12046</v>
      </c>
      <c r="E145" s="149">
        <v>57888</v>
      </c>
      <c r="F145" s="147"/>
      <c r="G145" s="146">
        <v>12046</v>
      </c>
      <c r="H145" s="147">
        <v>12046</v>
      </c>
      <c r="I145" s="147">
        <v>12046</v>
      </c>
      <c r="J145" s="147">
        <f t="shared" si="172"/>
        <v>12046</v>
      </c>
      <c r="K145" s="146">
        <v>57888</v>
      </c>
      <c r="L145" s="148">
        <v>57888</v>
      </c>
      <c r="M145" s="148">
        <v>57888</v>
      </c>
      <c r="N145" s="147">
        <f t="shared" ref="N145:N146" si="173">E145</f>
        <v>57888</v>
      </c>
      <c r="O145" s="149">
        <v>21392</v>
      </c>
      <c r="P145" s="148">
        <v>21392</v>
      </c>
      <c r="Q145" s="148">
        <v>21392</v>
      </c>
      <c r="R145" s="26"/>
      <c r="S145" s="26"/>
      <c r="T145" s="26"/>
      <c r="U145" s="26"/>
      <c r="V145" s="43"/>
    </row>
    <row r="146" spans="2:22" x14ac:dyDescent="0.25">
      <c r="B146" t="s">
        <v>74</v>
      </c>
      <c r="C146" s="146">
        <v>12046</v>
      </c>
      <c r="D146" s="146">
        <v>57888</v>
      </c>
      <c r="E146" s="146">
        <v>21392</v>
      </c>
      <c r="F146" s="147"/>
      <c r="G146" s="146">
        <v>206943</v>
      </c>
      <c r="H146" s="147">
        <v>184137</v>
      </c>
      <c r="I146" s="147">
        <v>73954</v>
      </c>
      <c r="J146" s="147">
        <f>D146</f>
        <v>57888</v>
      </c>
      <c r="K146" s="146">
        <v>26117</v>
      </c>
      <c r="L146" s="147">
        <v>21712</v>
      </c>
      <c r="M146" s="147">
        <v>41757</v>
      </c>
      <c r="N146" s="147">
        <f t="shared" si="173"/>
        <v>21392</v>
      </c>
      <c r="O146" s="146">
        <v>35098</v>
      </c>
      <c r="P146" s="147">
        <v>20684</v>
      </c>
      <c r="Q146" s="147">
        <v>20286</v>
      </c>
      <c r="R146" s="26"/>
      <c r="S146" s="26"/>
      <c r="T146" s="26"/>
      <c r="U146" s="26"/>
      <c r="V146" s="43"/>
    </row>
    <row r="147" spans="2:22" x14ac:dyDescent="0.25">
      <c r="B147"/>
      <c r="C147" s="83"/>
      <c r="D147" s="83"/>
      <c r="E147" s="83"/>
      <c r="F147" s="38"/>
      <c r="G147" s="83"/>
      <c r="H147" s="83"/>
      <c r="I147" s="83"/>
      <c r="J147" s="83"/>
      <c r="K147" s="83"/>
      <c r="L147" s="83"/>
      <c r="M147" s="83"/>
      <c r="N147" s="83"/>
      <c r="O147" s="83"/>
      <c r="P147" s="83"/>
      <c r="Q147" s="83"/>
      <c r="R147" s="38"/>
      <c r="S147" s="26"/>
      <c r="T147" s="26"/>
      <c r="U147" s="26"/>
      <c r="V147" s="43"/>
    </row>
    <row r="148" spans="2:22" x14ac:dyDescent="0.25">
      <c r="B148" s="3" t="s">
        <v>75</v>
      </c>
      <c r="C148" s="74"/>
      <c r="D148" s="74"/>
      <c r="E148" s="74"/>
      <c r="F148" s="38"/>
      <c r="G148" s="74"/>
      <c r="H148" s="74"/>
      <c r="I148" s="74"/>
      <c r="J148" s="74"/>
      <c r="K148" s="74"/>
      <c r="L148" s="74"/>
      <c r="M148" s="74"/>
      <c r="N148" s="74"/>
      <c r="O148" s="74"/>
      <c r="P148" s="74"/>
      <c r="Q148" s="74"/>
      <c r="R148" s="38"/>
      <c r="S148" s="74"/>
      <c r="T148" s="74"/>
      <c r="U148" s="84"/>
    </row>
    <row r="149" spans="2:22" x14ac:dyDescent="0.25">
      <c r="B149" t="s">
        <v>76</v>
      </c>
      <c r="C149" s="145">
        <v>1489</v>
      </c>
      <c r="D149" s="145">
        <v>3819</v>
      </c>
      <c r="E149" s="145">
        <v>4340</v>
      </c>
      <c r="F149" s="143"/>
      <c r="G149" s="152">
        <v>878</v>
      </c>
      <c r="H149" s="144">
        <f>1708-G149</f>
        <v>830</v>
      </c>
      <c r="I149" s="151">
        <f>2739-H149-G149</f>
        <v>1031</v>
      </c>
      <c r="J149" s="147">
        <f>SUM(D149-SUM(G149:I149))</f>
        <v>1080</v>
      </c>
      <c r="K149" s="152">
        <v>1072</v>
      </c>
      <c r="L149" s="151">
        <f>2330-K149</f>
        <v>1258</v>
      </c>
      <c r="M149" s="151">
        <f>3299-L149-K149</f>
        <v>969</v>
      </c>
      <c r="N149" s="143">
        <f t="shared" ref="N149" si="174">SUM(E149-SUM(K149:M149))</f>
        <v>1041</v>
      </c>
      <c r="O149" s="152">
        <v>811</v>
      </c>
      <c r="P149" s="151">
        <f>1504-O149</f>
        <v>693</v>
      </c>
      <c r="Q149" s="151">
        <f>2057-P149-O149</f>
        <v>553</v>
      </c>
      <c r="R149" s="38"/>
      <c r="S149" s="26">
        <f t="shared" ref="S149" si="175">SUM(J149:M149)</f>
        <v>4379</v>
      </c>
      <c r="T149" s="26">
        <f t="shared" ref="T149" si="176">SUM(N149:Q149)</f>
        <v>3098</v>
      </c>
      <c r="U149" s="26"/>
      <c r="V149" s="28">
        <f t="shared" ref="V149" si="177">SUM(T149/S149)-1</f>
        <v>-0.29253254167618181</v>
      </c>
    </row>
    <row r="150" spans="2:22" ht="15.75" thickBot="1" x14ac:dyDescent="0.3">
      <c r="C150" s="72"/>
      <c r="D150" s="72"/>
      <c r="E150" s="72"/>
    </row>
    <row r="151" spans="2:22" x14ac:dyDescent="0.25">
      <c r="B151" s="157" t="s">
        <v>149</v>
      </c>
      <c r="C151" s="158"/>
      <c r="D151" s="158"/>
      <c r="E151" s="159"/>
      <c r="F151" s="38"/>
      <c r="G151" s="167"/>
      <c r="H151" s="168"/>
      <c r="I151" s="168"/>
      <c r="J151" s="168"/>
      <c r="K151" s="168"/>
      <c r="L151" s="168"/>
      <c r="M151" s="168"/>
      <c r="N151" s="168"/>
      <c r="O151" s="168"/>
      <c r="P151" s="168"/>
      <c r="Q151" s="169"/>
      <c r="R151" s="38"/>
      <c r="S151" s="167"/>
      <c r="T151" s="169"/>
    </row>
    <row r="152" spans="2:22" x14ac:dyDescent="0.25">
      <c r="B152" s="160" t="s">
        <v>150</v>
      </c>
      <c r="C152" s="161">
        <f>SUM(C120-C123)</f>
        <v>-22036</v>
      </c>
      <c r="D152" s="161">
        <f t="shared" ref="D152:Q152" si="178">SUM(D120-D123)</f>
        <v>-39905</v>
      </c>
      <c r="E152" s="162">
        <f t="shared" si="178"/>
        <v>-41520</v>
      </c>
      <c r="F152" s="38"/>
      <c r="G152" s="170">
        <f t="shared" si="178"/>
        <v>-12885</v>
      </c>
      <c r="H152" s="161">
        <f t="shared" si="178"/>
        <v>-29953</v>
      </c>
      <c r="I152" s="161">
        <f t="shared" si="178"/>
        <v>13697</v>
      </c>
      <c r="J152" s="161">
        <f t="shared" si="178"/>
        <v>-10764</v>
      </c>
      <c r="K152" s="161">
        <f t="shared" si="178"/>
        <v>-10744</v>
      </c>
      <c r="L152" s="161">
        <f t="shared" si="178"/>
        <v>-17138</v>
      </c>
      <c r="M152" s="161">
        <f t="shared" si="178"/>
        <v>-2765</v>
      </c>
      <c r="N152" s="161">
        <f t="shared" si="178"/>
        <v>-10873</v>
      </c>
      <c r="O152" s="161">
        <f t="shared" si="178"/>
        <v>-7646</v>
      </c>
      <c r="P152" s="161">
        <f t="shared" si="178"/>
        <v>-11472</v>
      </c>
      <c r="Q152" s="162">
        <f t="shared" si="178"/>
        <v>-13149</v>
      </c>
      <c r="R152" s="38"/>
      <c r="S152" s="172">
        <f t="shared" ref="S152" si="179">SUM(J152:M152)</f>
        <v>-41411</v>
      </c>
      <c r="T152" s="173">
        <f t="shared" ref="T152" si="180">SUM(N152:Q152)</f>
        <v>-43140</v>
      </c>
    </row>
    <row r="153" spans="2:22" ht="15.75" thickBot="1" x14ac:dyDescent="0.3">
      <c r="B153" s="163" t="s">
        <v>110</v>
      </c>
      <c r="C153" s="164"/>
      <c r="D153" s="165">
        <f>D152/C152-1</f>
        <v>0.8109003448901797</v>
      </c>
      <c r="E153" s="166">
        <f>E152/D152-1</f>
        <v>4.0471118907405179E-2</v>
      </c>
      <c r="G153" s="171"/>
      <c r="H153" s="165">
        <f t="shared" ref="H153:Q153" si="181">H152/G152-1</f>
        <v>1.324641055490881</v>
      </c>
      <c r="I153" s="165">
        <f t="shared" si="181"/>
        <v>-1.457283076820352</v>
      </c>
      <c r="J153" s="165">
        <f t="shared" si="181"/>
        <v>-1.7858655179966416</v>
      </c>
      <c r="K153" s="165">
        <f t="shared" si="181"/>
        <v>-1.85804533630618E-3</v>
      </c>
      <c r="L153" s="165">
        <f t="shared" si="181"/>
        <v>0.59512285927029041</v>
      </c>
      <c r="M153" s="165">
        <f t="shared" si="181"/>
        <v>-0.83866262107597156</v>
      </c>
      <c r="N153" s="165">
        <f t="shared" si="181"/>
        <v>2.9323688969258588</v>
      </c>
      <c r="O153" s="165">
        <f t="shared" si="181"/>
        <v>-0.29679021429228358</v>
      </c>
      <c r="P153" s="165">
        <f t="shared" si="181"/>
        <v>0.50039236201935644</v>
      </c>
      <c r="Q153" s="166">
        <f t="shared" si="181"/>
        <v>0.14618200836820083</v>
      </c>
      <c r="S153" s="171"/>
      <c r="T153" s="166">
        <f t="shared" ref="T153" si="182">T152/S152-1</f>
        <v>4.1752191446717157E-2</v>
      </c>
    </row>
    <row r="154" spans="2:22" x14ac:dyDescent="0.25">
      <c r="C154" s="72"/>
      <c r="D154" s="72"/>
      <c r="E154" s="72"/>
    </row>
    <row r="155" spans="2:22" x14ac:dyDescent="0.25">
      <c r="B155" s="70"/>
      <c r="C155" s="85"/>
      <c r="D155" s="85"/>
      <c r="E155" s="85"/>
    </row>
    <row r="156" spans="2:22" ht="3.75" customHeight="1" x14ac:dyDescent="0.25">
      <c r="B156" s="70"/>
      <c r="C156" s="85"/>
      <c r="D156" s="85"/>
      <c r="E156" s="85"/>
    </row>
    <row r="157" spans="2:22" x14ac:dyDescent="0.25">
      <c r="C157" s="72"/>
      <c r="D157" s="72"/>
      <c r="E157" s="72"/>
    </row>
    <row r="158" spans="2:22" x14ac:dyDescent="0.25">
      <c r="C158" s="72"/>
      <c r="D158" s="72"/>
      <c r="E158" s="72"/>
    </row>
    <row r="159" spans="2:22" x14ac:dyDescent="0.25">
      <c r="C159" s="72"/>
      <c r="D159" s="72"/>
      <c r="E159" s="72"/>
    </row>
    <row r="160" spans="2:22" x14ac:dyDescent="0.25">
      <c r="C160" s="72"/>
      <c r="D160" s="72"/>
      <c r="E160" s="72"/>
    </row>
    <row r="161" spans="3:5" x14ac:dyDescent="0.25">
      <c r="C161" s="72"/>
      <c r="D161" s="72"/>
      <c r="E161" s="72"/>
    </row>
    <row r="162" spans="3:5" x14ac:dyDescent="0.25">
      <c r="C162" s="72"/>
      <c r="D162" s="72"/>
      <c r="E162" s="72"/>
    </row>
    <row r="163" spans="3:5" x14ac:dyDescent="0.25">
      <c r="C163" s="72"/>
      <c r="D163" s="72"/>
      <c r="E163" s="72"/>
    </row>
  </sheetData>
  <mergeCells count="1">
    <mergeCell ref="V7:V8"/>
  </mergeCells>
  <conditionalFormatting sqref="C8:Q9">
    <cfRule type="timePeriod" dxfId="4" priority="2" timePeriod="lastWeek">
      <formula>AND(TODAY()-ROUNDDOWN(C8,0)&gt;=(WEEKDAY(TODAY())),TODAY()-ROUNDDOWN(C8,0)&lt;(WEEKDAY(TODAY())+7))</formula>
    </cfRule>
  </conditionalFormatting>
  <conditionalFormatting sqref="S8:T8">
    <cfRule type="timePeriod" dxfId="3" priority="1" timePeriod="lastWeek">
      <formula>AND(TODAY()-ROUNDDOWN(S8,0)&gt;=(WEEKDAY(TODAY())),TODAY()-ROUNDDOWN(S8,0)&lt;(WEEKDAY(TODAY())+7))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933E5-5A91-43FC-B358-CFCCC21C1833}">
  <dimension ref="A2:Y38"/>
  <sheetViews>
    <sheetView showGridLines="0" tabSelected="1" zoomScaleNormal="100" workbookViewId="0">
      <selection activeCell="K23" sqref="K23"/>
    </sheetView>
  </sheetViews>
  <sheetFormatPr defaultRowHeight="15" x14ac:dyDescent="0.25"/>
  <cols>
    <col min="1" max="1" width="4.5703125" customWidth="1"/>
    <col min="2" max="2" width="60.5703125" bestFit="1" customWidth="1"/>
    <col min="3" max="5" width="12.5703125" bestFit="1" customWidth="1"/>
    <col min="6" max="6" width="1" customWidth="1"/>
    <col min="7" max="9" width="10.7109375" bestFit="1" customWidth="1"/>
    <col min="10" max="10" width="11.85546875" bestFit="1" customWidth="1"/>
    <col min="11" max="13" width="10.7109375" bestFit="1" customWidth="1"/>
    <col min="14" max="14" width="11.85546875" bestFit="1" customWidth="1"/>
    <col min="15" max="17" width="10.7109375" bestFit="1" customWidth="1"/>
    <col min="18" max="18" width="1.28515625" customWidth="1"/>
    <col min="19" max="20" width="10.7109375" bestFit="1" customWidth="1"/>
    <col min="21" max="21" width="2.28515625" customWidth="1"/>
  </cols>
  <sheetData>
    <row r="2" spans="1:25" x14ac:dyDescent="0.25">
      <c r="A2" s="5"/>
      <c r="B2" s="6" t="s">
        <v>159</v>
      </c>
      <c r="C2" s="7"/>
      <c r="D2" s="7"/>
      <c r="E2" s="7"/>
      <c r="F2" s="7"/>
      <c r="G2" s="7"/>
      <c r="H2" s="7"/>
      <c r="I2" s="7"/>
      <c r="J2" s="7"/>
      <c r="K2" s="7"/>
      <c r="L2" s="7"/>
      <c r="M2" s="7"/>
      <c r="N2" s="7"/>
      <c r="O2" s="7"/>
      <c r="P2" s="7"/>
      <c r="Q2" s="7"/>
      <c r="R2" s="7"/>
      <c r="S2" s="7"/>
      <c r="T2" s="7"/>
      <c r="U2" s="5"/>
      <c r="V2" s="5"/>
      <c r="W2" s="5"/>
      <c r="X2" s="5"/>
      <c r="Y2" s="5"/>
    </row>
    <row r="3" spans="1:25" x14ac:dyDescent="0.25">
      <c r="A3" s="5"/>
      <c r="B3" s="8" t="s">
        <v>141</v>
      </c>
      <c r="C3" s="7"/>
      <c r="D3" s="7"/>
      <c r="E3" s="7"/>
      <c r="F3" s="7"/>
      <c r="G3" s="7"/>
      <c r="H3" s="7"/>
      <c r="I3" s="7"/>
      <c r="J3" s="7"/>
      <c r="K3" s="7"/>
      <c r="L3" s="7"/>
      <c r="M3" s="7"/>
      <c r="N3" s="7"/>
      <c r="O3" s="7"/>
      <c r="P3" s="7"/>
      <c r="Q3" s="7"/>
      <c r="R3" s="7"/>
      <c r="S3" s="7"/>
      <c r="T3" s="7"/>
      <c r="U3" s="5"/>
      <c r="V3" s="5"/>
      <c r="W3" s="5"/>
      <c r="X3" s="5"/>
      <c r="Y3" s="5"/>
    </row>
    <row r="4" spans="1:25" ht="3" customHeight="1" x14ac:dyDescent="0.25">
      <c r="A4" s="5"/>
      <c r="B4" s="9"/>
      <c r="C4" s="5"/>
      <c r="D4" s="5"/>
      <c r="E4" s="5"/>
      <c r="F4" s="5"/>
      <c r="G4" s="5"/>
      <c r="H4" s="5"/>
      <c r="I4" s="5"/>
      <c r="J4" s="5"/>
      <c r="K4" s="5"/>
      <c r="L4" s="5"/>
      <c r="M4" s="5"/>
      <c r="N4" s="5"/>
      <c r="O4" s="5"/>
      <c r="P4" s="5"/>
      <c r="Q4" s="5"/>
      <c r="R4" s="5"/>
      <c r="S4" s="5"/>
      <c r="T4" s="5"/>
      <c r="U4" s="5"/>
      <c r="V4" s="5"/>
      <c r="W4" s="5"/>
      <c r="X4" s="5"/>
      <c r="Y4" s="5"/>
    </row>
    <row r="5" spans="1:25" ht="15.75" thickBot="1" x14ac:dyDescent="0.3">
      <c r="A5" s="5"/>
      <c r="B5" s="10"/>
      <c r="C5" s="10" t="s">
        <v>0</v>
      </c>
      <c r="D5" s="10"/>
      <c r="E5" s="10"/>
      <c r="F5" s="5"/>
      <c r="G5" s="10" t="s">
        <v>1</v>
      </c>
      <c r="H5" s="10"/>
      <c r="I5" s="10"/>
      <c r="J5" s="10"/>
      <c r="K5" s="10"/>
      <c r="L5" s="10"/>
      <c r="M5" s="10"/>
      <c r="N5" s="10"/>
      <c r="O5" s="10"/>
      <c r="P5" s="10"/>
      <c r="Q5" s="10"/>
      <c r="R5" s="5"/>
      <c r="S5" s="10" t="s">
        <v>2</v>
      </c>
      <c r="T5" s="10"/>
      <c r="U5" s="11"/>
      <c r="V5" s="10" t="s">
        <v>91</v>
      </c>
      <c r="W5" s="5"/>
      <c r="X5" s="5"/>
      <c r="Y5" s="5"/>
    </row>
    <row r="6" spans="1:25" ht="6" customHeight="1" x14ac:dyDescent="0.25">
      <c r="A6" s="5"/>
      <c r="B6" s="5"/>
      <c r="C6" s="5"/>
      <c r="D6" s="5"/>
      <c r="E6" s="5"/>
      <c r="F6" s="5"/>
      <c r="G6" s="5"/>
      <c r="H6" s="5"/>
      <c r="I6" s="5"/>
      <c r="J6" s="5"/>
      <c r="K6" s="5"/>
      <c r="L6" s="5"/>
      <c r="M6" s="5"/>
      <c r="N6" s="5"/>
      <c r="O6" s="5"/>
      <c r="P6" s="5"/>
      <c r="Q6" s="5"/>
      <c r="R6" s="5"/>
      <c r="S6" s="5"/>
      <c r="T6" s="5"/>
      <c r="U6" s="5"/>
      <c r="V6" s="5"/>
      <c r="W6" s="5"/>
      <c r="X6" s="5"/>
      <c r="Y6" s="5"/>
    </row>
    <row r="7" spans="1:25" x14ac:dyDescent="0.25">
      <c r="A7" s="5" t="s">
        <v>92</v>
      </c>
      <c r="B7" s="137" t="s">
        <v>156</v>
      </c>
      <c r="C7" s="138" t="s">
        <v>94</v>
      </c>
      <c r="D7" s="138" t="s">
        <v>95</v>
      </c>
      <c r="E7" s="138" t="s">
        <v>96</v>
      </c>
      <c r="G7" s="138" t="s">
        <v>97</v>
      </c>
      <c r="H7" s="138" t="s">
        <v>98</v>
      </c>
      <c r="I7" s="138" t="s">
        <v>99</v>
      </c>
      <c r="J7" s="138" t="s">
        <v>100</v>
      </c>
      <c r="K7" s="138" t="s">
        <v>101</v>
      </c>
      <c r="L7" s="138" t="s">
        <v>102</v>
      </c>
      <c r="M7" s="138" t="s">
        <v>103</v>
      </c>
      <c r="N7" s="138" t="s">
        <v>104</v>
      </c>
      <c r="O7" s="138" t="s">
        <v>105</v>
      </c>
      <c r="P7" s="138" t="s">
        <v>106</v>
      </c>
      <c r="Q7" s="138" t="s">
        <v>107</v>
      </c>
      <c r="S7" s="138" t="str">
        <f>M7</f>
        <v>3Q23</v>
      </c>
      <c r="T7" s="138" t="str">
        <f>Q7</f>
        <v>3Q24</v>
      </c>
      <c r="U7" s="13"/>
      <c r="V7" s="186" t="s">
        <v>108</v>
      </c>
      <c r="W7" s="5"/>
      <c r="X7" s="5"/>
      <c r="Y7" s="5"/>
    </row>
    <row r="8" spans="1:25" x14ac:dyDescent="0.25">
      <c r="A8" s="5"/>
      <c r="B8" s="14" t="s">
        <v>109</v>
      </c>
      <c r="C8" s="139"/>
      <c r="D8" s="139"/>
      <c r="E8" s="139"/>
      <c r="G8" s="140"/>
      <c r="H8" s="140"/>
      <c r="I8" s="140"/>
      <c r="J8" s="140"/>
      <c r="K8" s="140"/>
      <c r="L8" s="140"/>
      <c r="M8" s="140"/>
      <c r="N8" s="140"/>
      <c r="O8" s="140"/>
      <c r="P8" s="140"/>
      <c r="Q8" s="140"/>
      <c r="S8" s="140"/>
      <c r="T8" s="140"/>
      <c r="U8" s="17"/>
      <c r="V8" s="186"/>
      <c r="W8" s="5"/>
      <c r="X8" s="5"/>
      <c r="Y8" s="5"/>
    </row>
    <row r="9" spans="1:25" x14ac:dyDescent="0.25">
      <c r="A9" s="5"/>
      <c r="B9" s="22" t="s">
        <v>3</v>
      </c>
      <c r="C9" s="51">
        <f>'Base Financials'!C10</f>
        <v>8196</v>
      </c>
      <c r="D9" s="51">
        <f>'Base Financials'!D10</f>
        <v>13102</v>
      </c>
      <c r="E9" s="51">
        <f>'Base Financials'!E10</f>
        <v>12008</v>
      </c>
      <c r="F9" s="51">
        <f>'Base Financials'!F10</f>
        <v>0</v>
      </c>
      <c r="G9" s="51">
        <f>'Base Financials'!G10</f>
        <v>2104</v>
      </c>
      <c r="H9" s="51">
        <f>'Base Financials'!H10</f>
        <v>2134</v>
      </c>
      <c r="I9" s="51">
        <f>'Base Financials'!I10</f>
        <v>2804</v>
      </c>
      <c r="J9" s="51">
        <f>'Base Financials'!J10</f>
        <v>6060</v>
      </c>
      <c r="K9" s="51">
        <f>'Base Financials'!K10</f>
        <v>2201</v>
      </c>
      <c r="L9" s="51">
        <f>'Base Financials'!L10</f>
        <v>3327</v>
      </c>
      <c r="M9" s="51">
        <f>'Base Financials'!M10</f>
        <v>3105</v>
      </c>
      <c r="N9" s="51">
        <f>'Base Financials'!N10</f>
        <v>3375</v>
      </c>
      <c r="O9" s="51">
        <f>'Base Financials'!O10</f>
        <v>3052</v>
      </c>
      <c r="P9" s="51">
        <f>'Base Financials'!P10</f>
        <v>3086</v>
      </c>
      <c r="Q9" s="51">
        <f>'Base Financials'!Q10</f>
        <v>2378</v>
      </c>
      <c r="R9" s="5"/>
      <c r="S9" s="26">
        <f t="shared" ref="S9:S10" si="0">SUM(J9:M9)</f>
        <v>14693</v>
      </c>
      <c r="T9" s="26">
        <f t="shared" ref="T9:T10" si="1">SUM(N9:Q9)</f>
        <v>11891</v>
      </c>
      <c r="U9" s="17"/>
      <c r="V9" s="28">
        <f t="shared" ref="V9:V11" si="2">SUM(T9/S9)-1</f>
        <v>-0.19070305587694825</v>
      </c>
      <c r="W9" s="5"/>
      <c r="X9" s="5"/>
      <c r="Y9" s="5"/>
    </row>
    <row r="10" spans="1:25" x14ac:dyDescent="0.25">
      <c r="A10" s="5"/>
      <c r="B10" s="22" t="s">
        <v>4</v>
      </c>
      <c r="C10" s="51">
        <f>'Base Financials'!C11</f>
        <v>-1623</v>
      </c>
      <c r="D10" s="51">
        <f>'Base Financials'!D11</f>
        <v>-2873</v>
      </c>
      <c r="E10" s="51">
        <f>'Base Financials'!E11</f>
        <v>-2800</v>
      </c>
      <c r="F10" s="51">
        <f>'Base Financials'!F11</f>
        <v>0</v>
      </c>
      <c r="G10" s="51">
        <f>'Base Financials'!G11</f>
        <v>-414</v>
      </c>
      <c r="H10" s="51">
        <f>'Base Financials'!H11</f>
        <v>-873</v>
      </c>
      <c r="I10" s="51">
        <f>'Base Financials'!I11</f>
        <v>-776</v>
      </c>
      <c r="J10" s="51">
        <f>'Base Financials'!J11</f>
        <v>-810</v>
      </c>
      <c r="K10" s="51">
        <f>'Base Financials'!K11</f>
        <v>-510</v>
      </c>
      <c r="L10" s="51">
        <f>'Base Financials'!L11</f>
        <v>-597</v>
      </c>
      <c r="M10" s="51">
        <f>'Base Financials'!M11</f>
        <v>-834</v>
      </c>
      <c r="N10" s="51">
        <f>'Base Financials'!N11</f>
        <v>-859</v>
      </c>
      <c r="O10" s="51">
        <f>'Base Financials'!O11</f>
        <v>-1552</v>
      </c>
      <c r="P10" s="51">
        <f>'Base Financials'!P11</f>
        <v>-1096</v>
      </c>
      <c r="Q10" s="51">
        <f>'Base Financials'!Q11</f>
        <v>-1174</v>
      </c>
      <c r="R10" s="5"/>
      <c r="S10" s="26">
        <f t="shared" si="0"/>
        <v>-2751</v>
      </c>
      <c r="T10" s="26">
        <f t="shared" si="1"/>
        <v>-4681</v>
      </c>
      <c r="U10" s="17"/>
      <c r="V10" s="28">
        <f t="shared" si="2"/>
        <v>0.70156306797528178</v>
      </c>
      <c r="W10" s="5"/>
      <c r="X10" s="5"/>
      <c r="Y10" s="5"/>
    </row>
    <row r="11" spans="1:25" x14ac:dyDescent="0.25">
      <c r="A11" s="5"/>
      <c r="B11" s="40" t="s">
        <v>136</v>
      </c>
      <c r="C11" s="30">
        <f>SUM(C9:C10)</f>
        <v>6573</v>
      </c>
      <c r="D11" s="30">
        <f t="shared" ref="D11:E11" si="3">SUM(D9:D10)</f>
        <v>10229</v>
      </c>
      <c r="E11" s="30">
        <f t="shared" si="3"/>
        <v>9208</v>
      </c>
      <c r="F11" s="24"/>
      <c r="G11" s="30">
        <f t="shared" ref="G11" si="4">SUM(G9:G10)</f>
        <v>1690</v>
      </c>
      <c r="H11" s="30">
        <f t="shared" ref="H11" si="5">SUM(H9:H10)</f>
        <v>1261</v>
      </c>
      <c r="I11" s="30">
        <f t="shared" ref="I11" si="6">SUM(I9:I10)</f>
        <v>2028</v>
      </c>
      <c r="J11" s="30">
        <f t="shared" ref="J11" si="7">SUM(J9:J10)</f>
        <v>5250</v>
      </c>
      <c r="K11" s="30">
        <f t="shared" ref="K11" si="8">SUM(K9:K10)</f>
        <v>1691</v>
      </c>
      <c r="L11" s="30">
        <f t="shared" ref="L11" si="9">SUM(L9:L10)</f>
        <v>2730</v>
      </c>
      <c r="M11" s="30">
        <f t="shared" ref="M11" si="10">SUM(M9:M10)</f>
        <v>2271</v>
      </c>
      <c r="N11" s="30">
        <f t="shared" ref="N11" si="11">SUM(N9:N10)</f>
        <v>2516</v>
      </c>
      <c r="O11" s="30">
        <f t="shared" ref="O11" si="12">SUM(O9:O10)</f>
        <v>1500</v>
      </c>
      <c r="P11" s="30">
        <f t="shared" ref="P11" si="13">SUM(P9:P10)</f>
        <v>1990</v>
      </c>
      <c r="Q11" s="30">
        <f t="shared" ref="Q11" si="14">SUM(Q9:Q10)</f>
        <v>1204</v>
      </c>
      <c r="R11" s="5"/>
      <c r="S11" s="30">
        <f t="shared" ref="S11" si="15">SUM(S9:S10)</f>
        <v>11942</v>
      </c>
      <c r="T11" s="30">
        <f t="shared" ref="T11" si="16">SUM(T9:T10)</f>
        <v>7210</v>
      </c>
      <c r="U11" s="17"/>
      <c r="V11" s="33">
        <f t="shared" si="2"/>
        <v>-0.39624853458382181</v>
      </c>
      <c r="W11" s="5"/>
      <c r="X11" s="5"/>
      <c r="Y11" s="5"/>
    </row>
    <row r="12" spans="1:25" ht="15.75" x14ac:dyDescent="0.25">
      <c r="A12" s="5"/>
      <c r="B12" s="39"/>
      <c r="C12" s="51"/>
      <c r="D12" s="51"/>
      <c r="E12" s="51"/>
      <c r="F12" s="24"/>
      <c r="G12" s="51"/>
      <c r="H12" s="51"/>
      <c r="I12" s="51"/>
      <c r="J12" s="51"/>
      <c r="K12" s="51"/>
      <c r="L12" s="51"/>
      <c r="M12" s="51"/>
      <c r="N12" s="51"/>
      <c r="O12" s="51"/>
      <c r="P12" s="51"/>
      <c r="Q12" s="51"/>
      <c r="R12" s="5"/>
      <c r="S12" s="51"/>
      <c r="T12" s="51"/>
      <c r="U12" s="17"/>
      <c r="V12" s="174"/>
      <c r="W12" s="5"/>
      <c r="X12" s="5"/>
      <c r="Y12" s="5"/>
    </row>
    <row r="13" spans="1:25" x14ac:dyDescent="0.25">
      <c r="B13" s="39" t="s">
        <v>5</v>
      </c>
      <c r="C13" s="17"/>
      <c r="D13" s="17"/>
      <c r="E13" s="17"/>
      <c r="F13" s="5"/>
      <c r="G13" s="19"/>
      <c r="H13" s="19"/>
      <c r="I13" s="20"/>
      <c r="J13" s="20"/>
      <c r="K13" s="21"/>
      <c r="L13" s="21"/>
      <c r="M13" s="21"/>
      <c r="N13" s="21"/>
      <c r="O13" s="21"/>
      <c r="P13" s="21"/>
      <c r="Q13" s="21"/>
      <c r="R13" s="5"/>
      <c r="S13" s="19"/>
      <c r="T13" s="19"/>
    </row>
    <row r="14" spans="1:25" x14ac:dyDescent="0.25">
      <c r="B14" s="87" t="s">
        <v>6</v>
      </c>
      <c r="C14" s="51">
        <f>'Base Financials'!C17</f>
        <v>-26928</v>
      </c>
      <c r="D14" s="51">
        <f>'Base Financials'!D17</f>
        <v>-59952</v>
      </c>
      <c r="E14" s="51">
        <f>'Base Financials'!E17</f>
        <v>-52768</v>
      </c>
      <c r="F14" s="51">
        <f>'Base Financials'!F17</f>
        <v>0</v>
      </c>
      <c r="G14" s="51">
        <f>'Base Financials'!G17</f>
        <v>-13927</v>
      </c>
      <c r="H14" s="51">
        <f>'Base Financials'!H17</f>
        <v>-12747</v>
      </c>
      <c r="I14" s="51">
        <f>'Base Financials'!I17</f>
        <v>-17365</v>
      </c>
      <c r="J14" s="51">
        <f>'Base Financials'!J17</f>
        <v>-15913</v>
      </c>
      <c r="K14" s="51">
        <f>'Base Financials'!K17</f>
        <v>-13707</v>
      </c>
      <c r="L14" s="51">
        <f>'Base Financials'!L17</f>
        <v>-13219</v>
      </c>
      <c r="M14" s="51">
        <f>'Base Financials'!M17</f>
        <v>-13056</v>
      </c>
      <c r="N14" s="51">
        <f>'Base Financials'!N17</f>
        <v>-12786</v>
      </c>
      <c r="O14" s="51">
        <f>'Base Financials'!O17</f>
        <v>-11471</v>
      </c>
      <c r="P14" s="51">
        <f>'Base Financials'!P17</f>
        <v>-11870</v>
      </c>
      <c r="Q14" s="51">
        <f>'Base Financials'!Q17</f>
        <v>-12752</v>
      </c>
      <c r="R14" s="5"/>
      <c r="S14" s="26">
        <f t="shared" ref="S14" si="17">SUM(J14:M14)</f>
        <v>-55895</v>
      </c>
      <c r="T14" s="26">
        <f t="shared" ref="T14" si="18">SUM(N14:Q14)</f>
        <v>-48879</v>
      </c>
      <c r="V14" s="28">
        <f t="shared" ref="V14:V18" si="19">SUM(T14/S14)-1</f>
        <v>-0.12552106628499871</v>
      </c>
    </row>
    <row r="15" spans="1:25" x14ac:dyDescent="0.25">
      <c r="B15" s="87" t="s">
        <v>7</v>
      </c>
      <c r="C15" s="51">
        <f>'Base Financials'!C18</f>
        <v>-13774</v>
      </c>
      <c r="D15" s="51">
        <f>'Base Financials'!D18</f>
        <v>-53980</v>
      </c>
      <c r="E15" s="51">
        <f>'Base Financials'!E18</f>
        <v>-27744</v>
      </c>
      <c r="F15" s="51">
        <f>'Base Financials'!F18</f>
        <v>0</v>
      </c>
      <c r="G15" s="51">
        <f>'Base Financials'!G18</f>
        <v>-13035</v>
      </c>
      <c r="H15" s="51">
        <f>'Base Financials'!H18</f>
        <v>-14272</v>
      </c>
      <c r="I15" s="51">
        <f>'Base Financials'!I18</f>
        <v>-15987</v>
      </c>
      <c r="J15" s="51">
        <f>'Base Financials'!J18</f>
        <v>-10686</v>
      </c>
      <c r="K15" s="51">
        <f>'Base Financials'!K18</f>
        <v>-9013</v>
      </c>
      <c r="L15" s="51">
        <f>'Base Financials'!L18</f>
        <v>-5747</v>
      </c>
      <c r="M15" s="51">
        <f>'Base Financials'!M18</f>
        <v>-6047</v>
      </c>
      <c r="N15" s="51">
        <f>'Base Financials'!N18</f>
        <v>-6937</v>
      </c>
      <c r="O15" s="51">
        <f>'Base Financials'!O18</f>
        <v>-6614</v>
      </c>
      <c r="P15" s="51">
        <f>'Base Financials'!P18</f>
        <v>-6205</v>
      </c>
      <c r="Q15" s="51">
        <f>'Base Financials'!Q18</f>
        <v>-5798</v>
      </c>
      <c r="R15" s="5"/>
      <c r="S15" s="26">
        <f t="shared" ref="S15:S17" si="20">SUM(J15:M15)</f>
        <v>-31493</v>
      </c>
      <c r="T15" s="26">
        <f t="shared" ref="T15:T17" si="21">SUM(N15:Q15)</f>
        <v>-25554</v>
      </c>
      <c r="V15" s="28">
        <f t="shared" si="19"/>
        <v>-0.18858158955958471</v>
      </c>
    </row>
    <row r="16" spans="1:25" x14ac:dyDescent="0.25">
      <c r="B16" s="87" t="s">
        <v>8</v>
      </c>
      <c r="C16" s="51">
        <f>'Base Financials'!C19</f>
        <v>0</v>
      </c>
      <c r="D16" s="51">
        <f>'Base Financials'!D19</f>
        <v>-5377</v>
      </c>
      <c r="E16" s="51">
        <f>'Base Financials'!E19</f>
        <v>0</v>
      </c>
      <c r="F16" s="51">
        <f>'Base Financials'!F19</f>
        <v>0</v>
      </c>
      <c r="G16" s="51">
        <f>'Base Financials'!G19</f>
        <v>0</v>
      </c>
      <c r="H16" s="51">
        <f>'Base Financials'!H19</f>
        <v>0</v>
      </c>
      <c r="I16" s="51">
        <f>'Base Financials'!I19</f>
        <v>0</v>
      </c>
      <c r="J16" s="51">
        <f>'Base Financials'!J19</f>
        <v>-5377</v>
      </c>
      <c r="K16" s="51">
        <f>'Base Financials'!K19</f>
        <v>0</v>
      </c>
      <c r="L16" s="51">
        <f>'Base Financials'!L19</f>
        <v>0</v>
      </c>
      <c r="M16" s="51">
        <f>'Base Financials'!M19</f>
        <v>0</v>
      </c>
      <c r="N16" s="51">
        <f>'Base Financials'!N19</f>
        <v>0</v>
      </c>
      <c r="O16" s="51">
        <f>'Base Financials'!O19</f>
        <v>0</v>
      </c>
      <c r="P16" s="51">
        <f>'Base Financials'!P19</f>
        <v>0</v>
      </c>
      <c r="Q16" s="51">
        <f>'Base Financials'!Q19</f>
        <v>0</v>
      </c>
      <c r="R16" s="5"/>
      <c r="S16" s="26">
        <f t="shared" si="20"/>
        <v>-5377</v>
      </c>
      <c r="T16" s="26">
        <f t="shared" si="21"/>
        <v>0</v>
      </c>
      <c r="V16" s="28">
        <f t="shared" si="19"/>
        <v>-1</v>
      </c>
    </row>
    <row r="17" spans="2:22" x14ac:dyDescent="0.25">
      <c r="B17" s="87" t="s">
        <v>9</v>
      </c>
      <c r="C17" s="51">
        <f>'Base Financials'!C20</f>
        <v>0</v>
      </c>
      <c r="D17" s="51">
        <f>'Base Financials'!D20</f>
        <v>0</v>
      </c>
      <c r="E17" s="51">
        <f>'Base Financials'!E20</f>
        <v>-991</v>
      </c>
      <c r="F17" s="51">
        <f>'Base Financials'!F20</f>
        <v>0</v>
      </c>
      <c r="G17" s="51">
        <f>'Base Financials'!G20</f>
        <v>0</v>
      </c>
      <c r="H17" s="51">
        <f>'Base Financials'!H20</f>
        <v>0</v>
      </c>
      <c r="I17" s="51">
        <f>'Base Financials'!I20</f>
        <v>0</v>
      </c>
      <c r="J17" s="51">
        <f>'Base Financials'!J20</f>
        <v>0</v>
      </c>
      <c r="K17" s="51">
        <f>'Base Financials'!K20</f>
        <v>-991</v>
      </c>
      <c r="L17" s="51">
        <f>'Base Financials'!L20</f>
        <v>0</v>
      </c>
      <c r="M17" s="51">
        <f>'Base Financials'!M20</f>
        <v>0</v>
      </c>
      <c r="N17" s="51">
        <f>'Base Financials'!N20</f>
        <v>0</v>
      </c>
      <c r="O17" s="51">
        <f>'Base Financials'!O20</f>
        <v>0</v>
      </c>
      <c r="P17" s="51">
        <f>'Base Financials'!P20</f>
        <v>0</v>
      </c>
      <c r="Q17" s="51">
        <f>'Base Financials'!Q20</f>
        <v>0</v>
      </c>
      <c r="R17" s="5"/>
      <c r="S17" s="26">
        <f t="shared" si="20"/>
        <v>-991</v>
      </c>
      <c r="T17" s="26">
        <f t="shared" si="21"/>
        <v>0</v>
      </c>
      <c r="V17" s="28">
        <f t="shared" si="19"/>
        <v>-1</v>
      </c>
    </row>
    <row r="18" spans="2:22" x14ac:dyDescent="0.25">
      <c r="B18" s="40" t="s">
        <v>137</v>
      </c>
      <c r="C18" s="30">
        <f>SUM(C11+SUM((C14:C17)))</f>
        <v>-34129</v>
      </c>
      <c r="D18" s="30">
        <f t="shared" ref="D18:E18" si="22">SUM(D11+SUM((D14:D17)))</f>
        <v>-109080</v>
      </c>
      <c r="E18" s="30">
        <f t="shared" si="22"/>
        <v>-72295</v>
      </c>
      <c r="F18" s="24"/>
      <c r="G18" s="30">
        <f t="shared" ref="G18" si="23">SUM(G11+SUM((G14:G17)))</f>
        <v>-25272</v>
      </c>
      <c r="H18" s="30">
        <f t="shared" ref="H18" si="24">SUM(H11+SUM((H14:H17)))</f>
        <v>-25758</v>
      </c>
      <c r="I18" s="30">
        <f t="shared" ref="I18" si="25">SUM(I11+SUM((I14:I17)))</f>
        <v>-31324</v>
      </c>
      <c r="J18" s="30">
        <f t="shared" ref="J18" si="26">SUM(J11+SUM((J14:J17)))</f>
        <v>-26726</v>
      </c>
      <c r="K18" s="30">
        <f t="shared" ref="K18" si="27">SUM(K11+SUM((K14:K17)))</f>
        <v>-22020</v>
      </c>
      <c r="L18" s="30">
        <f t="shared" ref="L18" si="28">SUM(L11+SUM((L14:L17)))</f>
        <v>-16236</v>
      </c>
      <c r="M18" s="30">
        <f t="shared" ref="M18" si="29">SUM(M11+SUM((M14:M17)))</f>
        <v>-16832</v>
      </c>
      <c r="N18" s="30">
        <f t="shared" ref="N18" si="30">SUM(N11+SUM((N14:N17)))</f>
        <v>-17207</v>
      </c>
      <c r="O18" s="30">
        <f t="shared" ref="O18" si="31">SUM(O11+SUM((O14:O17)))</f>
        <v>-16585</v>
      </c>
      <c r="P18" s="30">
        <f t="shared" ref="P18" si="32">SUM(P11+SUM((P14:P17)))</f>
        <v>-16085</v>
      </c>
      <c r="Q18" s="30">
        <f t="shared" ref="Q18" si="33">SUM(Q11+SUM((Q14:Q17)))</f>
        <v>-17346</v>
      </c>
      <c r="R18" s="5"/>
      <c r="S18" s="30">
        <f t="shared" ref="S18" si="34">SUM(S11+SUM((S14:S17)))</f>
        <v>-81814</v>
      </c>
      <c r="T18" s="30">
        <f t="shared" ref="T18" si="35">SUM(T11+SUM((T14:T17)))</f>
        <v>-67223</v>
      </c>
      <c r="V18" s="33">
        <f t="shared" si="19"/>
        <v>-0.17834355978194438</v>
      </c>
    </row>
    <row r="19" spans="2:22" x14ac:dyDescent="0.25">
      <c r="B19" s="34" t="s">
        <v>110</v>
      </c>
      <c r="C19" s="35"/>
      <c r="D19" s="21">
        <f>D18/C18-1</f>
        <v>2.1961088810102845</v>
      </c>
      <c r="E19" s="21">
        <f>E18/D18-1</f>
        <v>-0.33722955628896223</v>
      </c>
      <c r="F19" s="21"/>
      <c r="G19" s="5"/>
      <c r="H19" s="21">
        <f t="shared" ref="H19:Q19" si="36">H18/G18-1</f>
        <v>1.9230769230769162E-2</v>
      </c>
      <c r="I19" s="21">
        <f t="shared" si="36"/>
        <v>0.21608820560602537</v>
      </c>
      <c r="J19" s="21">
        <f t="shared" si="36"/>
        <v>-0.14678840505682544</v>
      </c>
      <c r="K19" s="21">
        <f t="shared" si="36"/>
        <v>-0.17608321484696554</v>
      </c>
      <c r="L19" s="21">
        <f t="shared" si="36"/>
        <v>-0.26267029972752043</v>
      </c>
      <c r="M19" s="21">
        <f t="shared" si="36"/>
        <v>3.6708548903670923E-2</v>
      </c>
      <c r="N19" s="21">
        <f t="shared" si="36"/>
        <v>2.227899239543718E-2</v>
      </c>
      <c r="O19" s="21">
        <f>O18/N18-1</f>
        <v>-3.614807927006447E-2</v>
      </c>
      <c r="P19" s="21">
        <f t="shared" si="36"/>
        <v>-3.0147723846849606E-2</v>
      </c>
      <c r="Q19" s="21">
        <f t="shared" si="36"/>
        <v>7.839602113770594E-2</v>
      </c>
      <c r="R19" s="5"/>
      <c r="S19" s="5"/>
      <c r="T19" s="21">
        <f>T18/S18-1</f>
        <v>-0.17834355978194438</v>
      </c>
    </row>
    <row r="20" spans="2:22" x14ac:dyDescent="0.25">
      <c r="B20" s="39" t="s">
        <v>10</v>
      </c>
    </row>
    <row r="21" spans="2:22" x14ac:dyDescent="0.25">
      <c r="B21" s="87" t="s">
        <v>12</v>
      </c>
      <c r="C21" s="51">
        <f>'Base Financials'!C27</f>
        <v>10</v>
      </c>
      <c r="D21" s="51">
        <f>'Base Financials'!D27</f>
        <v>2433</v>
      </c>
      <c r="E21" s="51">
        <f>'Base Financials'!E27</f>
        <v>5076</v>
      </c>
      <c r="F21" s="51">
        <f>'Base Financials'!F27</f>
        <v>0</v>
      </c>
      <c r="G21" s="51">
        <f>'Base Financials'!G27</f>
        <v>0</v>
      </c>
      <c r="H21" s="51">
        <f>'Base Financials'!H27</f>
        <v>0</v>
      </c>
      <c r="I21" s="51">
        <f>'Base Financials'!I27</f>
        <v>1042</v>
      </c>
      <c r="J21" s="51">
        <f>'Base Financials'!J27</f>
        <v>1391</v>
      </c>
      <c r="K21" s="51">
        <f>'Base Financials'!K27</f>
        <v>1284</v>
      </c>
      <c r="L21" s="51">
        <f>'Base Financials'!L27</f>
        <v>1199</v>
      </c>
      <c r="M21" s="51">
        <f>'Base Financials'!M27</f>
        <v>1263</v>
      </c>
      <c r="N21" s="51">
        <f>'Base Financials'!N27</f>
        <v>1330</v>
      </c>
      <c r="O21" s="51">
        <f>'Base Financials'!O27</f>
        <v>1123</v>
      </c>
      <c r="P21" s="51">
        <f>'Base Financials'!P27</f>
        <v>1218</v>
      </c>
      <c r="Q21" s="51">
        <f>'Base Financials'!Q27</f>
        <v>1226</v>
      </c>
      <c r="R21" s="5"/>
      <c r="S21" s="26">
        <f t="shared" ref="S21:S24" si="37">SUM(J21:M21)</f>
        <v>5137</v>
      </c>
      <c r="T21" s="26">
        <f t="shared" ref="T21:T24" si="38">SUM(N21:Q21)</f>
        <v>4897</v>
      </c>
      <c r="V21" s="28">
        <f t="shared" ref="V21:V26" si="39">SUM(T21/S21)-1</f>
        <v>-4.6719875413665513E-2</v>
      </c>
    </row>
    <row r="22" spans="2:22" x14ac:dyDescent="0.25">
      <c r="B22" s="87" t="s">
        <v>13</v>
      </c>
      <c r="C22" s="51">
        <f>'Base Financials'!C28</f>
        <v>-1664</v>
      </c>
      <c r="D22" s="51">
        <f>'Base Financials'!D28</f>
        <v>22132</v>
      </c>
      <c r="E22" s="51">
        <f>'Base Financials'!E28</f>
        <v>-1160</v>
      </c>
      <c r="F22" s="51">
        <f>'Base Financials'!F28</f>
        <v>0</v>
      </c>
      <c r="G22" s="51">
        <f>'Base Financials'!G28</f>
        <v>3771</v>
      </c>
      <c r="H22" s="51">
        <f>'Base Financials'!H28</f>
        <v>7980</v>
      </c>
      <c r="I22" s="51">
        <f>'Base Financials'!I28</f>
        <v>8103</v>
      </c>
      <c r="J22" s="51">
        <f>'Base Financials'!J28</f>
        <v>2278</v>
      </c>
      <c r="K22" s="51">
        <f>'Base Financials'!K28</f>
        <v>-873</v>
      </c>
      <c r="L22" s="51">
        <f>'Base Financials'!L28</f>
        <v>-5</v>
      </c>
      <c r="M22" s="51">
        <f>'Base Financials'!M28</f>
        <v>-3442</v>
      </c>
      <c r="N22" s="51">
        <f>'Base Financials'!N28</f>
        <v>3160</v>
      </c>
      <c r="O22" s="51">
        <f>'Base Financials'!O28</f>
        <v>-2583</v>
      </c>
      <c r="P22" s="51">
        <f>'Base Financials'!P28</f>
        <v>2100</v>
      </c>
      <c r="Q22" s="51">
        <f>'Base Financials'!Q28</f>
        <v>1200</v>
      </c>
      <c r="R22" s="5"/>
      <c r="S22" s="26">
        <f t="shared" si="37"/>
        <v>-2042</v>
      </c>
      <c r="T22" s="26">
        <f t="shared" si="38"/>
        <v>3877</v>
      </c>
      <c r="V22" s="28">
        <f t="shared" si="39"/>
        <v>-2.8986287952987269</v>
      </c>
    </row>
    <row r="23" spans="2:22" x14ac:dyDescent="0.25">
      <c r="B23" s="87" t="s">
        <v>14</v>
      </c>
      <c r="C23" s="51">
        <f>'Base Financials'!C29</f>
        <v>0</v>
      </c>
      <c r="D23" s="51">
        <f>'Base Financials'!D29</f>
        <v>19207</v>
      </c>
      <c r="E23" s="51">
        <f>'Base Financials'!E29</f>
        <v>-949</v>
      </c>
      <c r="F23" s="51">
        <f>'Base Financials'!F29</f>
        <v>0</v>
      </c>
      <c r="G23" s="51">
        <f>'Base Financials'!G29</f>
        <v>5991</v>
      </c>
      <c r="H23" s="51">
        <f>'Base Financials'!H29</f>
        <v>6566</v>
      </c>
      <c r="I23" s="51">
        <f>'Base Financials'!I29</f>
        <v>4860</v>
      </c>
      <c r="J23" s="51">
        <f>'Base Financials'!J29</f>
        <v>1790</v>
      </c>
      <c r="K23" s="51">
        <f>'Base Financials'!K29</f>
        <v>-281</v>
      </c>
      <c r="L23" s="51">
        <f>'Base Financials'!L29</f>
        <v>-350</v>
      </c>
      <c r="M23" s="51">
        <f>'Base Financials'!M29</f>
        <v>-1731</v>
      </c>
      <c r="N23" s="51">
        <f>'Base Financials'!N29</f>
        <v>1413</v>
      </c>
      <c r="O23" s="51">
        <f>'Base Financials'!O29</f>
        <v>-1621</v>
      </c>
      <c r="P23" s="51">
        <f>'Base Financials'!P29</f>
        <v>1315</v>
      </c>
      <c r="Q23" s="51">
        <f>'Base Financials'!Q29</f>
        <v>820</v>
      </c>
      <c r="R23" s="5"/>
      <c r="S23" s="26">
        <f t="shared" si="37"/>
        <v>-572</v>
      </c>
      <c r="T23" s="26">
        <f t="shared" si="38"/>
        <v>1927</v>
      </c>
      <c r="V23" s="28">
        <f t="shared" si="39"/>
        <v>-4.3688811188811183</v>
      </c>
    </row>
    <row r="24" spans="2:22" x14ac:dyDescent="0.25">
      <c r="B24" s="87" t="s">
        <v>15</v>
      </c>
      <c r="C24" s="51">
        <f>'Base Financials'!C30</f>
        <v>0</v>
      </c>
      <c r="D24" s="51">
        <f>'Base Financials'!D30</f>
        <v>-927</v>
      </c>
      <c r="E24" s="51">
        <f>'Base Financials'!E30</f>
        <v>0</v>
      </c>
      <c r="F24" s="51">
        <f>'Base Financials'!F30</f>
        <v>0</v>
      </c>
      <c r="G24" s="51">
        <f>'Base Financials'!G30</f>
        <v>-927</v>
      </c>
      <c r="H24" s="51">
        <f>'Base Financials'!H30</f>
        <v>0</v>
      </c>
      <c r="I24" s="51">
        <f>'Base Financials'!I30</f>
        <v>0</v>
      </c>
      <c r="J24" s="51">
        <f>'Base Financials'!J30</f>
        <v>0</v>
      </c>
      <c r="K24" s="51">
        <f>'Base Financials'!K30</f>
        <v>0</v>
      </c>
      <c r="L24" s="51">
        <f>'Base Financials'!L30</f>
        <v>0</v>
      </c>
      <c r="M24" s="51">
        <f>'Base Financials'!M30</f>
        <v>0</v>
      </c>
      <c r="N24" s="51">
        <f>'Base Financials'!N30</f>
        <v>0</v>
      </c>
      <c r="O24" s="51">
        <f>'Base Financials'!O30</f>
        <v>0</v>
      </c>
      <c r="P24" s="51">
        <f>'Base Financials'!P30</f>
        <v>0</v>
      </c>
      <c r="Q24" s="51">
        <f>'Base Financials'!Q30</f>
        <v>0</v>
      </c>
      <c r="R24" s="5"/>
      <c r="S24" s="26">
        <f t="shared" si="37"/>
        <v>0</v>
      </c>
      <c r="T24" s="26">
        <f t="shared" si="38"/>
        <v>0</v>
      </c>
      <c r="V24" s="28" t="e">
        <f t="shared" si="39"/>
        <v>#DIV/0!</v>
      </c>
    </row>
    <row r="25" spans="2:22" x14ac:dyDescent="0.25">
      <c r="B25" s="87" t="s">
        <v>86</v>
      </c>
      <c r="C25" s="51">
        <f>'Base Financials'!C31</f>
        <v>7</v>
      </c>
      <c r="D25" s="51">
        <f>'Base Financials'!D31</f>
        <v>0</v>
      </c>
      <c r="E25" s="51">
        <f>'Base Financials'!E31</f>
        <v>0</v>
      </c>
      <c r="F25" s="51">
        <f>'Base Financials'!F31</f>
        <v>0</v>
      </c>
      <c r="G25" s="51">
        <f>'Base Financials'!G31</f>
        <v>0</v>
      </c>
      <c r="H25" s="51">
        <f>'Base Financials'!H31</f>
        <v>0</v>
      </c>
      <c r="I25" s="51">
        <f>'Base Financials'!I31</f>
        <v>0</v>
      </c>
      <c r="J25" s="51">
        <f>'Base Financials'!J31</f>
        <v>0</v>
      </c>
      <c r="K25" s="51">
        <f>'Base Financials'!K31</f>
        <v>0</v>
      </c>
      <c r="L25" s="51">
        <f>'Base Financials'!L31</f>
        <v>0</v>
      </c>
      <c r="M25" s="51">
        <f>'Base Financials'!M31</f>
        <v>0</v>
      </c>
      <c r="N25" s="51">
        <f>'Base Financials'!N31</f>
        <v>0</v>
      </c>
      <c r="O25" s="51">
        <f>'Base Financials'!O31</f>
        <v>0</v>
      </c>
      <c r="P25" s="51">
        <f>'Base Financials'!P31</f>
        <v>0</v>
      </c>
      <c r="Q25" s="51">
        <f>'Base Financials'!Q31</f>
        <v>0</v>
      </c>
      <c r="R25" s="5"/>
      <c r="S25" s="26">
        <f t="shared" ref="S25" si="40">SUM(J25:M25)</f>
        <v>0</v>
      </c>
      <c r="T25" s="26">
        <f t="shared" ref="T25" si="41">SUM(N25:Q25)</f>
        <v>0</v>
      </c>
      <c r="V25" s="28" t="e">
        <f t="shared" si="39"/>
        <v>#DIV/0!</v>
      </c>
    </row>
    <row r="26" spans="2:22" x14ac:dyDescent="0.25">
      <c r="B26" s="40" t="s">
        <v>147</v>
      </c>
      <c r="C26" s="30">
        <f>SUM(C18+SUM(C21:C25))</f>
        <v>-35776</v>
      </c>
      <c r="D26" s="30">
        <f>SUM(D18+SUM(D21:D25))</f>
        <v>-66235</v>
      </c>
      <c r="E26" s="30">
        <f>SUM(E18+SUM(E21:E25))</f>
        <v>-69328</v>
      </c>
      <c r="F26" s="5"/>
      <c r="G26" s="30">
        <f t="shared" ref="G26:Q26" si="42">SUM(G18+SUM(G21:G25))</f>
        <v>-16437</v>
      </c>
      <c r="H26" s="30">
        <f t="shared" si="42"/>
        <v>-11212</v>
      </c>
      <c r="I26" s="30">
        <f t="shared" si="42"/>
        <v>-17319</v>
      </c>
      <c r="J26" s="30">
        <f t="shared" si="42"/>
        <v>-21267</v>
      </c>
      <c r="K26" s="30">
        <f t="shared" si="42"/>
        <v>-21890</v>
      </c>
      <c r="L26" s="30">
        <f t="shared" si="42"/>
        <v>-15392</v>
      </c>
      <c r="M26" s="30">
        <f t="shared" si="42"/>
        <v>-20742</v>
      </c>
      <c r="N26" s="30">
        <f t="shared" si="42"/>
        <v>-11304</v>
      </c>
      <c r="O26" s="30">
        <f t="shared" si="42"/>
        <v>-19666</v>
      </c>
      <c r="P26" s="30">
        <f t="shared" si="42"/>
        <v>-11452</v>
      </c>
      <c r="Q26" s="30">
        <f t="shared" si="42"/>
        <v>-14100</v>
      </c>
      <c r="R26" s="5"/>
      <c r="S26" s="30">
        <f>SUM(S18+SUM(S21:S25))</f>
        <v>-79291</v>
      </c>
      <c r="T26" s="30">
        <f>SUM(T18+SUM(T21:T25))</f>
        <v>-56522</v>
      </c>
      <c r="V26" s="33">
        <f t="shared" si="39"/>
        <v>-0.28715743274772676</v>
      </c>
    </row>
    <row r="27" spans="2:22" x14ac:dyDescent="0.25">
      <c r="B27" s="34" t="s">
        <v>110</v>
      </c>
      <c r="C27" s="41"/>
      <c r="D27" s="21">
        <f>D26/C26-1</f>
        <v>0.85138081395348841</v>
      </c>
      <c r="E27" s="21">
        <f>E26/D26-1</f>
        <v>4.6697365441231931E-2</v>
      </c>
      <c r="F27" s="21"/>
      <c r="G27" s="5"/>
      <c r="H27" s="21">
        <f t="shared" ref="H27:Q27" si="43">H26/G26-1</f>
        <v>-0.31788039179899008</v>
      </c>
      <c r="I27" s="21">
        <f t="shared" si="43"/>
        <v>0.54468426685693894</v>
      </c>
      <c r="J27" s="21">
        <f t="shared" si="43"/>
        <v>0.22795773428027033</v>
      </c>
      <c r="K27" s="21">
        <f t="shared" si="43"/>
        <v>2.9294211689471883E-2</v>
      </c>
      <c r="L27" s="21">
        <f t="shared" si="43"/>
        <v>-0.29684787574234806</v>
      </c>
      <c r="M27" s="21">
        <f t="shared" si="43"/>
        <v>0.34758316008316004</v>
      </c>
      <c r="N27" s="21">
        <f t="shared" si="43"/>
        <v>-0.45501880242985249</v>
      </c>
      <c r="O27" s="21">
        <f t="shared" si="43"/>
        <v>0.73973814578910124</v>
      </c>
      <c r="P27" s="21">
        <f t="shared" si="43"/>
        <v>-0.41767517542967558</v>
      </c>
      <c r="Q27" s="21">
        <f t="shared" si="43"/>
        <v>0.23122598672720929</v>
      </c>
      <c r="R27" s="5"/>
      <c r="S27" s="5"/>
      <c r="T27" s="21">
        <f>T26/S26-1</f>
        <v>-0.28715743274772676</v>
      </c>
    </row>
    <row r="28" spans="2:22" x14ac:dyDescent="0.25">
      <c r="B28" s="2" t="s">
        <v>152</v>
      </c>
      <c r="C28" s="41"/>
      <c r="D28" s="21"/>
      <c r="E28" s="21"/>
      <c r="F28" s="21"/>
      <c r="G28" s="5"/>
      <c r="H28" s="21"/>
      <c r="I28" s="21"/>
      <c r="J28" s="21"/>
      <c r="K28" s="21"/>
      <c r="L28" s="21"/>
      <c r="M28" s="21"/>
      <c r="N28" s="21"/>
      <c r="O28" s="21"/>
      <c r="P28" s="21"/>
      <c r="Q28" s="21"/>
      <c r="R28" s="5"/>
      <c r="S28" s="5"/>
      <c r="T28" s="21"/>
    </row>
    <row r="29" spans="2:22" x14ac:dyDescent="0.25">
      <c r="B29" s="175" t="str">
        <f>'Base Financials'!B101</f>
        <v>Depreciation and amortization</v>
      </c>
      <c r="C29" s="51">
        <f>'Base Financials'!C101</f>
        <v>4651</v>
      </c>
      <c r="D29" s="51">
        <f>'Base Financials'!D101</f>
        <v>7017</v>
      </c>
      <c r="E29" s="51">
        <f>'Base Financials'!E101</f>
        <v>7426</v>
      </c>
      <c r="F29" s="51">
        <f>'Base Financials'!F101</f>
        <v>0</v>
      </c>
      <c r="G29" s="51">
        <f>'Base Financials'!G101</f>
        <v>1390</v>
      </c>
      <c r="H29" s="51">
        <f>'Base Financials'!H101</f>
        <v>1588</v>
      </c>
      <c r="I29" s="51">
        <f>'Base Financials'!I101</f>
        <v>1823</v>
      </c>
      <c r="J29" s="51">
        <f>'Base Financials'!J101</f>
        <v>2216</v>
      </c>
      <c r="K29" s="51">
        <f>'Base Financials'!K101</f>
        <v>2089</v>
      </c>
      <c r="L29" s="51">
        <f>'Base Financials'!L101</f>
        <v>2160</v>
      </c>
      <c r="M29" s="51">
        <f>'Base Financials'!M101</f>
        <v>2132</v>
      </c>
      <c r="N29" s="51">
        <f>'Base Financials'!N101</f>
        <v>1045</v>
      </c>
      <c r="O29" s="51">
        <f>'Base Financials'!O101</f>
        <v>1787</v>
      </c>
      <c r="P29" s="51">
        <f>'Base Financials'!P101</f>
        <v>1547</v>
      </c>
      <c r="Q29" s="51">
        <f>'Base Financials'!Q101</f>
        <v>1821</v>
      </c>
      <c r="R29" s="5"/>
      <c r="S29" s="26">
        <f t="shared" ref="S29" si="44">SUM(J29:M29)</f>
        <v>8597</v>
      </c>
      <c r="T29" s="26">
        <f t="shared" ref="T29" si="45">SUM(N29:Q29)</f>
        <v>6200</v>
      </c>
      <c r="V29" s="28">
        <f t="shared" ref="V29:V30" si="46">SUM(T29/S29)-1</f>
        <v>-0.27881819239269512</v>
      </c>
    </row>
    <row r="30" spans="2:22" x14ac:dyDescent="0.25">
      <c r="B30" s="1" t="s">
        <v>151</v>
      </c>
      <c r="C30" s="141">
        <f>SUM(C26+C29)</f>
        <v>-31125</v>
      </c>
      <c r="D30" s="141">
        <f t="shared" ref="D30:E30" si="47">SUM(D26+D29)</f>
        <v>-59218</v>
      </c>
      <c r="E30" s="141">
        <f t="shared" si="47"/>
        <v>-61902</v>
      </c>
      <c r="G30" s="141">
        <f t="shared" ref="G30" si="48">SUM(G26+G29)</f>
        <v>-15047</v>
      </c>
      <c r="H30" s="141">
        <f t="shared" ref="H30" si="49">SUM(H26+H29)</f>
        <v>-9624</v>
      </c>
      <c r="I30" s="141">
        <f t="shared" ref="I30" si="50">SUM(I26+I29)</f>
        <v>-15496</v>
      </c>
      <c r="J30" s="141">
        <f t="shared" ref="J30" si="51">SUM(J26+J29)</f>
        <v>-19051</v>
      </c>
      <c r="K30" s="141">
        <f t="shared" ref="K30" si="52">SUM(K26+K29)</f>
        <v>-19801</v>
      </c>
      <c r="L30" s="141">
        <f t="shared" ref="L30" si="53">SUM(L26+L29)</f>
        <v>-13232</v>
      </c>
      <c r="M30" s="141">
        <f t="shared" ref="M30" si="54">SUM(M26+M29)</f>
        <v>-18610</v>
      </c>
      <c r="N30" s="141">
        <f t="shared" ref="N30" si="55">SUM(N26+N29)</f>
        <v>-10259</v>
      </c>
      <c r="O30" s="141">
        <f t="shared" ref="O30" si="56">SUM(O26+O29)</f>
        <v>-17879</v>
      </c>
      <c r="P30" s="141">
        <f t="shared" ref="P30" si="57">SUM(P26+P29)</f>
        <v>-9905</v>
      </c>
      <c r="Q30" s="141">
        <f t="shared" ref="Q30" si="58">SUM(Q26+Q29)</f>
        <v>-12279</v>
      </c>
      <c r="S30" s="30">
        <f>SUM(S12+SUM(S15:S19))</f>
        <v>-119675</v>
      </c>
      <c r="T30" s="30">
        <f>SUM(T12+SUM(T15:T19))</f>
        <v>-92777.178343559775</v>
      </c>
      <c r="V30" s="33">
        <f t="shared" si="46"/>
        <v>-0.22475723130511993</v>
      </c>
    </row>
    <row r="31" spans="2:22" x14ac:dyDescent="0.25">
      <c r="B31" s="34" t="s">
        <v>110</v>
      </c>
      <c r="C31" s="41"/>
      <c r="D31" s="21">
        <f>D30/C30-1</f>
        <v>0.90258634538152616</v>
      </c>
      <c r="E31" s="21">
        <f>E30/D30-1</f>
        <v>4.532405687459895E-2</v>
      </c>
      <c r="F31" s="21"/>
      <c r="G31" s="5"/>
      <c r="H31" s="21">
        <f t="shared" ref="H31" si="59">H30/G30-1</f>
        <v>-0.36040406725593144</v>
      </c>
      <c r="I31" s="21">
        <f t="shared" ref="I31" si="60">I30/H30-1</f>
        <v>0.61014131338320854</v>
      </c>
      <c r="J31" s="21">
        <f t="shared" ref="J31" si="61">J30/I30-1</f>
        <v>0.22941404233350537</v>
      </c>
      <c r="K31" s="21">
        <f t="shared" ref="K31" si="62">K30/J30-1</f>
        <v>3.9368012177838363E-2</v>
      </c>
      <c r="L31" s="21">
        <f t="shared" ref="L31" si="63">L30/K30-1</f>
        <v>-0.3317509216706227</v>
      </c>
      <c r="M31" s="21">
        <f t="shared" ref="M31" si="64">M30/L30-1</f>
        <v>0.40643893591293834</v>
      </c>
      <c r="N31" s="21">
        <f t="shared" ref="N31" si="65">N30/M30-1</f>
        <v>-0.44873723804406229</v>
      </c>
      <c r="O31" s="21">
        <f t="shared" ref="O31" si="66">O30/N30-1</f>
        <v>0.74276245248074857</v>
      </c>
      <c r="P31" s="21">
        <f t="shared" ref="P31" si="67">P30/O30-1</f>
        <v>-0.44599809832764692</v>
      </c>
      <c r="Q31" s="21">
        <f t="shared" ref="Q31" si="68">Q30/P30-1</f>
        <v>0.23967693084300867</v>
      </c>
      <c r="R31" s="5"/>
      <c r="S31" s="5"/>
      <c r="T31" s="21">
        <f>T30/S30-1</f>
        <v>-0.22475723130511993</v>
      </c>
    </row>
    <row r="32" spans="2:22" x14ac:dyDescent="0.25">
      <c r="B32" s="34" t="s">
        <v>154</v>
      </c>
      <c r="C32" s="21">
        <f>SUM(C30/C9)</f>
        <v>-3.7975841874084919</v>
      </c>
      <c r="D32" s="21">
        <f t="shared" ref="D32:T32" si="69">SUM(D30/D9)</f>
        <v>-4.5197679743550605</v>
      </c>
      <c r="E32" s="21">
        <f t="shared" si="69"/>
        <v>-5.1550632911392409</v>
      </c>
      <c r="F32" s="21"/>
      <c r="G32" s="21">
        <f t="shared" si="69"/>
        <v>-7.1516159695817487</v>
      </c>
      <c r="H32" s="21">
        <f t="shared" si="69"/>
        <v>-4.5098406747891282</v>
      </c>
      <c r="I32" s="21">
        <f t="shared" si="69"/>
        <v>-5.5263908701854492</v>
      </c>
      <c r="J32" s="21">
        <f t="shared" si="69"/>
        <v>-3.1437293729372939</v>
      </c>
      <c r="K32" s="21">
        <f t="shared" si="69"/>
        <v>-8.9963652885052241</v>
      </c>
      <c r="L32" s="21">
        <f t="shared" si="69"/>
        <v>-3.9771565975353171</v>
      </c>
      <c r="M32" s="21">
        <f t="shared" si="69"/>
        <v>-5.9935587761674718</v>
      </c>
      <c r="N32" s="21">
        <f t="shared" si="69"/>
        <v>-3.0397037037037036</v>
      </c>
      <c r="O32" s="21">
        <f t="shared" si="69"/>
        <v>-5.8581258191349939</v>
      </c>
      <c r="P32" s="21">
        <f t="shared" si="69"/>
        <v>-3.209656513285807</v>
      </c>
      <c r="Q32" s="21">
        <f t="shared" si="69"/>
        <v>-5.1635828427249786</v>
      </c>
      <c r="R32" s="5"/>
      <c r="S32" s="21">
        <f t="shared" si="69"/>
        <v>-8.1450350507044167</v>
      </c>
      <c r="T32" s="21">
        <f t="shared" si="69"/>
        <v>-7.8023024424825307</v>
      </c>
    </row>
    <row r="33" spans="2:22" x14ac:dyDescent="0.25">
      <c r="B33" s="2" t="s">
        <v>153</v>
      </c>
      <c r="C33" s="41"/>
      <c r="D33" s="21"/>
      <c r="E33" s="21"/>
      <c r="F33" s="21"/>
      <c r="G33" s="5"/>
      <c r="H33" s="21"/>
      <c r="I33" s="21"/>
      <c r="J33" s="21"/>
      <c r="K33" s="21"/>
      <c r="L33" s="21"/>
      <c r="M33" s="21"/>
      <c r="N33" s="21"/>
      <c r="O33" s="21"/>
      <c r="P33" s="21"/>
      <c r="Q33" s="21"/>
      <c r="R33" s="5"/>
      <c r="S33" s="5"/>
      <c r="T33" s="21"/>
    </row>
    <row r="34" spans="2:22" x14ac:dyDescent="0.25">
      <c r="B34" s="175" t="str">
        <f>'Base Financials'!B102</f>
        <v>Stock-based compensation</v>
      </c>
      <c r="C34" s="51">
        <f>'Base Financials'!C102</f>
        <v>1765</v>
      </c>
      <c r="D34" s="51">
        <f>'Base Financials'!D102</f>
        <v>44812</v>
      </c>
      <c r="E34" s="51">
        <f>'Base Financials'!E102</f>
        <v>12409</v>
      </c>
      <c r="F34" s="51">
        <f>'Base Financials'!F102</f>
        <v>0</v>
      </c>
      <c r="G34" s="51">
        <f>'Base Financials'!G102</f>
        <v>11481</v>
      </c>
      <c r="H34" s="51">
        <f>'Base Financials'!H102</f>
        <v>11041</v>
      </c>
      <c r="I34" s="51">
        <f>'Base Financials'!I102</f>
        <v>15121</v>
      </c>
      <c r="J34" s="51">
        <f>'Base Financials'!J102</f>
        <v>7169</v>
      </c>
      <c r="K34" s="51">
        <f>'Base Financials'!K102</f>
        <v>1703</v>
      </c>
      <c r="L34" s="51">
        <f>'Base Financials'!L102</f>
        <v>3355</v>
      </c>
      <c r="M34" s="51">
        <f>'Base Financials'!M102</f>
        <v>3669</v>
      </c>
      <c r="N34" s="51">
        <f>'Base Financials'!N102</f>
        <v>3682</v>
      </c>
      <c r="O34" s="51">
        <f>'Base Financials'!O102</f>
        <v>2991</v>
      </c>
      <c r="P34" s="51">
        <f>'Base Financials'!P102</f>
        <v>3287</v>
      </c>
      <c r="Q34" s="51">
        <f>'Base Financials'!Q102</f>
        <v>3427</v>
      </c>
      <c r="S34" s="26">
        <f t="shared" ref="S34" si="70">SUM(J34:M34)</f>
        <v>15896</v>
      </c>
      <c r="T34" s="26">
        <f t="shared" ref="T34" si="71">SUM(N34:Q34)</f>
        <v>13387</v>
      </c>
      <c r="V34" s="28">
        <f t="shared" ref="V34:V35" si="72">SUM(T34/S34)-1</f>
        <v>-0.15783844992450935</v>
      </c>
    </row>
    <row r="35" spans="2:22" x14ac:dyDescent="0.25">
      <c r="B35" s="1" t="s">
        <v>148</v>
      </c>
      <c r="C35" s="141">
        <f>SUM(C30+C34)</f>
        <v>-29360</v>
      </c>
      <c r="D35" s="141">
        <f t="shared" ref="D35:E35" si="73">SUM(D30+D34)</f>
        <v>-14406</v>
      </c>
      <c r="E35" s="141">
        <f t="shared" si="73"/>
        <v>-49493</v>
      </c>
      <c r="G35" s="141">
        <f t="shared" ref="G35" si="74">SUM(G30+G34)</f>
        <v>-3566</v>
      </c>
      <c r="H35" s="141">
        <f t="shared" ref="H35" si="75">SUM(H30+H34)</f>
        <v>1417</v>
      </c>
      <c r="I35" s="141">
        <f t="shared" ref="I35" si="76">SUM(I30+I34)</f>
        <v>-375</v>
      </c>
      <c r="J35" s="141">
        <f t="shared" ref="J35" si="77">SUM(J30+J34)</f>
        <v>-11882</v>
      </c>
      <c r="K35" s="141">
        <f t="shared" ref="K35" si="78">SUM(K30+K34)</f>
        <v>-18098</v>
      </c>
      <c r="L35" s="141">
        <f t="shared" ref="L35" si="79">SUM(L30+L34)</f>
        <v>-9877</v>
      </c>
      <c r="M35" s="141">
        <f t="shared" ref="M35" si="80">SUM(M30+M34)</f>
        <v>-14941</v>
      </c>
      <c r="N35" s="141">
        <f t="shared" ref="N35" si="81">SUM(N30+N34)</f>
        <v>-6577</v>
      </c>
      <c r="O35" s="141">
        <f t="shared" ref="O35" si="82">SUM(O30+O34)</f>
        <v>-14888</v>
      </c>
      <c r="P35" s="141">
        <f t="shared" ref="P35" si="83">SUM(P30+P34)</f>
        <v>-6618</v>
      </c>
      <c r="Q35" s="141">
        <f t="shared" ref="Q35" si="84">SUM(Q30+Q34)</f>
        <v>-8852</v>
      </c>
      <c r="S35" s="30">
        <f>SUM(S18+SUM(S21:S25))</f>
        <v>-79291</v>
      </c>
      <c r="T35" s="30">
        <f>SUM(T18+SUM(T21:T25))</f>
        <v>-56522</v>
      </c>
      <c r="V35" s="33">
        <f t="shared" si="72"/>
        <v>-0.28715743274772676</v>
      </c>
    </row>
    <row r="36" spans="2:22" x14ac:dyDescent="0.25">
      <c r="B36" s="34" t="s">
        <v>110</v>
      </c>
      <c r="C36" s="41"/>
      <c r="D36" s="21">
        <f>D35/C35-1</f>
        <v>-0.50933242506811993</v>
      </c>
      <c r="E36" s="21">
        <f>E35/D35-1</f>
        <v>2.4355823962237957</v>
      </c>
      <c r="F36" s="21"/>
      <c r="G36" s="5"/>
      <c r="H36" s="21">
        <f t="shared" ref="H36" si="85">H35/G35-1</f>
        <v>-1.3973639932697701</v>
      </c>
      <c r="I36" s="21">
        <f t="shared" ref="I36" si="86">I35/H35-1</f>
        <v>-1.2646436132674665</v>
      </c>
      <c r="J36" s="21">
        <f t="shared" ref="J36" si="87">J35/I35-1</f>
        <v>30.685333333333332</v>
      </c>
      <c r="K36" s="21">
        <f t="shared" ref="K36" si="88">K35/J35-1</f>
        <v>0.52314425180945978</v>
      </c>
      <c r="L36" s="21">
        <f t="shared" ref="L36" si="89">L35/K35-1</f>
        <v>-0.45424908829704935</v>
      </c>
      <c r="M36" s="21">
        <f t="shared" ref="M36" si="90">M35/L35-1</f>
        <v>0.51270628733421075</v>
      </c>
      <c r="N36" s="21">
        <f t="shared" ref="N36" si="91">N35/M35-1</f>
        <v>-0.55980188742386727</v>
      </c>
      <c r="O36" s="21">
        <f t="shared" ref="O36" si="92">O35/N35-1</f>
        <v>1.2636460392276114</v>
      </c>
      <c r="P36" s="21">
        <f t="shared" ref="P36" si="93">P35/O35-1</f>
        <v>-0.55548092423428264</v>
      </c>
      <c r="Q36" s="21">
        <f t="shared" ref="Q36" si="94">Q35/P35-1</f>
        <v>0.33756421879721965</v>
      </c>
      <c r="R36" s="5"/>
      <c r="S36" s="5"/>
      <c r="T36" s="21">
        <f>T35/S35-1</f>
        <v>-0.28715743274772676</v>
      </c>
    </row>
    <row r="37" spans="2:22" x14ac:dyDescent="0.25">
      <c r="B37" s="34" t="s">
        <v>155</v>
      </c>
      <c r="C37" s="21">
        <f>C35/C9</f>
        <v>-3.5822352367008299</v>
      </c>
      <c r="D37" s="21">
        <f t="shared" ref="D37:T37" si="95">D35/D9</f>
        <v>-1.0995267898030836</v>
      </c>
      <c r="E37" s="21">
        <f t="shared" si="95"/>
        <v>-4.1216688874083944</v>
      </c>
      <c r="F37" s="21"/>
      <c r="G37" s="21">
        <f t="shared" si="95"/>
        <v>-1.6948669201520912</v>
      </c>
      <c r="H37" s="21">
        <f t="shared" si="95"/>
        <v>0.66401124648547327</v>
      </c>
      <c r="I37" s="21">
        <f t="shared" si="95"/>
        <v>-0.13373751783166904</v>
      </c>
      <c r="J37" s="21">
        <f t="shared" si="95"/>
        <v>-1.9607260726072606</v>
      </c>
      <c r="K37" s="21">
        <f t="shared" si="95"/>
        <v>-8.2226260790549759</v>
      </c>
      <c r="L37" s="21">
        <f t="shared" si="95"/>
        <v>-2.9687406071535918</v>
      </c>
      <c r="M37" s="21">
        <f t="shared" si="95"/>
        <v>-4.8119162640901774</v>
      </c>
      <c r="N37" s="21">
        <f t="shared" si="95"/>
        <v>-1.9487407407407407</v>
      </c>
      <c r="O37" s="21">
        <f t="shared" si="95"/>
        <v>-4.8781127129750983</v>
      </c>
      <c r="P37" s="21">
        <f t="shared" si="95"/>
        <v>-2.1445236552171094</v>
      </c>
      <c r="Q37" s="21">
        <f t="shared" si="95"/>
        <v>-3.7224558452481076</v>
      </c>
      <c r="S37" s="21">
        <f t="shared" si="95"/>
        <v>-5.3965153474443612</v>
      </c>
      <c r="T37" s="21">
        <f t="shared" si="95"/>
        <v>-4.7533428643511897</v>
      </c>
    </row>
    <row r="38" spans="2:22" x14ac:dyDescent="0.25">
      <c r="B38" s="2"/>
    </row>
  </sheetData>
  <mergeCells count="1">
    <mergeCell ref="V7:V8"/>
  </mergeCells>
  <conditionalFormatting sqref="C13:J13 L13:Q13">
    <cfRule type="timePeriod" dxfId="2" priority="2" timePeriod="lastWeek">
      <formula>AND(TODAY()-ROUNDDOWN(C13,0)&gt;=(WEEKDAY(TODAY())),TODAY()-ROUNDDOWN(C13,0)&lt;(WEEKDAY(TODAY())+7))</formula>
    </cfRule>
  </conditionalFormatting>
  <conditionalFormatting sqref="C8:Q8">
    <cfRule type="timePeriod" dxfId="1" priority="4" timePeriod="lastWeek">
      <formula>AND(TODAY()-ROUNDDOWN(C8,0)&gt;=(WEEKDAY(TODAY())),TODAY()-ROUNDDOWN(C8,0)&lt;(WEEKDAY(TODAY())+7))</formula>
    </cfRule>
  </conditionalFormatting>
  <conditionalFormatting sqref="S8:T8">
    <cfRule type="timePeriod" dxfId="0" priority="3" timePeriod="lastWeek">
      <formula>AND(TODAY()-ROUNDDOWN(S8,0)&gt;=(WEEKDAY(TODAY())),TODAY()-ROUNDDOWN(S8,0)&lt;(WEEKDAY(TODAY())+7))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Firm Background</vt:lpstr>
      <vt:lpstr>Base Financials</vt:lpstr>
      <vt:lpstr>EBITDA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Garcia</dc:creator>
  <cp:lastModifiedBy>Felix Garcia</cp:lastModifiedBy>
  <dcterms:created xsi:type="dcterms:W3CDTF">2024-12-23T21:05:40Z</dcterms:created>
  <dcterms:modified xsi:type="dcterms:W3CDTF">2025-01-21T06:19:41Z</dcterms:modified>
</cp:coreProperties>
</file>