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Felix\Downloads\"/>
    </mc:Choice>
  </mc:AlternateContent>
  <xr:revisionPtr revIDLastSave="0" documentId="8_{58EEE044-50A3-4C1D-B00E-B216F93474CC}" xr6:coauthVersionLast="47" xr6:coauthVersionMax="47" xr10:uidLastSave="{00000000-0000-0000-0000-000000000000}"/>
  <bookViews>
    <workbookView xWindow="28680" yWindow="-120" windowWidth="29040" windowHeight="15720" xr2:uid="{3CD72C6D-CA5D-448A-BEB7-E291C1033A97}"/>
  </bookViews>
  <sheets>
    <sheet name="3-Statement Model" sheetId="1" r:id="rId1"/>
    <sheet name="Revenue Segment Build" sheetId="2" r:id="rId2"/>
    <sheet name="Driver ER Consensu" sheetId="3" r:id="rId3"/>
  </sheets>
  <externalReferences>
    <externalReference r:id="rId4"/>
  </externalReferenc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6" i="1" l="1"/>
  <c r="E186" i="1"/>
  <c r="D181" i="1"/>
  <c r="E181" i="1"/>
  <c r="D182" i="1"/>
  <c r="D180" i="1"/>
  <c r="C180" i="1"/>
  <c r="E180" i="1"/>
  <c r="C176" i="1"/>
  <c r="G177" i="1"/>
  <c r="F177" i="1"/>
  <c r="E177" i="1"/>
  <c r="D177" i="1"/>
  <c r="G176" i="1"/>
  <c r="F176" i="1"/>
  <c r="E176" i="1"/>
  <c r="D176" i="1"/>
  <c r="G172" i="1"/>
  <c r="F172" i="1"/>
  <c r="E172" i="1"/>
  <c r="D172" i="1"/>
  <c r="C172" i="1"/>
  <c r="E71" i="1"/>
  <c r="D71" i="1"/>
  <c r="E93" i="1" s="1"/>
  <c r="C71" i="1"/>
  <c r="G57" i="1"/>
  <c r="H57" i="1" s="1"/>
  <c r="H143" i="1" s="1"/>
  <c r="F57" i="1"/>
  <c r="F143" i="1" s="1"/>
  <c r="G140" i="1" s="1"/>
  <c r="E57" i="1"/>
  <c r="E143" i="1" s="1"/>
  <c r="F140" i="1" s="1"/>
  <c r="D57" i="1"/>
  <c r="D143" i="1" s="1"/>
  <c r="E140" i="1" s="1"/>
  <c r="C57" i="1"/>
  <c r="C143" i="1" s="1"/>
  <c r="D140" i="1" s="1"/>
  <c r="E162" i="1"/>
  <c r="G165" i="1"/>
  <c r="H162" i="1" s="1"/>
  <c r="F165" i="1"/>
  <c r="G162" i="1" s="1"/>
  <c r="E165" i="1"/>
  <c r="F162" i="1" s="1"/>
  <c r="D165" i="1"/>
  <c r="C165" i="1"/>
  <c r="D162" i="1" s="1"/>
  <c r="C88" i="1"/>
  <c r="D88" i="1"/>
  <c r="E88" i="1"/>
  <c r="F88" i="1"/>
  <c r="G88" i="1"/>
  <c r="C89" i="1"/>
  <c r="D89" i="1"/>
  <c r="E89" i="1"/>
  <c r="F89" i="1"/>
  <c r="G89" i="1"/>
  <c r="C91" i="1"/>
  <c r="D91" i="1"/>
  <c r="C99" i="1"/>
  <c r="D99" i="1"/>
  <c r="E99" i="1"/>
  <c r="F99" i="1"/>
  <c r="G99" i="1"/>
  <c r="C100" i="1"/>
  <c r="D100" i="1"/>
  <c r="E100" i="1"/>
  <c r="F100" i="1"/>
  <c r="G100" i="1"/>
  <c r="C101" i="1"/>
  <c r="D101" i="1"/>
  <c r="E101" i="1"/>
  <c r="F101" i="1"/>
  <c r="G101" i="1"/>
  <c r="C102" i="1"/>
  <c r="D102" i="1"/>
  <c r="E102" i="1"/>
  <c r="F102" i="1"/>
  <c r="G102" i="1"/>
  <c r="C97" i="1"/>
  <c r="D97" i="1"/>
  <c r="E97" i="1"/>
  <c r="F97" i="1"/>
  <c r="G97" i="1"/>
  <c r="I96" i="1"/>
  <c r="H96" i="1"/>
  <c r="D150" i="1"/>
  <c r="E146" i="1" s="1"/>
  <c r="C128" i="1"/>
  <c r="D113" i="1"/>
  <c r="E110" i="1" s="1"/>
  <c r="E113" i="1"/>
  <c r="F113" i="1"/>
  <c r="G110" i="1" s="1"/>
  <c r="G113" i="1"/>
  <c r="C113" i="1"/>
  <c r="G111" i="1"/>
  <c r="F111" i="1"/>
  <c r="E111" i="1"/>
  <c r="D111" i="1"/>
  <c r="D114" i="1" s="1"/>
  <c r="C111" i="1"/>
  <c r="C114" i="1" s="1"/>
  <c r="B97" i="1"/>
  <c r="D119" i="1"/>
  <c r="D117" i="1" s="1"/>
  <c r="D118" i="1" s="1"/>
  <c r="D126" i="1" s="1"/>
  <c r="H71" i="1"/>
  <c r="G66" i="1"/>
  <c r="G72" i="1" s="1"/>
  <c r="D66" i="1"/>
  <c r="D72" i="1" s="1"/>
  <c r="C66" i="1"/>
  <c r="H63" i="1"/>
  <c r="I63" i="1" s="1"/>
  <c r="J63" i="1" s="1"/>
  <c r="K63" i="1" s="1"/>
  <c r="L63" i="1" s="1"/>
  <c r="H65" i="1"/>
  <c r="I65" i="1" s="1"/>
  <c r="J65" i="1" s="1"/>
  <c r="K65" i="1" s="1"/>
  <c r="L65" i="1" s="1"/>
  <c r="H52" i="1"/>
  <c r="H50" i="1"/>
  <c r="G49" i="1"/>
  <c r="G53" i="1" s="1"/>
  <c r="F49" i="1"/>
  <c r="G156" i="1" s="1"/>
  <c r="E49" i="1"/>
  <c r="F156" i="1" s="1"/>
  <c r="D49" i="1"/>
  <c r="D53" i="1" s="1"/>
  <c r="C49" i="1"/>
  <c r="C53" i="1" s="1"/>
  <c r="C58" i="1" s="1"/>
  <c r="H30" i="1"/>
  <c r="I30" i="1" s="1"/>
  <c r="J30" i="1" s="1"/>
  <c r="K30" i="1" s="1"/>
  <c r="L30" i="1" s="1"/>
  <c r="H22" i="1"/>
  <c r="I39" i="1"/>
  <c r="J39" i="1" s="1"/>
  <c r="K39" i="1" s="1"/>
  <c r="L39" i="1" s="1"/>
  <c r="G41" i="1"/>
  <c r="H41" i="1" s="1"/>
  <c r="I41" i="1" s="1"/>
  <c r="J41" i="1" s="1"/>
  <c r="K41" i="1" s="1"/>
  <c r="L41" i="1" s="1"/>
  <c r="G42" i="1"/>
  <c r="H42" i="1" s="1"/>
  <c r="I42" i="1" s="1"/>
  <c r="J42" i="1" s="1"/>
  <c r="K42" i="1" s="1"/>
  <c r="L42" i="1" s="1"/>
  <c r="F42" i="1"/>
  <c r="E42" i="1"/>
  <c r="D42" i="1"/>
  <c r="F41" i="1"/>
  <c r="E41" i="1"/>
  <c r="D41" i="1"/>
  <c r="G39" i="1"/>
  <c r="F39" i="1"/>
  <c r="E39" i="1"/>
  <c r="D39" i="1"/>
  <c r="F65" i="1"/>
  <c r="E65" i="1"/>
  <c r="E66" i="1" s="1"/>
  <c r="F71" i="1"/>
  <c r="F93" i="1" s="1"/>
  <c r="G78" i="1"/>
  <c r="F78" i="1"/>
  <c r="E78" i="1"/>
  <c r="D78" i="1"/>
  <c r="C78" i="1"/>
  <c r="F52" i="1"/>
  <c r="E52" i="1"/>
  <c r="F85" i="1"/>
  <c r="G19" i="1"/>
  <c r="G23" i="1" s="1"/>
  <c r="G34" i="1" s="1"/>
  <c r="G36" i="1" s="1"/>
  <c r="F19" i="1"/>
  <c r="F23" i="1" s="1"/>
  <c r="F34" i="1" s="1"/>
  <c r="F36" i="1" s="1"/>
  <c r="E19" i="1"/>
  <c r="E23" i="1" s="1"/>
  <c r="E34" i="1" s="1"/>
  <c r="E36" i="1" s="1"/>
  <c r="D19" i="1"/>
  <c r="D23" i="1" s="1"/>
  <c r="D34" i="1" s="1"/>
  <c r="D36" i="1" s="1"/>
  <c r="G26" i="1"/>
  <c r="F26" i="1"/>
  <c r="E26" i="1"/>
  <c r="D26" i="1"/>
  <c r="C26" i="1"/>
  <c r="D58" i="1" l="1"/>
  <c r="C72" i="1"/>
  <c r="D93" i="1"/>
  <c r="F91" i="1"/>
  <c r="F103" i="1"/>
  <c r="G58" i="1"/>
  <c r="G81" i="1" s="1"/>
  <c r="F90" i="1"/>
  <c r="G90" i="1"/>
  <c r="E90" i="1"/>
  <c r="G91" i="1"/>
  <c r="E91" i="1"/>
  <c r="D141" i="1"/>
  <c r="D142" i="1" s="1"/>
  <c r="D92" i="1" s="1"/>
  <c r="G143" i="1"/>
  <c r="E103" i="1"/>
  <c r="G93" i="1"/>
  <c r="H156" i="1"/>
  <c r="G103" i="1"/>
  <c r="D103" i="1"/>
  <c r="D156" i="1"/>
  <c r="C103" i="1"/>
  <c r="E156" i="1"/>
  <c r="D90" i="1"/>
  <c r="J133" i="1"/>
  <c r="K132" i="1"/>
  <c r="H132" i="1"/>
  <c r="L132" i="1"/>
  <c r="K133" i="1"/>
  <c r="L133" i="1"/>
  <c r="I132" i="1"/>
  <c r="I133" i="1"/>
  <c r="J132" i="1"/>
  <c r="J111" i="1"/>
  <c r="J96" i="1" s="1"/>
  <c r="E53" i="1"/>
  <c r="E58" i="1" s="1"/>
  <c r="I71" i="1"/>
  <c r="I93" i="1" s="1"/>
  <c r="H93" i="1"/>
  <c r="F53" i="1"/>
  <c r="F58" i="1" s="1"/>
  <c r="F66" i="1"/>
  <c r="F72" i="1" s="1"/>
  <c r="F79" i="1" s="1"/>
  <c r="I50" i="1"/>
  <c r="J50" i="1" s="1"/>
  <c r="K50" i="1" s="1"/>
  <c r="L50" i="1" s="1"/>
  <c r="I52" i="1"/>
  <c r="J52" i="1" s="1"/>
  <c r="K52" i="1" s="1"/>
  <c r="L52" i="1" s="1"/>
  <c r="I22" i="1"/>
  <c r="J22" i="1" s="1"/>
  <c r="K22" i="1" s="1"/>
  <c r="L22" i="1" s="1"/>
  <c r="I57" i="1"/>
  <c r="H49" i="1"/>
  <c r="H62" i="1"/>
  <c r="I62" i="1" s="1"/>
  <c r="J62" i="1" s="1"/>
  <c r="K62" i="1" s="1"/>
  <c r="L62" i="1" s="1"/>
  <c r="E40" i="1"/>
  <c r="D40" i="1"/>
  <c r="D79" i="1"/>
  <c r="C81" i="1"/>
  <c r="D81" i="1"/>
  <c r="E72" i="1"/>
  <c r="E79" i="1" s="1"/>
  <c r="C79" i="1"/>
  <c r="G79" i="1"/>
  <c r="E27" i="1"/>
  <c r="D27" i="1"/>
  <c r="F27" i="1"/>
  <c r="G27" i="1"/>
  <c r="J57" i="1" l="1"/>
  <c r="I143" i="1"/>
  <c r="K111" i="1"/>
  <c r="K96" i="1" s="1"/>
  <c r="L134" i="1"/>
  <c r="K134" i="1"/>
  <c r="J134" i="1"/>
  <c r="J71" i="1"/>
  <c r="J93" i="1" s="1"/>
  <c r="I49" i="1"/>
  <c r="E29" i="1"/>
  <c r="E31" i="1" s="1"/>
  <c r="E43" i="1"/>
  <c r="G29" i="1"/>
  <c r="G31" i="1" s="1"/>
  <c r="G43" i="1"/>
  <c r="F29" i="1"/>
  <c r="F31" i="1" s="1"/>
  <c r="F43" i="1"/>
  <c r="D29" i="1"/>
  <c r="D31" i="1" s="1"/>
  <c r="D43" i="1"/>
  <c r="F81" i="1"/>
  <c r="E81" i="1"/>
  <c r="G192" i="1" l="1"/>
  <c r="G87" i="1"/>
  <c r="E87" i="1"/>
  <c r="E192" i="1"/>
  <c r="D87" i="1"/>
  <c r="D94" i="1" s="1"/>
  <c r="D192" i="1"/>
  <c r="F192" i="1"/>
  <c r="F87" i="1"/>
  <c r="K57" i="1"/>
  <c r="J143" i="1"/>
  <c r="E147" i="1"/>
  <c r="E151" i="1" s="1"/>
  <c r="D147" i="1"/>
  <c r="D151" i="1" s="1"/>
  <c r="F147" i="1"/>
  <c r="F151" i="1" s="1"/>
  <c r="G147" i="1"/>
  <c r="G151" i="1" s="1"/>
  <c r="L111" i="1"/>
  <c r="L135" i="1"/>
  <c r="K135" i="1"/>
  <c r="K71" i="1"/>
  <c r="L71" i="1" s="1"/>
  <c r="L93" i="1" s="1"/>
  <c r="J49" i="1"/>
  <c r="L136" i="1" l="1"/>
  <c r="L96" i="1"/>
  <c r="D158" i="1"/>
  <c r="D159" i="1" s="1"/>
  <c r="D163" i="1" s="1"/>
  <c r="D105" i="1"/>
  <c r="L57" i="1"/>
  <c r="L143" i="1" s="1"/>
  <c r="K143" i="1"/>
  <c r="K93" i="1"/>
  <c r="K49" i="1"/>
  <c r="L49" i="1" l="1"/>
  <c r="H41" i="2" l="1"/>
  <c r="I41" i="2" s="1"/>
  <c r="G41" i="2"/>
  <c r="F41" i="2"/>
  <c r="E41" i="2"/>
  <c r="H40" i="2"/>
  <c r="I40" i="2" s="1"/>
  <c r="G40" i="2"/>
  <c r="F40" i="2"/>
  <c r="E40" i="2"/>
  <c r="K39" i="2"/>
  <c r="J39" i="2"/>
  <c r="F39" i="2"/>
  <c r="E39" i="2"/>
  <c r="K38" i="2"/>
  <c r="J38" i="2"/>
  <c r="I38" i="2"/>
  <c r="F38" i="2"/>
  <c r="E38" i="2"/>
  <c r="H37" i="2"/>
  <c r="F37" i="2"/>
  <c r="E37" i="2"/>
  <c r="K34" i="2"/>
  <c r="J34" i="2"/>
  <c r="I34" i="2"/>
  <c r="H34" i="2"/>
  <c r="G34" i="2"/>
  <c r="K33" i="2"/>
  <c r="J33" i="2"/>
  <c r="I33" i="2"/>
  <c r="H33" i="2"/>
  <c r="G33" i="2"/>
  <c r="F33" i="2"/>
  <c r="K32" i="2"/>
  <c r="J32" i="2"/>
  <c r="I32" i="2"/>
  <c r="H32" i="2"/>
  <c r="G32" i="2"/>
  <c r="F32" i="2"/>
  <c r="E32" i="2"/>
  <c r="K29" i="2"/>
  <c r="J29" i="2"/>
  <c r="I29" i="2"/>
  <c r="H29" i="2"/>
  <c r="G29" i="2"/>
  <c r="F29" i="2"/>
  <c r="E29" i="2"/>
  <c r="K28" i="2"/>
  <c r="J28" i="2"/>
  <c r="I28" i="2"/>
  <c r="H28" i="2"/>
  <c r="G28" i="2"/>
  <c r="F28" i="2"/>
  <c r="E28" i="2"/>
  <c r="K27" i="2"/>
  <c r="J27" i="2"/>
  <c r="I27" i="2"/>
  <c r="H27" i="2"/>
  <c r="G27" i="2"/>
  <c r="F27" i="2"/>
  <c r="E27" i="2"/>
  <c r="F24" i="2"/>
  <c r="F34" i="2" s="1"/>
  <c r="E24" i="2"/>
  <c r="E34" i="2" s="1"/>
  <c r="D24" i="2"/>
  <c r="F23" i="2"/>
  <c r="E23" i="2"/>
  <c r="E33" i="2" s="1"/>
  <c r="D23" i="2"/>
  <c r="F22" i="2"/>
  <c r="E22" i="2"/>
  <c r="D22" i="2"/>
  <c r="F13" i="2"/>
  <c r="F14" i="2" s="1"/>
  <c r="E13" i="2"/>
  <c r="D13" i="2"/>
  <c r="E14" i="2" s="1"/>
  <c r="K9" i="2"/>
  <c r="J9" i="2"/>
  <c r="I9" i="2"/>
  <c r="I39" i="2" s="1"/>
  <c r="H9" i="2"/>
  <c r="H39" i="2" s="1"/>
  <c r="G9" i="2"/>
  <c r="G39" i="2" s="1"/>
  <c r="K8" i="2"/>
  <c r="J8" i="2"/>
  <c r="I8" i="2"/>
  <c r="H8" i="2"/>
  <c r="H38" i="2" s="1"/>
  <c r="G8" i="2"/>
  <c r="G38" i="2" s="1"/>
  <c r="K7" i="2"/>
  <c r="K37" i="2" s="1"/>
  <c r="J7" i="2"/>
  <c r="J37" i="2" s="1"/>
  <c r="I7" i="2"/>
  <c r="H7" i="2"/>
  <c r="H13" i="2" s="1"/>
  <c r="G7" i="2"/>
  <c r="G37" i="2" s="1"/>
  <c r="K4" i="2"/>
  <c r="J4" i="2"/>
  <c r="I4" i="2"/>
  <c r="H4" i="2"/>
  <c r="G4" i="2"/>
  <c r="F4" i="2"/>
  <c r="E4" i="2"/>
  <c r="D4" i="2"/>
  <c r="C4" i="2"/>
  <c r="K3" i="2"/>
  <c r="J3" i="2"/>
  <c r="I3" i="2"/>
  <c r="H3" i="2"/>
  <c r="G3" i="2"/>
  <c r="F3" i="2"/>
  <c r="E3" i="2"/>
  <c r="D3" i="2"/>
  <c r="C3" i="2"/>
  <c r="L233" i="1"/>
  <c r="K233" i="1"/>
  <c r="J233" i="1"/>
  <c r="I233" i="1"/>
  <c r="H233" i="1"/>
  <c r="L231" i="1"/>
  <c r="K231" i="1"/>
  <c r="J231" i="1"/>
  <c r="I231" i="1"/>
  <c r="H231" i="1"/>
  <c r="L229" i="1"/>
  <c r="K229" i="1"/>
  <c r="J229" i="1"/>
  <c r="I229" i="1"/>
  <c r="H229" i="1"/>
  <c r="L227" i="1"/>
  <c r="K227" i="1"/>
  <c r="J227" i="1"/>
  <c r="I227" i="1"/>
  <c r="H227" i="1"/>
  <c r="L225" i="1"/>
  <c r="K225" i="1"/>
  <c r="J225" i="1"/>
  <c r="I225" i="1"/>
  <c r="H225" i="1"/>
  <c r="L223" i="1"/>
  <c r="K223" i="1"/>
  <c r="J223" i="1"/>
  <c r="I223" i="1"/>
  <c r="H223" i="1"/>
  <c r="I221" i="1"/>
  <c r="H221" i="1"/>
  <c r="J220" i="1"/>
  <c r="J221" i="1" s="1"/>
  <c r="I219" i="1"/>
  <c r="H219" i="1"/>
  <c r="L216" i="1"/>
  <c r="K216" i="1"/>
  <c r="J216" i="1"/>
  <c r="I216" i="1"/>
  <c r="H216" i="1"/>
  <c r="G216" i="1"/>
  <c r="L215" i="1"/>
  <c r="K215" i="1"/>
  <c r="J215" i="1"/>
  <c r="I215" i="1"/>
  <c r="H215" i="1"/>
  <c r="G215" i="1"/>
  <c r="L214" i="1"/>
  <c r="K214" i="1"/>
  <c r="J214" i="1"/>
  <c r="I214" i="1"/>
  <c r="H214" i="1"/>
  <c r="G214" i="1"/>
  <c r="I213" i="1"/>
  <c r="H213" i="1"/>
  <c r="G213" i="1"/>
  <c r="C211" i="1"/>
  <c r="H204" i="1"/>
  <c r="F190" i="1"/>
  <c r="G186" i="1"/>
  <c r="F186" i="1"/>
  <c r="C186" i="1"/>
  <c r="H185" i="1"/>
  <c r="I185" i="1" s="1"/>
  <c r="J185" i="1" s="1"/>
  <c r="K185" i="1" s="1"/>
  <c r="L185" i="1" s="1"/>
  <c r="H175" i="1"/>
  <c r="I175" i="1" s="1"/>
  <c r="J175" i="1" s="1"/>
  <c r="K175" i="1" s="1"/>
  <c r="L175" i="1" s="1"/>
  <c r="F170" i="1"/>
  <c r="B170" i="1"/>
  <c r="B190" i="1" s="1"/>
  <c r="B169" i="1"/>
  <c r="B189" i="1" s="1"/>
  <c r="F155" i="1"/>
  <c r="B155" i="1"/>
  <c r="B154" i="1"/>
  <c r="G150" i="1"/>
  <c r="H146" i="1" s="1"/>
  <c r="F150" i="1"/>
  <c r="G146" i="1" s="1"/>
  <c r="C150" i="1"/>
  <c r="D146" i="1" s="1"/>
  <c r="H149" i="1"/>
  <c r="H140" i="1"/>
  <c r="G119" i="1"/>
  <c r="G117" i="1" s="1"/>
  <c r="F119" i="1"/>
  <c r="F117" i="1" s="1"/>
  <c r="E119" i="1"/>
  <c r="E117" i="1" s="1"/>
  <c r="C119" i="1"/>
  <c r="C117" i="1" s="1"/>
  <c r="C118" i="1" s="1"/>
  <c r="C126" i="1" s="1"/>
  <c r="G114" i="1"/>
  <c r="F114" i="1"/>
  <c r="E114" i="1"/>
  <c r="H110" i="1"/>
  <c r="F110" i="1"/>
  <c r="D110" i="1"/>
  <c r="F109" i="1"/>
  <c r="B109" i="1"/>
  <c r="B108" i="1"/>
  <c r="I97" i="1"/>
  <c r="H97" i="1"/>
  <c r="B85" i="1"/>
  <c r="B84" i="1"/>
  <c r="H77" i="1"/>
  <c r="I77" i="1" s="1"/>
  <c r="J77" i="1" s="1"/>
  <c r="K77" i="1" s="1"/>
  <c r="L77" i="1" s="1"/>
  <c r="E150" i="1"/>
  <c r="F146" i="1" s="1"/>
  <c r="H70" i="1"/>
  <c r="F47" i="1"/>
  <c r="B47" i="1"/>
  <c r="B46" i="1"/>
  <c r="C42" i="1"/>
  <c r="C41" i="1"/>
  <c r="H26" i="1"/>
  <c r="C19" i="1"/>
  <c r="G15" i="1"/>
  <c r="E15" i="1"/>
  <c r="G14" i="1"/>
  <c r="B2" i="1"/>
  <c r="E118" i="1" l="1"/>
  <c r="E126" i="1" s="1"/>
  <c r="E141" i="1"/>
  <c r="E142" i="1" s="1"/>
  <c r="E92" i="1" s="1"/>
  <c r="E94" i="1" s="1"/>
  <c r="F118" i="1"/>
  <c r="F126" i="1" s="1"/>
  <c r="F141" i="1"/>
  <c r="F142" i="1" s="1"/>
  <c r="F92" i="1" s="1"/>
  <c r="F94" i="1" s="1"/>
  <c r="G118" i="1"/>
  <c r="H118" i="1" s="1"/>
  <c r="I118" i="1" s="1"/>
  <c r="G141" i="1"/>
  <c r="G142" i="1" s="1"/>
  <c r="G92" i="1" s="1"/>
  <c r="G94" i="1" s="1"/>
  <c r="I149" i="1"/>
  <c r="H101" i="1"/>
  <c r="H199" i="1" s="1"/>
  <c r="G126" i="1"/>
  <c r="I70" i="1"/>
  <c r="I99" i="1" s="1"/>
  <c r="H99" i="1"/>
  <c r="I26" i="1"/>
  <c r="J26" i="1" s="1"/>
  <c r="K26" i="1" s="1"/>
  <c r="L26" i="1" s="1"/>
  <c r="F14" i="1"/>
  <c r="F169" i="1" s="1"/>
  <c r="G84" i="1"/>
  <c r="D15" i="1"/>
  <c r="E85" i="1"/>
  <c r="G109" i="1"/>
  <c r="G85" i="1"/>
  <c r="C40" i="1"/>
  <c r="C23" i="1"/>
  <c r="J213" i="1"/>
  <c r="J97" i="1" s="1"/>
  <c r="G182" i="1"/>
  <c r="F180" i="1"/>
  <c r="F182" i="1"/>
  <c r="G180" i="1"/>
  <c r="H114" i="1"/>
  <c r="J40" i="2"/>
  <c r="K40" i="2" s="1"/>
  <c r="I11" i="2"/>
  <c r="J11" i="2" s="1"/>
  <c r="K11" i="2" s="1"/>
  <c r="I12" i="2"/>
  <c r="J41" i="2"/>
  <c r="K41" i="2" s="1"/>
  <c r="I37" i="2"/>
  <c r="G13" i="2"/>
  <c r="G14" i="2" s="1"/>
  <c r="H35" i="1"/>
  <c r="H89" i="1" s="1"/>
  <c r="I140" i="1"/>
  <c r="H69" i="1"/>
  <c r="I69" i="1" s="1"/>
  <c r="H17" i="1"/>
  <c r="G190" i="1"/>
  <c r="E182" i="1"/>
  <c r="E190" i="1"/>
  <c r="E109" i="1"/>
  <c r="F40" i="1"/>
  <c r="E47" i="1"/>
  <c r="E155" i="1"/>
  <c r="G47" i="1"/>
  <c r="G170" i="1"/>
  <c r="G155" i="1"/>
  <c r="G40" i="1"/>
  <c r="H40" i="1" s="1"/>
  <c r="I40" i="1" s="1"/>
  <c r="J40" i="1" s="1"/>
  <c r="K40" i="1" s="1"/>
  <c r="L40" i="1" s="1"/>
  <c r="G108" i="1"/>
  <c r="G46" i="1"/>
  <c r="G169" i="1"/>
  <c r="G154" i="1"/>
  <c r="H15" i="1"/>
  <c r="G189" i="1"/>
  <c r="H14" i="1"/>
  <c r="H180" i="1"/>
  <c r="E170" i="1"/>
  <c r="K220" i="1"/>
  <c r="J219" i="1"/>
  <c r="J149" i="1" l="1"/>
  <c r="I101" i="1"/>
  <c r="I199" i="1" s="1"/>
  <c r="D109" i="1"/>
  <c r="D190" i="1"/>
  <c r="D170" i="1"/>
  <c r="D155" i="1"/>
  <c r="F158" i="1"/>
  <c r="F159" i="1" s="1"/>
  <c r="F163" i="1" s="1"/>
  <c r="F105" i="1"/>
  <c r="G158" i="1"/>
  <c r="G159" i="1" s="1"/>
  <c r="G163" i="1" s="1"/>
  <c r="G105" i="1"/>
  <c r="E158" i="1"/>
  <c r="E159" i="1" s="1"/>
  <c r="E163" i="1" s="1"/>
  <c r="E105" i="1"/>
  <c r="H200" i="1"/>
  <c r="H205" i="1" s="1"/>
  <c r="H206" i="1" s="1"/>
  <c r="H19" i="1"/>
  <c r="F154" i="1"/>
  <c r="F84" i="1"/>
  <c r="F46" i="1"/>
  <c r="F108" i="1"/>
  <c r="E14" i="1"/>
  <c r="E84" i="1" s="1"/>
  <c r="F189" i="1"/>
  <c r="F181" i="1"/>
  <c r="C15" i="1"/>
  <c r="D47" i="1"/>
  <c r="D85" i="1"/>
  <c r="J69" i="1"/>
  <c r="G181" i="1"/>
  <c r="H181" i="1" s="1"/>
  <c r="I181" i="1" s="1"/>
  <c r="J181" i="1" s="1"/>
  <c r="C27" i="1"/>
  <c r="C29" i="1" s="1"/>
  <c r="C31" i="1" s="1"/>
  <c r="C87" i="1" s="1"/>
  <c r="C94" i="1" s="1"/>
  <c r="C105" i="1" s="1"/>
  <c r="C34" i="1"/>
  <c r="C36" i="1" s="1"/>
  <c r="I114" i="1"/>
  <c r="I35" i="1"/>
  <c r="H75" i="1"/>
  <c r="H117" i="1"/>
  <c r="H141" i="1" s="1"/>
  <c r="H142" i="1" s="1"/>
  <c r="H92" i="1" s="1"/>
  <c r="J12" i="2"/>
  <c r="K12" i="2" s="1"/>
  <c r="K13" i="2" s="1"/>
  <c r="I13" i="2"/>
  <c r="I14" i="2" s="1"/>
  <c r="J13" i="2"/>
  <c r="J14" i="2" s="1"/>
  <c r="H14" i="2"/>
  <c r="H21" i="1"/>
  <c r="I17" i="1"/>
  <c r="I19" i="1" s="1"/>
  <c r="H20" i="1"/>
  <c r="L220" i="1"/>
  <c r="K213" i="1"/>
  <c r="K221" i="1"/>
  <c r="K219" i="1"/>
  <c r="J118" i="1"/>
  <c r="I180" i="1"/>
  <c r="J70" i="1"/>
  <c r="J99" i="1" s="1"/>
  <c r="H46" i="1"/>
  <c r="H211" i="1"/>
  <c r="H169" i="1"/>
  <c r="H154" i="1"/>
  <c r="H189" i="1"/>
  <c r="H84" i="1"/>
  <c r="H108" i="1"/>
  <c r="B132" i="1" s="1"/>
  <c r="I14" i="1"/>
  <c r="H85" i="1"/>
  <c r="H170" i="1"/>
  <c r="H155" i="1"/>
  <c r="H190" i="1"/>
  <c r="I15" i="1"/>
  <c r="H47" i="1"/>
  <c r="H109" i="1"/>
  <c r="H212" i="1"/>
  <c r="C109" i="1" l="1"/>
  <c r="C170" i="1"/>
  <c r="C155" i="1"/>
  <c r="J101" i="1"/>
  <c r="J199" i="1" s="1"/>
  <c r="K149" i="1"/>
  <c r="C147" i="1"/>
  <c r="C151" i="1" s="1"/>
  <c r="H131" i="1"/>
  <c r="H137" i="1" s="1"/>
  <c r="H112" i="1" s="1"/>
  <c r="H113" i="1" s="1"/>
  <c r="H193" i="1"/>
  <c r="H196" i="1" s="1"/>
  <c r="J35" i="1"/>
  <c r="J200" i="1" s="1"/>
  <c r="E169" i="1"/>
  <c r="E154" i="1"/>
  <c r="D14" i="1"/>
  <c r="E189" i="1"/>
  <c r="E46" i="1"/>
  <c r="C47" i="1"/>
  <c r="C85" i="1"/>
  <c r="C190" i="1"/>
  <c r="E108" i="1"/>
  <c r="H182" i="1"/>
  <c r="I182" i="1"/>
  <c r="C43" i="1"/>
  <c r="H43" i="1" s="1"/>
  <c r="J114" i="1"/>
  <c r="I200" i="1"/>
  <c r="I75" i="1"/>
  <c r="I89" i="1"/>
  <c r="K14" i="2"/>
  <c r="J140" i="1"/>
  <c r="I20" i="1"/>
  <c r="I21" i="1"/>
  <c r="J17" i="1"/>
  <c r="J19" i="1" s="1"/>
  <c r="I117" i="1"/>
  <c r="I141" i="1" s="1"/>
  <c r="K69" i="1"/>
  <c r="L213" i="1"/>
  <c r="L219" i="1"/>
  <c r="L221" i="1"/>
  <c r="I204" i="1"/>
  <c r="H207" i="1"/>
  <c r="I211" i="1"/>
  <c r="I169" i="1"/>
  <c r="I154" i="1"/>
  <c r="I189" i="1"/>
  <c r="I84" i="1"/>
  <c r="I108" i="1"/>
  <c r="I46" i="1"/>
  <c r="J14" i="1"/>
  <c r="K118" i="1"/>
  <c r="K181" i="1"/>
  <c r="I47" i="1"/>
  <c r="I170" i="1"/>
  <c r="I155" i="1"/>
  <c r="I190" i="1"/>
  <c r="I109" i="1"/>
  <c r="I85" i="1"/>
  <c r="J15" i="1"/>
  <c r="I212" i="1"/>
  <c r="J180" i="1"/>
  <c r="J182" i="1" s="1"/>
  <c r="K70" i="1"/>
  <c r="K99" i="1" s="1"/>
  <c r="I110" i="1" l="1"/>
  <c r="H56" i="1"/>
  <c r="H58" i="1" s="1"/>
  <c r="D169" i="1"/>
  <c r="D189" i="1"/>
  <c r="D154" i="1"/>
  <c r="K101" i="1"/>
  <c r="K199" i="1" s="1"/>
  <c r="L149" i="1"/>
  <c r="H119" i="1"/>
  <c r="H33" i="1" s="1"/>
  <c r="H88" i="1" s="1"/>
  <c r="B133" i="1"/>
  <c r="I131" i="1"/>
  <c r="I137" i="1" s="1"/>
  <c r="I112" i="1" s="1"/>
  <c r="J89" i="1"/>
  <c r="C14" i="1"/>
  <c r="D108" i="1"/>
  <c r="I43" i="1"/>
  <c r="J43" i="1" s="1"/>
  <c r="K43" i="1" s="1"/>
  <c r="L43" i="1" s="1"/>
  <c r="K35" i="1"/>
  <c r="K89" i="1" s="1"/>
  <c r="J75" i="1"/>
  <c r="D84" i="1"/>
  <c r="D46" i="1"/>
  <c r="K17" i="1"/>
  <c r="C192" i="1"/>
  <c r="K114" i="1"/>
  <c r="L114" i="1" s="1"/>
  <c r="E197" i="1"/>
  <c r="E194" i="1"/>
  <c r="I142" i="1"/>
  <c r="I92" i="1" s="1"/>
  <c r="J117" i="1"/>
  <c r="J141" i="1" s="1"/>
  <c r="J142" i="1" s="1"/>
  <c r="J92" i="1" s="1"/>
  <c r="J20" i="1"/>
  <c r="J21" i="1"/>
  <c r="K140" i="1"/>
  <c r="K97" i="1"/>
  <c r="L97" i="1"/>
  <c r="L118" i="1"/>
  <c r="K180" i="1"/>
  <c r="K182" i="1" s="1"/>
  <c r="L70" i="1"/>
  <c r="L99" i="1" s="1"/>
  <c r="J47" i="1"/>
  <c r="J170" i="1"/>
  <c r="J155" i="1"/>
  <c r="J190" i="1"/>
  <c r="J109" i="1"/>
  <c r="J212" i="1"/>
  <c r="J85" i="1"/>
  <c r="K15" i="1"/>
  <c r="L181" i="1"/>
  <c r="J46" i="1"/>
  <c r="J211" i="1"/>
  <c r="J169" i="1"/>
  <c r="J154" i="1"/>
  <c r="J189" i="1"/>
  <c r="J84" i="1"/>
  <c r="J108" i="1"/>
  <c r="K14" i="1"/>
  <c r="L69" i="1"/>
  <c r="I113" i="1" l="1"/>
  <c r="J110" i="1" s="1"/>
  <c r="L101" i="1"/>
  <c r="L199" i="1" s="1"/>
  <c r="C108" i="1"/>
  <c r="C169" i="1"/>
  <c r="C154" i="1"/>
  <c r="I119" i="1"/>
  <c r="I33" i="1" s="1"/>
  <c r="I88" i="1" s="1"/>
  <c r="B134" i="1"/>
  <c r="J131" i="1"/>
  <c r="J137" i="1" s="1"/>
  <c r="J112" i="1" s="1"/>
  <c r="C84" i="1"/>
  <c r="C189" i="1"/>
  <c r="C46" i="1"/>
  <c r="L35" i="1"/>
  <c r="L89" i="1" s="1"/>
  <c r="K200" i="1"/>
  <c r="K21" i="1"/>
  <c r="K19" i="1"/>
  <c r="K75" i="1"/>
  <c r="K117" i="1"/>
  <c r="K141" i="1" s="1"/>
  <c r="K142" i="1" s="1"/>
  <c r="K92" i="1" s="1"/>
  <c r="K20" i="1"/>
  <c r="L17" i="1"/>
  <c r="C194" i="1"/>
  <c r="C197" i="1"/>
  <c r="L180" i="1"/>
  <c r="L182" i="1" s="1"/>
  <c r="K46" i="1"/>
  <c r="K211" i="1"/>
  <c r="K169" i="1"/>
  <c r="K154" i="1"/>
  <c r="K189" i="1"/>
  <c r="K84" i="1"/>
  <c r="K108" i="1"/>
  <c r="L14" i="1"/>
  <c r="G197" i="1"/>
  <c r="G194" i="1"/>
  <c r="F194" i="1"/>
  <c r="F197" i="1"/>
  <c r="L140" i="1"/>
  <c r="K170" i="1"/>
  <c r="K155" i="1"/>
  <c r="K190" i="1"/>
  <c r="K109" i="1"/>
  <c r="K212" i="1"/>
  <c r="K85" i="1"/>
  <c r="K47" i="1"/>
  <c r="L15" i="1"/>
  <c r="I56" i="1" l="1"/>
  <c r="I58" i="1" s="1"/>
  <c r="J113" i="1"/>
  <c r="J119" i="1"/>
  <c r="J33" i="1" s="1"/>
  <c r="J88" i="1" s="1"/>
  <c r="B135" i="1"/>
  <c r="K131" i="1"/>
  <c r="K137" i="1" s="1"/>
  <c r="K112" i="1" s="1"/>
  <c r="L75" i="1"/>
  <c r="L200" i="1"/>
  <c r="L117" i="1"/>
  <c r="L141" i="1" s="1"/>
  <c r="L142" i="1" s="1"/>
  <c r="L92" i="1" s="1"/>
  <c r="L19" i="1"/>
  <c r="L21" i="1"/>
  <c r="L20" i="1"/>
  <c r="L190" i="1"/>
  <c r="L109" i="1"/>
  <c r="L212" i="1"/>
  <c r="L85" i="1"/>
  <c r="L155" i="1"/>
  <c r="L47" i="1"/>
  <c r="L170" i="1"/>
  <c r="L211" i="1"/>
  <c r="L169" i="1"/>
  <c r="L154" i="1"/>
  <c r="L189" i="1"/>
  <c r="L84" i="1"/>
  <c r="L108" i="1"/>
  <c r="L46" i="1"/>
  <c r="K110" i="1" l="1"/>
  <c r="K113" i="1" s="1"/>
  <c r="J56" i="1"/>
  <c r="J58" i="1" s="1"/>
  <c r="K119" i="1"/>
  <c r="K33" i="1" s="1"/>
  <c r="K88" i="1" s="1"/>
  <c r="B136" i="1"/>
  <c r="L131" i="1"/>
  <c r="L137" i="1" s="1"/>
  <c r="L112" i="1" s="1"/>
  <c r="L110" i="1" l="1"/>
  <c r="L113" i="1" s="1"/>
  <c r="L56" i="1" s="1"/>
  <c r="L58" i="1" s="1"/>
  <c r="K56" i="1"/>
  <c r="K58" i="1" s="1"/>
  <c r="L119" i="1"/>
  <c r="L33" i="1"/>
  <c r="L88" i="1" s="1"/>
  <c r="H18" i="1" l="1"/>
  <c r="H23" i="1"/>
  <c r="H34" i="1" s="1"/>
  <c r="H36" i="1" s="1"/>
  <c r="H61" i="1" l="1"/>
  <c r="H51" i="1"/>
  <c r="I18" i="1"/>
  <c r="J18" i="1"/>
  <c r="K18" i="1"/>
  <c r="L18" i="1"/>
  <c r="I23" i="1"/>
  <c r="I34" i="1" s="1"/>
  <c r="I36" i="1" s="1"/>
  <c r="J23" i="1"/>
  <c r="J34" i="1" s="1"/>
  <c r="J36" i="1" s="1"/>
  <c r="K23" i="1"/>
  <c r="K34" i="1" s="1"/>
  <c r="K36" i="1" s="1"/>
  <c r="L23" i="1"/>
  <c r="L34" i="1" s="1"/>
  <c r="L36" i="1" s="1"/>
  <c r="I51" i="1" l="1"/>
  <c r="I90" i="1" s="1"/>
  <c r="H90" i="1"/>
  <c r="I61" i="1"/>
  <c r="H27" i="1"/>
  <c r="H28" i="1" s="1"/>
  <c r="H29" i="1" s="1"/>
  <c r="H31" i="1" s="1"/>
  <c r="I27" i="1"/>
  <c r="I28" i="1" s="1"/>
  <c r="J27" i="1"/>
  <c r="J28" i="1" s="1"/>
  <c r="J29" i="1" s="1"/>
  <c r="J31" i="1" s="1"/>
  <c r="K27" i="1"/>
  <c r="K28" i="1" s="1"/>
  <c r="K29" i="1" s="1"/>
  <c r="K31" i="1" s="1"/>
  <c r="L27" i="1"/>
  <c r="J147" i="1" l="1"/>
  <c r="J192" i="1"/>
  <c r="H147" i="1"/>
  <c r="H192" i="1"/>
  <c r="K147" i="1"/>
  <c r="K192" i="1"/>
  <c r="J61" i="1"/>
  <c r="J51" i="1"/>
  <c r="J90" i="1" s="1"/>
  <c r="I29" i="1"/>
  <c r="I31" i="1" s="1"/>
  <c r="I192" i="1" s="1"/>
  <c r="L28" i="1"/>
  <c r="L29" i="1" s="1"/>
  <c r="L31" i="1" s="1"/>
  <c r="K87" i="1"/>
  <c r="H87" i="1"/>
  <c r="J87" i="1"/>
  <c r="L147" i="1" l="1"/>
  <c r="L192" i="1"/>
  <c r="I87" i="1"/>
  <c r="I147" i="1"/>
  <c r="K51" i="1"/>
  <c r="K90" i="1" s="1"/>
  <c r="J202" i="1"/>
  <c r="K61" i="1"/>
  <c r="L202" i="1"/>
  <c r="L87" i="1"/>
  <c r="K202" i="1"/>
  <c r="H194" i="1"/>
  <c r="H197" i="1"/>
  <c r="H148" i="1"/>
  <c r="H102" i="1" l="1"/>
  <c r="H151" i="1"/>
  <c r="I202" i="1"/>
  <c r="I201" i="1" s="1"/>
  <c r="J201" i="1" s="1"/>
  <c r="L61" i="1"/>
  <c r="L51" i="1"/>
  <c r="L90" i="1" s="1"/>
  <c r="I148" i="1"/>
  <c r="H150" i="1"/>
  <c r="H76" i="1" s="1"/>
  <c r="I193" i="1"/>
  <c r="I205" i="1" l="1"/>
  <c r="I206" i="1" s="1"/>
  <c r="I207" i="1" s="1"/>
  <c r="I102" i="1"/>
  <c r="I151" i="1"/>
  <c r="J193" i="1"/>
  <c r="I196" i="1"/>
  <c r="I197" i="1" s="1"/>
  <c r="I194" i="1"/>
  <c r="K201" i="1"/>
  <c r="J205" i="1"/>
  <c r="I146" i="1"/>
  <c r="I150" i="1" s="1"/>
  <c r="I76" i="1" s="1"/>
  <c r="H78" i="1"/>
  <c r="J148" i="1"/>
  <c r="J204" i="1" l="1"/>
  <c r="J102" i="1"/>
  <c r="J151" i="1"/>
  <c r="K205" i="1"/>
  <c r="L201" i="1"/>
  <c r="L205" i="1" s="1"/>
  <c r="I78" i="1"/>
  <c r="J146" i="1"/>
  <c r="J150" i="1" s="1"/>
  <c r="J76" i="1" s="1"/>
  <c r="I186" i="1"/>
  <c r="H53" i="1"/>
  <c r="H186" i="1"/>
  <c r="I156" i="1"/>
  <c r="J206" i="1"/>
  <c r="K148" i="1"/>
  <c r="K193" i="1"/>
  <c r="J196" i="1"/>
  <c r="J197" i="1" s="1"/>
  <c r="J194" i="1"/>
  <c r="K102" i="1" l="1"/>
  <c r="K151" i="1"/>
  <c r="J78" i="1"/>
  <c r="K146" i="1"/>
  <c r="K150" i="1" s="1"/>
  <c r="K76" i="1" s="1"/>
  <c r="K204" i="1"/>
  <c r="K206" i="1" s="1"/>
  <c r="J207" i="1"/>
  <c r="L193" i="1"/>
  <c r="K196" i="1"/>
  <c r="K197" i="1" s="1"/>
  <c r="K194" i="1"/>
  <c r="J156" i="1"/>
  <c r="J186" i="1"/>
  <c r="I53" i="1"/>
  <c r="L148" i="1"/>
  <c r="L102" i="1" l="1"/>
  <c r="L151" i="1"/>
  <c r="K156" i="1"/>
  <c r="K186" i="1"/>
  <c r="J53" i="1"/>
  <c r="K207" i="1"/>
  <c r="L204" i="1"/>
  <c r="L206" i="1" s="1"/>
  <c r="L207" i="1" s="1"/>
  <c r="K78" i="1"/>
  <c r="L146" i="1"/>
  <c r="L150" i="1" s="1"/>
  <c r="L196" i="1"/>
  <c r="L197" i="1" s="1"/>
  <c r="L194" i="1"/>
  <c r="L76" i="1" l="1"/>
  <c r="L78" i="1" s="1"/>
  <c r="L156" i="1"/>
  <c r="L186" i="1"/>
  <c r="K53" i="1"/>
  <c r="L53" i="1"/>
  <c r="H64" i="1"/>
  <c r="I64" i="1"/>
  <c r="J64" i="1"/>
  <c r="K64" i="1"/>
  <c r="L64" i="1"/>
  <c r="H66" i="1"/>
  <c r="I66" i="1"/>
  <c r="J66" i="1"/>
  <c r="K66" i="1"/>
  <c r="L66" i="1"/>
  <c r="H72" i="1"/>
  <c r="I72" i="1"/>
  <c r="J72" i="1"/>
  <c r="K72" i="1"/>
  <c r="L72" i="1"/>
  <c r="H79" i="1"/>
  <c r="I79" i="1"/>
  <c r="J79" i="1"/>
  <c r="K79" i="1"/>
  <c r="L79" i="1"/>
  <c r="H81" i="1"/>
  <c r="I81" i="1"/>
  <c r="J81" i="1"/>
  <c r="K81" i="1"/>
  <c r="L81" i="1"/>
  <c r="H91" i="1"/>
  <c r="I91" i="1"/>
  <c r="J91" i="1"/>
  <c r="K91" i="1"/>
  <c r="L91" i="1"/>
  <c r="H94" i="1"/>
  <c r="I94" i="1"/>
  <c r="J94" i="1"/>
  <c r="K94" i="1"/>
  <c r="L94" i="1"/>
  <c r="H100" i="1"/>
  <c r="I100" i="1"/>
  <c r="J100" i="1"/>
  <c r="K100" i="1"/>
  <c r="L100" i="1"/>
  <c r="H103" i="1"/>
  <c r="I103" i="1"/>
  <c r="J103" i="1"/>
  <c r="K103" i="1"/>
  <c r="L103" i="1"/>
  <c r="H105" i="1"/>
  <c r="I105" i="1"/>
  <c r="J105" i="1"/>
  <c r="K105" i="1"/>
  <c r="L105" i="1"/>
  <c r="H158" i="1"/>
  <c r="I158" i="1"/>
  <c r="J158" i="1"/>
  <c r="K158" i="1"/>
  <c r="L158" i="1"/>
  <c r="H159" i="1"/>
  <c r="I159" i="1"/>
  <c r="J159" i="1"/>
  <c r="K159" i="1"/>
  <c r="L159" i="1"/>
  <c r="I162" i="1"/>
  <c r="J162" i="1"/>
  <c r="K162" i="1"/>
  <c r="L162" i="1"/>
  <c r="H163" i="1"/>
  <c r="I163" i="1"/>
  <c r="J163" i="1"/>
  <c r="K163" i="1"/>
  <c r="L163" i="1"/>
  <c r="H165" i="1"/>
  <c r="I165" i="1"/>
  <c r="J165" i="1"/>
  <c r="K165" i="1"/>
  <c r="L165" i="1"/>
  <c r="H166" i="1"/>
  <c r="I166" i="1"/>
  <c r="J166" i="1"/>
  <c r="K166" i="1"/>
  <c r="L166" i="1"/>
  <c r="H172" i="1"/>
  <c r="I172" i="1"/>
  <c r="J172" i="1"/>
  <c r="K172" i="1"/>
  <c r="L172" i="1"/>
  <c r="H176" i="1"/>
  <c r="I176" i="1"/>
  <c r="J176" i="1"/>
  <c r="K176" i="1"/>
  <c r="L176" i="1"/>
  <c r="H177" i="1"/>
  <c r="I177" i="1"/>
  <c r="J177" i="1"/>
  <c r="K177" i="1"/>
  <c r="L1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C11" authorId="0" shapeId="0" xr:uid="{92A8FC04-9DFE-49F0-A84D-E3826251B345}">
      <text>
        <r>
          <rPr>
            <sz val="9"/>
            <color indexed="81"/>
            <rFont val="Tahoma"/>
            <family val="2"/>
          </rPr>
          <t>Front cover of Apple 2019 10K
As of October 18, 2019</t>
        </r>
      </text>
    </comment>
    <comment ref="H111" authorId="0" shapeId="0" xr:uid="{A7A4E5A0-DEBB-47FE-853C-C9891F9CA5DD}">
      <text>
        <r>
          <rPr>
            <b/>
            <sz val="9"/>
            <color indexed="81"/>
            <rFont val="Tahoma"/>
            <family val="2"/>
          </rPr>
          <t>Matan Feldman:</t>
        </r>
        <r>
          <rPr>
            <sz val="9"/>
            <color indexed="81"/>
            <rFont val="Tahoma"/>
            <family val="2"/>
          </rPr>
          <t xml:space="preserve">
consensus per 1/2/19 source CIQ</t>
        </r>
      </text>
    </comment>
    <comment ref="I111" authorId="0" shapeId="0" xr:uid="{8DA1EB81-A25C-432C-A165-D0798334EDA9}">
      <text>
        <r>
          <rPr>
            <b/>
            <sz val="9"/>
            <color indexed="81"/>
            <rFont val="Tahoma"/>
            <family val="2"/>
          </rPr>
          <t>Matan Feldman:</t>
        </r>
        <r>
          <rPr>
            <sz val="9"/>
            <color indexed="81"/>
            <rFont val="Tahoma"/>
            <family val="2"/>
          </rPr>
          <t xml:space="preserve">
consensus per 1/2/19 source CIQ</t>
        </r>
      </text>
    </comment>
    <comment ref="N114" authorId="0" shapeId="0" xr:uid="{F80D27B3-0757-48C5-876D-A215901D71B7}">
      <text>
        <r>
          <rPr>
            <sz val="9"/>
            <color indexed="81"/>
            <rFont val="Tahoma"/>
            <family val="2"/>
          </rPr>
          <t>WSP estimate</t>
        </r>
      </text>
    </comment>
    <comment ref="B129" authorId="0" shapeId="0" xr:uid="{7800DB90-7B5E-43A0-8BAC-A58D603F77CC}">
      <text>
        <r>
          <rPr>
            <b/>
            <sz val="9"/>
            <color indexed="81"/>
            <rFont val="Tahoma"/>
            <family val="2"/>
          </rPr>
          <t>Matan Feldman:</t>
        </r>
        <r>
          <rPr>
            <sz val="9"/>
            <color indexed="81"/>
            <rFont val="Tahoma"/>
            <family val="2"/>
          </rPr>
          <t xml:space="preserve">
For smoothing</t>
        </r>
      </text>
    </comment>
    <comment ref="D132" authorId="0" shapeId="0" xr:uid="{F5300015-84CD-4BFC-B8A7-AF4F423FBC80}">
      <text>
        <r>
          <rPr>
            <b/>
            <sz val="9"/>
            <color indexed="81"/>
            <rFont val="Tahoma"/>
            <family val="2"/>
          </rPr>
          <t>Matan Feldman:</t>
        </r>
        <r>
          <rPr>
            <sz val="9"/>
            <color indexed="81"/>
            <rFont val="Tahoma"/>
            <family val="2"/>
          </rPr>
          <t xml:space="preserve">
1 = Assumes full year depreciation from current period capex
0.5 = Assumes half year depreciation from current year capex</t>
        </r>
      </text>
    </comment>
    <comment ref="B148" authorId="0" shapeId="0" xr:uid="{EEF26A45-B0F9-4EC6-ADB1-A1654DA5A0A1}">
      <text>
        <r>
          <rPr>
            <sz val="9"/>
            <color indexed="81"/>
            <rFont val="Tahoma"/>
            <family val="2"/>
          </rPr>
          <t>Statement of shareholders equity schedule, p.41 Apple 2018 10K</t>
        </r>
      </text>
    </comment>
    <comment ref="B149" authorId="0" shapeId="0" xr:uid="{F1FD452A-D9CE-47D7-AFCD-C205A60CFA67}">
      <text>
        <r>
          <rPr>
            <sz val="9"/>
            <color indexed="81"/>
            <rFont val="Tahoma"/>
            <family val="2"/>
          </rPr>
          <t>Statement of shareholders equity schedule, p.41 Apple 2018 10K</t>
        </r>
      </text>
    </comment>
    <comment ref="B181" authorId="0" shapeId="0" xr:uid="{21B32C6F-FA28-471E-9B67-BBC3A068DB42}">
      <text>
        <r>
          <rPr>
            <sz val="9"/>
            <color indexed="81"/>
            <rFont val="Tahoma"/>
            <family val="2"/>
          </rPr>
          <t xml:space="preserve">We estimate the historical interest rate (though not explicitly disclosed by Apple). </t>
        </r>
      </text>
    </comment>
    <comment ref="B182" authorId="0" shapeId="0" xr:uid="{0D7E007C-C612-4DAB-8FC7-99B76EBF4B81}">
      <text>
        <r>
          <rPr>
            <sz val="9"/>
            <color indexed="81"/>
            <rFont val="Tahoma"/>
            <family val="2"/>
          </rPr>
          <t>Although Apple doesn't disclose interest expense specifically, it does disclose the interest rate on commercial paper which enables us to back into interest expense for LTD</t>
        </r>
      </text>
    </comment>
    <comment ref="C185" authorId="0" shapeId="0" xr:uid="{7D214156-E3FC-432E-B61F-93DEC61D1693}">
      <text>
        <r>
          <rPr>
            <sz val="9"/>
            <color indexed="81"/>
            <rFont val="Tahoma"/>
            <family val="2"/>
          </rPr>
          <t>2018 p.27 in the 'Other Income/(Expense), Net' section.</t>
        </r>
      </text>
    </comment>
    <comment ref="E185" authorId="0" shapeId="0" xr:uid="{F62A6BC5-AB69-452D-930D-5DEDC9FE4B9D}">
      <text>
        <r>
          <rPr>
            <sz val="9"/>
            <color indexed="81"/>
            <rFont val="Tahoma"/>
            <family val="2"/>
          </rPr>
          <t>2018 p.27 in the 'Other Income/(Expense), Net' section.</t>
        </r>
      </text>
    </comment>
    <comment ref="F185" authorId="0" shapeId="0" xr:uid="{E55AAA0C-E901-4AF4-934B-27DF1F8BAC9B}">
      <text>
        <r>
          <rPr>
            <b/>
            <sz val="9"/>
            <color indexed="81"/>
            <rFont val="Tahoma"/>
            <family val="2"/>
          </rPr>
          <t>Matan Feldman:</t>
        </r>
        <r>
          <rPr>
            <sz val="9"/>
            <color indexed="81"/>
            <rFont val="Tahoma"/>
            <family val="2"/>
          </rPr>
          <t xml:space="preserve">
2019 10k p.22</t>
        </r>
      </text>
    </comment>
    <comment ref="G185" authorId="0" shapeId="0" xr:uid="{3DF87AEE-F475-44DF-ACCB-5AF1DD0B4007}">
      <text>
        <r>
          <rPr>
            <b/>
            <sz val="9"/>
            <color indexed="81"/>
            <rFont val="Tahoma"/>
            <family val="2"/>
          </rPr>
          <t>Matan Feldman:</t>
        </r>
        <r>
          <rPr>
            <sz val="9"/>
            <color indexed="81"/>
            <rFont val="Tahoma"/>
            <family val="2"/>
          </rPr>
          <t xml:space="preserve">
2019 10k p.22</t>
        </r>
      </text>
    </comment>
    <comment ref="B196" authorId="0" shapeId="0" xr:uid="{878B2145-BAF9-4E95-98BA-4A5BC98AEFB0}">
      <text>
        <r>
          <rPr>
            <sz val="9"/>
            <color indexed="81"/>
            <rFont val="Tahoma"/>
            <family val="2"/>
          </rPr>
          <t>We straight line last actual year's dilutive securities (calculated as diluted - basic shares) and add this number to the basic share count to arrive at diluted shares</t>
        </r>
      </text>
    </comment>
    <comment ref="B200" authorId="0" shapeId="0" xr:uid="{EA48BDEF-7F66-4994-97F1-13DC4D7C4129}">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H201" authorId="0" shapeId="0" xr:uid="{25AF81E0-BAD5-4BFF-8588-2D0159018F42}">
      <text>
        <r>
          <rPr>
            <sz val="9"/>
            <color indexed="81"/>
            <rFont val="Tahoma"/>
            <family val="2"/>
          </rPr>
          <t xml:space="preserve">Use latest share count or last 12 month average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C11" authorId="0" shapeId="0" xr:uid="{4C087516-8A32-4404-87B8-937125E09042}">
      <text>
        <r>
          <rPr>
            <sz val="9"/>
            <color indexed="81"/>
            <rFont val="Tahoma"/>
            <family val="2"/>
          </rPr>
          <t xml:space="preserve"> Digital Content and Services, AppleCare, Apple Pay, licensing and other services. </t>
        </r>
      </text>
    </comment>
    <comment ref="C12" authorId="0" shapeId="0" xr:uid="{A1858D63-E50C-44D0-B39E-8D5E1F63CF17}">
      <text>
        <r>
          <rPr>
            <sz val="9"/>
            <color indexed="81"/>
            <rFont val="Tahoma"/>
            <family val="2"/>
          </rPr>
          <t xml:space="preserve"> AirPods, Apple TV, Apple Watch, Beats products, HomePod, iPod touch and other Apple-branded and third-party accessories.</t>
        </r>
      </text>
    </comment>
    <comment ref="C40" authorId="0" shapeId="0" xr:uid="{641A7A90-561A-415E-A100-200EBA5C9B6A}">
      <text>
        <r>
          <rPr>
            <sz val="9"/>
            <color indexed="81"/>
            <rFont val="Tahoma"/>
            <family val="2"/>
          </rPr>
          <t xml:space="preserve"> Digital Content and Services, AppleCare, Apple Pay, licensing and other services. </t>
        </r>
      </text>
    </comment>
    <comment ref="C41" authorId="0" shapeId="0" xr:uid="{75CFD916-5BD3-4794-8431-52C231D515CB}">
      <text>
        <r>
          <rPr>
            <sz val="9"/>
            <color indexed="81"/>
            <rFont val="Tahoma"/>
            <family val="2"/>
          </rPr>
          <t xml:space="preserve"> AirPods, Apple TV, Apple Watch, Beats products, HomePod, iPod touch and other Apple-branded and third-party accessories.</t>
        </r>
      </text>
    </comment>
  </commentList>
</comments>
</file>

<file path=xl/sharedStrings.xml><?xml version="1.0" encoding="utf-8"?>
<sst xmlns="http://schemas.openxmlformats.org/spreadsheetml/2006/main" count="338" uniqueCount="246">
  <si>
    <t>$ in thousands except per share</t>
  </si>
  <si>
    <t>Company name</t>
  </si>
  <si>
    <t>Select an operating scenario:</t>
  </si>
  <si>
    <t>Base case</t>
  </si>
  <si>
    <t>Ticker</t>
  </si>
  <si>
    <t>Circ break 1=off, 0=on</t>
  </si>
  <si>
    <t>Latest closing share price</t>
  </si>
  <si>
    <t>Latest closing share price date</t>
  </si>
  <si>
    <t>Latest fiscal year end date</t>
  </si>
  <si>
    <t>Shares outstanding (millions)</t>
  </si>
  <si>
    <t>INCOME STATEMENT</t>
  </si>
  <si>
    <t xml:space="preserve">Fiscal year  </t>
  </si>
  <si>
    <t>Fiscal year end date</t>
  </si>
  <si>
    <t>Revenue</t>
  </si>
  <si>
    <t>Previous year's revenues x (1+revenue growth rate)</t>
  </si>
  <si>
    <t>Cost of sales (enter as -)</t>
  </si>
  <si>
    <t>Plug = Revenue - Gross Profit</t>
  </si>
  <si>
    <t>Gross Profit</t>
  </si>
  <si>
    <t>Revenue x Gross Profit Margin forecast</t>
  </si>
  <si>
    <t>Revenue x R&amp;D % of sales forecast</t>
  </si>
  <si>
    <t>Revenue x SG&amp;A % of sales forecast</t>
  </si>
  <si>
    <t>Operating profit (EBIT)</t>
  </si>
  <si>
    <t>Interest income</t>
  </si>
  <si>
    <t>Reference from interest on cash schedule</t>
  </si>
  <si>
    <t>Reference from interest expense schedule</t>
  </si>
  <si>
    <t>Straight-line</t>
  </si>
  <si>
    <t>Pretax profit</t>
  </si>
  <si>
    <t>EBIT + interest income less interest expense less other expense</t>
  </si>
  <si>
    <t>Pre-tax Profit x Tax Rate forecast</t>
  </si>
  <si>
    <t>Net income</t>
  </si>
  <si>
    <t>Pre-tax Profit less taxes</t>
  </si>
  <si>
    <t>Depreciation &amp; amortization</t>
  </si>
  <si>
    <t>Reference from D&amp;A schedule</t>
  </si>
  <si>
    <t>EBITDA</t>
  </si>
  <si>
    <t>EBIT + D&amp;A</t>
  </si>
  <si>
    <t>Stock based compensation</t>
  </si>
  <si>
    <t>WSP assumption: grow SBC in-line with revenue growth</t>
  </si>
  <si>
    <t>Adjusted EBITDA</t>
  </si>
  <si>
    <t>EBITDA + Stock-based compensation</t>
  </si>
  <si>
    <t>Revenue growth</t>
  </si>
  <si>
    <t>Gross profit margin</t>
  </si>
  <si>
    <t>Straight line last historical year</t>
  </si>
  <si>
    <t>R&amp;D % of sales</t>
  </si>
  <si>
    <t>SG&amp;A % of sales</t>
  </si>
  <si>
    <t>Tax rate</t>
  </si>
  <si>
    <t>BALANCE SHEET</t>
  </si>
  <si>
    <t>Inventories</t>
  </si>
  <si>
    <t>Reference from PP&amp;E schedule</t>
  </si>
  <si>
    <t>Other non current assets</t>
  </si>
  <si>
    <t>Total assets</t>
  </si>
  <si>
    <t>Other non current liabilities</t>
  </si>
  <si>
    <t>Increase by stock-based compensation forecasted in the I/S section</t>
  </si>
  <si>
    <t>Reference from Retained Earnings schedule</t>
  </si>
  <si>
    <t>Balance check</t>
  </si>
  <si>
    <t>CASH FLOW STATEMENT</t>
  </si>
  <si>
    <t>Depreciation and amortization</t>
  </si>
  <si>
    <t>Reference from the I/S</t>
  </si>
  <si>
    <t>Decreases / (Increases) in working capital assets</t>
  </si>
  <si>
    <t>Increases / (Decreases) in working capital liabilities</t>
  </si>
  <si>
    <t>Reference from schedule NOT the B/S: Only include 'Additions' (as outflow)</t>
  </si>
  <si>
    <t>Cash from operating activities</t>
  </si>
  <si>
    <t>Capital expenditures</t>
  </si>
  <si>
    <t>Long term debt</t>
  </si>
  <si>
    <t>Commercial paper/ Revolver</t>
  </si>
  <si>
    <t>Reference from B/S</t>
  </si>
  <si>
    <t>Share repurchases</t>
  </si>
  <si>
    <t>Common dividends</t>
  </si>
  <si>
    <t>Cash from financing activities</t>
  </si>
  <si>
    <t>Net change in cash during period</t>
  </si>
  <si>
    <t>PROPERTY, PLANT &amp; EQUIPMENT</t>
  </si>
  <si>
    <t>Beginning of period</t>
  </si>
  <si>
    <t xml:space="preserve">BOP = Previous year EOP </t>
  </si>
  <si>
    <t>Plus: Capital expenditures</t>
  </si>
  <si>
    <t>Less: Depreciation</t>
  </si>
  <si>
    <t>End of period</t>
  </si>
  <si>
    <t>BOP + Capex - Depreciation</t>
  </si>
  <si>
    <t>Step</t>
  </si>
  <si>
    <t>D&amp;A related to PP&amp;E as a % of capex</t>
  </si>
  <si>
    <r>
      <t xml:space="preserve">D&amp;A </t>
    </r>
    <r>
      <rPr>
        <u/>
        <sz val="11"/>
        <color theme="1"/>
        <rFont val="Aptos Narrow"/>
        <family val="2"/>
        <scheme val="minor"/>
      </rPr>
      <t>not</t>
    </r>
    <r>
      <rPr>
        <sz val="11"/>
        <color theme="1"/>
        <rFont val="Aptos Narrow"/>
        <family val="2"/>
        <scheme val="minor"/>
      </rPr>
      <t xml:space="preserve"> related to PP&amp;E</t>
    </r>
  </si>
  <si>
    <t>Revenue x 'as % of revenue' assumption</t>
  </si>
  <si>
    <t>as % of revenue</t>
  </si>
  <si>
    <t>Straight line last historical % of revenue - WSP assumption</t>
  </si>
  <si>
    <t xml:space="preserve">Depreciation &amp; Amortization - Total </t>
  </si>
  <si>
    <t>D&amp;A from PP&amp;E + D&amp;A not from PP&amp;E</t>
  </si>
  <si>
    <t>OTHER NON-CURRENT ASSETS</t>
  </si>
  <si>
    <t>Less: Amortization of intangible assets</t>
  </si>
  <si>
    <t xml:space="preserve">Assume all D&amp;A not from PP&amp;E is in non-current assets </t>
  </si>
  <si>
    <t xml:space="preserve">Plus: Additions </t>
  </si>
  <si>
    <t>Because we already know the EOP balance, this is a plug: EOP - D&amp;A not from PP&amp;E - BOP</t>
  </si>
  <si>
    <t>Referenced from balance sheet</t>
  </si>
  <si>
    <t>RETAINED EARNINGS</t>
  </si>
  <si>
    <t>Plus: Net income</t>
  </si>
  <si>
    <t>Reference from income statement</t>
  </si>
  <si>
    <t>Less: Dividends</t>
  </si>
  <si>
    <t>Less: Repurchases</t>
  </si>
  <si>
    <t>WSP assumption: Straight-line last historical year repurchases</t>
  </si>
  <si>
    <t>BOP + net income - dividends - repurchases</t>
  </si>
  <si>
    <t>REVOLVER (MODEL PLUG)</t>
  </si>
  <si>
    <t>Cash at beginning of period (BOP)</t>
  </si>
  <si>
    <t>Reference prior period EOP from B/S</t>
  </si>
  <si>
    <t>Less: Minimum cash balance</t>
  </si>
  <si>
    <t>WSP assumption</t>
  </si>
  <si>
    <t>Plus: Free cash flows generated during period</t>
  </si>
  <si>
    <r>
      <t xml:space="preserve">CFO + CFI + CFF </t>
    </r>
    <r>
      <rPr>
        <u/>
        <sz val="11"/>
        <color theme="1"/>
        <rFont val="Aptos Narrow"/>
        <family val="2"/>
        <scheme val="minor"/>
      </rPr>
      <t>except revolver</t>
    </r>
  </si>
  <si>
    <t>Equals: Cash available (needed) to pay down (draw from) revolver</t>
  </si>
  <si>
    <t>Commercial paper / Revolver</t>
  </si>
  <si>
    <t>Draw / (paydown)</t>
  </si>
  <si>
    <t xml:space="preserve">Cash (paydown) / additional borrowing from revolver. Paydown not to exceed BOP balance. </t>
  </si>
  <si>
    <t>Discretionary borrowing / (paydown)</t>
  </si>
  <si>
    <t>Debt balance:</t>
  </si>
  <si>
    <t>INTEREST EXPENSE AND INTEREST INCOME</t>
  </si>
  <si>
    <t>Total interest expense (from I/S)</t>
  </si>
  <si>
    <t>Interest expense from revolver/CP + interest expense from long term debt</t>
  </si>
  <si>
    <t>Commercial Paper / Revolver</t>
  </si>
  <si>
    <t>Weighted average interest rate</t>
  </si>
  <si>
    <t>WSP assumption: Straight-line</t>
  </si>
  <si>
    <t>End of period balance (from B/S)</t>
  </si>
  <si>
    <t>Reference from revolver / CP schedule above</t>
  </si>
  <si>
    <t>Interest expense</t>
  </si>
  <si>
    <t>Interest rate x average of BOP &amp; EOP revolver balances (circularity)</t>
  </si>
  <si>
    <t xml:space="preserve">Interest expense </t>
  </si>
  <si>
    <t>Interest rate x average of BOP &amp; EOP LTD balances</t>
  </si>
  <si>
    <t>Interest rate on cash</t>
  </si>
  <si>
    <t>Weighted average interest rate on cash</t>
  </si>
  <si>
    <t>Interest rate x average of BOP &amp; EOP cash balances (circularity)</t>
  </si>
  <si>
    <t>EARNINGS PER SHARE</t>
  </si>
  <si>
    <t>Reference from I/S</t>
  </si>
  <si>
    <t xml:space="preserve">Basic shares </t>
  </si>
  <si>
    <t>Last period basic shares + ($ shares issued - $ shares repurchased)/Current period average share price OR reference average Basic shares from schedule below</t>
  </si>
  <si>
    <t>Basic EPS</t>
  </si>
  <si>
    <t>Net income / Basic shares</t>
  </si>
  <si>
    <t>Diluted Shares</t>
  </si>
  <si>
    <t>Basic shares + Dilutive securities</t>
  </si>
  <si>
    <t>Diluted EPS</t>
  </si>
  <si>
    <t>Net income/Diluted Shares</t>
  </si>
  <si>
    <t>$ amount of shares repurchased</t>
  </si>
  <si>
    <t>Reference from RE schedule - treasury repurchases (flip sign)</t>
  </si>
  <si>
    <t>$ amount of new shares issued</t>
  </si>
  <si>
    <t xml:space="preserve">Reference SBC from I/S </t>
  </si>
  <si>
    <t>Average share price</t>
  </si>
  <si>
    <t>Last period share price x (1+growth rate)</t>
  </si>
  <si>
    <t>Share price increase</t>
  </si>
  <si>
    <t>WSP assumption OR grow with net income growth rate (calculated below)</t>
  </si>
  <si>
    <t>Optional analysis for calculating weighted average basic shares</t>
  </si>
  <si>
    <t>Basic Shares - BOP</t>
  </si>
  <si>
    <t>Reference from latest share count &gt;</t>
  </si>
  <si>
    <t xml:space="preserve">Link to prior year Basic shares - EOP </t>
  </si>
  <si>
    <t>Net change in basic shares</t>
  </si>
  <si>
    <t xml:space="preserve"> ($ shares issued - $ shares repurchased)/Current period average share price</t>
  </si>
  <si>
    <t>Basic shares - EOP</t>
  </si>
  <si>
    <t>Basic Shares - BOP + Net change in basic shares</t>
  </si>
  <si>
    <t>Basic shares - average</t>
  </si>
  <si>
    <t>Average(Basic Shares BOP,Basic Shares EOP)</t>
  </si>
  <si>
    <t>SCENARIO ANALYSIS</t>
  </si>
  <si>
    <t>Active case:</t>
  </si>
  <si>
    <t xml:space="preserve">Variance from </t>
  </si>
  <si>
    <t>base case</t>
  </si>
  <si>
    <t>Best case</t>
  </si>
  <si>
    <t>NM</t>
  </si>
  <si>
    <t>Weak case</t>
  </si>
  <si>
    <t>Price / volume build</t>
  </si>
  <si>
    <t>Revenue by product</t>
  </si>
  <si>
    <t>Core products</t>
  </si>
  <si>
    <t>iPhone</t>
  </si>
  <si>
    <t>iPad</t>
  </si>
  <si>
    <t>Mac</t>
  </si>
  <si>
    <t>Services</t>
  </si>
  <si>
    <t>CG estimates through 2020; WSP thereafter based on growth rate assumption</t>
  </si>
  <si>
    <t>Other products</t>
  </si>
  <si>
    <t>Total revenue</t>
  </si>
  <si>
    <t>% growth</t>
  </si>
  <si>
    <t>Units</t>
  </si>
  <si>
    <t>CG estimates through 2020; Straight line therafter</t>
  </si>
  <si>
    <t>Average selling price</t>
  </si>
  <si>
    <t>Units % growth</t>
  </si>
  <si>
    <t>Average selling price % growth</t>
  </si>
  <si>
    <t>Revenue growth rate by product</t>
  </si>
  <si>
    <t>CG estimates through 2020; Straight line growth rate thereafter</t>
  </si>
  <si>
    <t>"iPhone ASP will be primary driver as Apple continues to
increase hardware prices."</t>
  </si>
  <si>
    <t>Jeffries research note January 30, 2019</t>
  </si>
  <si>
    <t>Research and development</t>
  </si>
  <si>
    <t>Selling, general and administrative</t>
  </si>
  <si>
    <t>Other Expenses</t>
  </si>
  <si>
    <t>Interest and dividend income</t>
  </si>
  <si>
    <t>Investment and other income (expense), net</t>
  </si>
  <si>
    <t>Income tax expense</t>
  </si>
  <si>
    <t>Discontinued operations, net of income taxes</t>
  </si>
  <si>
    <t>Income from continuing operations</t>
  </si>
  <si>
    <t>Current Assets</t>
  </si>
  <si>
    <t>Accounts receivable, net</t>
  </si>
  <si>
    <t>Total current assets</t>
  </si>
  <si>
    <t>Long-Term Assets</t>
  </si>
  <si>
    <t>Property, plant and equipment, net</t>
  </si>
  <si>
    <t>Other Current Assets</t>
  </si>
  <si>
    <t>Other Long-Term Assets</t>
  </si>
  <si>
    <t>Current Liabilities</t>
  </si>
  <si>
    <t>Trade accounts payable</t>
  </si>
  <si>
    <t>Payroll and other benefits related liabilities</t>
  </si>
  <si>
    <t>Unearned revenues</t>
  </si>
  <si>
    <t>Short-term debt</t>
  </si>
  <si>
    <t>Total current liabilities</t>
  </si>
  <si>
    <t>Long-Term Liabilities</t>
  </si>
  <si>
    <t>Long-term debt</t>
  </si>
  <si>
    <t>Total Liabilities</t>
  </si>
  <si>
    <t>Stockholders’ equity (deficit):</t>
  </si>
  <si>
    <t xml:space="preserve">Common stock </t>
  </si>
  <si>
    <t>Retained earnings</t>
  </si>
  <si>
    <t>Accumulated other comprehensive income</t>
  </si>
  <si>
    <t>Total stockholders' equity</t>
  </si>
  <si>
    <t>Total liabilities and stockholders' equity</t>
  </si>
  <si>
    <t>Other Long-Term Liabilities</t>
  </si>
  <si>
    <t>Other Current Liabilities</t>
  </si>
  <si>
    <t>Drivers</t>
  </si>
  <si>
    <t>Average based on 5-Year Historical</t>
  </si>
  <si>
    <t xml:space="preserve">Growth in Line With Revenue </t>
  </si>
  <si>
    <t>Comments</t>
  </si>
  <si>
    <t>Assuming 5-Year Average</t>
  </si>
  <si>
    <t>Consensus estimates through 2025; straight-line growth rate thereafter</t>
  </si>
  <si>
    <t>Qualcomm</t>
  </si>
  <si>
    <t>QCOM</t>
  </si>
  <si>
    <t>Cash and cash equivalents, Marketable Securities</t>
  </si>
  <si>
    <t>Growth In-Line With Revenue</t>
  </si>
  <si>
    <t>Growth In-Line With Cost of Sales</t>
  </si>
  <si>
    <t>Assuming Straight-Line</t>
  </si>
  <si>
    <t>Growth In-Line with SG&amp;A % of sales</t>
  </si>
  <si>
    <t>Growth In-Line with Cost of Sales</t>
  </si>
  <si>
    <t>X</t>
  </si>
  <si>
    <t>x</t>
  </si>
  <si>
    <t>TOTAL DEPRECIATION &amp; AMORTIZATION</t>
  </si>
  <si>
    <t>From depreciation waterfall</t>
  </si>
  <si>
    <t>Depreciation waterfall</t>
  </si>
  <si>
    <t>Gross PP&amp;E</t>
  </si>
  <si>
    <t>Non-depreciable PP&amp;E (i.e. land)</t>
  </si>
  <si>
    <t>Accumulated depreciation</t>
  </si>
  <si>
    <t>Net PP&amp;E (excl. land)</t>
  </si>
  <si>
    <t>Average useful life</t>
  </si>
  <si>
    <t>Override - If necessary for smoothing</t>
  </si>
  <si>
    <t>Depreciation from existing PP&amp;E</t>
  </si>
  <si>
    <t>Midyear adj.</t>
  </si>
  <si>
    <t>Total depreciation</t>
  </si>
  <si>
    <t>Existing PP&amp;E:</t>
  </si>
  <si>
    <t>UBS Estimate until 2026, Growth with revenue thereafter</t>
  </si>
  <si>
    <t xml:space="preserve"> Hold last historical year's dividend payout ratio constant</t>
  </si>
  <si>
    <t>Dividend payout ratio</t>
  </si>
  <si>
    <t>Assumption that DPR will staight the same</t>
  </si>
  <si>
    <t>Assumption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</si>
</sst>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6" formatCode="&quot;$&quot;#,##0_);[Red]\(&quot;$&quot;#,##0\)"/>
    <numFmt numFmtId="7" formatCode="&quot;$&quot;#,##0.00_);\(&quot;$&quot;#,##0.00\)"/>
    <numFmt numFmtId="8" formatCode="&quot;$&quot;#,##0.00_);[Red]\(&quot;$&quot;#,##0.00\)"/>
    <numFmt numFmtId="43" formatCode="_(* #,##0.00_);_(* \(#,##0.00\);_(* &quot;-&quot;??_);_(@_)"/>
    <numFmt numFmtId="164" formatCode="_(#,##0_)_%;\(#,##0\)_%;_(&quot;–&quot;_)_%;_(@_)_%"/>
    <numFmt numFmtId="165" formatCode="m/d/yy;@"/>
    <numFmt numFmtId="166" formatCode="#,##0.000_);\(#,##0.000\)"/>
    <numFmt numFmtId="167" formatCode="0\A;[Red]0\A"/>
    <numFmt numFmtId="168" formatCode="0\P_);\(0\P\)"/>
    <numFmt numFmtId="169" formatCode="0.0%"/>
    <numFmt numFmtId="170" formatCode="0.0%_);\(0.0%\);@_)"/>
    <numFmt numFmtId="171" formatCode="_(#,##0.0%_);\(#,##0.0%\);_(&quot;–&quot;_)_%;_(@_)_%"/>
    <numFmt numFmtId="172" formatCode="0.00%_);\(0.00%\);@_)"/>
    <numFmt numFmtId="173" formatCode="_(#,##0.00%_);\(#,##0.00%\);_(&quot;–&quot;_)_%;_(@_)_%"/>
    <numFmt numFmtId="174" formatCode="0%_);\(0%\);@_)"/>
    <numFmt numFmtId="175" formatCode="#,##0.0_);\(#,##0.0\)"/>
    <numFmt numFmtId="176" formatCode="#,##0.0_);\(#,##0.0\);@_)"/>
  </numFmts>
  <fonts count="34"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i/>
      <sz val="11"/>
      <color rgb="FF000000"/>
      <name val="Aptos Narrow"/>
      <family val="2"/>
      <scheme val="minor"/>
    </font>
    <font>
      <sz val="11"/>
      <color rgb="FF000000"/>
      <name val="Aptos Narrow"/>
      <family val="2"/>
      <scheme val="minor"/>
    </font>
    <font>
      <sz val="11"/>
      <color rgb="FF0000FF"/>
      <name val="Aptos Narrow"/>
      <family val="2"/>
      <scheme val="minor"/>
    </font>
    <font>
      <i/>
      <sz val="11"/>
      <color theme="1"/>
      <name val="Aptos Narrow"/>
      <family val="2"/>
      <scheme val="minor"/>
    </font>
    <font>
      <i/>
      <sz val="11"/>
      <color rgb="FF0000FF"/>
      <name val="Aptos Narrow"/>
      <family val="2"/>
      <scheme val="minor"/>
    </font>
    <font>
      <b/>
      <sz val="11"/>
      <color rgb="FF000000"/>
      <name val="Aptos Narrow"/>
      <family val="2"/>
      <scheme val="minor"/>
    </font>
    <font>
      <u/>
      <sz val="11"/>
      <color theme="1"/>
      <name val="Aptos Narrow"/>
      <family val="2"/>
      <scheme val="minor"/>
    </font>
    <font>
      <sz val="9"/>
      <color rgb="FF008000"/>
      <name val="Aptos Narrow"/>
      <family val="2"/>
      <scheme val="minor"/>
    </font>
    <font>
      <sz val="8"/>
      <color rgb="FFFF0000"/>
      <name val="Aptos Narrow"/>
      <family val="2"/>
      <scheme val="minor"/>
    </font>
    <font>
      <sz val="11"/>
      <color rgb="FF000000"/>
      <name val="Times New Roman"/>
      <family val="1"/>
    </font>
    <font>
      <b/>
      <u/>
      <sz val="11"/>
      <color theme="1"/>
      <name val="Aptos Narrow"/>
      <family val="2"/>
      <scheme val="minor"/>
    </font>
    <font>
      <sz val="11"/>
      <name val="Aptos Narrow"/>
      <family val="2"/>
      <scheme val="minor"/>
    </font>
    <font>
      <b/>
      <sz val="9"/>
      <color theme="1"/>
      <name val="Aptos Narrow"/>
      <family val="2"/>
      <scheme val="minor"/>
    </font>
    <font>
      <sz val="9"/>
      <color indexed="81"/>
      <name val="Tahoma"/>
      <family val="2"/>
    </font>
    <font>
      <b/>
      <sz val="9"/>
      <color indexed="81"/>
      <name val="Tahoma"/>
      <family val="2"/>
    </font>
    <font>
      <b/>
      <sz val="11"/>
      <color rgb="FF008000"/>
      <name val="Aptos Narrow"/>
      <family val="2"/>
      <scheme val="minor"/>
    </font>
    <font>
      <u/>
      <sz val="11"/>
      <color rgb="FF000000"/>
      <name val="Aptos Narrow"/>
      <family val="2"/>
      <scheme val="minor"/>
    </font>
    <font>
      <sz val="11"/>
      <color rgb="FF0000FF"/>
      <name val="Calibri"/>
      <family val="2"/>
    </font>
    <font>
      <b/>
      <sz val="11"/>
      <name val="Aptos Narrow"/>
      <family val="2"/>
      <scheme val="minor"/>
    </font>
    <font>
      <b/>
      <sz val="11"/>
      <name val="Calibri"/>
      <family val="2"/>
    </font>
    <font>
      <sz val="11"/>
      <name val="Calibri"/>
      <family val="2"/>
    </font>
    <font>
      <sz val="11"/>
      <color rgb="FF0000CC"/>
      <name val="Calibri"/>
      <family val="2"/>
    </font>
    <font>
      <sz val="11"/>
      <color rgb="FF0000E1"/>
      <name val="Calibri"/>
      <family val="2"/>
    </font>
    <font>
      <sz val="11"/>
      <color rgb="FF0000CC"/>
      <name val="Aptos Narrow"/>
      <family val="2"/>
      <scheme val="minor"/>
    </font>
    <font>
      <b/>
      <sz val="12"/>
      <color theme="1"/>
      <name val="Aptos Narrow"/>
      <family val="2"/>
      <scheme val="minor"/>
    </font>
    <font>
      <b/>
      <sz val="11"/>
      <color rgb="FF0000CC"/>
      <name val="Calibri"/>
      <family val="2"/>
    </font>
    <font>
      <sz val="10"/>
      <color rgb="FF0000FF"/>
      <name val="Arial"/>
      <family val="2"/>
    </font>
    <font>
      <b/>
      <sz val="12"/>
      <name val="Aptos Narrow"/>
      <family val="2"/>
      <scheme val="minor"/>
    </font>
    <font>
      <i/>
      <sz val="11"/>
      <color theme="0"/>
      <name val="Aptos Narrow"/>
      <family val="2"/>
      <scheme val="minor"/>
    </font>
  </fonts>
  <fills count="10">
    <fill>
      <patternFill patternType="none"/>
    </fill>
    <fill>
      <patternFill patternType="gray125"/>
    </fill>
    <fill>
      <patternFill patternType="solid">
        <fgColor rgb="FFFCE5CD"/>
        <bgColor indexed="64"/>
      </patternFill>
    </fill>
    <fill>
      <patternFill patternType="solid">
        <fgColor rgb="FFC9DAF8"/>
        <bgColor indexed="64"/>
      </patternFill>
    </fill>
    <fill>
      <patternFill patternType="solid">
        <fgColor theme="3" tint="0.749992370372631"/>
        <bgColor indexed="64"/>
      </patternFill>
    </fill>
    <fill>
      <patternFill patternType="solid">
        <fgColor rgb="FF002060"/>
        <bgColor indexed="64"/>
      </patternFill>
    </fill>
    <fill>
      <patternFill patternType="solid">
        <fgColor theme="0" tint="-0.14999847407452621"/>
        <bgColor indexed="64"/>
      </patternFill>
    </fill>
    <fill>
      <patternFill patternType="mediumGray"/>
    </fill>
    <fill>
      <patternFill patternType="darkGray"/>
    </fill>
    <fill>
      <patternFill patternType="solid">
        <fgColor indexed="65"/>
        <bgColor indexed="64"/>
      </patternFill>
    </fill>
  </fills>
  <borders count="37">
    <border>
      <left/>
      <right/>
      <top/>
      <bottom/>
      <diagonal/>
    </border>
    <border>
      <left/>
      <right/>
      <top style="medium">
        <color rgb="FF000000"/>
      </top>
      <bottom style="medium">
        <color rgb="FF000000"/>
      </bottom>
      <diagonal/>
    </border>
    <border>
      <left/>
      <right/>
      <top style="medium">
        <color rgb="FF000000"/>
      </top>
      <bottom/>
      <diagonal/>
    </border>
    <border>
      <left style="hair">
        <color rgb="FF000000"/>
      </left>
      <right style="hair">
        <color rgb="FF000000"/>
      </right>
      <top style="hair">
        <color rgb="FF000000"/>
      </top>
      <bottom style="hair">
        <color rgb="FF000000"/>
      </bottom>
      <diagonal/>
    </border>
    <border>
      <left/>
      <right/>
      <top/>
      <bottom style="thin">
        <color rgb="FF000000"/>
      </bottom>
      <diagonal/>
    </border>
    <border>
      <left/>
      <right/>
      <top/>
      <bottom style="thin">
        <color auto="1"/>
      </bottom>
      <diagonal/>
    </border>
    <border>
      <left/>
      <right/>
      <top style="thin">
        <color rgb="FF000000"/>
      </top>
      <bottom/>
      <diagonal/>
    </border>
    <border>
      <left/>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top style="hair">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thin">
        <color rgb="FF000000"/>
      </top>
      <bottom style="hair">
        <color rgb="FF000000"/>
      </bottom>
      <diagonal/>
    </border>
    <border>
      <left style="hair">
        <color rgb="FF000000"/>
      </left>
      <right/>
      <top style="hair">
        <color rgb="FF000000"/>
      </top>
      <bottom/>
      <diagonal/>
    </border>
    <border>
      <left/>
      <right style="hair">
        <color rgb="FF000000"/>
      </right>
      <top style="hair">
        <color rgb="FF000000"/>
      </top>
      <bottom/>
      <diagonal/>
    </border>
    <border>
      <left/>
      <right style="hair">
        <color rgb="FF000000"/>
      </right>
      <top/>
      <bottom/>
      <diagonal/>
    </border>
    <border>
      <left/>
      <right style="hair">
        <color rgb="FF000000"/>
      </right>
      <top/>
      <bottom style="hair">
        <color rgb="FF000000"/>
      </bottom>
      <diagonal/>
    </border>
    <border>
      <left style="hair">
        <color rgb="FF000000"/>
      </left>
      <right/>
      <top/>
      <bottom/>
      <diagonal/>
    </border>
    <border>
      <left style="hair">
        <color rgb="FF000000"/>
      </left>
      <right/>
      <top/>
      <bottom style="hair">
        <color rgb="FF000000"/>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hair">
        <color rgb="FF000000"/>
      </bottom>
      <diagonal/>
    </border>
  </borders>
  <cellStyleXfs count="2">
    <xf numFmtId="0" fontId="0" fillId="0" borderId="0"/>
    <xf numFmtId="9" fontId="1" fillId="0" borderId="0" applyFont="0" applyFill="0" applyBorder="0" applyAlignment="0" applyProtection="0"/>
  </cellStyleXfs>
  <cellXfs count="266">
    <xf numFmtId="0" fontId="0" fillId="0" borderId="0" xfId="0"/>
    <xf numFmtId="0" fontId="3" fillId="0" borderId="1" xfId="0" applyFont="1" applyBorder="1"/>
    <xf numFmtId="0" fontId="0" fillId="0" borderId="1" xfId="0" applyBorder="1"/>
    <xf numFmtId="14" fontId="5" fillId="0" borderId="0" xfId="0" applyNumberFormat="1" applyFont="1" applyAlignment="1">
      <alignment horizontal="left"/>
    </xf>
    <xf numFmtId="0" fontId="0" fillId="0" borderId="2" xfId="0" applyBorder="1"/>
    <xf numFmtId="0" fontId="6" fillId="0" borderId="0" xfId="0" applyFont="1"/>
    <xf numFmtId="0" fontId="7" fillId="0" borderId="0" xfId="0" applyFont="1" applyAlignment="1">
      <alignment horizontal="center"/>
    </xf>
    <xf numFmtId="164" fontId="7" fillId="2" borderId="3" xfId="0" applyNumberFormat="1" applyFont="1" applyFill="1" applyBorder="1" applyAlignment="1">
      <alignment horizontal="center"/>
    </xf>
    <xf numFmtId="8" fontId="7" fillId="0" borderId="0" xfId="0" applyNumberFormat="1" applyFont="1" applyAlignment="1">
      <alignment horizontal="center"/>
    </xf>
    <xf numFmtId="14" fontId="7" fillId="0" borderId="0" xfId="0" applyNumberFormat="1" applyFont="1" applyAlignment="1">
      <alignment horizontal="center"/>
    </xf>
    <xf numFmtId="165" fontId="7" fillId="0" borderId="0" xfId="0" applyNumberFormat="1" applyFont="1" applyAlignment="1">
      <alignment horizontal="center"/>
    </xf>
    <xf numFmtId="166" fontId="7" fillId="0" borderId="0" xfId="0" applyNumberFormat="1" applyFont="1" applyAlignment="1">
      <alignment horizontal="center"/>
    </xf>
    <xf numFmtId="0" fontId="3" fillId="0" borderId="4" xfId="0" applyFont="1" applyBorder="1"/>
    <xf numFmtId="0" fontId="0" fillId="0" borderId="4" xfId="0" applyBorder="1"/>
    <xf numFmtId="0" fontId="3" fillId="0" borderId="5" xfId="0" applyFont="1" applyBorder="1"/>
    <xf numFmtId="0" fontId="0" fillId="0" borderId="5" xfId="0" applyBorder="1"/>
    <xf numFmtId="0" fontId="8" fillId="0" borderId="0" xfId="0" applyFont="1"/>
    <xf numFmtId="165" fontId="9" fillId="0" borderId="0" xfId="0" applyNumberFormat="1" applyFont="1"/>
    <xf numFmtId="165" fontId="8" fillId="0" borderId="0" xfId="0" applyNumberFormat="1" applyFont="1"/>
    <xf numFmtId="9" fontId="8" fillId="0" borderId="0" xfId="0" applyNumberFormat="1" applyFont="1"/>
    <xf numFmtId="169" fontId="8" fillId="0" borderId="0" xfId="0" applyNumberFormat="1" applyFont="1"/>
    <xf numFmtId="37" fontId="7" fillId="0" borderId="0" xfId="0" applyNumberFormat="1" applyFont="1"/>
    <xf numFmtId="37" fontId="6" fillId="0" borderId="0" xfId="0" applyNumberFormat="1" applyFont="1"/>
    <xf numFmtId="0" fontId="3" fillId="0" borderId="0" xfId="0" applyFont="1"/>
    <xf numFmtId="37" fontId="10" fillId="0" borderId="0" xfId="0" applyNumberFormat="1" applyFont="1"/>
    <xf numFmtId="0" fontId="0" fillId="0" borderId="0" xfId="0" quotePrefix="1"/>
    <xf numFmtId="37" fontId="0" fillId="0" borderId="0" xfId="0" applyNumberFormat="1"/>
    <xf numFmtId="0" fontId="0" fillId="0" borderId="0" xfId="0" applyAlignment="1">
      <alignment horizontal="left" indent="1"/>
    </xf>
    <xf numFmtId="0" fontId="0" fillId="0" borderId="0" xfId="0" applyAlignment="1">
      <alignment horizontal="left"/>
    </xf>
    <xf numFmtId="4" fontId="0" fillId="0" borderId="0" xfId="0" applyNumberFormat="1"/>
    <xf numFmtId="0" fontId="11" fillId="0" borderId="0" xfId="0" applyFont="1"/>
    <xf numFmtId="170" fontId="6" fillId="0" borderId="0" xfId="0" applyNumberFormat="1" applyFont="1"/>
    <xf numFmtId="170" fontId="7" fillId="0" borderId="0" xfId="0" applyNumberFormat="1" applyFont="1"/>
    <xf numFmtId="167" fontId="10" fillId="0" borderId="0" xfId="0" applyNumberFormat="1" applyFont="1"/>
    <xf numFmtId="168" fontId="10" fillId="0" borderId="0" xfId="0" applyNumberFormat="1" applyFont="1"/>
    <xf numFmtId="165" fontId="5" fillId="0" borderId="4" xfId="0" applyNumberFormat="1" applyFont="1" applyBorder="1"/>
    <xf numFmtId="37" fontId="3" fillId="0" borderId="0" xfId="0" applyNumberFormat="1" applyFont="1"/>
    <xf numFmtId="37" fontId="8" fillId="0" borderId="0" xfId="0" applyNumberFormat="1" applyFont="1"/>
    <xf numFmtId="3" fontId="0" fillId="0" borderId="0" xfId="0" applyNumberFormat="1"/>
    <xf numFmtId="0" fontId="0" fillId="0" borderId="0" xfId="0" quotePrefix="1" applyAlignment="1">
      <alignment horizontal="left" indent="1"/>
    </xf>
    <xf numFmtId="37" fontId="7" fillId="0" borderId="7" xfId="0" applyNumberFormat="1" applyFont="1" applyBorder="1"/>
    <xf numFmtId="37" fontId="0" fillId="0" borderId="7" xfId="0" applyNumberFormat="1" applyBorder="1"/>
    <xf numFmtId="0" fontId="3" fillId="0" borderId="0" xfId="0" applyFont="1" applyAlignment="1">
      <alignment horizontal="left" indent="1"/>
    </xf>
    <xf numFmtId="170" fontId="0" fillId="0" borderId="0" xfId="0" applyNumberFormat="1"/>
    <xf numFmtId="171" fontId="7" fillId="0" borderId="0" xfId="0" applyNumberFormat="1" applyFont="1"/>
    <xf numFmtId="164" fontId="0" fillId="0" borderId="0" xfId="0" applyNumberFormat="1"/>
    <xf numFmtId="171" fontId="0" fillId="0" borderId="0" xfId="0" applyNumberFormat="1"/>
    <xf numFmtId="37" fontId="6" fillId="0" borderId="6" xfId="0" applyNumberFormat="1" applyFont="1" applyBorder="1"/>
    <xf numFmtId="0" fontId="0" fillId="0" borderId="7" xfId="0" applyBorder="1" applyAlignment="1">
      <alignment horizontal="left" indent="1"/>
    </xf>
    <xf numFmtId="0" fontId="0" fillId="0" borderId="7" xfId="0" applyBorder="1"/>
    <xf numFmtId="37" fontId="6" fillId="0" borderId="7" xfId="0" applyNumberFormat="1" applyFont="1" applyBorder="1"/>
    <xf numFmtId="0" fontId="12" fillId="0" borderId="8" xfId="0" applyFont="1" applyBorder="1" applyAlignment="1">
      <alignment horizontal="left" indent="2"/>
    </xf>
    <xf numFmtId="0" fontId="12" fillId="0" borderId="9" xfId="0" applyFont="1" applyBorder="1" applyAlignment="1">
      <alignment horizontal="left" indent="2"/>
    </xf>
    <xf numFmtId="37" fontId="0" fillId="0" borderId="9" xfId="0" applyNumberFormat="1" applyBorder="1"/>
    <xf numFmtId="0" fontId="0" fillId="0" borderId="9" xfId="0" applyBorder="1"/>
    <xf numFmtId="37" fontId="13" fillId="0" borderId="9" xfId="0" applyNumberFormat="1" applyFont="1" applyBorder="1" applyAlignment="1">
      <alignment horizontal="right"/>
    </xf>
    <xf numFmtId="0" fontId="12" fillId="0" borderId="0" xfId="0" applyFont="1" applyAlignment="1">
      <alignment horizontal="center"/>
    </xf>
    <xf numFmtId="37" fontId="13" fillId="0" borderId="0" xfId="0" applyNumberFormat="1" applyFont="1" applyAlignment="1">
      <alignment horizontal="right"/>
    </xf>
    <xf numFmtId="3" fontId="14" fillId="0" borderId="0" xfId="0" applyNumberFormat="1" applyFont="1"/>
    <xf numFmtId="0" fontId="11" fillId="0" borderId="0" xfId="0" applyFont="1" applyAlignment="1">
      <alignment horizontal="left" indent="1"/>
    </xf>
    <xf numFmtId="0" fontId="15" fillId="0" borderId="0" xfId="0" applyFont="1" applyAlignment="1">
      <alignment horizontal="left"/>
    </xf>
    <xf numFmtId="172" fontId="7" fillId="0" borderId="0" xfId="0" applyNumberFormat="1" applyFont="1"/>
    <xf numFmtId="173" fontId="16" fillId="0" borderId="0" xfId="0" applyNumberFormat="1" applyFont="1"/>
    <xf numFmtId="0" fontId="0" fillId="0" borderId="0" xfId="0" applyAlignment="1">
      <alignment horizontal="left" indent="2"/>
    </xf>
    <xf numFmtId="171" fontId="16" fillId="0" borderId="0" xfId="0" applyNumberFormat="1" applyFont="1"/>
    <xf numFmtId="10" fontId="7" fillId="0" borderId="0" xfId="0" applyNumberFormat="1" applyFont="1"/>
    <xf numFmtId="173" fontId="6" fillId="0" borderId="0" xfId="0" applyNumberFormat="1" applyFont="1"/>
    <xf numFmtId="37" fontId="6" fillId="0" borderId="0" xfId="0" applyNumberFormat="1" applyFont="1" applyAlignment="1">
      <alignment horizontal="left" indent="1"/>
    </xf>
    <xf numFmtId="8" fontId="0" fillId="0" borderId="0" xfId="0" applyNumberFormat="1"/>
    <xf numFmtId="8" fontId="7" fillId="0" borderId="0" xfId="0" applyNumberFormat="1" applyFont="1"/>
    <xf numFmtId="9" fontId="6" fillId="0" borderId="0" xfId="0" applyNumberFormat="1" applyFont="1"/>
    <xf numFmtId="0" fontId="0" fillId="0" borderId="0" xfId="0" applyAlignment="1">
      <alignment horizontal="right"/>
    </xf>
    <xf numFmtId="37" fontId="3" fillId="0" borderId="11" xfId="0" applyNumberFormat="1" applyFont="1" applyBorder="1"/>
    <xf numFmtId="164" fontId="3" fillId="0" borderId="12" xfId="0" applyNumberFormat="1" applyFont="1" applyBorder="1"/>
    <xf numFmtId="0" fontId="17" fillId="0" borderId="13" xfId="0" applyFont="1" applyBorder="1" applyAlignment="1">
      <alignment horizontal="center"/>
    </xf>
    <xf numFmtId="0" fontId="17" fillId="0" borderId="14" xfId="0" applyFont="1" applyBorder="1" applyAlignment="1">
      <alignment horizontal="center"/>
    </xf>
    <xf numFmtId="170" fontId="0" fillId="0" borderId="15" xfId="0" applyNumberFormat="1" applyBorder="1" applyAlignment="1">
      <alignment horizontal="center"/>
    </xf>
    <xf numFmtId="0" fontId="0" fillId="0" borderId="15" xfId="0" applyBorder="1"/>
    <xf numFmtId="171" fontId="7" fillId="0" borderId="15" xfId="0" applyNumberFormat="1" applyFont="1" applyBorder="1" applyAlignment="1">
      <alignment horizontal="center"/>
    </xf>
    <xf numFmtId="0" fontId="0" fillId="0" borderId="15" xfId="0" applyBorder="1" applyAlignment="1">
      <alignment horizontal="center"/>
    </xf>
    <xf numFmtId="174" fontId="0" fillId="0" borderId="0" xfId="0" applyNumberFormat="1"/>
    <xf numFmtId="171" fontId="7" fillId="0" borderId="16" xfId="0" applyNumberFormat="1" applyFont="1" applyBorder="1" applyAlignment="1">
      <alignment horizontal="center"/>
    </xf>
    <xf numFmtId="0" fontId="20" fillId="0" borderId="4" xfId="0" applyFont="1" applyBorder="1"/>
    <xf numFmtId="165" fontId="5" fillId="0" borderId="0" xfId="0" applyNumberFormat="1" applyFont="1"/>
    <xf numFmtId="0" fontId="10" fillId="0" borderId="17" xfId="0" applyFont="1" applyBorder="1"/>
    <xf numFmtId="0" fontId="6" fillId="0" borderId="17" xfId="0" applyFont="1" applyBorder="1"/>
    <xf numFmtId="0" fontId="21" fillId="0" borderId="0" xfId="0" applyFont="1"/>
    <xf numFmtId="0" fontId="6" fillId="0" borderId="18" xfId="0" applyFont="1" applyBorder="1"/>
    <xf numFmtId="0" fontId="6" fillId="0" borderId="10" xfId="0" applyFont="1" applyBorder="1"/>
    <xf numFmtId="0" fontId="6" fillId="0" borderId="19" xfId="0" applyFont="1" applyBorder="1"/>
    <xf numFmtId="37" fontId="0" fillId="3" borderId="0" xfId="0" applyNumberFormat="1" applyFill="1"/>
    <xf numFmtId="6" fontId="0" fillId="0" borderId="0" xfId="0" applyNumberFormat="1"/>
    <xf numFmtId="3" fontId="7" fillId="0" borderId="0" xfId="0" applyNumberFormat="1" applyFont="1"/>
    <xf numFmtId="3" fontId="7" fillId="0" borderId="20" xfId="0" applyNumberFormat="1" applyFont="1" applyBorder="1"/>
    <xf numFmtId="37" fontId="6" fillId="0" borderId="20" xfId="0" applyNumberFormat="1" applyFont="1" applyBorder="1"/>
    <xf numFmtId="37" fontId="7" fillId="0" borderId="20" xfId="0" applyNumberFormat="1" applyFont="1" applyBorder="1"/>
    <xf numFmtId="3" fontId="10" fillId="0" borderId="0" xfId="0" applyNumberFormat="1" applyFont="1"/>
    <xf numFmtId="3" fontId="10" fillId="0" borderId="20" xfId="0" applyNumberFormat="1" applyFont="1" applyBorder="1"/>
    <xf numFmtId="170" fontId="0" fillId="0" borderId="20" xfId="0" applyNumberFormat="1" applyBorder="1"/>
    <xf numFmtId="0" fontId="3" fillId="0" borderId="7" xfId="0" applyFont="1" applyBorder="1"/>
    <xf numFmtId="0" fontId="0" fillId="0" borderId="21" xfId="0" applyBorder="1"/>
    <xf numFmtId="0" fontId="0" fillId="0" borderId="20" xfId="0" applyBorder="1"/>
    <xf numFmtId="175" fontId="0" fillId="3" borderId="0" xfId="0" applyNumberFormat="1" applyFill="1"/>
    <xf numFmtId="176" fontId="7" fillId="0" borderId="22" xfId="0" applyNumberFormat="1" applyFont="1" applyBorder="1"/>
    <xf numFmtId="176" fontId="7" fillId="0" borderId="0" xfId="0" applyNumberFormat="1" applyFont="1"/>
    <xf numFmtId="176" fontId="7" fillId="0" borderId="20" xfId="0" applyNumberFormat="1" applyFont="1" applyBorder="1"/>
    <xf numFmtId="176" fontId="6" fillId="0" borderId="0" xfId="0" applyNumberFormat="1" applyFont="1"/>
    <xf numFmtId="0" fontId="0" fillId="0" borderId="23" xfId="0" applyBorder="1"/>
    <xf numFmtId="170" fontId="6" fillId="0" borderId="22" xfId="0" applyNumberFormat="1" applyFont="1" applyBorder="1"/>
    <xf numFmtId="170" fontId="6" fillId="0" borderId="20" xfId="0" applyNumberFormat="1" applyFont="1" applyBorder="1"/>
    <xf numFmtId="0" fontId="0" fillId="0" borderId="22" xfId="0" applyBorder="1"/>
    <xf numFmtId="176" fontId="0" fillId="0" borderId="0" xfId="0" applyNumberFormat="1"/>
    <xf numFmtId="171" fontId="0" fillId="0" borderId="22" xfId="0" applyNumberFormat="1" applyBorder="1"/>
    <xf numFmtId="171" fontId="0" fillId="0" borderId="20" xfId="0" applyNumberFormat="1" applyBorder="1"/>
    <xf numFmtId="171" fontId="6" fillId="0" borderId="22" xfId="0" applyNumberFormat="1" applyFont="1" applyBorder="1"/>
    <xf numFmtId="171" fontId="6" fillId="0" borderId="0" xfId="0" applyNumberFormat="1" applyFont="1"/>
    <xf numFmtId="171" fontId="7" fillId="3" borderId="0" xfId="0" applyNumberFormat="1" applyFont="1" applyFill="1"/>
    <xf numFmtId="171" fontId="6" fillId="0" borderId="23" xfId="0" applyNumberFormat="1" applyFont="1" applyBorder="1"/>
    <xf numFmtId="171" fontId="6" fillId="0" borderId="7" xfId="0" applyNumberFormat="1" applyFont="1" applyBorder="1"/>
    <xf numFmtId="164" fontId="3" fillId="0" borderId="0" xfId="0" applyNumberFormat="1" applyFont="1" applyBorder="1"/>
    <xf numFmtId="0" fontId="3" fillId="0" borderId="24" xfId="0" applyFont="1" applyBorder="1"/>
    <xf numFmtId="37" fontId="10" fillId="0" borderId="24" xfId="0" applyNumberFormat="1" applyFont="1" applyBorder="1"/>
    <xf numFmtId="37" fontId="22" fillId="0" borderId="0" xfId="0" applyNumberFormat="1" applyFont="1" applyAlignment="1">
      <alignment horizontal="right" vertical="top"/>
    </xf>
    <xf numFmtId="37" fontId="6" fillId="4" borderId="0" xfId="0" applyNumberFormat="1" applyFont="1" applyFill="1"/>
    <xf numFmtId="37" fontId="23" fillId="0" borderId="24" xfId="0" applyNumberFormat="1" applyFont="1" applyBorder="1"/>
    <xf numFmtId="0" fontId="24" fillId="0" borderId="0" xfId="0" applyFont="1" applyAlignment="1">
      <alignment vertical="top" wrapText="1"/>
    </xf>
    <xf numFmtId="0" fontId="25" fillId="0" borderId="0" xfId="0" applyFont="1" applyAlignment="1">
      <alignment horizontal="left" vertical="top" wrapText="1" indent="1"/>
    </xf>
    <xf numFmtId="0" fontId="0" fillId="0" borderId="0" xfId="0" applyAlignment="1">
      <alignment wrapText="1"/>
    </xf>
    <xf numFmtId="37" fontId="26" fillId="0" borderId="0" xfId="0" applyNumberFormat="1" applyFont="1" applyAlignment="1">
      <alignment horizontal="right" vertical="top" wrapText="1"/>
    </xf>
    <xf numFmtId="37" fontId="27" fillId="0" borderId="0" xfId="0" applyNumberFormat="1" applyFont="1" applyAlignment="1">
      <alignment wrapText="1"/>
    </xf>
    <xf numFmtId="0" fontId="24" fillId="0" borderId="24" xfId="0" applyFont="1" applyBorder="1" applyAlignment="1">
      <alignment vertical="top" wrapText="1"/>
    </xf>
    <xf numFmtId="37" fontId="3" fillId="0" borderId="24" xfId="0" applyNumberFormat="1" applyFont="1" applyBorder="1" applyAlignment="1">
      <alignment wrapText="1"/>
    </xf>
    <xf numFmtId="37" fontId="29" fillId="0" borderId="0" xfId="0" applyNumberFormat="1" applyFont="1" applyAlignment="1">
      <alignment wrapText="1"/>
    </xf>
    <xf numFmtId="37" fontId="3" fillId="0" borderId="0" xfId="0" applyNumberFormat="1" applyFont="1" applyAlignment="1">
      <alignment wrapText="1"/>
    </xf>
    <xf numFmtId="37" fontId="24" fillId="0" borderId="0" xfId="0" applyNumberFormat="1" applyFont="1" applyAlignment="1">
      <alignment horizontal="right" vertical="top" wrapText="1"/>
    </xf>
    <xf numFmtId="37" fontId="27" fillId="0" borderId="0" xfId="0" applyNumberFormat="1" applyFont="1" applyAlignment="1">
      <alignment horizontal="right" vertical="top" wrapText="1"/>
    </xf>
    <xf numFmtId="37" fontId="23" fillId="0" borderId="24" xfId="0" applyNumberFormat="1" applyFont="1" applyBorder="1" applyAlignment="1">
      <alignment wrapText="1"/>
    </xf>
    <xf numFmtId="0" fontId="24" fillId="0" borderId="0" xfId="0" applyFont="1" applyBorder="1" applyAlignment="1">
      <alignment vertical="top" wrapText="1"/>
    </xf>
    <xf numFmtId="37" fontId="23" fillId="0" borderId="0" xfId="0" applyNumberFormat="1" applyFont="1" applyBorder="1" applyAlignment="1">
      <alignment wrapText="1"/>
    </xf>
    <xf numFmtId="37" fontId="3" fillId="0" borderId="24" xfId="0" applyNumberFormat="1" applyFont="1" applyBorder="1"/>
    <xf numFmtId="37" fontId="30" fillId="0" borderId="0" xfId="0" applyNumberFormat="1" applyFont="1" applyAlignment="1">
      <alignment horizontal="right" vertical="top" wrapText="1"/>
    </xf>
    <xf numFmtId="0" fontId="25" fillId="0" borderId="0" xfId="0" applyFont="1" applyAlignment="1">
      <alignment horizontal="left" vertical="top" indent="1"/>
    </xf>
    <xf numFmtId="43" fontId="31" fillId="0" borderId="0" xfId="0" applyNumberFormat="1" applyFont="1" applyAlignment="1">
      <alignment vertical="top"/>
    </xf>
    <xf numFmtId="37" fontId="32" fillId="0" borderId="0" xfId="0" applyNumberFormat="1" applyFont="1" applyAlignment="1">
      <alignment wrapText="1"/>
    </xf>
    <xf numFmtId="37" fontId="23" fillId="0" borderId="0" xfId="0" applyNumberFormat="1" applyFont="1" applyAlignment="1">
      <alignment wrapText="1"/>
    </xf>
    <xf numFmtId="37" fontId="22" fillId="0" borderId="0" xfId="0" applyNumberFormat="1" applyFont="1" applyAlignment="1">
      <alignment wrapText="1"/>
    </xf>
    <xf numFmtId="37" fontId="22" fillId="0" borderId="0" xfId="0" applyNumberFormat="1" applyFont="1" applyAlignment="1">
      <alignment horizontal="right" vertical="top" wrapText="1"/>
    </xf>
    <xf numFmtId="37" fontId="3" fillId="0" borderId="0" xfId="0" applyNumberFormat="1" applyFont="1" applyBorder="1" applyAlignment="1">
      <alignment wrapText="1"/>
    </xf>
    <xf numFmtId="37" fontId="0" fillId="0" borderId="0" xfId="0" applyNumberFormat="1" applyAlignment="1">
      <alignment wrapText="1"/>
    </xf>
    <xf numFmtId="37" fontId="28" fillId="0" borderId="0" xfId="0" applyNumberFormat="1" applyFont="1" applyAlignment="1">
      <alignment wrapText="1"/>
    </xf>
    <xf numFmtId="37" fontId="27" fillId="0" borderId="0" xfId="0" applyNumberFormat="1" applyFont="1" applyAlignment="1">
      <alignment vertical="top" wrapText="1"/>
    </xf>
    <xf numFmtId="37" fontId="24" fillId="0" borderId="24" xfId="0" applyNumberFormat="1" applyFont="1" applyBorder="1" applyAlignment="1">
      <alignment wrapText="1"/>
    </xf>
    <xf numFmtId="0" fontId="25" fillId="0" borderId="0" xfId="0" applyFont="1" applyAlignment="1">
      <alignment vertical="top" wrapText="1"/>
    </xf>
    <xf numFmtId="37" fontId="25" fillId="0" borderId="0" xfId="0" applyNumberFormat="1" applyFont="1" applyAlignment="1">
      <alignment wrapText="1"/>
    </xf>
    <xf numFmtId="0" fontId="0" fillId="0" borderId="28" xfId="0" applyBorder="1" applyAlignment="1">
      <alignment horizontal="left" indent="1"/>
    </xf>
    <xf numFmtId="170" fontId="6" fillId="0" borderId="0" xfId="0" applyNumberFormat="1" applyFont="1" applyBorder="1"/>
    <xf numFmtId="170" fontId="6" fillId="0" borderId="29" xfId="0" applyNumberFormat="1" applyFont="1" applyBorder="1"/>
    <xf numFmtId="0" fontId="0" fillId="0" borderId="30" xfId="0" applyBorder="1" applyAlignment="1">
      <alignment horizontal="left" indent="1"/>
    </xf>
    <xf numFmtId="170" fontId="6" fillId="0" borderId="31" xfId="0" applyNumberFormat="1" applyFont="1" applyBorder="1"/>
    <xf numFmtId="0" fontId="2" fillId="5" borderId="26" xfId="0" applyFont="1" applyFill="1" applyBorder="1"/>
    <xf numFmtId="0" fontId="2" fillId="5" borderId="27" xfId="0" applyFont="1" applyFill="1" applyBorder="1"/>
    <xf numFmtId="0" fontId="2" fillId="5" borderId="25" xfId="0" applyFont="1" applyFill="1" applyBorder="1"/>
    <xf numFmtId="170" fontId="16" fillId="0" borderId="31" xfId="0" applyNumberFormat="1" applyFont="1" applyBorder="1"/>
    <xf numFmtId="170" fontId="16" fillId="0" borderId="32" xfId="0" applyNumberFormat="1" applyFont="1" applyBorder="1"/>
    <xf numFmtId="164" fontId="7" fillId="0" borderId="0" xfId="0" applyNumberFormat="1" applyFont="1" applyFill="1" applyBorder="1" applyAlignment="1">
      <alignment horizontal="center"/>
    </xf>
    <xf numFmtId="37" fontId="0" fillId="4" borderId="0" xfId="0" applyNumberFormat="1" applyFill="1"/>
    <xf numFmtId="169" fontId="7" fillId="0" borderId="0" xfId="1" applyNumberFormat="1" applyFont="1" applyBorder="1"/>
    <xf numFmtId="37" fontId="10" fillId="0" borderId="0" xfId="0" applyNumberFormat="1" applyFont="1" applyBorder="1"/>
    <xf numFmtId="37" fontId="7" fillId="0" borderId="0" xfId="0" applyNumberFormat="1" applyFont="1" applyBorder="1"/>
    <xf numFmtId="37" fontId="0" fillId="0" borderId="0" xfId="0" applyNumberFormat="1" applyBorder="1"/>
    <xf numFmtId="0" fontId="0" fillId="0" borderId="0" xfId="0" applyBorder="1"/>
    <xf numFmtId="0" fontId="2" fillId="5" borderId="0" xfId="0" applyFont="1" applyFill="1" applyBorder="1"/>
    <xf numFmtId="37" fontId="3" fillId="0" borderId="0" xfId="0" applyNumberFormat="1" applyFont="1" applyBorder="1"/>
    <xf numFmtId="37" fontId="6" fillId="0" borderId="0" xfId="0" applyNumberFormat="1" applyFont="1" applyBorder="1"/>
    <xf numFmtId="0" fontId="0" fillId="0" borderId="0" xfId="0" applyFill="1"/>
    <xf numFmtId="0" fontId="0" fillId="0" borderId="0" xfId="0" applyFill="1" applyBorder="1"/>
    <xf numFmtId="168" fontId="3" fillId="0" borderId="0" xfId="0" applyNumberFormat="1" applyFont="1" applyFill="1"/>
    <xf numFmtId="165" fontId="8" fillId="0" borderId="0" xfId="0" applyNumberFormat="1" applyFont="1" applyFill="1" applyBorder="1"/>
    <xf numFmtId="165" fontId="8" fillId="0" borderId="0" xfId="0" applyNumberFormat="1" applyFont="1" applyFill="1"/>
    <xf numFmtId="37" fontId="6" fillId="0" borderId="0" xfId="0" applyNumberFormat="1" applyFont="1" applyFill="1"/>
    <xf numFmtId="37" fontId="10" fillId="0" borderId="0" xfId="0" applyNumberFormat="1" applyFont="1" applyFill="1" applyBorder="1"/>
    <xf numFmtId="37" fontId="0" fillId="0" borderId="0" xfId="0" applyNumberFormat="1" applyFill="1"/>
    <xf numFmtId="37" fontId="23" fillId="0" borderId="0" xfId="0" applyNumberFormat="1" applyFont="1" applyFill="1" applyBorder="1"/>
    <xf numFmtId="37" fontId="10" fillId="0" borderId="0" xfId="0" applyNumberFormat="1" applyFont="1" applyFill="1"/>
    <xf numFmtId="0" fontId="2" fillId="0" borderId="0" xfId="0" applyFont="1" applyFill="1" applyBorder="1"/>
    <xf numFmtId="170" fontId="6" fillId="0" borderId="0" xfId="0" applyNumberFormat="1" applyFont="1" applyFill="1" applyBorder="1"/>
    <xf numFmtId="170" fontId="16" fillId="0" borderId="0" xfId="0" applyNumberFormat="1" applyFont="1" applyFill="1" applyBorder="1"/>
    <xf numFmtId="168" fontId="10" fillId="0" borderId="0" xfId="0" applyNumberFormat="1" applyFont="1" applyFill="1"/>
    <xf numFmtId="165" fontId="5" fillId="0" borderId="0" xfId="0" applyNumberFormat="1" applyFont="1" applyFill="1" applyBorder="1"/>
    <xf numFmtId="37" fontId="3" fillId="0" borderId="0" xfId="0" applyNumberFormat="1" applyFont="1" applyFill="1" applyBorder="1"/>
    <xf numFmtId="37" fontId="3" fillId="0" borderId="0" xfId="0" applyNumberFormat="1" applyFont="1" applyFill="1"/>
    <xf numFmtId="37" fontId="0" fillId="0" borderId="0" xfId="0" applyNumberFormat="1" applyFont="1" applyFill="1"/>
    <xf numFmtId="37" fontId="3" fillId="0" borderId="0" xfId="0" applyNumberFormat="1" applyFont="1" applyFill="1" applyBorder="1" applyAlignment="1">
      <alignment wrapText="1"/>
    </xf>
    <xf numFmtId="37" fontId="24" fillId="0" borderId="0" xfId="0" applyNumberFormat="1" applyFont="1" applyFill="1" applyBorder="1" applyAlignment="1">
      <alignment wrapText="1"/>
    </xf>
    <xf numFmtId="37" fontId="25" fillId="0" borderId="0" xfId="0" applyNumberFormat="1" applyFont="1" applyFill="1" applyAlignment="1">
      <alignment wrapText="1"/>
    </xf>
    <xf numFmtId="37" fontId="8" fillId="0" borderId="0" xfId="0" applyNumberFormat="1" applyFont="1" applyFill="1"/>
    <xf numFmtId="37" fontId="7" fillId="0" borderId="0" xfId="0" applyNumberFormat="1" applyFont="1" applyFill="1"/>
    <xf numFmtId="37" fontId="0" fillId="0" borderId="0" xfId="0" applyNumberFormat="1" applyFill="1" applyBorder="1"/>
    <xf numFmtId="170" fontId="6" fillId="0" borderId="0" xfId="0" applyNumberFormat="1" applyFont="1" applyFill="1"/>
    <xf numFmtId="37" fontId="6" fillId="0" borderId="0" xfId="0" applyNumberFormat="1" applyFont="1" applyFill="1" applyBorder="1"/>
    <xf numFmtId="37" fontId="7" fillId="0" borderId="0" xfId="0" applyNumberFormat="1" applyFont="1" applyFill="1" applyBorder="1"/>
    <xf numFmtId="37" fontId="13" fillId="0" borderId="0" xfId="0" applyNumberFormat="1" applyFont="1" applyFill="1" applyBorder="1" applyAlignment="1">
      <alignment horizontal="right"/>
    </xf>
    <xf numFmtId="37" fontId="13" fillId="0" borderId="0" xfId="0" applyNumberFormat="1" applyFont="1" applyFill="1" applyAlignment="1">
      <alignment horizontal="right"/>
    </xf>
    <xf numFmtId="9" fontId="7" fillId="0" borderId="0" xfId="0" applyNumberFormat="1" applyFont="1" applyFill="1" applyBorder="1"/>
    <xf numFmtId="173" fontId="16" fillId="0" borderId="0" xfId="0" applyNumberFormat="1" applyFont="1" applyFill="1"/>
    <xf numFmtId="171" fontId="16" fillId="0" borderId="0" xfId="0" applyNumberFormat="1" applyFont="1" applyFill="1"/>
    <xf numFmtId="173" fontId="6" fillId="0" borderId="0" xfId="0" applyNumberFormat="1" applyFont="1" applyFill="1"/>
    <xf numFmtId="0" fontId="3" fillId="0" borderId="0" xfId="0" applyFont="1" applyFill="1" applyBorder="1"/>
    <xf numFmtId="7" fontId="10" fillId="0" borderId="0" xfId="0" applyNumberFormat="1" applyFont="1" applyFill="1"/>
    <xf numFmtId="8" fontId="0" fillId="0" borderId="0" xfId="0" applyNumberFormat="1" applyFill="1"/>
    <xf numFmtId="9" fontId="6" fillId="0" borderId="0" xfId="0" applyNumberFormat="1" applyFont="1" applyFill="1"/>
    <xf numFmtId="170" fontId="0" fillId="0" borderId="0" xfId="0" applyNumberFormat="1" applyFill="1"/>
    <xf numFmtId="170" fontId="7" fillId="0" borderId="0" xfId="0" applyNumberFormat="1" applyFont="1" applyFill="1"/>
    <xf numFmtId="174" fontId="0" fillId="0" borderId="0" xfId="0" applyNumberFormat="1" applyFill="1"/>
    <xf numFmtId="0" fontId="4" fillId="5" borderId="4" xfId="0" applyFont="1" applyFill="1" applyBorder="1"/>
    <xf numFmtId="0" fontId="4" fillId="5" borderId="0" xfId="0" applyFont="1" applyFill="1"/>
    <xf numFmtId="0" fontId="4" fillId="5" borderId="0" xfId="0" applyFont="1" applyFill="1" applyBorder="1"/>
    <xf numFmtId="167" fontId="2" fillId="5" borderId="0" xfId="0" applyNumberFormat="1" applyFont="1" applyFill="1" applyBorder="1"/>
    <xf numFmtId="168" fontId="2" fillId="5" borderId="0" xfId="0" applyNumberFormat="1" applyFont="1" applyFill="1" applyBorder="1"/>
    <xf numFmtId="0" fontId="33" fillId="5" borderId="0" xfId="0" applyFont="1" applyFill="1" applyBorder="1"/>
    <xf numFmtId="165" fontId="33" fillId="5" borderId="0" xfId="0" applyNumberFormat="1" applyFont="1" applyFill="1" applyBorder="1"/>
    <xf numFmtId="0" fontId="3" fillId="0" borderId="33" xfId="0" applyFont="1" applyBorder="1"/>
    <xf numFmtId="37" fontId="3" fillId="0" borderId="34" xfId="0" applyNumberFormat="1" applyFont="1" applyBorder="1"/>
    <xf numFmtId="37" fontId="3" fillId="0" borderId="35" xfId="0" applyNumberFormat="1" applyFont="1" applyBorder="1"/>
    <xf numFmtId="14" fontId="33" fillId="5" borderId="0" xfId="0" applyNumberFormat="1" applyFont="1" applyFill="1" applyBorder="1"/>
    <xf numFmtId="0" fontId="0" fillId="6" borderId="0" xfId="0" applyFill="1" applyAlignment="1">
      <alignment horizontal="left"/>
    </xf>
    <xf numFmtId="170" fontId="0" fillId="6" borderId="0" xfId="0" applyNumberFormat="1" applyFill="1"/>
    <xf numFmtId="170" fontId="6" fillId="6" borderId="0" xfId="0" applyNumberFormat="1" applyFont="1" applyFill="1"/>
    <xf numFmtId="0" fontId="2" fillId="5" borderId="4" xfId="0" applyFont="1" applyFill="1" applyBorder="1" applyAlignment="1">
      <alignment horizontal="left"/>
    </xf>
    <xf numFmtId="170" fontId="4" fillId="5" borderId="4" xfId="0" applyNumberFormat="1" applyFont="1" applyFill="1" applyBorder="1"/>
    <xf numFmtId="0" fontId="3" fillId="0" borderId="24" xfId="0" applyFont="1" applyBorder="1" applyAlignment="1">
      <alignment horizontal="left"/>
    </xf>
    <xf numFmtId="0" fontId="0" fillId="0" borderId="0" xfId="0" quotePrefix="1" applyBorder="1" applyAlignment="1">
      <alignment horizontal="left" indent="1"/>
    </xf>
    <xf numFmtId="0" fontId="3" fillId="0" borderId="24" xfId="0" applyFont="1" applyBorder="1" applyAlignment="1">
      <alignment horizontal="left" indent="1"/>
    </xf>
    <xf numFmtId="37" fontId="2" fillId="5" borderId="4" xfId="0" applyNumberFormat="1" applyFont="1" applyFill="1" applyBorder="1"/>
    <xf numFmtId="37" fontId="4" fillId="5" borderId="0" xfId="0" applyNumberFormat="1" applyFont="1" applyFill="1"/>
    <xf numFmtId="0" fontId="3" fillId="0" borderId="0" xfId="0" applyFont="1" applyBorder="1" applyAlignment="1">
      <alignment horizontal="left"/>
    </xf>
    <xf numFmtId="37" fontId="2" fillId="5" borderId="0" xfId="0" applyNumberFormat="1" applyFont="1" applyFill="1" applyBorder="1"/>
    <xf numFmtId="170" fontId="4" fillId="5" borderId="0" xfId="0" applyNumberFormat="1" applyFont="1" applyFill="1" applyBorder="1"/>
    <xf numFmtId="39" fontId="7" fillId="3" borderId="0" xfId="0" applyNumberFormat="1" applyFont="1" applyFill="1" applyBorder="1"/>
    <xf numFmtId="170" fontId="0" fillId="0" borderId="0" xfId="0" applyNumberFormat="1" applyBorder="1"/>
    <xf numFmtId="0" fontId="11" fillId="0" borderId="0" xfId="0" applyFont="1" applyBorder="1" applyAlignment="1">
      <alignment horizontal="right"/>
    </xf>
    <xf numFmtId="0" fontId="7" fillId="3" borderId="0" xfId="0" applyFont="1" applyFill="1" applyBorder="1" applyAlignment="1">
      <alignment horizontal="center"/>
    </xf>
    <xf numFmtId="3" fontId="7" fillId="0" borderId="0" xfId="0" applyNumberFormat="1" applyFont="1" applyBorder="1"/>
    <xf numFmtId="0" fontId="0" fillId="0" borderId="0" xfId="0" applyBorder="1" applyAlignment="1">
      <alignment horizontal="left" indent="1"/>
    </xf>
    <xf numFmtId="0" fontId="0" fillId="0" borderId="0" xfId="0" applyBorder="1" applyAlignment="1">
      <alignment horizontal="left"/>
    </xf>
    <xf numFmtId="39" fontId="6" fillId="0" borderId="0" xfId="0" applyNumberFormat="1" applyFont="1" applyBorder="1"/>
    <xf numFmtId="0" fontId="3" fillId="6" borderId="24" xfId="0" applyFont="1" applyFill="1" applyBorder="1"/>
    <xf numFmtId="170" fontId="3" fillId="6" borderId="24" xfId="0" applyNumberFormat="1" applyFont="1" applyFill="1" applyBorder="1"/>
    <xf numFmtId="38" fontId="3" fillId="6" borderId="24" xfId="0" applyNumberFormat="1" applyFont="1" applyFill="1" applyBorder="1"/>
    <xf numFmtId="37" fontId="3" fillId="6" borderId="24" xfId="0" applyNumberFormat="1" applyFont="1" applyFill="1" applyBorder="1"/>
    <xf numFmtId="0" fontId="3" fillId="0" borderId="33" xfId="0" applyFont="1" applyBorder="1" applyAlignment="1">
      <alignment horizontal="left" indent="1"/>
    </xf>
    <xf numFmtId="3" fontId="10" fillId="0" borderId="34" xfId="0" applyNumberFormat="1" applyFont="1" applyBorder="1"/>
    <xf numFmtId="3" fontId="10" fillId="0" borderId="35" xfId="0" applyNumberFormat="1" applyFont="1" applyBorder="1"/>
    <xf numFmtId="37" fontId="2" fillId="5" borderId="4" xfId="0" applyNumberFormat="1" applyFont="1" applyFill="1" applyBorder="1" applyAlignment="1">
      <alignment horizontal="left"/>
    </xf>
    <xf numFmtId="0" fontId="0" fillId="7" borderId="0" xfId="0" applyFill="1" applyAlignment="1">
      <alignment horizontal="left"/>
    </xf>
    <xf numFmtId="0" fontId="0" fillId="7" borderId="0" xfId="0" applyFill="1" applyAlignment="1">
      <alignment horizontal="left" indent="1"/>
    </xf>
    <xf numFmtId="0" fontId="0" fillId="7" borderId="7" xfId="0" applyFill="1" applyBorder="1" applyAlignment="1">
      <alignment horizontal="left" indent="1"/>
    </xf>
    <xf numFmtId="37" fontId="0" fillId="8" borderId="0" xfId="0" applyNumberFormat="1" applyFill="1"/>
    <xf numFmtId="9" fontId="4" fillId="5" borderId="0" xfId="0" applyNumberFormat="1" applyFont="1" applyFill="1" applyBorder="1"/>
    <xf numFmtId="7" fontId="10" fillId="0" borderId="24" xfId="0" applyNumberFormat="1" applyFont="1" applyBorder="1"/>
    <xf numFmtId="0" fontId="10" fillId="0" borderId="24" xfId="0" applyFont="1" applyBorder="1" applyAlignment="1">
      <alignment horizontal="left" indent="1"/>
    </xf>
    <xf numFmtId="0" fontId="0" fillId="8" borderId="0" xfId="0" applyFill="1" applyAlignment="1">
      <alignment horizontal="left" indent="1"/>
    </xf>
    <xf numFmtId="0" fontId="0" fillId="8" borderId="0" xfId="0" applyFill="1" applyBorder="1" applyAlignment="1">
      <alignment horizontal="left" indent="1"/>
    </xf>
    <xf numFmtId="0" fontId="0" fillId="0" borderId="36" xfId="0" applyBorder="1" applyAlignment="1">
      <alignment horizontal="left" indent="1"/>
    </xf>
    <xf numFmtId="37" fontId="3" fillId="0" borderId="36" xfId="0" applyNumberFormat="1" applyFont="1" applyBorder="1"/>
    <xf numFmtId="37" fontId="0" fillId="9" borderId="0" xfId="0" applyNumberFormat="1" applyFill="1"/>
  </cellXfs>
  <cellStyles count="2">
    <cellStyle name="Normal" xfId="0" builtinId="0"/>
    <cellStyle name="Percent" xfId="1" builtinId="5"/>
  </cellStyles>
  <dxfs count="3">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Felix\Downloads\Copy%20of%20Financial%20Statement%20Model%20Online%20Walk%20Through.xlsx" TargetMode="External"/><Relationship Id="rId1" Type="http://schemas.openxmlformats.org/officeDocument/2006/relationships/externalLinkPath" Target="Copy%20of%20Financial%20Statement%20Model%20Online%20Walk%20Throug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SM Data Input_Empty"/>
      <sheetName val="FSM Data Input_Done"/>
      <sheetName val="FSM Forecasting_Empty"/>
      <sheetName val="FSM Forecasting_ProgressCheck1"/>
      <sheetName val="FSM Forecasting_ProgressCheck2"/>
      <sheetName val="FSM Forecasting_Empty II"/>
      <sheetName val="FSM Complete"/>
      <sheetName val="Find the errors"/>
      <sheetName val="Find the errors Complete"/>
      <sheetName val="Extras"/>
      <sheetName val="Extras Complete"/>
      <sheetName val="Rev Build Fill "/>
      <sheetName val="Rev Build Complete"/>
      <sheetName val="Rev Build"/>
      <sheetName val="FSM + Rev Scenarios"/>
      <sheetName val="FSM + Schedules Empty"/>
      <sheetName val="FSM + Schedules"/>
      <sheetName val="FSM 2019 Update Empty"/>
      <sheetName val="2019 FSM Update Complete"/>
    </sheetNames>
    <sheetDataSet>
      <sheetData sheetId="0"/>
      <sheetData sheetId="1"/>
      <sheetData sheetId="2"/>
      <sheetData sheetId="3"/>
      <sheetData sheetId="4"/>
      <sheetData sheetId="5"/>
      <sheetData sheetId="6"/>
      <sheetData sheetId="7"/>
      <sheetData sheetId="8"/>
      <sheetData sheetId="9"/>
      <sheetData sheetId="10">
        <row r="15">
          <cell r="C15" t="str">
            <v xml:space="preserve">Fiscal year  </v>
          </cell>
          <cell r="D15">
            <v>2016</v>
          </cell>
          <cell r="E15">
            <v>2017</v>
          </cell>
          <cell r="F15">
            <v>2018</v>
          </cell>
          <cell r="G15">
            <v>2019</v>
          </cell>
          <cell r="H15">
            <v>2020</v>
          </cell>
          <cell r="I15">
            <v>2021</v>
          </cell>
          <cell r="J15">
            <v>2022</v>
          </cell>
          <cell r="K15">
            <v>2023</v>
          </cell>
        </row>
        <row r="16">
          <cell r="C16" t="str">
            <v>Fiscal year end date</v>
          </cell>
          <cell r="D16">
            <v>42643</v>
          </cell>
          <cell r="E16">
            <v>43008</v>
          </cell>
          <cell r="F16">
            <v>43372</v>
          </cell>
          <cell r="G16">
            <v>43738</v>
          </cell>
          <cell r="H16">
            <v>44104</v>
          </cell>
          <cell r="I16">
            <v>44469</v>
          </cell>
          <cell r="J16">
            <v>44834</v>
          </cell>
          <cell r="K16">
            <v>45199</v>
          </cell>
        </row>
      </sheetData>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FC9A9-6EE3-42E9-9BCC-CED782AAC088}">
  <dimension ref="A1:U233"/>
  <sheetViews>
    <sheetView showGridLines="0" tabSelected="1" topLeftCell="A166" zoomScale="130" zoomScaleNormal="130" workbookViewId="0">
      <selection activeCell="C186" sqref="C186"/>
    </sheetView>
  </sheetViews>
  <sheetFormatPr defaultColWidth="8.85546875" defaultRowHeight="15" x14ac:dyDescent="0.25"/>
  <cols>
    <col min="1" max="1" width="2.28515625" bestFit="1" customWidth="1"/>
    <col min="2" max="2" width="58" customWidth="1"/>
    <col min="3" max="3" width="12.42578125" bestFit="1" customWidth="1"/>
    <col min="4" max="4" width="12.42578125" customWidth="1"/>
    <col min="5" max="12" width="11.42578125" customWidth="1"/>
    <col min="13" max="13" width="3.140625" style="174" customWidth="1"/>
    <col min="14" max="14" width="11.85546875" customWidth="1"/>
    <col min="15" max="17" width="10.28515625" bestFit="1" customWidth="1"/>
    <col min="18" max="19" width="9.42578125" bestFit="1" customWidth="1"/>
  </cols>
  <sheetData>
    <row r="1" spans="1:20" ht="15.75" thickBot="1" x14ac:dyDescent="0.3"/>
    <row r="2" spans="1:20" ht="15.75" thickBot="1" x14ac:dyDescent="0.3">
      <c r="B2" s="1" t="str">
        <f>"Financial Statement Model for "&amp;C5</f>
        <v>Financial Statement Model for Qualcomm</v>
      </c>
      <c r="C2" s="2"/>
      <c r="D2" s="2"/>
      <c r="E2" s="2"/>
      <c r="F2" s="2"/>
      <c r="G2" s="2"/>
      <c r="H2" s="2"/>
      <c r="I2" s="2"/>
      <c r="J2" s="2"/>
      <c r="K2" s="2"/>
      <c r="L2" s="2"/>
      <c r="M2" s="175"/>
    </row>
    <row r="3" spans="1:20" x14ac:dyDescent="0.25">
      <c r="B3" s="3" t="s">
        <v>0</v>
      </c>
      <c r="C3" s="4"/>
      <c r="D3" s="4"/>
      <c r="E3" s="4"/>
      <c r="F3" s="4"/>
      <c r="G3" s="4"/>
      <c r="H3" s="4"/>
    </row>
    <row r="5" spans="1:20" x14ac:dyDescent="0.25">
      <c r="B5" s="5" t="s">
        <v>1</v>
      </c>
      <c r="C5" s="6" t="s">
        <v>218</v>
      </c>
      <c r="D5" s="6"/>
      <c r="I5" t="s">
        <v>2</v>
      </c>
      <c r="L5" s="7" t="s">
        <v>3</v>
      </c>
      <c r="M5" s="164"/>
    </row>
    <row r="6" spans="1:20" x14ac:dyDescent="0.25">
      <c r="B6" s="5" t="s">
        <v>4</v>
      </c>
      <c r="C6" s="6" t="s">
        <v>219</v>
      </c>
      <c r="D6" s="6"/>
    </row>
    <row r="7" spans="1:20" x14ac:dyDescent="0.25">
      <c r="B7" t="s">
        <v>5</v>
      </c>
      <c r="C7" s="7">
        <v>1</v>
      </c>
    </row>
    <row r="8" spans="1:20" x14ac:dyDescent="0.25">
      <c r="B8" t="s">
        <v>6</v>
      </c>
      <c r="C8" s="8">
        <v>164.56</v>
      </c>
      <c r="D8" s="8"/>
    </row>
    <row r="9" spans="1:20" x14ac:dyDescent="0.25">
      <c r="B9" t="s">
        <v>7</v>
      </c>
      <c r="C9" s="9">
        <v>45674</v>
      </c>
      <c r="D9" s="9"/>
    </row>
    <row r="10" spans="1:20" x14ac:dyDescent="0.25">
      <c r="B10" s="5" t="s">
        <v>8</v>
      </c>
      <c r="C10" s="10">
        <v>45657</v>
      </c>
      <c r="D10" s="10"/>
    </row>
    <row r="11" spans="1:20" ht="15" customHeight="1" x14ac:dyDescent="0.25">
      <c r="B11" t="s">
        <v>9</v>
      </c>
      <c r="C11" s="11">
        <v>4443.2650000000003</v>
      </c>
      <c r="D11" s="11"/>
    </row>
    <row r="13" spans="1:20" x14ac:dyDescent="0.25">
      <c r="A13" t="s">
        <v>226</v>
      </c>
      <c r="B13" s="171" t="s">
        <v>10</v>
      </c>
      <c r="C13" s="216"/>
      <c r="D13" s="216"/>
      <c r="E13" s="216"/>
      <c r="F13" s="216"/>
      <c r="G13" s="216"/>
      <c r="H13" s="216"/>
      <c r="I13" s="216"/>
      <c r="J13" s="216"/>
      <c r="K13" s="216"/>
      <c r="L13" s="216"/>
      <c r="M13" s="175"/>
    </row>
    <row r="14" spans="1:20" x14ac:dyDescent="0.25">
      <c r="B14" s="216" t="s">
        <v>11</v>
      </c>
      <c r="C14" s="217">
        <f>D14-1</f>
        <v>2020</v>
      </c>
      <c r="D14" s="217">
        <f>E14-1</f>
        <v>2021</v>
      </c>
      <c r="E14" s="217">
        <f>F14-1</f>
        <v>2022</v>
      </c>
      <c r="F14" s="217">
        <f>G14-1</f>
        <v>2023</v>
      </c>
      <c r="G14" s="217">
        <f>YEAR(C10)</f>
        <v>2024</v>
      </c>
      <c r="H14" s="218">
        <f>G14+1</f>
        <v>2025</v>
      </c>
      <c r="I14" s="218">
        <f>H14+1</f>
        <v>2026</v>
      </c>
      <c r="J14" s="218">
        <f>I14+1</f>
        <v>2027</v>
      </c>
      <c r="K14" s="218">
        <f>J14+1</f>
        <v>2028</v>
      </c>
      <c r="L14" s="218">
        <f>K14+1</f>
        <v>2029</v>
      </c>
      <c r="M14" s="176"/>
    </row>
    <row r="15" spans="1:20" x14ac:dyDescent="0.25">
      <c r="B15" s="219" t="s">
        <v>12</v>
      </c>
      <c r="C15" s="220">
        <f>EOMONTH(D15,-12)</f>
        <v>42277</v>
      </c>
      <c r="D15" s="220">
        <f>EOMONTH(E15,-12)</f>
        <v>42643</v>
      </c>
      <c r="E15" s="220">
        <f>EOMONTH(F15,-12)</f>
        <v>43008</v>
      </c>
      <c r="F15" s="220">
        <v>43372</v>
      </c>
      <c r="G15" s="220">
        <f>C10</f>
        <v>45657</v>
      </c>
      <c r="H15" s="220">
        <f>EOMONTH(G15,12)</f>
        <v>46022</v>
      </c>
      <c r="I15" s="220">
        <f>EOMONTH(H15,12)</f>
        <v>46387</v>
      </c>
      <c r="J15" s="220">
        <f>EOMONTH(I15,12)</f>
        <v>46752</v>
      </c>
      <c r="K15" s="220">
        <f>EOMONTH(J15,12)</f>
        <v>47118</v>
      </c>
      <c r="L15" s="220">
        <f>EOMONTH(K15,12)</f>
        <v>47483</v>
      </c>
      <c r="M15" s="177"/>
      <c r="N15" s="14" t="s">
        <v>215</v>
      </c>
      <c r="O15" s="15"/>
      <c r="P15" s="15"/>
      <c r="Q15" s="15"/>
      <c r="R15" s="15"/>
      <c r="S15" s="15"/>
      <c r="T15" s="15"/>
    </row>
    <row r="16" spans="1:20" x14ac:dyDescent="0.25">
      <c r="B16" s="16"/>
      <c r="C16" s="16"/>
      <c r="D16" s="16"/>
      <c r="E16" s="17"/>
      <c r="F16" s="18"/>
      <c r="G16" s="18"/>
      <c r="H16" s="19"/>
      <c r="I16" s="20"/>
      <c r="J16" s="20"/>
      <c r="K16" s="18"/>
      <c r="L16" s="18"/>
      <c r="M16" s="178"/>
    </row>
    <row r="17" spans="2:15" x14ac:dyDescent="0.25">
      <c r="B17" t="s">
        <v>13</v>
      </c>
      <c r="C17" s="21">
        <v>23531</v>
      </c>
      <c r="D17" s="21">
        <v>33566</v>
      </c>
      <c r="E17" s="21">
        <v>44200</v>
      </c>
      <c r="F17" s="21">
        <v>35820</v>
      </c>
      <c r="G17" s="21">
        <v>38962</v>
      </c>
      <c r="H17" s="22">
        <f>G17*(1+H39)</f>
        <v>43364.705999999998</v>
      </c>
      <c r="I17" s="22">
        <f>H17*(1+I39)</f>
        <v>48264.917777999995</v>
      </c>
      <c r="J17" s="22">
        <f>I17*(1+J39)</f>
        <v>53718.853486913991</v>
      </c>
      <c r="K17" s="22">
        <f>J17*(1+K39)</f>
        <v>59789.083930935274</v>
      </c>
      <c r="L17" s="22">
        <f>K17*(1+L39)</f>
        <v>66545.250415130955</v>
      </c>
      <c r="M17" s="179"/>
      <c r="N17" t="s">
        <v>14</v>
      </c>
    </row>
    <row r="18" spans="2:15" x14ac:dyDescent="0.25">
      <c r="B18" t="s">
        <v>15</v>
      </c>
      <c r="C18" s="21">
        <v>-9255</v>
      </c>
      <c r="D18" s="21">
        <v>-14262</v>
      </c>
      <c r="E18" s="21">
        <v>-18635</v>
      </c>
      <c r="F18" s="21">
        <v>-15869</v>
      </c>
      <c r="G18" s="21">
        <v>-17060</v>
      </c>
      <c r="H18" s="22">
        <f>H19-H17</f>
        <v>-18987.780000000002</v>
      </c>
      <c r="I18" s="22">
        <f>I19-I17</f>
        <v>-21133.399140000001</v>
      </c>
      <c r="J18" s="22">
        <f>J19-J17</f>
        <v>-23521.473242819997</v>
      </c>
      <c r="K18" s="22">
        <f>K19-K17</f>
        <v>-26179.399719258661</v>
      </c>
      <c r="L18" s="22">
        <f>L19-L17</f>
        <v>-29137.671887534882</v>
      </c>
      <c r="M18" s="179"/>
      <c r="N18" t="s">
        <v>16</v>
      </c>
    </row>
    <row r="19" spans="2:15" x14ac:dyDescent="0.25">
      <c r="B19" s="120" t="s">
        <v>17</v>
      </c>
      <c r="C19" s="121">
        <f>SUM(C17:C18)</f>
        <v>14276</v>
      </c>
      <c r="D19" s="121">
        <f t="shared" ref="D19:G19" si="0">SUM(D17:D18)</f>
        <v>19304</v>
      </c>
      <c r="E19" s="121">
        <f t="shared" si="0"/>
        <v>25565</v>
      </c>
      <c r="F19" s="121">
        <f t="shared" si="0"/>
        <v>19951</v>
      </c>
      <c r="G19" s="121">
        <f t="shared" si="0"/>
        <v>21902</v>
      </c>
      <c r="H19" s="121">
        <f>H17*H40</f>
        <v>24376.925999999996</v>
      </c>
      <c r="I19" s="121">
        <f t="shared" ref="I19:L19" si="1">I17*I40</f>
        <v>27131.518637999994</v>
      </c>
      <c r="J19" s="121">
        <f t="shared" si="1"/>
        <v>30197.380244093994</v>
      </c>
      <c r="K19" s="121">
        <f t="shared" si="1"/>
        <v>33609.684211676613</v>
      </c>
      <c r="L19" s="121">
        <f t="shared" si="1"/>
        <v>37407.578527596073</v>
      </c>
      <c r="M19" s="180"/>
      <c r="N19" s="25" t="s">
        <v>18</v>
      </c>
    </row>
    <row r="20" spans="2:15" x14ac:dyDescent="0.25">
      <c r="B20" t="s">
        <v>180</v>
      </c>
      <c r="C20" s="21">
        <v>-5975</v>
      </c>
      <c r="D20" s="21">
        <v>-7176</v>
      </c>
      <c r="E20" s="21">
        <v>-8194</v>
      </c>
      <c r="F20" s="21">
        <v>-8818</v>
      </c>
      <c r="G20" s="21">
        <v>-8893</v>
      </c>
      <c r="H20" s="22">
        <f>-H41*H17</f>
        <v>-9897.9089999999997</v>
      </c>
      <c r="I20" s="22">
        <f>-I41*I17</f>
        <v>-11016.372717</v>
      </c>
      <c r="J20" s="22">
        <f>-J41*J17</f>
        <v>-12261.222834020999</v>
      </c>
      <c r="K20" s="22">
        <f>-K41*K17</f>
        <v>-13646.741014265372</v>
      </c>
      <c r="L20" s="22">
        <f>-L41*L17</f>
        <v>-15188.822748877357</v>
      </c>
      <c r="M20" s="179"/>
      <c r="N20" s="25" t="s">
        <v>19</v>
      </c>
    </row>
    <row r="21" spans="2:15" x14ac:dyDescent="0.25">
      <c r="B21" t="s">
        <v>181</v>
      </c>
      <c r="C21" s="21">
        <v>-2074</v>
      </c>
      <c r="D21" s="21">
        <v>-2339</v>
      </c>
      <c r="E21" s="21">
        <v>-2570</v>
      </c>
      <c r="F21" s="21">
        <v>-2483</v>
      </c>
      <c r="G21" s="21">
        <v>-2759</v>
      </c>
      <c r="H21" s="22">
        <f>-H17*H42</f>
        <v>-3070.7669999999998</v>
      </c>
      <c r="I21" s="22">
        <f>-I17*I42</f>
        <v>-3417.7636709999997</v>
      </c>
      <c r="J21" s="22">
        <f>-J17*J42</f>
        <v>-3803.970965822999</v>
      </c>
      <c r="K21" s="22">
        <f>-K17*K42</f>
        <v>-4233.8196849609985</v>
      </c>
      <c r="L21" s="22">
        <f>-L17*L42</f>
        <v>-4712.2413093615905</v>
      </c>
      <c r="M21" s="179"/>
      <c r="N21" s="25" t="s">
        <v>20</v>
      </c>
    </row>
    <row r="22" spans="2:15" x14ac:dyDescent="0.25">
      <c r="B22" t="s">
        <v>182</v>
      </c>
      <c r="C22" s="21">
        <v>28</v>
      </c>
      <c r="D22" s="21">
        <v>0</v>
      </c>
      <c r="E22" s="21">
        <v>1059</v>
      </c>
      <c r="F22" s="21">
        <v>-862</v>
      </c>
      <c r="G22" s="21">
        <v>-179</v>
      </c>
      <c r="H22" s="123">
        <f>G22*(1+H39)</f>
        <v>-199.227</v>
      </c>
      <c r="I22" s="123">
        <f t="shared" ref="I22:L22" si="2">H22*(1+I39)</f>
        <v>-221.73965100000001</v>
      </c>
      <c r="J22" s="123">
        <f t="shared" si="2"/>
        <v>-246.79623156300002</v>
      </c>
      <c r="K22" s="123">
        <f t="shared" si="2"/>
        <v>-274.68420572961901</v>
      </c>
      <c r="L22" s="123">
        <f t="shared" si="2"/>
        <v>-305.72352097706596</v>
      </c>
      <c r="M22" s="179"/>
      <c r="N22" s="25" t="s">
        <v>214</v>
      </c>
    </row>
    <row r="23" spans="2:15" x14ac:dyDescent="0.25">
      <c r="B23" s="120" t="s">
        <v>21</v>
      </c>
      <c r="C23" s="121">
        <f t="shared" ref="C23:F23" si="3">C19+C20+C21+C22</f>
        <v>6255</v>
      </c>
      <c r="D23" s="121">
        <f t="shared" si="3"/>
        <v>9789</v>
      </c>
      <c r="E23" s="121">
        <f t="shared" si="3"/>
        <v>15860</v>
      </c>
      <c r="F23" s="121">
        <f t="shared" si="3"/>
        <v>7788</v>
      </c>
      <c r="G23" s="121">
        <f>G19+G20+G21+G22</f>
        <v>10071</v>
      </c>
      <c r="H23" s="121">
        <f t="shared" ref="H23:L23" si="4">H19+H20+H21</f>
        <v>11408.249999999996</v>
      </c>
      <c r="I23" s="121">
        <f>I19+I20+I21</f>
        <v>12697.382249999995</v>
      </c>
      <c r="J23" s="121">
        <f t="shared" si="4"/>
        <v>14132.186444249997</v>
      </c>
      <c r="K23" s="121">
        <f t="shared" si="4"/>
        <v>15729.123512450242</v>
      </c>
      <c r="L23" s="121">
        <f t="shared" si="4"/>
        <v>17506.514469357127</v>
      </c>
      <c r="M23" s="180"/>
      <c r="N23" s="23"/>
    </row>
    <row r="24" spans="2:15" x14ac:dyDescent="0.25">
      <c r="B24" t="s">
        <v>118</v>
      </c>
      <c r="C24" s="122">
        <v>-602</v>
      </c>
      <c r="D24" s="122">
        <v>-559</v>
      </c>
      <c r="E24" s="122">
        <v>-490</v>
      </c>
      <c r="F24" s="122">
        <v>-694</v>
      </c>
      <c r="G24" s="122">
        <v>-697</v>
      </c>
      <c r="H24" s="165"/>
      <c r="I24" s="165"/>
      <c r="J24" s="165"/>
      <c r="K24" s="165"/>
      <c r="L24" s="165"/>
      <c r="M24" s="181"/>
      <c r="N24" t="s">
        <v>23</v>
      </c>
    </row>
    <row r="25" spans="2:15" x14ac:dyDescent="0.25">
      <c r="B25" t="s">
        <v>183</v>
      </c>
      <c r="C25" s="122">
        <v>156</v>
      </c>
      <c r="D25" s="122">
        <v>83</v>
      </c>
      <c r="E25" s="122">
        <v>91</v>
      </c>
      <c r="F25" s="122">
        <v>313</v>
      </c>
      <c r="G25" s="122">
        <v>675</v>
      </c>
      <c r="H25" s="165"/>
      <c r="I25" s="165"/>
      <c r="J25" s="165"/>
      <c r="K25" s="165"/>
      <c r="L25" s="165"/>
      <c r="M25" s="181"/>
      <c r="N25" t="s">
        <v>24</v>
      </c>
    </row>
    <row r="26" spans="2:15" x14ac:dyDescent="0.25">
      <c r="B26" t="s">
        <v>184</v>
      </c>
      <c r="C26" s="122">
        <f>66-C25</f>
        <v>-90</v>
      </c>
      <c r="D26" s="122">
        <f>1044-D25</f>
        <v>961</v>
      </c>
      <c r="E26" s="122">
        <f>-372-E25</f>
        <v>-463</v>
      </c>
      <c r="F26" s="122">
        <f>349-F25</f>
        <v>36</v>
      </c>
      <c r="G26" s="122">
        <f>962-G25</f>
        <v>287</v>
      </c>
      <c r="H26" s="26">
        <f>G26</f>
        <v>287</v>
      </c>
      <c r="I26" s="26">
        <f>H26</f>
        <v>287</v>
      </c>
      <c r="J26" s="26">
        <f>I26</f>
        <v>287</v>
      </c>
      <c r="K26" s="26">
        <f>J26</f>
        <v>287</v>
      </c>
      <c r="L26" s="26">
        <f>K26</f>
        <v>287</v>
      </c>
      <c r="M26" s="181"/>
      <c r="N26" t="s">
        <v>25</v>
      </c>
    </row>
    <row r="27" spans="2:15" x14ac:dyDescent="0.25">
      <c r="B27" s="120" t="s">
        <v>26</v>
      </c>
      <c r="C27" s="121">
        <f t="shared" ref="C27:L27" si="5">SUM(C23:C26)</f>
        <v>5719</v>
      </c>
      <c r="D27" s="121">
        <f t="shared" si="5"/>
        <v>10274</v>
      </c>
      <c r="E27" s="121">
        <f t="shared" si="5"/>
        <v>14998</v>
      </c>
      <c r="F27" s="121">
        <f t="shared" si="5"/>
        <v>7443</v>
      </c>
      <c r="G27" s="121">
        <f t="shared" si="5"/>
        <v>10336</v>
      </c>
      <c r="H27" s="121">
        <f t="shared" si="5"/>
        <v>11695.249999999996</v>
      </c>
      <c r="I27" s="121">
        <f t="shared" si="5"/>
        <v>12984.382249999995</v>
      </c>
      <c r="J27" s="121">
        <f t="shared" si="5"/>
        <v>14419.186444249997</v>
      </c>
      <c r="K27" s="121">
        <f t="shared" si="5"/>
        <v>16016.123512450242</v>
      </c>
      <c r="L27" s="121">
        <f t="shared" si="5"/>
        <v>17793.514469357127</v>
      </c>
      <c r="M27" s="180"/>
      <c r="N27" s="23" t="s">
        <v>27</v>
      </c>
      <c r="O27" s="23"/>
    </row>
    <row r="28" spans="2:15" x14ac:dyDescent="0.25">
      <c r="B28" t="s">
        <v>185</v>
      </c>
      <c r="C28" s="21">
        <v>-521</v>
      </c>
      <c r="D28" s="21">
        <v>-1231</v>
      </c>
      <c r="E28" s="21">
        <v>-2012</v>
      </c>
      <c r="F28" s="21">
        <v>-104</v>
      </c>
      <c r="G28" s="21">
        <v>-226</v>
      </c>
      <c r="H28" s="22">
        <f>-H43*H27</f>
        <v>-890.95879235790551</v>
      </c>
      <c r="I28" s="22">
        <f>-I43*I27</f>
        <v>-989.16650169713546</v>
      </c>
      <c r="J28" s="22">
        <f>-J43*J27</f>
        <v>-1098.4716821916986</v>
      </c>
      <c r="K28" s="22">
        <f>-K43*K27</f>
        <v>-1220.1283480821469</v>
      </c>
      <c r="L28" s="22">
        <f>-L43*L27</f>
        <v>-1355.5322172182168</v>
      </c>
      <c r="M28" s="179"/>
      <c r="N28" t="s">
        <v>28</v>
      </c>
    </row>
    <row r="29" spans="2:15" x14ac:dyDescent="0.25">
      <c r="B29" s="120" t="s">
        <v>187</v>
      </c>
      <c r="C29" s="124">
        <f>SUM(C27:C28)</f>
        <v>5198</v>
      </c>
      <c r="D29" s="124">
        <f t="shared" ref="D29:L29" si="6">SUM(D27:D28)</f>
        <v>9043</v>
      </c>
      <c r="E29" s="124">
        <f t="shared" si="6"/>
        <v>12986</v>
      </c>
      <c r="F29" s="124">
        <f t="shared" si="6"/>
        <v>7339</v>
      </c>
      <c r="G29" s="124">
        <f t="shared" si="6"/>
        <v>10110</v>
      </c>
      <c r="H29" s="124">
        <f t="shared" si="6"/>
        <v>10804.291207642091</v>
      </c>
      <c r="I29" s="124">
        <f t="shared" si="6"/>
        <v>11995.21574830286</v>
      </c>
      <c r="J29" s="124">
        <f t="shared" si="6"/>
        <v>13320.714762058298</v>
      </c>
      <c r="K29" s="124">
        <f t="shared" si="6"/>
        <v>14795.995164368094</v>
      </c>
      <c r="L29" s="124">
        <f t="shared" si="6"/>
        <v>16437.982252138911</v>
      </c>
      <c r="M29" s="182"/>
    </row>
    <row r="30" spans="2:15" x14ac:dyDescent="0.25">
      <c r="B30" t="s">
        <v>186</v>
      </c>
      <c r="C30" s="21">
        <v>0</v>
      </c>
      <c r="D30" s="21">
        <v>0</v>
      </c>
      <c r="E30" s="21">
        <v>-50</v>
      </c>
      <c r="F30" s="21">
        <v>-107</v>
      </c>
      <c r="G30" s="21">
        <v>32</v>
      </c>
      <c r="H30" s="123">
        <f>AVERAGE(C30:G30)</f>
        <v>-25</v>
      </c>
      <c r="I30" s="123">
        <f>H30</f>
        <v>-25</v>
      </c>
      <c r="J30" s="123">
        <f t="shared" ref="J30:L30" si="7">I30</f>
        <v>-25</v>
      </c>
      <c r="K30" s="123">
        <f t="shared" si="7"/>
        <v>-25</v>
      </c>
      <c r="L30" s="123">
        <f t="shared" si="7"/>
        <v>-25</v>
      </c>
      <c r="M30" s="179"/>
      <c r="N30" t="s">
        <v>216</v>
      </c>
    </row>
    <row r="31" spans="2:15" x14ac:dyDescent="0.25">
      <c r="B31" s="120" t="s">
        <v>29</v>
      </c>
      <c r="C31" s="121">
        <f>SUM(C29:C30)</f>
        <v>5198</v>
      </c>
      <c r="D31" s="121">
        <f t="shared" ref="D31:L31" si="8">SUM(D29:D30)</f>
        <v>9043</v>
      </c>
      <c r="E31" s="121">
        <f t="shared" si="8"/>
        <v>12936</v>
      </c>
      <c r="F31" s="121">
        <f t="shared" si="8"/>
        <v>7232</v>
      </c>
      <c r="G31" s="121">
        <f t="shared" si="8"/>
        <v>10142</v>
      </c>
      <c r="H31" s="121">
        <f t="shared" si="8"/>
        <v>10779.291207642091</v>
      </c>
      <c r="I31" s="121">
        <f t="shared" si="8"/>
        <v>11970.21574830286</v>
      </c>
      <c r="J31" s="121">
        <f t="shared" si="8"/>
        <v>13295.714762058298</v>
      </c>
      <c r="K31" s="121">
        <f t="shared" si="8"/>
        <v>14770.995164368094</v>
      </c>
      <c r="L31" s="121">
        <f t="shared" si="8"/>
        <v>16412.982252138911</v>
      </c>
      <c r="M31" s="180"/>
      <c r="N31" s="23" t="s">
        <v>30</v>
      </c>
    </row>
    <row r="32" spans="2:15" x14ac:dyDescent="0.25">
      <c r="B32" s="27"/>
      <c r="C32" s="26"/>
      <c r="D32" s="26"/>
      <c r="E32" s="26"/>
      <c r="F32" s="26"/>
      <c r="G32" s="26"/>
      <c r="H32" s="26"/>
      <c r="I32" s="26"/>
      <c r="J32" s="26"/>
      <c r="K32" s="26"/>
      <c r="L32" s="26"/>
      <c r="M32" s="181"/>
    </row>
    <row r="33" spans="1:21" x14ac:dyDescent="0.25">
      <c r="B33" s="28" t="s">
        <v>31</v>
      </c>
      <c r="C33" s="196">
        <v>1393</v>
      </c>
      <c r="D33" s="196">
        <v>1582</v>
      </c>
      <c r="E33" s="196">
        <v>1762</v>
      </c>
      <c r="F33" s="196">
        <v>1809</v>
      </c>
      <c r="G33" s="196">
        <v>1706</v>
      </c>
      <c r="H33" s="181">
        <f>H119</f>
        <v>1857.4351428571426</v>
      </c>
      <c r="I33" s="181">
        <f t="shared" ref="I33:L33" si="9">I119</f>
        <v>1760.0429058367347</v>
      </c>
      <c r="J33" s="181">
        <f t="shared" si="9"/>
        <v>1797.9816259164022</v>
      </c>
      <c r="K33" s="181">
        <f t="shared" si="9"/>
        <v>1944.733335567488</v>
      </c>
      <c r="L33" s="181">
        <f t="shared" si="9"/>
        <v>2182.729355696586</v>
      </c>
      <c r="M33" s="181"/>
      <c r="N33" t="s">
        <v>32</v>
      </c>
    </row>
    <row r="34" spans="1:21" x14ac:dyDescent="0.25">
      <c r="B34" s="230" t="s">
        <v>33</v>
      </c>
      <c r="C34" s="121">
        <f t="shared" ref="C34:L34" si="10">C23+C33</f>
        <v>7648</v>
      </c>
      <c r="D34" s="121">
        <f t="shared" si="10"/>
        <v>11371</v>
      </c>
      <c r="E34" s="121">
        <f t="shared" si="10"/>
        <v>17622</v>
      </c>
      <c r="F34" s="121">
        <f t="shared" si="10"/>
        <v>9597</v>
      </c>
      <c r="G34" s="121">
        <f t="shared" si="10"/>
        <v>11777</v>
      </c>
      <c r="H34" s="121">
        <f t="shared" si="10"/>
        <v>13265.685142857139</v>
      </c>
      <c r="I34" s="121">
        <f t="shared" si="10"/>
        <v>14457.42515583673</v>
      </c>
      <c r="J34" s="121">
        <f t="shared" si="10"/>
        <v>15930.168070166399</v>
      </c>
      <c r="K34" s="121">
        <f t="shared" si="10"/>
        <v>17673.856848017731</v>
      </c>
      <c r="L34" s="121">
        <f t="shared" si="10"/>
        <v>19689.243825053712</v>
      </c>
      <c r="M34" s="183"/>
      <c r="N34" s="23" t="s">
        <v>34</v>
      </c>
    </row>
    <row r="35" spans="1:21" x14ac:dyDescent="0.25">
      <c r="B35" s="28" t="s">
        <v>35</v>
      </c>
      <c r="C35" s="21">
        <v>1301</v>
      </c>
      <c r="D35" s="21">
        <v>1754</v>
      </c>
      <c r="E35" s="21">
        <v>2119</v>
      </c>
      <c r="F35" s="21">
        <v>2600</v>
      </c>
      <c r="G35" s="21">
        <v>2767</v>
      </c>
      <c r="H35" s="26">
        <f>G35*(1+H39)</f>
        <v>3079.6709999999998</v>
      </c>
      <c r="I35" s="26">
        <f>H35*(1+I39)</f>
        <v>3427.6738229999996</v>
      </c>
      <c r="J35" s="26">
        <f>I35*(1+J39)</f>
        <v>3815.0009649989997</v>
      </c>
      <c r="K35" s="26">
        <f>J35*(1+K39)</f>
        <v>4246.0960740438868</v>
      </c>
      <c r="L35" s="26">
        <f>K35*(1+L39)</f>
        <v>4725.9049304108457</v>
      </c>
      <c r="M35" s="181"/>
      <c r="N35" t="s">
        <v>36</v>
      </c>
    </row>
    <row r="36" spans="1:21" x14ac:dyDescent="0.25">
      <c r="B36" s="230" t="s">
        <v>37</v>
      </c>
      <c r="C36" s="121">
        <f t="shared" ref="C36:L36" si="11">SUM(C34:C35)</f>
        <v>8949</v>
      </c>
      <c r="D36" s="121">
        <f t="shared" si="11"/>
        <v>13125</v>
      </c>
      <c r="E36" s="121">
        <f t="shared" si="11"/>
        <v>19741</v>
      </c>
      <c r="F36" s="121">
        <f t="shared" si="11"/>
        <v>12197</v>
      </c>
      <c r="G36" s="121">
        <f t="shared" si="11"/>
        <v>14544</v>
      </c>
      <c r="H36" s="121">
        <f t="shared" si="11"/>
        <v>16345.356142857139</v>
      </c>
      <c r="I36" s="121">
        <f t="shared" si="11"/>
        <v>17885.09897883673</v>
      </c>
      <c r="J36" s="121">
        <f t="shared" si="11"/>
        <v>19745.1690351654</v>
      </c>
      <c r="K36" s="121">
        <f t="shared" si="11"/>
        <v>21919.952922061617</v>
      </c>
      <c r="L36" s="121">
        <f t="shared" si="11"/>
        <v>24415.148755464557</v>
      </c>
      <c r="M36" s="183"/>
      <c r="N36" s="23" t="s">
        <v>38</v>
      </c>
    </row>
    <row r="37" spans="1:21" ht="15.75" thickBot="1" x14ac:dyDescent="0.3">
      <c r="B37" s="27"/>
      <c r="H37" s="29"/>
    </row>
    <row r="38" spans="1:21" x14ac:dyDescent="0.25">
      <c r="A38" t="s">
        <v>226</v>
      </c>
      <c r="B38" s="161" t="s">
        <v>212</v>
      </c>
      <c r="C38" s="159"/>
      <c r="D38" s="159"/>
      <c r="E38" s="159"/>
      <c r="F38" s="159"/>
      <c r="G38" s="159"/>
      <c r="H38" s="159"/>
      <c r="I38" s="159"/>
      <c r="J38" s="159"/>
      <c r="K38" s="159"/>
      <c r="L38" s="160"/>
      <c r="M38" s="184"/>
    </row>
    <row r="39" spans="1:21" x14ac:dyDescent="0.25">
      <c r="B39" s="154" t="s">
        <v>39</v>
      </c>
      <c r="C39" s="155"/>
      <c r="D39" s="155">
        <f>SUM(D17/C17)-1</f>
        <v>0.42645871403680258</v>
      </c>
      <c r="E39" s="155">
        <f>SUM(E17/D17)-1</f>
        <v>0.31680867544539115</v>
      </c>
      <c r="F39" s="155">
        <f>SUM(F17/E17)-1</f>
        <v>-0.18959276018099547</v>
      </c>
      <c r="G39" s="155">
        <f>SUM(G17/F17)-1</f>
        <v>8.7716359575656044E-2</v>
      </c>
      <c r="H39" s="166">
        <v>0.113</v>
      </c>
      <c r="I39" s="155">
        <f>H39</f>
        <v>0.113</v>
      </c>
      <c r="J39" s="155">
        <f t="shared" ref="J39:L39" si="12">I39</f>
        <v>0.113</v>
      </c>
      <c r="K39" s="155">
        <f t="shared" si="12"/>
        <v>0.113</v>
      </c>
      <c r="L39" s="156">
        <f t="shared" si="12"/>
        <v>0.113</v>
      </c>
      <c r="M39" s="185"/>
      <c r="N39" t="s">
        <v>217</v>
      </c>
      <c r="P39" s="32"/>
      <c r="Q39" s="32"/>
      <c r="R39" s="32"/>
      <c r="S39" s="32"/>
      <c r="T39" s="32"/>
      <c r="U39" s="32"/>
    </row>
    <row r="40" spans="1:21" x14ac:dyDescent="0.25">
      <c r="B40" s="154" t="s">
        <v>40</v>
      </c>
      <c r="C40" s="155">
        <f>C19/C17</f>
        <v>0.606689048489227</v>
      </c>
      <c r="D40" s="155">
        <f>D19/D17</f>
        <v>0.57510576178275641</v>
      </c>
      <c r="E40" s="155">
        <f>E19/E17</f>
        <v>0.5783936651583711</v>
      </c>
      <c r="F40" s="155">
        <f>F19/F17</f>
        <v>0.55697934115019543</v>
      </c>
      <c r="G40" s="155">
        <f>G19/G17</f>
        <v>0.56213746727580716</v>
      </c>
      <c r="H40" s="155">
        <f>G40</f>
        <v>0.56213746727580716</v>
      </c>
      <c r="I40" s="155">
        <f t="shared" ref="I40:L40" si="13">H40</f>
        <v>0.56213746727580716</v>
      </c>
      <c r="J40" s="155">
        <f t="shared" si="13"/>
        <v>0.56213746727580716</v>
      </c>
      <c r="K40" s="155">
        <f t="shared" si="13"/>
        <v>0.56213746727580716</v>
      </c>
      <c r="L40" s="156">
        <f t="shared" si="13"/>
        <v>0.56213746727580716</v>
      </c>
      <c r="M40" s="185"/>
      <c r="N40" t="s">
        <v>41</v>
      </c>
      <c r="P40" s="32"/>
      <c r="Q40" s="32"/>
      <c r="R40" s="32"/>
      <c r="S40" s="32"/>
      <c r="T40" s="32"/>
      <c r="U40" s="32"/>
    </row>
    <row r="41" spans="1:21" x14ac:dyDescent="0.25">
      <c r="B41" s="154" t="s">
        <v>42</v>
      </c>
      <c r="C41" s="155">
        <f>-C20/C17</f>
        <v>0.25392036037567467</v>
      </c>
      <c r="D41" s="155">
        <f t="shared" ref="D41:G41" si="14">-D20/D17</f>
        <v>0.21378776142525174</v>
      </c>
      <c r="E41" s="155">
        <f t="shared" si="14"/>
        <v>0.1853846153846154</v>
      </c>
      <c r="F41" s="155">
        <f t="shared" si="14"/>
        <v>0.24617532104969292</v>
      </c>
      <c r="G41" s="155">
        <f t="shared" si="14"/>
        <v>0.22824803654843182</v>
      </c>
      <c r="H41" s="155">
        <f t="shared" ref="H41:L41" si="15">G41</f>
        <v>0.22824803654843182</v>
      </c>
      <c r="I41" s="155">
        <f t="shared" si="15"/>
        <v>0.22824803654843182</v>
      </c>
      <c r="J41" s="155">
        <f t="shared" si="15"/>
        <v>0.22824803654843182</v>
      </c>
      <c r="K41" s="155">
        <f t="shared" si="15"/>
        <v>0.22824803654843182</v>
      </c>
      <c r="L41" s="156">
        <f t="shared" si="15"/>
        <v>0.22824803654843182</v>
      </c>
      <c r="M41" s="185"/>
      <c r="N41" t="s">
        <v>41</v>
      </c>
      <c r="P41" s="32"/>
      <c r="Q41" s="32"/>
      <c r="R41" s="32"/>
      <c r="S41" s="32"/>
      <c r="T41" s="32"/>
      <c r="U41" s="32"/>
    </row>
    <row r="42" spans="1:21" x14ac:dyDescent="0.25">
      <c r="B42" s="154" t="s">
        <v>43</v>
      </c>
      <c r="C42" s="155">
        <f>-C21/C17</f>
        <v>8.8139050614083544E-2</v>
      </c>
      <c r="D42" s="155">
        <f t="shared" ref="D42:G42" si="16">-D21/D17</f>
        <v>6.9683608413275339E-2</v>
      </c>
      <c r="E42" s="155">
        <f t="shared" si="16"/>
        <v>5.8144796380090499E-2</v>
      </c>
      <c r="F42" s="155">
        <f t="shared" si="16"/>
        <v>6.9318816303740927E-2</v>
      </c>
      <c r="G42" s="155">
        <f t="shared" si="16"/>
        <v>7.0812586622863299E-2</v>
      </c>
      <c r="H42" s="155">
        <f>G42</f>
        <v>7.0812586622863299E-2</v>
      </c>
      <c r="I42" s="155">
        <f t="shared" ref="I42:L42" si="17">H42</f>
        <v>7.0812586622863299E-2</v>
      </c>
      <c r="J42" s="155">
        <f t="shared" si="17"/>
        <v>7.0812586622863299E-2</v>
      </c>
      <c r="K42" s="155">
        <f t="shared" si="17"/>
        <v>7.0812586622863299E-2</v>
      </c>
      <c r="L42" s="156">
        <f t="shared" si="17"/>
        <v>7.0812586622863299E-2</v>
      </c>
      <c r="M42" s="185"/>
      <c r="N42" t="s">
        <v>41</v>
      </c>
      <c r="P42" s="32"/>
      <c r="Q42" s="32"/>
      <c r="R42" s="32"/>
      <c r="S42" s="32"/>
      <c r="T42" s="32"/>
      <c r="U42" s="32"/>
    </row>
    <row r="43" spans="1:21" ht="15.75" thickBot="1" x14ac:dyDescent="0.3">
      <c r="B43" s="157" t="s">
        <v>44</v>
      </c>
      <c r="C43" s="158">
        <f>-(C28/C27)</f>
        <v>9.1099842629830396E-2</v>
      </c>
      <c r="D43" s="158">
        <f t="shared" ref="D43:G43" si="18">-(D28/D27)</f>
        <v>0.11981701382129648</v>
      </c>
      <c r="E43" s="158">
        <f t="shared" si="18"/>
        <v>0.13415122016268835</v>
      </c>
      <c r="F43" s="158">
        <f t="shared" si="18"/>
        <v>1.3972860405750369E-2</v>
      </c>
      <c r="G43" s="158">
        <f t="shared" si="18"/>
        <v>2.186532507739938E-2</v>
      </c>
      <c r="H43" s="162">
        <f>AVERAGE(C43:G43)</f>
        <v>7.6181252419392984E-2</v>
      </c>
      <c r="I43" s="162">
        <f t="shared" ref="I43:L43" si="19">H43</f>
        <v>7.6181252419392984E-2</v>
      </c>
      <c r="J43" s="162">
        <f t="shared" si="19"/>
        <v>7.6181252419392984E-2</v>
      </c>
      <c r="K43" s="162">
        <f t="shared" si="19"/>
        <v>7.6181252419392984E-2</v>
      </c>
      <c r="L43" s="163">
        <f t="shared" si="19"/>
        <v>7.6181252419392984E-2</v>
      </c>
      <c r="M43" s="186"/>
      <c r="N43" t="s">
        <v>213</v>
      </c>
      <c r="P43" s="32"/>
      <c r="Q43" s="32"/>
      <c r="R43" s="32"/>
      <c r="S43" s="32"/>
      <c r="T43" s="32"/>
      <c r="U43" s="32"/>
    </row>
    <row r="44" spans="1:21" x14ac:dyDescent="0.25">
      <c r="B44" s="27"/>
      <c r="C44" s="27"/>
      <c r="D44" s="27"/>
      <c r="H44" s="29"/>
    </row>
    <row r="45" spans="1:21" x14ac:dyDescent="0.25">
      <c r="A45" t="s">
        <v>226</v>
      </c>
      <c r="B45" s="171" t="s">
        <v>45</v>
      </c>
      <c r="C45" s="171"/>
      <c r="D45" s="171"/>
      <c r="E45" s="220"/>
      <c r="F45" s="220"/>
      <c r="G45" s="220"/>
      <c r="H45" s="216"/>
      <c r="I45" s="216"/>
      <c r="J45" s="216"/>
      <c r="K45" s="216"/>
      <c r="L45" s="216"/>
      <c r="M45" s="175"/>
    </row>
    <row r="46" spans="1:21" x14ac:dyDescent="0.25">
      <c r="B46" s="224" t="str">
        <f>B14</f>
        <v xml:space="preserve">Fiscal year  </v>
      </c>
      <c r="C46" s="217">
        <f>C14</f>
        <v>2020</v>
      </c>
      <c r="D46" s="217">
        <f>D14</f>
        <v>2021</v>
      </c>
      <c r="E46" s="217">
        <f>E14</f>
        <v>2022</v>
      </c>
      <c r="F46" s="217">
        <f>F14</f>
        <v>2023</v>
      </c>
      <c r="G46" s="217">
        <f>G14</f>
        <v>2024</v>
      </c>
      <c r="H46" s="218">
        <f>H14</f>
        <v>2025</v>
      </c>
      <c r="I46" s="218">
        <f>I14</f>
        <v>2026</v>
      </c>
      <c r="J46" s="218">
        <f>J14</f>
        <v>2027</v>
      </c>
      <c r="K46" s="218">
        <f>K14</f>
        <v>2028</v>
      </c>
      <c r="L46" s="218">
        <f>L14</f>
        <v>2029</v>
      </c>
      <c r="M46" s="187"/>
    </row>
    <row r="47" spans="1:21" x14ac:dyDescent="0.25">
      <c r="B47" s="216" t="str">
        <f>B15</f>
        <v>Fiscal year end date</v>
      </c>
      <c r="C47" s="220">
        <f>C15</f>
        <v>42277</v>
      </c>
      <c r="D47" s="220">
        <f>D15</f>
        <v>42643</v>
      </c>
      <c r="E47" s="220">
        <f>E15</f>
        <v>43008</v>
      </c>
      <c r="F47" s="220">
        <f>F15</f>
        <v>43372</v>
      </c>
      <c r="G47" s="220">
        <f>G15</f>
        <v>45657</v>
      </c>
      <c r="H47" s="220">
        <f>H15</f>
        <v>46022</v>
      </c>
      <c r="I47" s="220">
        <f>I15</f>
        <v>46387</v>
      </c>
      <c r="J47" s="220">
        <f>J15</f>
        <v>46752</v>
      </c>
      <c r="K47" s="220">
        <f>K15</f>
        <v>47118</v>
      </c>
      <c r="L47" s="220">
        <f>L15</f>
        <v>47483</v>
      </c>
      <c r="M47" s="188"/>
    </row>
    <row r="48" spans="1:21" x14ac:dyDescent="0.25">
      <c r="B48" s="125" t="s">
        <v>188</v>
      </c>
      <c r="C48" s="127"/>
      <c r="D48" s="127"/>
      <c r="E48" s="127"/>
      <c r="F48" s="128"/>
      <c r="G48" s="128"/>
    </row>
    <row r="49" spans="2:15" x14ac:dyDescent="0.25">
      <c r="B49" s="126" t="s">
        <v>220</v>
      </c>
      <c r="C49" s="129">
        <f>6707+4507</f>
        <v>11214</v>
      </c>
      <c r="D49" s="129">
        <f>7116+5298</f>
        <v>12414</v>
      </c>
      <c r="E49" s="129">
        <f>2773+3609</f>
        <v>6382</v>
      </c>
      <c r="F49" s="129">
        <f>8450+2874</f>
        <v>11324</v>
      </c>
      <c r="G49" s="128">
        <f>7849+5451</f>
        <v>13300</v>
      </c>
      <c r="H49" s="26">
        <f>SUM(G49*(1+H39))</f>
        <v>14802.9</v>
      </c>
      <c r="I49" s="26">
        <f t="shared" ref="I49:L49" si="20">SUM(H49*(1+I39))</f>
        <v>16475.627700000001</v>
      </c>
      <c r="J49" s="26">
        <f t="shared" si="20"/>
        <v>18337.373630100003</v>
      </c>
      <c r="K49" s="26">
        <f t="shared" si="20"/>
        <v>20409.496850301304</v>
      </c>
      <c r="L49" s="26">
        <f t="shared" si="20"/>
        <v>22715.769994385351</v>
      </c>
      <c r="M49" s="181"/>
      <c r="N49" t="s">
        <v>221</v>
      </c>
    </row>
    <row r="50" spans="2:15" x14ac:dyDescent="0.25">
      <c r="B50" s="126" t="s">
        <v>189</v>
      </c>
      <c r="C50" s="129">
        <v>4003</v>
      </c>
      <c r="D50" s="129">
        <v>3579</v>
      </c>
      <c r="E50" s="129">
        <v>5643</v>
      </c>
      <c r="F50" s="129">
        <v>3183</v>
      </c>
      <c r="G50" s="128">
        <v>3929</v>
      </c>
      <c r="H50" s="26">
        <f>SUM(G50*(1+H39))</f>
        <v>4372.9769999999999</v>
      </c>
      <c r="I50" s="26">
        <f t="shared" ref="I50:L50" si="21">SUM(H50*(1+I39))</f>
        <v>4867.1234009999998</v>
      </c>
      <c r="J50" s="26">
        <f t="shared" si="21"/>
        <v>5417.1083453129995</v>
      </c>
      <c r="K50" s="26">
        <f t="shared" si="21"/>
        <v>6029.2415883333688</v>
      </c>
      <c r="L50" s="26">
        <f t="shared" si="21"/>
        <v>6710.5458878150394</v>
      </c>
      <c r="M50" s="181"/>
      <c r="N50" t="s">
        <v>221</v>
      </c>
      <c r="O50" s="26"/>
    </row>
    <row r="51" spans="2:15" x14ac:dyDescent="0.25">
      <c r="B51" s="126" t="s">
        <v>46</v>
      </c>
      <c r="C51" s="129">
        <v>2598</v>
      </c>
      <c r="D51" s="129">
        <v>3228</v>
      </c>
      <c r="E51" s="129">
        <v>6341</v>
      </c>
      <c r="F51" s="129">
        <v>6422</v>
      </c>
      <c r="G51" s="128">
        <v>6423</v>
      </c>
      <c r="H51" s="26">
        <f>SUM(G51*H18/G18)</f>
        <v>7148.7990000000009</v>
      </c>
      <c r="I51" s="26">
        <f t="shared" ref="I51:L51" si="22">SUM(H51*I18/H18)</f>
        <v>7956.613287000001</v>
      </c>
      <c r="J51" s="26">
        <f t="shared" si="22"/>
        <v>8855.7105884310004</v>
      </c>
      <c r="K51" s="26">
        <f t="shared" si="22"/>
        <v>9856.4058849237044</v>
      </c>
      <c r="L51" s="26">
        <f t="shared" si="22"/>
        <v>10970.17974992008</v>
      </c>
      <c r="M51" s="181"/>
      <c r="N51" t="s">
        <v>222</v>
      </c>
    </row>
    <row r="52" spans="2:15" x14ac:dyDescent="0.25">
      <c r="B52" s="126" t="s">
        <v>193</v>
      </c>
      <c r="C52" s="129">
        <v>704</v>
      </c>
      <c r="D52" s="129">
        <v>854</v>
      </c>
      <c r="E52" s="129">
        <f>1625+733</f>
        <v>2358</v>
      </c>
      <c r="F52" s="129">
        <f>1194+341</f>
        <v>1535</v>
      </c>
      <c r="G52" s="128">
        <v>1579</v>
      </c>
      <c r="H52" s="26">
        <f>SUM(G52*(1+H39))</f>
        <v>1757.4269999999999</v>
      </c>
      <c r="I52" s="26">
        <f t="shared" ref="I52:L52" si="23">SUM(H52*(1+I39))</f>
        <v>1956.0162509999998</v>
      </c>
      <c r="J52" s="26">
        <f t="shared" si="23"/>
        <v>2177.0460873629995</v>
      </c>
      <c r="K52" s="26">
        <f t="shared" si="23"/>
        <v>2423.0522952350184</v>
      </c>
      <c r="L52" s="26">
        <f t="shared" si="23"/>
        <v>2696.8572045965752</v>
      </c>
      <c r="M52" s="181"/>
      <c r="N52" t="s">
        <v>221</v>
      </c>
    </row>
    <row r="53" spans="2:15" x14ac:dyDescent="0.25">
      <c r="B53" s="130" t="s">
        <v>190</v>
      </c>
      <c r="C53" s="131">
        <f>SUM(C49:C52)</f>
        <v>18519</v>
      </c>
      <c r="D53" s="131">
        <f>SUM(D49:D52)</f>
        <v>20075</v>
      </c>
      <c r="E53" s="131">
        <f>SUM(E49:E52)</f>
        <v>20724</v>
      </c>
      <c r="F53" s="131">
        <f>SUM(F49:F52)</f>
        <v>22464</v>
      </c>
      <c r="G53" s="131">
        <f>SUM(G49:G52)</f>
        <v>25231</v>
      </c>
      <c r="H53" s="139">
        <f>SUM(H49:H52)</f>
        <v>28082.102999999999</v>
      </c>
      <c r="I53" s="139">
        <f>SUM(I49:I52)</f>
        <v>31255.380639000003</v>
      </c>
      <c r="J53" s="139">
        <f>SUM(J49:J52)</f>
        <v>34787.238651207001</v>
      </c>
      <c r="K53" s="139">
        <f>SUM(K49:K52)</f>
        <v>38718.196618793401</v>
      </c>
      <c r="L53" s="139">
        <f>SUM(L49:L52)</f>
        <v>43093.352836717044</v>
      </c>
      <c r="M53" s="189"/>
    </row>
    <row r="54" spans="2:15" ht="15.75" x14ac:dyDescent="0.25">
      <c r="B54" s="125"/>
      <c r="C54" s="132"/>
      <c r="D54" s="132"/>
      <c r="E54" s="132"/>
      <c r="F54" s="133"/>
      <c r="G54" s="134"/>
      <c r="H54" s="36"/>
      <c r="I54" s="36"/>
      <c r="J54" s="36"/>
      <c r="K54" s="36"/>
      <c r="L54" s="36"/>
      <c r="M54" s="190"/>
    </row>
    <row r="55" spans="2:15" ht="15.75" x14ac:dyDescent="0.25">
      <c r="B55" s="125" t="s">
        <v>191</v>
      </c>
      <c r="C55" s="132"/>
      <c r="D55" s="132"/>
      <c r="E55" s="132"/>
      <c r="F55" s="133"/>
      <c r="G55" s="134"/>
      <c r="H55" s="36"/>
      <c r="I55" s="36"/>
      <c r="J55" s="36"/>
      <c r="K55" s="36"/>
      <c r="L55" s="36"/>
      <c r="M55" s="190"/>
    </row>
    <row r="56" spans="2:15" x14ac:dyDescent="0.25">
      <c r="B56" s="126" t="s">
        <v>192</v>
      </c>
      <c r="C56" s="129">
        <v>3711</v>
      </c>
      <c r="D56" s="129">
        <v>4559</v>
      </c>
      <c r="E56" s="129">
        <v>5168</v>
      </c>
      <c r="F56" s="129">
        <v>5042</v>
      </c>
      <c r="G56" s="135">
        <v>4665</v>
      </c>
      <c r="H56" s="181">
        <f>H113</f>
        <v>4774.1428571428569</v>
      </c>
      <c r="I56" s="181">
        <f t="shared" ref="I56:L56" si="24">I113</f>
        <v>5011.1632653061224</v>
      </c>
      <c r="J56" s="181">
        <f t="shared" si="24"/>
        <v>5435.9131078717201</v>
      </c>
      <c r="K56" s="181">
        <f t="shared" si="24"/>
        <v>5965.0798967246974</v>
      </c>
      <c r="L56" s="181">
        <f t="shared" si="24"/>
        <v>6535.8013795080897</v>
      </c>
      <c r="M56" s="181"/>
      <c r="N56" t="s">
        <v>47</v>
      </c>
    </row>
    <row r="57" spans="2:15" x14ac:dyDescent="0.25">
      <c r="B57" s="126" t="s">
        <v>194</v>
      </c>
      <c r="C57" s="129">
        <f>4037+1653+6323+1351</f>
        <v>13364</v>
      </c>
      <c r="D57" s="129">
        <f>6311+1458+7246+1591</f>
        <v>16606</v>
      </c>
      <c r="E57" s="129">
        <f>7729+1200+1882+10508+1803</f>
        <v>23122</v>
      </c>
      <c r="F57" s="129">
        <f>8086+88+1408+10642+3310</f>
        <v>23534</v>
      </c>
      <c r="G57" s="135">
        <f>8053+1244+10799+5162</f>
        <v>25258</v>
      </c>
      <c r="H57" s="26">
        <f>SUM(G57*(1+H39))</f>
        <v>28112.153999999999</v>
      </c>
      <c r="I57" s="26">
        <f>SUM(H57*(1+I39))</f>
        <v>31288.827401999999</v>
      </c>
      <c r="J57" s="26">
        <f>SUM(I57*(1+J39))</f>
        <v>34824.464898425998</v>
      </c>
      <c r="K57" s="26">
        <f>SUM(J57*(1+K39))</f>
        <v>38759.629431948139</v>
      </c>
      <c r="L57" s="26">
        <f>SUM(K57*(1+L39))</f>
        <v>43139.467557758275</v>
      </c>
      <c r="M57" s="181"/>
      <c r="N57" t="s">
        <v>221</v>
      </c>
    </row>
    <row r="58" spans="2:15" x14ac:dyDescent="0.25">
      <c r="B58" s="130" t="s">
        <v>49</v>
      </c>
      <c r="C58" s="136">
        <f>SUM(C56:C57)+C53</f>
        <v>35594</v>
      </c>
      <c r="D58" s="136">
        <f>SUM(D56:D57)+D53</f>
        <v>41240</v>
      </c>
      <c r="E58" s="136">
        <f>SUM(E56:E57)+E53</f>
        <v>49014</v>
      </c>
      <c r="F58" s="136">
        <f>SUM(F56:F57)+F53</f>
        <v>51040</v>
      </c>
      <c r="G58" s="136">
        <f>SUM(G56:G57)+G53</f>
        <v>55154</v>
      </c>
      <c r="H58" s="139">
        <f>SUM(H56:H57)</f>
        <v>32886.296857142857</v>
      </c>
      <c r="I58" s="139">
        <f>SUM(I56:I57)</f>
        <v>36299.99066730612</v>
      </c>
      <c r="J58" s="139">
        <f>SUM(J56:J57)</f>
        <v>40260.378006297717</v>
      </c>
      <c r="K58" s="139">
        <f>SUM(K56:K57)</f>
        <v>44724.709328672834</v>
      </c>
      <c r="L58" s="139">
        <f>SUM(L56:L57)</f>
        <v>49675.268937266366</v>
      </c>
      <c r="M58" s="189"/>
    </row>
    <row r="59" spans="2:15" x14ac:dyDescent="0.25">
      <c r="B59" s="137"/>
      <c r="C59" s="138"/>
      <c r="D59" s="138"/>
      <c r="E59" s="138"/>
      <c r="F59" s="138"/>
      <c r="G59" s="138"/>
      <c r="H59" s="26"/>
      <c r="I59" s="26"/>
      <c r="J59" s="26"/>
      <c r="K59" s="26"/>
      <c r="L59" s="26"/>
      <c r="M59" s="181"/>
    </row>
    <row r="60" spans="2:15" ht="15.75" x14ac:dyDescent="0.25">
      <c r="B60" s="125" t="s">
        <v>195</v>
      </c>
      <c r="C60" s="132"/>
      <c r="D60" s="132"/>
      <c r="E60" s="132"/>
      <c r="F60" s="132"/>
      <c r="G60" s="140"/>
      <c r="H60" s="26"/>
      <c r="I60" s="26"/>
      <c r="J60" s="26"/>
      <c r="K60" s="26"/>
      <c r="L60" s="26"/>
      <c r="M60" s="181"/>
    </row>
    <row r="61" spans="2:15" x14ac:dyDescent="0.25">
      <c r="B61" s="141" t="s">
        <v>196</v>
      </c>
      <c r="C61" s="129">
        <v>2248</v>
      </c>
      <c r="D61" s="129">
        <v>2750</v>
      </c>
      <c r="E61" s="129">
        <v>3796</v>
      </c>
      <c r="F61" s="129">
        <v>1912</v>
      </c>
      <c r="G61" s="135">
        <v>2584</v>
      </c>
      <c r="H61" s="26">
        <f>SUM(G61*H18/G18)</f>
        <v>2875.9920000000002</v>
      </c>
      <c r="I61" s="26">
        <f>SUM(H61*I18/H18)</f>
        <v>3200.979096</v>
      </c>
      <c r="J61" s="26">
        <f>SUM(I61*J18/I18)</f>
        <v>3562.6897338479994</v>
      </c>
      <c r="K61" s="26">
        <f>SUM(J61*K18/J18)</f>
        <v>3965.2736737728237</v>
      </c>
      <c r="L61" s="26">
        <f>SUM(K61*L18/K18)</f>
        <v>4413.3495989091516</v>
      </c>
      <c r="M61" s="181"/>
      <c r="N61" t="s">
        <v>225</v>
      </c>
    </row>
    <row r="62" spans="2:15" x14ac:dyDescent="0.25">
      <c r="B62" s="141" t="s">
        <v>197</v>
      </c>
      <c r="C62" s="129">
        <v>1053</v>
      </c>
      <c r="D62" s="129">
        <v>1531</v>
      </c>
      <c r="E62" s="129">
        <v>1486</v>
      </c>
      <c r="F62" s="129">
        <v>1685</v>
      </c>
      <c r="G62" s="135">
        <v>1834</v>
      </c>
      <c r="H62" s="26">
        <f>G62*(1+H42)</f>
        <v>1963.8702838663312</v>
      </c>
      <c r="I62" s="26">
        <f>H62*(1+I42)</f>
        <v>2102.9370184586828</v>
      </c>
      <c r="J62" s="26">
        <f>I62*(1+J42)</f>
        <v>2251.8514282407141</v>
      </c>
      <c r="K62" s="26">
        <f>J62*(1+K42)</f>
        <v>2411.3108525648281</v>
      </c>
      <c r="L62" s="26">
        <f>K62*(1+L42)</f>
        <v>2582.0620111867252</v>
      </c>
      <c r="M62" s="181"/>
      <c r="N62" t="s">
        <v>224</v>
      </c>
    </row>
    <row r="63" spans="2:15" x14ac:dyDescent="0.25">
      <c r="B63" s="141" t="s">
        <v>198</v>
      </c>
      <c r="C63" s="129">
        <v>568</v>
      </c>
      <c r="D63" s="129">
        <v>612</v>
      </c>
      <c r="E63" s="129">
        <v>369</v>
      </c>
      <c r="F63" s="129">
        <v>293</v>
      </c>
      <c r="G63" s="135">
        <v>297</v>
      </c>
      <c r="H63" s="26">
        <f>G63</f>
        <v>297</v>
      </c>
      <c r="I63" s="26">
        <f t="shared" ref="I63:L63" si="25">H63</f>
        <v>297</v>
      </c>
      <c r="J63" s="26">
        <f t="shared" si="25"/>
        <v>297</v>
      </c>
      <c r="K63" s="26">
        <f t="shared" si="25"/>
        <v>297</v>
      </c>
      <c r="L63" s="26">
        <f t="shared" si="25"/>
        <v>297</v>
      </c>
      <c r="M63" s="181"/>
      <c r="N63" t="s">
        <v>223</v>
      </c>
    </row>
    <row r="64" spans="2:15" x14ac:dyDescent="0.25">
      <c r="B64" s="141" t="s">
        <v>199</v>
      </c>
      <c r="C64" s="129">
        <v>500</v>
      </c>
      <c r="D64" s="129">
        <v>2044</v>
      </c>
      <c r="E64" s="129">
        <v>1945</v>
      </c>
      <c r="F64" s="129">
        <v>914</v>
      </c>
      <c r="G64" s="135">
        <v>1364</v>
      </c>
      <c r="H64" s="181">
        <f ca="1">H165</f>
        <v>1000</v>
      </c>
      <c r="I64" s="181">
        <f t="shared" ref="I64:L64" ca="1" si="26">I165</f>
        <v>1000</v>
      </c>
      <c r="J64" s="181">
        <f t="shared" ca="1" si="26"/>
        <v>1000</v>
      </c>
      <c r="K64" s="181">
        <f t="shared" ca="1" si="26"/>
        <v>1000</v>
      </c>
      <c r="L64" s="181">
        <f t="shared" ca="1" si="26"/>
        <v>1000</v>
      </c>
      <c r="M64" s="181"/>
      <c r="N64" t="s">
        <v>223</v>
      </c>
    </row>
    <row r="65" spans="2:15" x14ac:dyDescent="0.25">
      <c r="B65" s="141" t="s">
        <v>211</v>
      </c>
      <c r="C65" s="129">
        <v>4303</v>
      </c>
      <c r="D65" s="129">
        <v>5014</v>
      </c>
      <c r="E65" s="129">
        <f>3689+581</f>
        <v>4270</v>
      </c>
      <c r="F65" s="129">
        <f>4491+333</f>
        <v>4824</v>
      </c>
      <c r="G65" s="135">
        <v>4425</v>
      </c>
      <c r="H65" s="26">
        <f>G65</f>
        <v>4425</v>
      </c>
      <c r="I65" s="26">
        <f t="shared" ref="I65:L65" si="27">H65</f>
        <v>4425</v>
      </c>
      <c r="J65" s="26">
        <f t="shared" si="27"/>
        <v>4425</v>
      </c>
      <c r="K65" s="26">
        <f t="shared" si="27"/>
        <v>4425</v>
      </c>
      <c r="L65" s="26">
        <f t="shared" si="27"/>
        <v>4425</v>
      </c>
      <c r="M65" s="181"/>
      <c r="N65" t="s">
        <v>223</v>
      </c>
    </row>
    <row r="66" spans="2:15" x14ac:dyDescent="0.25">
      <c r="B66" s="130" t="s">
        <v>200</v>
      </c>
      <c r="C66" s="139">
        <f t="shared" ref="C66:K66" si="28">SUM(C61:C65)</f>
        <v>8672</v>
      </c>
      <c r="D66" s="139">
        <f t="shared" si="28"/>
        <v>11951</v>
      </c>
      <c r="E66" s="139">
        <f t="shared" si="28"/>
        <v>11866</v>
      </c>
      <c r="F66" s="139">
        <f t="shared" si="28"/>
        <v>9628</v>
      </c>
      <c r="G66" s="139">
        <f t="shared" si="28"/>
        <v>10504</v>
      </c>
      <c r="H66" s="139">
        <f t="shared" ca="1" si="28"/>
        <v>10561.862283866332</v>
      </c>
      <c r="I66" s="139">
        <f t="shared" ca="1" si="28"/>
        <v>11025.916114458683</v>
      </c>
      <c r="J66" s="139">
        <f t="shared" ca="1" si="28"/>
        <v>11536.541162088713</v>
      </c>
      <c r="K66" s="139">
        <f t="shared" ca="1" si="28"/>
        <v>12098.584526337652</v>
      </c>
      <c r="L66" s="139">
        <f ca="1">SUM(L61:L65)</f>
        <v>12717.411610095876</v>
      </c>
      <c r="M66" s="189"/>
    </row>
    <row r="67" spans="2:15" ht="15.75" x14ac:dyDescent="0.25">
      <c r="B67" s="125"/>
      <c r="C67" s="143"/>
      <c r="D67" s="143"/>
      <c r="E67" s="143"/>
      <c r="F67" s="144"/>
      <c r="G67" s="134"/>
      <c r="H67" s="26"/>
      <c r="I67" s="26"/>
      <c r="J67" s="26"/>
      <c r="K67" s="26"/>
      <c r="L67" s="26"/>
      <c r="M67" s="181"/>
    </row>
    <row r="68" spans="2:15" ht="15.75" x14ac:dyDescent="0.25">
      <c r="B68" s="125" t="s">
        <v>201</v>
      </c>
      <c r="C68" s="143"/>
      <c r="D68" s="143"/>
      <c r="E68" s="143"/>
      <c r="F68" s="144"/>
      <c r="G68" s="134"/>
      <c r="H68" s="26"/>
      <c r="I68" s="26"/>
      <c r="J68" s="26"/>
      <c r="K68" s="26"/>
      <c r="L68" s="26"/>
      <c r="M68" s="181"/>
    </row>
    <row r="69" spans="2:15" x14ac:dyDescent="0.25">
      <c r="B69" s="126" t="s">
        <v>198</v>
      </c>
      <c r="C69" s="145">
        <v>761</v>
      </c>
      <c r="D69" s="145">
        <v>364</v>
      </c>
      <c r="E69" s="145">
        <v>144</v>
      </c>
      <c r="F69" s="145">
        <v>99</v>
      </c>
      <c r="G69" s="146">
        <v>88</v>
      </c>
      <c r="H69" s="26">
        <f>G69*(1+H39)</f>
        <v>97.944000000000003</v>
      </c>
      <c r="I69" s="26">
        <f>H69*(1+I39)</f>
        <v>109.011672</v>
      </c>
      <c r="J69" s="26">
        <f>I69*(1+J39)</f>
        <v>121.329990936</v>
      </c>
      <c r="K69" s="26">
        <f>J69*(1+K39)</f>
        <v>135.04027991176801</v>
      </c>
      <c r="L69" s="26">
        <f>K69*(1+L39)</f>
        <v>150.2998315417978</v>
      </c>
      <c r="M69" s="181"/>
      <c r="N69" t="s">
        <v>221</v>
      </c>
      <c r="O69" s="26"/>
    </row>
    <row r="70" spans="2:15" x14ac:dyDescent="0.25">
      <c r="B70" s="141" t="s">
        <v>202</v>
      </c>
      <c r="C70" s="145">
        <v>15226</v>
      </c>
      <c r="D70" s="145">
        <v>13701</v>
      </c>
      <c r="E70" s="145">
        <v>13537</v>
      </c>
      <c r="F70" s="145">
        <v>14484</v>
      </c>
      <c r="G70" s="146">
        <v>13270</v>
      </c>
      <c r="H70" s="26">
        <f>G70</f>
        <v>13270</v>
      </c>
      <c r="I70" s="26">
        <f>H70</f>
        <v>13270</v>
      </c>
      <c r="J70" s="26">
        <f t="shared" ref="J70:L70" si="29">I70</f>
        <v>13270</v>
      </c>
      <c r="K70" s="26">
        <f t="shared" si="29"/>
        <v>13270</v>
      </c>
      <c r="L70" s="26">
        <f t="shared" si="29"/>
        <v>13270</v>
      </c>
      <c r="M70" s="181"/>
      <c r="N70" t="s">
        <v>223</v>
      </c>
    </row>
    <row r="71" spans="2:15" x14ac:dyDescent="0.25">
      <c r="B71" s="141" t="s">
        <v>210</v>
      </c>
      <c r="C71" s="145">
        <f>2986+1872</f>
        <v>4858</v>
      </c>
      <c r="D71" s="145">
        <f>3561+1713</f>
        <v>5274</v>
      </c>
      <c r="E71" s="145">
        <f>3863+119+1472</f>
        <v>5454</v>
      </c>
      <c r="F71" s="145">
        <f>5210+38</f>
        <v>5248</v>
      </c>
      <c r="G71" s="146">
        <v>5018</v>
      </c>
      <c r="H71" s="26">
        <f>G71*(1+H39)</f>
        <v>5585.0339999999997</v>
      </c>
      <c r="I71" s="26">
        <f>H71*(1+I39)</f>
        <v>6216.1428419999993</v>
      </c>
      <c r="J71" s="26">
        <f>I71*(1+J39)</f>
        <v>6918.5669831459991</v>
      </c>
      <c r="K71" s="26">
        <f>J71*(1+K39)</f>
        <v>7700.3650522414973</v>
      </c>
      <c r="L71" s="26">
        <f>K71*(1+L39)</f>
        <v>8570.5063031447862</v>
      </c>
      <c r="M71" s="191"/>
      <c r="N71" t="s">
        <v>221</v>
      </c>
    </row>
    <row r="72" spans="2:15" x14ac:dyDescent="0.25">
      <c r="B72" s="130" t="s">
        <v>203</v>
      </c>
      <c r="C72" s="131">
        <f>SUM(C69:C71)+C66</f>
        <v>29517</v>
      </c>
      <c r="D72" s="131">
        <f>SUM(D69:D71)+D66</f>
        <v>31290</v>
      </c>
      <c r="E72" s="131">
        <f>SUM(E69:E71)+E66</f>
        <v>31001</v>
      </c>
      <c r="F72" s="131">
        <f>SUM(F69:F71)+F66</f>
        <v>29459</v>
      </c>
      <c r="G72" s="131">
        <f>SUM(G69:G71)+G66</f>
        <v>28880</v>
      </c>
      <c r="H72" s="131">
        <f ca="1">SUM(H69:H71)+H66</f>
        <v>29514.840283866331</v>
      </c>
      <c r="I72" s="131">
        <f ca="1">SUM(I69:I71)+I66</f>
        <v>30621.070628458685</v>
      </c>
      <c r="J72" s="131">
        <f ca="1">SUM(J69:J71)+J66</f>
        <v>31846.438136170713</v>
      </c>
      <c r="K72" s="131">
        <f ca="1">SUM(K69:K71)+K66</f>
        <v>33203.989858490917</v>
      </c>
      <c r="L72" s="131">
        <f ca="1">SUM(L69:L71)+L66</f>
        <v>34708.217744782458</v>
      </c>
      <c r="M72" s="192"/>
    </row>
    <row r="73" spans="2:15" x14ac:dyDescent="0.25">
      <c r="B73" s="137"/>
      <c r="C73" s="147"/>
      <c r="D73" s="147"/>
      <c r="E73" s="147"/>
      <c r="F73" s="147"/>
      <c r="G73" s="147"/>
      <c r="H73" s="26"/>
      <c r="I73" s="26"/>
      <c r="J73" s="26"/>
      <c r="K73" s="26"/>
      <c r="L73" s="26"/>
      <c r="M73" s="181"/>
    </row>
    <row r="74" spans="2:15" x14ac:dyDescent="0.25">
      <c r="B74" s="125" t="s">
        <v>204</v>
      </c>
      <c r="C74" s="148"/>
      <c r="D74" s="148"/>
      <c r="E74" s="148"/>
      <c r="F74" s="149"/>
      <c r="G74" s="128"/>
      <c r="H74" s="26"/>
      <c r="I74" s="26"/>
      <c r="J74" s="26"/>
      <c r="K74" s="26"/>
      <c r="L74" s="26"/>
      <c r="M74" s="181"/>
    </row>
    <row r="75" spans="2:15" x14ac:dyDescent="0.25">
      <c r="B75" s="141" t="s">
        <v>205</v>
      </c>
      <c r="C75" s="135">
        <v>586</v>
      </c>
      <c r="D75" s="135">
        <v>0</v>
      </c>
      <c r="E75" s="135">
        <v>195</v>
      </c>
      <c r="F75" s="135">
        <v>490</v>
      </c>
      <c r="G75" s="142">
        <v>0</v>
      </c>
      <c r="H75" s="26">
        <f>G75+H35</f>
        <v>3079.6709999999998</v>
      </c>
      <c r="I75" s="26">
        <f>H75+I35</f>
        <v>6507.3448229999995</v>
      </c>
      <c r="J75" s="26">
        <f>I75+J35</f>
        <v>10322.345787998998</v>
      </c>
      <c r="K75" s="26">
        <f>J75+K35</f>
        <v>14568.441862042884</v>
      </c>
      <c r="L75" s="26">
        <f>K75+L35</f>
        <v>19294.346792453729</v>
      </c>
      <c r="M75" s="181"/>
      <c r="N75" t="s">
        <v>51</v>
      </c>
    </row>
    <row r="76" spans="2:15" ht="15.75" customHeight="1" x14ac:dyDescent="0.25">
      <c r="B76" s="141" t="s">
        <v>206</v>
      </c>
      <c r="C76" s="135">
        <v>5284</v>
      </c>
      <c r="D76" s="135">
        <v>9822</v>
      </c>
      <c r="E76" s="135">
        <v>17840</v>
      </c>
      <c r="F76" s="135">
        <v>20733</v>
      </c>
      <c r="G76" s="135">
        <v>25687</v>
      </c>
      <c r="H76" s="181">
        <f>H150</f>
        <v>29702.888245524748</v>
      </c>
      <c r="I76" s="181">
        <f t="shared" ref="I76:L76" si="30">I150</f>
        <v>34464.190510386368</v>
      </c>
      <c r="J76" s="181">
        <f t="shared" si="30"/>
        <v>40055.138578769926</v>
      </c>
      <c r="K76" s="181">
        <f t="shared" si="30"/>
        <v>46569.482426473405</v>
      </c>
      <c r="L76" s="181">
        <f t="shared" si="30"/>
        <v>54111.565776559961</v>
      </c>
      <c r="M76" s="181"/>
      <c r="N76" t="s">
        <v>52</v>
      </c>
      <c r="O76" s="26"/>
    </row>
    <row r="77" spans="2:15" ht="15.75" customHeight="1" x14ac:dyDescent="0.25">
      <c r="B77" s="141" t="s">
        <v>207</v>
      </c>
      <c r="C77" s="129">
        <v>207</v>
      </c>
      <c r="D77" s="129">
        <v>128</v>
      </c>
      <c r="E77" s="129">
        <v>-22</v>
      </c>
      <c r="F77" s="129">
        <v>358</v>
      </c>
      <c r="G77" s="150">
        <v>587</v>
      </c>
      <c r="H77" s="26">
        <f>G77</f>
        <v>587</v>
      </c>
      <c r="I77" s="26">
        <f>H77</f>
        <v>587</v>
      </c>
      <c r="J77" s="26">
        <f>I77</f>
        <v>587</v>
      </c>
      <c r="K77" s="26">
        <f>J77</f>
        <v>587</v>
      </c>
      <c r="L77" s="26">
        <f>K77</f>
        <v>587</v>
      </c>
      <c r="M77" s="181"/>
      <c r="N77" t="s">
        <v>223</v>
      </c>
    </row>
    <row r="78" spans="2:15" x14ac:dyDescent="0.25">
      <c r="B78" s="130" t="s">
        <v>208</v>
      </c>
      <c r="C78" s="151">
        <f>SUM(C75:C77)</f>
        <v>6077</v>
      </c>
      <c r="D78" s="151">
        <f>SUM(D75:D77)</f>
        <v>9950</v>
      </c>
      <c r="E78" s="151">
        <f>SUM(E75:E77)</f>
        <v>18013</v>
      </c>
      <c r="F78" s="151">
        <f>SUM(F75:F77)</f>
        <v>21581</v>
      </c>
      <c r="G78" s="151">
        <f>SUM(G75:G77)</f>
        <v>26274</v>
      </c>
      <c r="H78" s="151">
        <f>SUM(H75:H77)</f>
        <v>33369.559245524746</v>
      </c>
      <c r="I78" s="151">
        <f>SUM(I75:I77)</f>
        <v>41558.535333386368</v>
      </c>
      <c r="J78" s="151">
        <f>SUM(J75:J77)</f>
        <v>50964.484366768927</v>
      </c>
      <c r="K78" s="151">
        <f>SUM(K75:K77)</f>
        <v>61724.924288516289</v>
      </c>
      <c r="L78" s="151">
        <f>SUM(L75:L77)</f>
        <v>73992.912569013686</v>
      </c>
      <c r="M78" s="193"/>
    </row>
    <row r="79" spans="2:15" x14ac:dyDescent="0.25">
      <c r="B79" s="152" t="s">
        <v>209</v>
      </c>
      <c r="C79" s="153">
        <f>SUM(C78+C72)</f>
        <v>35594</v>
      </c>
      <c r="D79" s="153">
        <f>SUM(D78+D72)</f>
        <v>41240</v>
      </c>
      <c r="E79" s="153">
        <f>SUM(E78+E72)</f>
        <v>49014</v>
      </c>
      <c r="F79" s="153">
        <f>SUM(F78+F72)</f>
        <v>51040</v>
      </c>
      <c r="G79" s="153">
        <f>SUM(G78+G72)</f>
        <v>55154</v>
      </c>
      <c r="H79" s="153">
        <f t="shared" ref="H79:L79" ca="1" si="31">SUM(H78+H72)</f>
        <v>62884.399529391078</v>
      </c>
      <c r="I79" s="153">
        <f t="shared" ca="1" si="31"/>
        <v>72179.605961845053</v>
      </c>
      <c r="J79" s="153">
        <f t="shared" ca="1" si="31"/>
        <v>82810.922502939648</v>
      </c>
      <c r="K79" s="153">
        <f t="shared" ca="1" si="31"/>
        <v>94928.914147007206</v>
      </c>
      <c r="L79" s="153">
        <f t="shared" ca="1" si="31"/>
        <v>108701.13031379614</v>
      </c>
      <c r="M79" s="194"/>
    </row>
    <row r="80" spans="2:15" x14ac:dyDescent="0.25">
      <c r="B80" s="152"/>
      <c r="C80" s="153"/>
      <c r="D80" s="153"/>
      <c r="E80" s="153"/>
      <c r="F80" s="153"/>
      <c r="G80" s="153"/>
    </row>
    <row r="81" spans="1:14" x14ac:dyDescent="0.25">
      <c r="B81" s="16" t="s">
        <v>53</v>
      </c>
      <c r="C81" s="37">
        <f>ROUND(C58-C72-C78,3)</f>
        <v>0</v>
      </c>
      <c r="D81" s="37">
        <f>ROUND(D58-D72-D78,3)</f>
        <v>0</v>
      </c>
      <c r="E81" s="37">
        <f>ROUND(E58-E72-E78,3)</f>
        <v>0</v>
      </c>
      <c r="F81" s="37">
        <f>ROUND(F58-F72-F78,3)</f>
        <v>0</v>
      </c>
      <c r="G81" s="37">
        <f>ROUND(G58-G72-G78,3)</f>
        <v>0</v>
      </c>
      <c r="H81" s="37">
        <f ca="1">ROUND(H58-H72-H78,3)</f>
        <v>-29998.102999999999</v>
      </c>
      <c r="I81" s="37">
        <f ca="1">ROUND(I58-I72-I78,3)</f>
        <v>-35879.614999999998</v>
      </c>
      <c r="J81" s="37">
        <f ca="1">ROUND(J58-J72-J78,3)</f>
        <v>-42550.544000000002</v>
      </c>
      <c r="K81" s="37">
        <f ca="1">ROUND(K58-K72-K78,3)</f>
        <v>-50204.205000000002</v>
      </c>
      <c r="L81" s="37">
        <f ca="1">ROUND(L58-L72-L78,3)</f>
        <v>-59025.860999999997</v>
      </c>
      <c r="M81" s="195"/>
    </row>
    <row r="82" spans="1:14" x14ac:dyDescent="0.25">
      <c r="F82" s="26"/>
      <c r="G82" s="26"/>
      <c r="I82" s="26"/>
      <c r="J82" s="26"/>
      <c r="K82" s="26"/>
      <c r="L82" s="26"/>
      <c r="M82" s="181"/>
    </row>
    <row r="83" spans="1:14" x14ac:dyDescent="0.25">
      <c r="A83" t="s">
        <v>226</v>
      </c>
      <c r="B83" s="171" t="s">
        <v>54</v>
      </c>
      <c r="C83" s="171"/>
      <c r="D83" s="171"/>
      <c r="E83" s="220"/>
      <c r="F83" s="220"/>
      <c r="G83" s="220"/>
      <c r="H83" s="220"/>
      <c r="I83" s="220"/>
      <c r="J83" s="220"/>
      <c r="K83" s="220"/>
      <c r="L83" s="220"/>
      <c r="M83" s="177"/>
    </row>
    <row r="84" spans="1:14" x14ac:dyDescent="0.25">
      <c r="B84" s="224" t="str">
        <f>B14</f>
        <v xml:space="preserve">Fiscal year  </v>
      </c>
      <c r="C84" s="218">
        <f>C14</f>
        <v>2020</v>
      </c>
      <c r="D84" s="218">
        <f>D14</f>
        <v>2021</v>
      </c>
      <c r="E84" s="218">
        <f>E14</f>
        <v>2022</v>
      </c>
      <c r="F84" s="218">
        <f>F14</f>
        <v>2023</v>
      </c>
      <c r="G84" s="218">
        <f>G14</f>
        <v>2024</v>
      </c>
      <c r="H84" s="218">
        <f>H14</f>
        <v>2025</v>
      </c>
      <c r="I84" s="218">
        <f>I14</f>
        <v>2026</v>
      </c>
      <c r="J84" s="218">
        <f>J14</f>
        <v>2027</v>
      </c>
      <c r="K84" s="218">
        <f>K14</f>
        <v>2028</v>
      </c>
      <c r="L84" s="218">
        <f>L14</f>
        <v>2029</v>
      </c>
      <c r="M84" s="187"/>
    </row>
    <row r="85" spans="1:14" x14ac:dyDescent="0.25">
      <c r="B85" s="216" t="str">
        <f>B15</f>
        <v>Fiscal year end date</v>
      </c>
      <c r="C85" s="220">
        <f>C15</f>
        <v>42277</v>
      </c>
      <c r="D85" s="220">
        <f>D15</f>
        <v>42643</v>
      </c>
      <c r="E85" s="220">
        <f>E15</f>
        <v>43008</v>
      </c>
      <c r="F85" s="220">
        <f>F15</f>
        <v>43372</v>
      </c>
      <c r="G85" s="220">
        <f>G15</f>
        <v>45657</v>
      </c>
      <c r="H85" s="220">
        <f>H15</f>
        <v>46022</v>
      </c>
      <c r="I85" s="220">
        <f>I15</f>
        <v>46387</v>
      </c>
      <c r="J85" s="220">
        <f>J15</f>
        <v>46752</v>
      </c>
      <c r="K85" s="220">
        <f>K15</f>
        <v>47118</v>
      </c>
      <c r="L85" s="220">
        <f>L15</f>
        <v>47483</v>
      </c>
      <c r="M85" s="188"/>
    </row>
    <row r="87" spans="1:14" x14ac:dyDescent="0.25">
      <c r="B87" t="s">
        <v>29</v>
      </c>
      <c r="C87" s="26">
        <f>C31</f>
        <v>5198</v>
      </c>
      <c r="D87" s="26">
        <f>D31</f>
        <v>9043</v>
      </c>
      <c r="E87" s="26">
        <f>E31</f>
        <v>12936</v>
      </c>
      <c r="F87" s="26">
        <f>F31</f>
        <v>7232</v>
      </c>
      <c r="G87" s="26">
        <f>G31</f>
        <v>10142</v>
      </c>
      <c r="H87" s="26">
        <f>H31</f>
        <v>10779.291207642091</v>
      </c>
      <c r="I87" s="26">
        <f>I31</f>
        <v>11970.21574830286</v>
      </c>
      <c r="J87" s="26">
        <f>J31</f>
        <v>13295.714762058298</v>
      </c>
      <c r="K87" s="26">
        <f>K31</f>
        <v>14770.995164368094</v>
      </c>
      <c r="L87" s="26">
        <f>L31</f>
        <v>16412.982252138911</v>
      </c>
      <c r="M87" s="181"/>
      <c r="N87" s="23"/>
    </row>
    <row r="88" spans="1:14" x14ac:dyDescent="0.25">
      <c r="B88" t="s">
        <v>55</v>
      </c>
      <c r="C88" s="181">
        <f>C33</f>
        <v>1393</v>
      </c>
      <c r="D88" s="181">
        <f>D33</f>
        <v>1582</v>
      </c>
      <c r="E88" s="181">
        <f>E33</f>
        <v>1762</v>
      </c>
      <c r="F88" s="181">
        <f>F33</f>
        <v>1809</v>
      </c>
      <c r="G88" s="181">
        <f>G33</f>
        <v>1706</v>
      </c>
      <c r="H88" s="181">
        <f>H33</f>
        <v>1857.4351428571426</v>
      </c>
      <c r="I88" s="181">
        <f>I33</f>
        <v>1760.0429058367347</v>
      </c>
      <c r="J88" s="181">
        <f>J33</f>
        <v>1797.9816259164022</v>
      </c>
      <c r="K88" s="181">
        <f>K33</f>
        <v>1944.733335567488</v>
      </c>
      <c r="L88" s="181">
        <f>L33</f>
        <v>2182.729355696586</v>
      </c>
      <c r="M88" s="181"/>
      <c r="N88" t="s">
        <v>56</v>
      </c>
    </row>
    <row r="89" spans="1:14" x14ac:dyDescent="0.25">
      <c r="B89" t="s">
        <v>35</v>
      </c>
      <c r="C89" s="26">
        <f>C35</f>
        <v>1301</v>
      </c>
      <c r="D89" s="26">
        <f>D35</f>
        <v>1754</v>
      </c>
      <c r="E89" s="26">
        <f>E35</f>
        <v>2119</v>
      </c>
      <c r="F89" s="26">
        <f>F35</f>
        <v>2600</v>
      </c>
      <c r="G89" s="26">
        <f>G35</f>
        <v>2767</v>
      </c>
      <c r="H89" s="26">
        <f>H35</f>
        <v>3079.6709999999998</v>
      </c>
      <c r="I89" s="26">
        <f>I35</f>
        <v>3427.6738229999996</v>
      </c>
      <c r="J89" s="26">
        <f>J35</f>
        <v>3815.0009649989997</v>
      </c>
      <c r="K89" s="26">
        <f>K35</f>
        <v>4246.0960740438868</v>
      </c>
      <c r="L89" s="26">
        <f>L35</f>
        <v>4725.9049304108457</v>
      </c>
      <c r="M89" s="181"/>
    </row>
    <row r="90" spans="1:14" x14ac:dyDescent="0.25">
      <c r="B90" t="s">
        <v>57</v>
      </c>
      <c r="C90" s="26"/>
      <c r="D90" s="26">
        <f>SUM(C49:C52)-SUM(D49:D52)</f>
        <v>-1556</v>
      </c>
      <c r="E90" s="26">
        <f>SUM(D49:D52)-SUM(E49:E52)</f>
        <v>-649</v>
      </c>
      <c r="F90" s="26">
        <f>SUM(E49:E52)-SUM(F49:F52)</f>
        <v>-1740</v>
      </c>
      <c r="G90" s="26">
        <f>SUM(F49:F52)-SUM(G49:G52)</f>
        <v>-2767</v>
      </c>
      <c r="H90" s="26">
        <f>SUM(G49:G52)-SUM(H49:H52)</f>
        <v>-2851.1029999999992</v>
      </c>
      <c r="I90" s="26">
        <f>SUM(H49:H52)-SUM(I49:I52)</f>
        <v>-3173.2776390000035</v>
      </c>
      <c r="J90" s="26">
        <f>SUM(I49:I52)-SUM(J49:J52)</f>
        <v>-3531.858012206998</v>
      </c>
      <c r="K90" s="26">
        <f>SUM(J49:J52)-SUM(K49:K52)</f>
        <v>-3930.9579675864006</v>
      </c>
      <c r="L90" s="26">
        <f>SUM(K49:K52)-SUM(L49:L52)</f>
        <v>-4375.1562179236425</v>
      </c>
      <c r="M90" s="181"/>
    </row>
    <row r="91" spans="1:14" x14ac:dyDescent="0.25">
      <c r="B91" t="s">
        <v>58</v>
      </c>
      <c r="C91" s="26">
        <f>SUM(C61:C65)-SUM(B61:B65)</f>
        <v>8672</v>
      </c>
      <c r="D91" s="26">
        <f>SUM(D61:D65)-SUM(C61:C65)</f>
        <v>3279</v>
      </c>
      <c r="E91" s="26">
        <f>SUM(E61:E65)-SUM(D61:D65)</f>
        <v>-85</v>
      </c>
      <c r="F91" s="26">
        <f>SUM(F61:F65)-SUM(E61:E65)</f>
        <v>-2238</v>
      </c>
      <c r="G91" s="26">
        <f>SUM(G61:G65)-SUM(F61:F65)</f>
        <v>876</v>
      </c>
      <c r="H91" s="26">
        <f ca="1">SUM(H61:H65)-SUM(G61:G65)</f>
        <v>57.862283866332291</v>
      </c>
      <c r="I91" s="26">
        <f ca="1">SUM(I61:I65)-SUM(H61:H65)</f>
        <v>464.05383059235101</v>
      </c>
      <c r="J91" s="26">
        <f ca="1">SUM(J61:J65)-SUM(I61:I65)</f>
        <v>510.62504763003017</v>
      </c>
      <c r="K91" s="26">
        <f ca="1">SUM(K61:K65)-SUM(J61:J65)</f>
        <v>562.04336424893881</v>
      </c>
      <c r="L91" s="26">
        <f ca="1">SUM(L61:L65)-SUM(K61:K65)</f>
        <v>618.82708375822403</v>
      </c>
      <c r="M91" s="181"/>
    </row>
    <row r="92" spans="1:14" x14ac:dyDescent="0.25">
      <c r="B92" t="s">
        <v>48</v>
      </c>
      <c r="C92" s="194"/>
      <c r="D92" s="194">
        <f t="shared" ref="D92:F92" si="32">-D142</f>
        <v>-3824</v>
      </c>
      <c r="E92" s="194">
        <f t="shared" si="32"/>
        <v>-6978</v>
      </c>
      <c r="F92" s="194">
        <f t="shared" si="32"/>
        <v>-821</v>
      </c>
      <c r="G92" s="194">
        <f t="shared" ref="G92:K92" si="33">-G142</f>
        <v>-2030</v>
      </c>
      <c r="H92" s="194">
        <f t="shared" si="33"/>
        <v>-3194.732</v>
      </c>
      <c r="I92" s="194">
        <f t="shared" si="33"/>
        <v>-3555.7367159999994</v>
      </c>
      <c r="J92" s="194">
        <f t="shared" si="33"/>
        <v>-3957.5349649079981</v>
      </c>
      <c r="K92" s="194">
        <f t="shared" si="33"/>
        <v>-4404.736415942607</v>
      </c>
      <c r="L92" s="194">
        <f>-L142</f>
        <v>-4902.4716309441137</v>
      </c>
      <c r="M92" s="181"/>
      <c r="N92" t="s">
        <v>59</v>
      </c>
    </row>
    <row r="93" spans="1:14" x14ac:dyDescent="0.25">
      <c r="B93" t="s">
        <v>50</v>
      </c>
      <c r="C93" s="26"/>
      <c r="D93" s="26">
        <f t="shared" ref="D93:G93" si="34">D71-C71</f>
        <v>416</v>
      </c>
      <c r="E93" s="26">
        <f t="shared" si="34"/>
        <v>180</v>
      </c>
      <c r="F93" s="26">
        <f t="shared" si="34"/>
        <v>-206</v>
      </c>
      <c r="G93" s="26">
        <f t="shared" si="34"/>
        <v>-230</v>
      </c>
      <c r="H93" s="26">
        <f>H71-G71</f>
        <v>567.03399999999965</v>
      </c>
      <c r="I93" s="26">
        <f t="shared" ref="I93:L93" si="35">I71-H71</f>
        <v>631.10884199999964</v>
      </c>
      <c r="J93" s="26">
        <f t="shared" si="35"/>
        <v>702.42414114599978</v>
      </c>
      <c r="K93" s="26">
        <f t="shared" si="35"/>
        <v>781.79806909549825</v>
      </c>
      <c r="L93" s="26">
        <f t="shared" si="35"/>
        <v>870.14125090328889</v>
      </c>
      <c r="M93" s="181"/>
      <c r="N93" s="23"/>
    </row>
    <row r="94" spans="1:14" x14ac:dyDescent="0.25">
      <c r="B94" s="120" t="s">
        <v>60</v>
      </c>
      <c r="C94" s="139">
        <f t="shared" ref="C94:G94" si="36">SUM(C87:C93)</f>
        <v>16564</v>
      </c>
      <c r="D94" s="139">
        <f t="shared" si="36"/>
        <v>10694</v>
      </c>
      <c r="E94" s="139">
        <f t="shared" si="36"/>
        <v>9285</v>
      </c>
      <c r="F94" s="139">
        <f t="shared" si="36"/>
        <v>6636</v>
      </c>
      <c r="G94" s="139">
        <f t="shared" si="36"/>
        <v>10464</v>
      </c>
      <c r="H94" s="139">
        <f ca="1">SUM(H87:H93)</f>
        <v>10295.458634365566</v>
      </c>
      <c r="I94" s="139">
        <f ca="1">SUM(I87:I93)</f>
        <v>11524.080794731943</v>
      </c>
      <c r="J94" s="139">
        <f ca="1">SUM(J87:J93)</f>
        <v>12632.353564634734</v>
      </c>
      <c r="K94" s="139">
        <f ca="1">SUM(K87:K93)</f>
        <v>13969.9716237949</v>
      </c>
      <c r="L94" s="139">
        <f ca="1">SUM(L87:L93)</f>
        <v>15532.957024040097</v>
      </c>
      <c r="M94" s="189"/>
    </row>
    <row r="95" spans="1:14" x14ac:dyDescent="0.25">
      <c r="H95" s="26"/>
      <c r="I95" s="26"/>
      <c r="J95" s="26"/>
      <c r="K95" s="26"/>
      <c r="L95" s="26"/>
      <c r="M95" s="181"/>
    </row>
    <row r="96" spans="1:14" x14ac:dyDescent="0.25">
      <c r="B96" t="s">
        <v>61</v>
      </c>
      <c r="C96" s="165">
        <v>-1407</v>
      </c>
      <c r="D96" s="165">
        <v>-1888</v>
      </c>
      <c r="E96" s="165">
        <v>-2262</v>
      </c>
      <c r="F96" s="165">
        <v>-1450</v>
      </c>
      <c r="G96" s="165">
        <v>-1041</v>
      </c>
      <c r="H96" s="165">
        <f>-H111</f>
        <v>-1626</v>
      </c>
      <c r="I96" s="165">
        <f t="shared" ref="I96:L96" si="37">-I111</f>
        <v>-1618</v>
      </c>
      <c r="J96" s="165">
        <f t="shared" si="37"/>
        <v>-1800.8340000000001</v>
      </c>
      <c r="K96" s="165">
        <f t="shared" si="37"/>
        <v>-2004.328242</v>
      </c>
      <c r="L96" s="165">
        <f t="shared" si="37"/>
        <v>-2230.8173333459999</v>
      </c>
      <c r="M96" s="181"/>
      <c r="N96" t="s">
        <v>47</v>
      </c>
    </row>
    <row r="97" spans="1:14" x14ac:dyDescent="0.25">
      <c r="B97" s="139" t="str">
        <f>IFERROR(B96,"NA")</f>
        <v>Capital expenditures</v>
      </c>
      <c r="C97" s="139">
        <f>IFERROR(C96,"NA")</f>
        <v>-1407</v>
      </c>
      <c r="D97" s="139">
        <f>IFERROR(D96,"NA")</f>
        <v>-1888</v>
      </c>
      <c r="E97" s="139">
        <f>IFERROR(E96,"NA")</f>
        <v>-2262</v>
      </c>
      <c r="F97" s="139">
        <f>IFERROR(F96,"NA")</f>
        <v>-1450</v>
      </c>
      <c r="G97" s="139">
        <f>IFERROR(G96,"NA")</f>
        <v>-1041</v>
      </c>
      <c r="H97" s="139">
        <f>IFERROR(H96,"NA")</f>
        <v>-1626</v>
      </c>
      <c r="I97" s="139">
        <f>IFERROR(I96,"NA")</f>
        <v>-1618</v>
      </c>
      <c r="J97" s="139">
        <f>IFERROR(J96,"NA")</f>
        <v>-1800.8340000000001</v>
      </c>
      <c r="K97" s="139">
        <f>IFERROR(K96,"NA")</f>
        <v>-2004.328242</v>
      </c>
      <c r="L97" s="139">
        <f>IFERROR(L96,"NA")</f>
        <v>-2230.8173333459999</v>
      </c>
      <c r="M97" s="189"/>
    </row>
    <row r="98" spans="1:14" x14ac:dyDescent="0.25">
      <c r="H98" s="26"/>
      <c r="I98" s="26"/>
      <c r="J98" s="26"/>
      <c r="K98" s="26"/>
      <c r="L98" s="26"/>
      <c r="M98" s="181"/>
    </row>
    <row r="99" spans="1:14" x14ac:dyDescent="0.25">
      <c r="B99" t="s">
        <v>62</v>
      </c>
      <c r="C99" s="26">
        <f>C70</f>
        <v>15226</v>
      </c>
      <c r="D99" s="26">
        <f t="shared" ref="D99:L99" si="38">D70</f>
        <v>13701</v>
      </c>
      <c r="E99" s="26">
        <f t="shared" si="38"/>
        <v>13537</v>
      </c>
      <c r="F99" s="26">
        <f t="shared" si="38"/>
        <v>14484</v>
      </c>
      <c r="G99" s="26">
        <f t="shared" si="38"/>
        <v>13270</v>
      </c>
      <c r="H99" s="26">
        <f t="shared" si="38"/>
        <v>13270</v>
      </c>
      <c r="I99" s="26">
        <f t="shared" si="38"/>
        <v>13270</v>
      </c>
      <c r="J99" s="26">
        <f t="shared" si="38"/>
        <v>13270</v>
      </c>
      <c r="K99" s="26">
        <f t="shared" si="38"/>
        <v>13270</v>
      </c>
      <c r="L99" s="26">
        <f t="shared" si="38"/>
        <v>13270</v>
      </c>
      <c r="M99" s="181"/>
      <c r="N99" t="s">
        <v>223</v>
      </c>
    </row>
    <row r="100" spans="1:14" x14ac:dyDescent="0.25">
      <c r="B100" t="s">
        <v>63</v>
      </c>
      <c r="C100" s="165">
        <f>C64</f>
        <v>500</v>
      </c>
      <c r="D100" s="165">
        <f>D64</f>
        <v>2044</v>
      </c>
      <c r="E100" s="165">
        <f>E64</f>
        <v>1945</v>
      </c>
      <c r="F100" s="165">
        <f>F64</f>
        <v>914</v>
      </c>
      <c r="G100" s="165">
        <f>G64</f>
        <v>1364</v>
      </c>
      <c r="H100" s="165">
        <f ca="1">H64-G64</f>
        <v>-364</v>
      </c>
      <c r="I100" s="165">
        <f ca="1">I64-H64</f>
        <v>0</v>
      </c>
      <c r="J100" s="165">
        <f ca="1">J64-I64</f>
        <v>0</v>
      </c>
      <c r="K100" s="165">
        <f ca="1">K64-J64</f>
        <v>0</v>
      </c>
      <c r="L100" s="165">
        <f ca="1">L64-K64</f>
        <v>0</v>
      </c>
      <c r="M100" s="181"/>
      <c r="N100" t="s">
        <v>64</v>
      </c>
    </row>
    <row r="101" spans="1:14" x14ac:dyDescent="0.25">
      <c r="B101" t="s">
        <v>65</v>
      </c>
      <c r="C101" s="181">
        <f>C149</f>
        <v>-1042</v>
      </c>
      <c r="D101" s="181">
        <f t="shared" ref="D101:G101" si="39">D149</f>
        <v>-1958</v>
      </c>
      <c r="E101" s="181">
        <f t="shared" si="39"/>
        <v>-1514</v>
      </c>
      <c r="F101" s="181">
        <f t="shared" si="39"/>
        <v>-2218</v>
      </c>
      <c r="G101" s="181">
        <f t="shared" si="39"/>
        <v>-2731</v>
      </c>
      <c r="H101" s="181">
        <f t="shared" ref="H101:L101" si="40">H149</f>
        <v>-2731</v>
      </c>
      <c r="I101" s="181">
        <f t="shared" si="40"/>
        <v>-2731</v>
      </c>
      <c r="J101" s="181">
        <f t="shared" si="40"/>
        <v>-2731</v>
      </c>
      <c r="K101" s="181">
        <f t="shared" si="40"/>
        <v>-2731</v>
      </c>
      <c r="L101" s="181">
        <f t="shared" si="40"/>
        <v>-2731</v>
      </c>
      <c r="M101" s="181"/>
      <c r="N101" t="s">
        <v>52</v>
      </c>
    </row>
    <row r="102" spans="1:14" x14ac:dyDescent="0.25">
      <c r="B102" t="s">
        <v>66</v>
      </c>
      <c r="C102" s="181">
        <f>C148</f>
        <v>-2972</v>
      </c>
      <c r="D102" s="181">
        <f t="shared" ref="D102:G102" si="41">D148</f>
        <v>-3097</v>
      </c>
      <c r="E102" s="181">
        <f t="shared" si="41"/>
        <v>-3303</v>
      </c>
      <c r="F102" s="181">
        <f t="shared" si="41"/>
        <v>-3584</v>
      </c>
      <c r="G102" s="181">
        <f t="shared" si="41"/>
        <v>-3794</v>
      </c>
      <c r="H102" s="181">
        <f t="shared" ref="H102:L102" si="42">H148</f>
        <v>-4032.4029621173431</v>
      </c>
      <c r="I102" s="181">
        <f t="shared" si="42"/>
        <v>-4477.9134834412398</v>
      </c>
      <c r="J102" s="181">
        <f t="shared" si="42"/>
        <v>-4973.7666936747373</v>
      </c>
      <c r="K102" s="181">
        <f t="shared" si="42"/>
        <v>-5525.6513166646173</v>
      </c>
      <c r="L102" s="181">
        <f t="shared" si="42"/>
        <v>-6139.8989020523586</v>
      </c>
      <c r="M102" s="181"/>
      <c r="N102" t="s">
        <v>52</v>
      </c>
    </row>
    <row r="103" spans="1:14" x14ac:dyDescent="0.25">
      <c r="B103" s="120" t="s">
        <v>67</v>
      </c>
      <c r="C103" s="139">
        <f t="shared" ref="C103:G103" si="43">SUM(C99:C102)</f>
        <v>11712</v>
      </c>
      <c r="D103" s="139">
        <f t="shared" si="43"/>
        <v>10690</v>
      </c>
      <c r="E103" s="139">
        <f t="shared" si="43"/>
        <v>10665</v>
      </c>
      <c r="F103" s="139">
        <f t="shared" si="43"/>
        <v>9596</v>
      </c>
      <c r="G103" s="139">
        <f t="shared" si="43"/>
        <v>8109</v>
      </c>
      <c r="H103" s="139">
        <f ca="1">SUM(H99:H102)</f>
        <v>6142.5970378826569</v>
      </c>
      <c r="I103" s="139">
        <f t="shared" ref="I103:L103" ca="1" si="44">SUM(I99:I102)</f>
        <v>6061.0865165587602</v>
      </c>
      <c r="J103" s="139">
        <f t="shared" ca="1" si="44"/>
        <v>5565.2333063252627</v>
      </c>
      <c r="K103" s="139">
        <f t="shared" ca="1" si="44"/>
        <v>5013.3486833353827</v>
      </c>
      <c r="L103" s="139">
        <f t="shared" ca="1" si="44"/>
        <v>4399.1010979476414</v>
      </c>
      <c r="M103" s="189"/>
    </row>
    <row r="104" spans="1:14" ht="15.75" thickBot="1" x14ac:dyDescent="0.3">
      <c r="H104" s="26"/>
      <c r="I104" s="26"/>
      <c r="J104" s="26"/>
      <c r="K104" s="26"/>
      <c r="L104" s="26"/>
      <c r="M104" s="181"/>
    </row>
    <row r="105" spans="1:14" ht="15.75" thickBot="1" x14ac:dyDescent="0.3">
      <c r="B105" s="221" t="s">
        <v>68</v>
      </c>
      <c r="C105" s="222">
        <f t="shared" ref="C105:G105" si="45">C94+C97+C103</f>
        <v>26869</v>
      </c>
      <c r="D105" s="222">
        <f t="shared" si="45"/>
        <v>19496</v>
      </c>
      <c r="E105" s="222">
        <f t="shared" si="45"/>
        <v>17688</v>
      </c>
      <c r="F105" s="222">
        <f t="shared" si="45"/>
        <v>14782</v>
      </c>
      <c r="G105" s="222">
        <f t="shared" si="45"/>
        <v>17532</v>
      </c>
      <c r="H105" s="222">
        <f ca="1">H94+H97+H103</f>
        <v>14812.055672248223</v>
      </c>
      <c r="I105" s="222">
        <f ca="1">I94+I97+I103</f>
        <v>15967.167311290703</v>
      </c>
      <c r="J105" s="222">
        <f ca="1">J94+J97+J103</f>
        <v>16396.752870959994</v>
      </c>
      <c r="K105" s="222">
        <f ca="1">K94+K97+K103</f>
        <v>16978.992065130282</v>
      </c>
      <c r="L105" s="223">
        <f ca="1">L94+L97+L103</f>
        <v>17701.240788641739</v>
      </c>
      <c r="M105" s="190"/>
    </row>
    <row r="107" spans="1:14" x14ac:dyDescent="0.25">
      <c r="A107" t="s">
        <v>226</v>
      </c>
      <c r="B107" s="171" t="s">
        <v>69</v>
      </c>
      <c r="C107" s="171"/>
      <c r="D107" s="171"/>
      <c r="E107" s="216"/>
      <c r="F107" s="216"/>
      <c r="G107" s="216"/>
      <c r="H107" s="216"/>
      <c r="I107" s="216"/>
      <c r="J107" s="216"/>
      <c r="K107" s="216"/>
      <c r="L107" s="216"/>
      <c r="M107" s="175"/>
    </row>
    <row r="108" spans="1:14" x14ac:dyDescent="0.25">
      <c r="B108" s="224" t="str">
        <f>B14</f>
        <v xml:space="preserve">Fiscal year  </v>
      </c>
      <c r="C108" s="217">
        <f>C14</f>
        <v>2020</v>
      </c>
      <c r="D108" s="217">
        <f>D14</f>
        <v>2021</v>
      </c>
      <c r="E108" s="217">
        <f>E14</f>
        <v>2022</v>
      </c>
      <c r="F108" s="217">
        <f>F14</f>
        <v>2023</v>
      </c>
      <c r="G108" s="217">
        <f>G14</f>
        <v>2024</v>
      </c>
      <c r="H108" s="218">
        <f>H14</f>
        <v>2025</v>
      </c>
      <c r="I108" s="218">
        <f>I14</f>
        <v>2026</v>
      </c>
      <c r="J108" s="218">
        <f>J14</f>
        <v>2027</v>
      </c>
      <c r="K108" s="218">
        <f>K14</f>
        <v>2028</v>
      </c>
      <c r="L108" s="218">
        <f>L14</f>
        <v>2029</v>
      </c>
      <c r="M108" s="187"/>
    </row>
    <row r="109" spans="1:14" x14ac:dyDescent="0.25">
      <c r="B109" s="216" t="str">
        <f>B15</f>
        <v>Fiscal year end date</v>
      </c>
      <c r="C109" s="220">
        <f>C15</f>
        <v>42277</v>
      </c>
      <c r="D109" s="220">
        <f>D15</f>
        <v>42643</v>
      </c>
      <c r="E109" s="220">
        <f>E15</f>
        <v>43008</v>
      </c>
      <c r="F109" s="220">
        <f>F15</f>
        <v>43372</v>
      </c>
      <c r="G109" s="220">
        <f>G15</f>
        <v>45657</v>
      </c>
      <c r="H109" s="220">
        <f>H15</f>
        <v>46022</v>
      </c>
      <c r="I109" s="220">
        <f>I15</f>
        <v>46387</v>
      </c>
      <c r="J109" s="220">
        <f>J15</f>
        <v>46752</v>
      </c>
      <c r="K109" s="220">
        <f>K15</f>
        <v>47118</v>
      </c>
      <c r="L109" s="220">
        <f>L15</f>
        <v>47483</v>
      </c>
      <c r="M109" s="188"/>
    </row>
    <row r="110" spans="1:14" x14ac:dyDescent="0.25">
      <c r="A110" t="s">
        <v>227</v>
      </c>
      <c r="B110" s="28" t="s">
        <v>70</v>
      </c>
      <c r="C110" s="26"/>
      <c r="D110" s="26">
        <f t="shared" ref="D110:F110" si="46">C113</f>
        <v>3711</v>
      </c>
      <c r="E110" s="26">
        <f t="shared" si="46"/>
        <v>4559</v>
      </c>
      <c r="F110" s="26">
        <f t="shared" si="46"/>
        <v>5168</v>
      </c>
      <c r="G110" s="26">
        <f>F113</f>
        <v>5042</v>
      </c>
      <c r="H110" s="26">
        <f>G113</f>
        <v>4665</v>
      </c>
      <c r="I110" s="26">
        <f t="shared" ref="I110:L110" si="47">H113</f>
        <v>4774.1428571428569</v>
      </c>
      <c r="J110" s="26">
        <f t="shared" si="47"/>
        <v>5011.1632653061224</v>
      </c>
      <c r="K110" s="26">
        <f t="shared" si="47"/>
        <v>5435.9131078717201</v>
      </c>
      <c r="L110" s="26">
        <f t="shared" si="47"/>
        <v>5965.0798967246974</v>
      </c>
      <c r="M110" s="181"/>
      <c r="N110" t="s">
        <v>71</v>
      </c>
    </row>
    <row r="111" spans="1:14" x14ac:dyDescent="0.25">
      <c r="B111" s="39" t="s">
        <v>72</v>
      </c>
      <c r="C111" s="21">
        <f>-C96</f>
        <v>1407</v>
      </c>
      <c r="D111" s="21">
        <f t="shared" ref="D111:G111" si="48">-D96</f>
        <v>1888</v>
      </c>
      <c r="E111" s="21">
        <f t="shared" si="48"/>
        <v>2262</v>
      </c>
      <c r="F111" s="21">
        <f t="shared" si="48"/>
        <v>1450</v>
      </c>
      <c r="G111" s="21">
        <f t="shared" si="48"/>
        <v>1041</v>
      </c>
      <c r="H111" s="21">
        <v>1626</v>
      </c>
      <c r="I111" s="21">
        <v>1618</v>
      </c>
      <c r="J111" s="21">
        <f>+I111*(1+J39)</f>
        <v>1800.8340000000001</v>
      </c>
      <c r="K111" s="21">
        <f>+J111*(1+K39)</f>
        <v>2004.328242</v>
      </c>
      <c r="L111" s="21">
        <f>+K111*(1+L39)</f>
        <v>2230.8173333459999</v>
      </c>
      <c r="M111" s="196"/>
      <c r="N111" t="s">
        <v>241</v>
      </c>
    </row>
    <row r="112" spans="1:14" x14ac:dyDescent="0.25">
      <c r="B112" s="231" t="s">
        <v>73</v>
      </c>
      <c r="C112" s="168">
        <v>-722</v>
      </c>
      <c r="D112" s="168">
        <v>-1000</v>
      </c>
      <c r="E112" s="168">
        <v>-1300</v>
      </c>
      <c r="F112" s="168">
        <v>-1400</v>
      </c>
      <c r="G112" s="168">
        <v>-1400</v>
      </c>
      <c r="H112" s="169">
        <f>-H137</f>
        <v>-1516.8571428571427</v>
      </c>
      <c r="I112" s="169">
        <f t="shared" ref="I112:L112" si="49">-I137</f>
        <v>-1380.9795918367347</v>
      </c>
      <c r="J112" s="169">
        <f t="shared" si="49"/>
        <v>-1376.0841574344022</v>
      </c>
      <c r="K112" s="169">
        <f t="shared" si="49"/>
        <v>-1475.161453147022</v>
      </c>
      <c r="L112" s="169">
        <f t="shared" si="49"/>
        <v>-1660.0958505626074</v>
      </c>
      <c r="M112" s="197"/>
      <c r="N112" t="s">
        <v>229</v>
      </c>
    </row>
    <row r="113" spans="1:18" x14ac:dyDescent="0.25">
      <c r="B113" s="232" t="s">
        <v>74</v>
      </c>
      <c r="C113" s="139">
        <f>C56</f>
        <v>3711</v>
      </c>
      <c r="D113" s="139">
        <f>D56</f>
        <v>4559</v>
      </c>
      <c r="E113" s="139">
        <f>E56</f>
        <v>5168</v>
      </c>
      <c r="F113" s="139">
        <f>F56</f>
        <v>5042</v>
      </c>
      <c r="G113" s="139">
        <f>G56</f>
        <v>4665</v>
      </c>
      <c r="H113" s="139">
        <f>SUM(H110:H112)</f>
        <v>4774.1428571428569</v>
      </c>
      <c r="I113" s="139">
        <f t="shared" ref="I113:L113" si="50">SUM(I110:I112)</f>
        <v>5011.1632653061224</v>
      </c>
      <c r="J113" s="139">
        <f t="shared" si="50"/>
        <v>5435.9131078717201</v>
      </c>
      <c r="K113" s="139">
        <f t="shared" si="50"/>
        <v>5965.0798967246974</v>
      </c>
      <c r="L113" s="139">
        <f t="shared" si="50"/>
        <v>6535.8013795080897</v>
      </c>
      <c r="M113" s="190"/>
      <c r="N113" t="s">
        <v>75</v>
      </c>
    </row>
    <row r="114" spans="1:18" x14ac:dyDescent="0.25">
      <c r="B114" s="225" t="s">
        <v>77</v>
      </c>
      <c r="C114" s="226">
        <f>-(C112/C111)</f>
        <v>0.51314854299928925</v>
      </c>
      <c r="D114" s="226">
        <f>-(D112/D111)</f>
        <v>0.52966101694915257</v>
      </c>
      <c r="E114" s="226">
        <f>-(E112/E111)</f>
        <v>0.57471264367816088</v>
      </c>
      <c r="F114" s="226">
        <f>-(F112/F111)</f>
        <v>0.96551724137931039</v>
      </c>
      <c r="G114" s="226">
        <f>-(G112/G111)</f>
        <v>1.3448607108549471</v>
      </c>
      <c r="H114" s="227">
        <f>AVERAGE(E114:G114)</f>
        <v>0.96169686530413945</v>
      </c>
      <c r="I114" s="227">
        <f>H114+$N$114</f>
        <v>0.98169686530413947</v>
      </c>
      <c r="J114" s="227">
        <f>I114+$N$114</f>
        <v>1.0016968653041394</v>
      </c>
      <c r="K114" s="227">
        <f>J114+$N$114</f>
        <v>1.0216968653041394</v>
      </c>
      <c r="L114" s="227">
        <f>K114+$N$114</f>
        <v>1.0416968653041394</v>
      </c>
      <c r="M114" s="198"/>
      <c r="N114" s="44">
        <v>0.02</v>
      </c>
      <c r="O114" s="30" t="s">
        <v>76</v>
      </c>
      <c r="P114" s="45"/>
      <c r="Q114" s="45"/>
      <c r="R114" s="45"/>
    </row>
    <row r="115" spans="1:18" x14ac:dyDescent="0.25">
      <c r="B115" s="28"/>
      <c r="C115" s="28"/>
      <c r="D115" s="28"/>
      <c r="E115" s="43"/>
      <c r="F115" s="43"/>
      <c r="G115" s="43"/>
      <c r="H115" s="31"/>
      <c r="I115" s="31"/>
      <c r="J115" s="31"/>
      <c r="K115" s="31"/>
      <c r="L115" s="31"/>
      <c r="M115" s="198"/>
      <c r="P115" s="45"/>
      <c r="Q115" s="45"/>
      <c r="R115" s="45"/>
    </row>
    <row r="116" spans="1:18" x14ac:dyDescent="0.25">
      <c r="A116" t="s">
        <v>226</v>
      </c>
      <c r="B116" s="228" t="s">
        <v>228</v>
      </c>
      <c r="C116" s="228"/>
      <c r="D116" s="228"/>
      <c r="E116" s="229"/>
      <c r="F116" s="229"/>
      <c r="G116" s="229"/>
      <c r="H116" s="229"/>
      <c r="I116" s="229"/>
      <c r="J116" s="229"/>
      <c r="K116" s="229"/>
      <c r="L116" s="229"/>
      <c r="M116" s="185"/>
      <c r="P116" s="45"/>
      <c r="Q116" s="45"/>
      <c r="R116" s="45"/>
    </row>
    <row r="117" spans="1:18" x14ac:dyDescent="0.25">
      <c r="B117" s="28" t="s">
        <v>78</v>
      </c>
      <c r="C117" s="26">
        <f>C119+C112</f>
        <v>671</v>
      </c>
      <c r="D117" s="26">
        <f>D119+D112</f>
        <v>582</v>
      </c>
      <c r="E117" s="26">
        <f>E119+E112</f>
        <v>462</v>
      </c>
      <c r="F117" s="26">
        <f>F119+F112</f>
        <v>409</v>
      </c>
      <c r="G117" s="26">
        <f>G119+G112</f>
        <v>306</v>
      </c>
      <c r="H117" s="22">
        <f>H118*H17</f>
        <v>340.57799999999997</v>
      </c>
      <c r="I117" s="22">
        <f>I118*I17</f>
        <v>379.06331399999999</v>
      </c>
      <c r="J117" s="22">
        <f>J118*J17</f>
        <v>421.89746848199991</v>
      </c>
      <c r="K117" s="22">
        <f>K118*K17</f>
        <v>469.57188242046595</v>
      </c>
      <c r="L117" s="22">
        <f>L118*L17</f>
        <v>522.63350513397859</v>
      </c>
      <c r="M117" s="179"/>
      <c r="N117" t="s">
        <v>79</v>
      </c>
      <c r="P117" s="45"/>
      <c r="Q117" s="45"/>
      <c r="R117" s="45"/>
    </row>
    <row r="118" spans="1:18" x14ac:dyDescent="0.25">
      <c r="B118" s="27" t="s">
        <v>80</v>
      </c>
      <c r="C118" s="46">
        <f>C117/C17</f>
        <v>2.8515575198674089E-2</v>
      </c>
      <c r="D118" s="46">
        <f>D117/D17</f>
        <v>1.7338973961747006E-2</v>
      </c>
      <c r="E118" s="46">
        <f>E117/E17</f>
        <v>1.0452488687782806E-2</v>
      </c>
      <c r="F118" s="46">
        <f>F117/F17</f>
        <v>1.141820212171971E-2</v>
      </c>
      <c r="G118" s="46">
        <f>G117/G17</f>
        <v>7.8538062727786049E-3</v>
      </c>
      <c r="H118" s="31">
        <f>G118</f>
        <v>7.8538062727786049E-3</v>
      </c>
      <c r="I118" s="31">
        <f>H118</f>
        <v>7.8538062727786049E-3</v>
      </c>
      <c r="J118" s="31">
        <f>I118</f>
        <v>7.8538062727786049E-3</v>
      </c>
      <c r="K118" s="31">
        <f>J118</f>
        <v>7.8538062727786049E-3</v>
      </c>
      <c r="L118" s="31">
        <f>K118</f>
        <v>7.8538062727786049E-3</v>
      </c>
      <c r="M118" s="198"/>
      <c r="N118" t="s">
        <v>81</v>
      </c>
    </row>
    <row r="119" spans="1:18" x14ac:dyDescent="0.25">
      <c r="B119" s="230" t="s">
        <v>82</v>
      </c>
      <c r="C119" s="139">
        <f>C33</f>
        <v>1393</v>
      </c>
      <c r="D119" s="139">
        <f>D33</f>
        <v>1582</v>
      </c>
      <c r="E119" s="139">
        <f>E33</f>
        <v>1762</v>
      </c>
      <c r="F119" s="139">
        <f>F33</f>
        <v>1809</v>
      </c>
      <c r="G119" s="139">
        <f>G33</f>
        <v>1706</v>
      </c>
      <c r="H119" s="121">
        <f>-H112+H117</f>
        <v>1857.4351428571426</v>
      </c>
      <c r="I119" s="121">
        <f>-I112+I117</f>
        <v>1760.0429058367347</v>
      </c>
      <c r="J119" s="121">
        <f>-J112+J117</f>
        <v>1797.9816259164022</v>
      </c>
      <c r="K119" s="121">
        <f>-K112+K117</f>
        <v>1944.733335567488</v>
      </c>
      <c r="L119" s="121">
        <f>-L112+L117</f>
        <v>2182.729355696586</v>
      </c>
      <c r="M119" s="183"/>
      <c r="N119" t="s">
        <v>83</v>
      </c>
    </row>
    <row r="120" spans="1:18" x14ac:dyDescent="0.25">
      <c r="B120" s="235"/>
      <c r="C120" s="172"/>
      <c r="D120" s="172"/>
      <c r="E120" s="172"/>
      <c r="F120" s="172"/>
      <c r="G120" s="172"/>
      <c r="H120" s="167"/>
      <c r="I120" s="167"/>
      <c r="J120" s="167"/>
      <c r="K120" s="167"/>
      <c r="L120" s="167"/>
      <c r="M120" s="183"/>
    </row>
    <row r="121" spans="1:18" x14ac:dyDescent="0.25">
      <c r="A121" t="s">
        <v>226</v>
      </c>
      <c r="B121" s="171" t="s">
        <v>230</v>
      </c>
      <c r="C121" s="237"/>
      <c r="D121" s="237"/>
      <c r="E121" s="237"/>
      <c r="F121" s="237"/>
      <c r="G121" s="237"/>
      <c r="H121" s="237"/>
      <c r="I121" s="237"/>
      <c r="J121" s="237"/>
      <c r="K121" s="236"/>
      <c r="L121" s="236"/>
      <c r="M121" s="183"/>
    </row>
    <row r="122" spans="1:18" x14ac:dyDescent="0.25">
      <c r="B122" s="170" t="s">
        <v>240</v>
      </c>
      <c r="C122" s="170"/>
      <c r="D122" s="170"/>
      <c r="E122" s="170"/>
      <c r="F122" s="155"/>
      <c r="G122" s="155"/>
      <c r="H122" s="155"/>
      <c r="I122" s="155"/>
      <c r="J122" s="155"/>
      <c r="K122" s="167"/>
      <c r="L122" s="167"/>
      <c r="M122" s="183"/>
    </row>
    <row r="123" spans="1:18" x14ac:dyDescent="0.25">
      <c r="B123" s="243" t="s">
        <v>231</v>
      </c>
      <c r="C123" s="168">
        <v>8845</v>
      </c>
      <c r="D123" s="168">
        <v>10454</v>
      </c>
      <c r="E123" s="168">
        <v>11770</v>
      </c>
      <c r="F123" s="168">
        <v>12710</v>
      </c>
      <c r="G123" s="168">
        <v>13541</v>
      </c>
      <c r="H123" s="155"/>
      <c r="I123" s="155"/>
      <c r="J123" s="155"/>
      <c r="K123" s="167"/>
      <c r="L123" s="167"/>
      <c r="M123" s="183"/>
    </row>
    <row r="124" spans="1:18" x14ac:dyDescent="0.25">
      <c r="B124" s="243" t="s">
        <v>232</v>
      </c>
      <c r="C124" s="242">
        <v>173</v>
      </c>
      <c r="D124" s="242">
        <v>172</v>
      </c>
      <c r="E124" s="242">
        <v>170</v>
      </c>
      <c r="F124" s="168">
        <v>169</v>
      </c>
      <c r="G124" s="168">
        <v>169</v>
      </c>
      <c r="H124" s="155"/>
      <c r="I124" s="155"/>
      <c r="J124" s="155"/>
      <c r="K124" s="167"/>
      <c r="L124" s="167"/>
      <c r="M124" s="183"/>
    </row>
    <row r="125" spans="1:18" ht="15.75" thickBot="1" x14ac:dyDescent="0.3">
      <c r="B125" s="243" t="s">
        <v>233</v>
      </c>
      <c r="C125" s="168">
        <v>5134</v>
      </c>
      <c r="D125" s="168">
        <v>5895</v>
      </c>
      <c r="E125" s="168">
        <v>6602</v>
      </c>
      <c r="F125" s="168">
        <v>7668</v>
      </c>
      <c r="G125" s="168">
        <v>8876</v>
      </c>
      <c r="H125" s="155"/>
      <c r="I125" s="155"/>
      <c r="J125" s="155"/>
      <c r="K125" s="167"/>
      <c r="L125" s="167"/>
      <c r="M125" s="183"/>
    </row>
    <row r="126" spans="1:18" ht="15.75" thickBot="1" x14ac:dyDescent="0.3">
      <c r="B126" s="250" t="s">
        <v>234</v>
      </c>
      <c r="C126" s="251">
        <f>C123-C124-C125</f>
        <v>3538</v>
      </c>
      <c r="D126" s="251">
        <f>D123-D124-D125</f>
        <v>4387</v>
      </c>
      <c r="E126" s="251">
        <f>E123-E124-E125</f>
        <v>4998</v>
      </c>
      <c r="F126" s="251">
        <f>F123-F124-F125</f>
        <v>4873</v>
      </c>
      <c r="G126" s="252">
        <f>G123-G124-G125</f>
        <v>4496</v>
      </c>
      <c r="H126" s="155"/>
      <c r="I126" s="155"/>
      <c r="J126" s="155"/>
      <c r="K126" s="167"/>
      <c r="L126" s="167"/>
      <c r="M126" s="183"/>
    </row>
    <row r="127" spans="1:18" x14ac:dyDescent="0.25">
      <c r="B127" s="244"/>
      <c r="C127" s="239"/>
      <c r="D127" s="170"/>
      <c r="E127" s="170"/>
      <c r="F127" s="170"/>
      <c r="G127" s="155"/>
      <c r="H127" s="155"/>
      <c r="I127" s="155"/>
      <c r="J127" s="155"/>
      <c r="K127" s="167"/>
      <c r="L127" s="167"/>
      <c r="M127" s="183"/>
    </row>
    <row r="128" spans="1:18" x14ac:dyDescent="0.25">
      <c r="B128" s="170" t="s">
        <v>235</v>
      </c>
      <c r="C128" s="245">
        <f>IF(C129,C129,-ROUND((G123-G124)/G117,0))</f>
        <v>7</v>
      </c>
      <c r="D128" s="170"/>
      <c r="E128" s="170"/>
      <c r="F128" s="170"/>
      <c r="G128" s="155"/>
      <c r="H128" s="155"/>
      <c r="I128" s="155"/>
      <c r="J128" s="155"/>
      <c r="K128" s="167"/>
      <c r="L128" s="167"/>
      <c r="M128" s="183"/>
    </row>
    <row r="129" spans="1:14" x14ac:dyDescent="0.25">
      <c r="B129" s="170" t="s">
        <v>236</v>
      </c>
      <c r="C129" s="238">
        <v>7</v>
      </c>
      <c r="D129" s="170"/>
      <c r="E129" s="170"/>
      <c r="F129" s="170"/>
      <c r="G129" s="155"/>
      <c r="H129" s="155"/>
      <c r="I129" s="155"/>
      <c r="J129" s="155"/>
      <c r="K129" s="167"/>
      <c r="L129" s="167"/>
      <c r="M129" s="183"/>
    </row>
    <row r="130" spans="1:14" x14ac:dyDescent="0.25">
      <c r="B130" s="170"/>
      <c r="C130" s="239"/>
      <c r="D130" s="239"/>
      <c r="E130" s="239"/>
      <c r="F130" s="155"/>
      <c r="G130" s="155"/>
      <c r="H130" s="155"/>
      <c r="I130" s="155"/>
      <c r="J130" s="155"/>
      <c r="K130" s="167"/>
      <c r="L130" s="167"/>
      <c r="M130" s="183"/>
    </row>
    <row r="131" spans="1:14" x14ac:dyDescent="0.25">
      <c r="B131" s="170" t="s">
        <v>237</v>
      </c>
      <c r="C131" s="239"/>
      <c r="D131" s="240" t="s">
        <v>238</v>
      </c>
      <c r="E131" s="239"/>
      <c r="F131" s="170"/>
      <c r="G131" s="170"/>
      <c r="H131" s="199">
        <f>DDB($G$126,0,$C$128,H108-$G$108)</f>
        <v>1284.5714285714284</v>
      </c>
      <c r="I131" s="199">
        <f>DDB($G$126,0,$C$128,I108-$G$108)</f>
        <v>917.55102040816325</v>
      </c>
      <c r="J131" s="199">
        <f>DDB($G$126,0,$C$128,J108-$G$108)</f>
        <v>655.39358600583091</v>
      </c>
      <c r="K131" s="199">
        <f>DDB($G$126,0,$C$128,K108-$G$108)</f>
        <v>468.1382757184507</v>
      </c>
      <c r="L131" s="199">
        <f>DDB($G$126,0,$C$128,L108-$G$108)</f>
        <v>334.3844826560362</v>
      </c>
      <c r="M131" s="183"/>
    </row>
    <row r="132" spans="1:14" x14ac:dyDescent="0.25">
      <c r="B132" s="170" t="str">
        <f>"Depreciation from capex purchased in "&amp;$H108</f>
        <v>Depreciation from capex purchased in 2025</v>
      </c>
      <c r="C132" s="239"/>
      <c r="D132" s="241">
        <v>1</v>
      </c>
      <c r="E132" s="239"/>
      <c r="F132" s="170"/>
      <c r="G132" s="170"/>
      <c r="H132" s="199">
        <f>H111*D132/$C$128</f>
        <v>232.28571428571428</v>
      </c>
      <c r="I132" s="199">
        <f>$H$111/$C$128</f>
        <v>232.28571428571428</v>
      </c>
      <c r="J132" s="199">
        <f>$H$111/$C$128</f>
        <v>232.28571428571428</v>
      </c>
      <c r="K132" s="199">
        <f>$H$111/$C$128</f>
        <v>232.28571428571428</v>
      </c>
      <c r="L132" s="199">
        <f>$H$111/$C$128</f>
        <v>232.28571428571428</v>
      </c>
      <c r="M132" s="183"/>
    </row>
    <row r="133" spans="1:14" x14ac:dyDescent="0.25">
      <c r="B133" s="170" t="str">
        <f>"Depreciation from capex purchased in "&amp;$I108</f>
        <v>Depreciation from capex purchased in 2026</v>
      </c>
      <c r="C133" s="239"/>
      <c r="D133" s="239"/>
      <c r="E133" s="239"/>
      <c r="F133" s="170"/>
      <c r="G133" s="170"/>
      <c r="H133" s="175"/>
      <c r="I133" s="173">
        <f>I111*D132/$C$128</f>
        <v>231.14285714285714</v>
      </c>
      <c r="J133" s="199">
        <f>$I$111/$C$128</f>
        <v>231.14285714285714</v>
      </c>
      <c r="K133" s="199">
        <f>$I$111/$C$128</f>
        <v>231.14285714285714</v>
      </c>
      <c r="L133" s="199">
        <f>$I$111/$C$128</f>
        <v>231.14285714285714</v>
      </c>
      <c r="M133" s="183"/>
    </row>
    <row r="134" spans="1:14" x14ac:dyDescent="0.25">
      <c r="B134" s="170" t="str">
        <f>"Depreciation from capex purchased in "&amp;$J108</f>
        <v>Depreciation from capex purchased in 2027</v>
      </c>
      <c r="C134" s="239"/>
      <c r="D134" s="239"/>
      <c r="E134" s="239"/>
      <c r="F134" s="170"/>
      <c r="G134" s="170"/>
      <c r="H134" s="175"/>
      <c r="I134" s="175"/>
      <c r="J134" s="173">
        <f>J111*D132/$C$128</f>
        <v>257.262</v>
      </c>
      <c r="K134" s="199">
        <f>$J$111/$C$128</f>
        <v>257.262</v>
      </c>
      <c r="L134" s="199">
        <f>$J$111/$C$128</f>
        <v>257.262</v>
      </c>
      <c r="M134" s="183"/>
    </row>
    <row r="135" spans="1:14" x14ac:dyDescent="0.25">
      <c r="B135" s="170" t="str">
        <f>"Depreciation from capex purchased in "&amp;$K108</f>
        <v>Depreciation from capex purchased in 2028</v>
      </c>
      <c r="C135" s="239"/>
      <c r="D135" s="239"/>
      <c r="E135" s="239"/>
      <c r="F135" s="170"/>
      <c r="G135" s="170"/>
      <c r="H135" s="175"/>
      <c r="I135" s="175"/>
      <c r="J135" s="175"/>
      <c r="K135" s="173">
        <f>K111*D132/$C$128</f>
        <v>286.332606</v>
      </c>
      <c r="L135" s="199">
        <f>$K$111/$C$128</f>
        <v>286.332606</v>
      </c>
      <c r="M135" s="183"/>
    </row>
    <row r="136" spans="1:14" x14ac:dyDescent="0.25">
      <c r="B136" s="170" t="str">
        <f>"Depreciation from capex purchased in "&amp;$L108</f>
        <v>Depreciation from capex purchased in 2029</v>
      </c>
      <c r="C136" s="239"/>
      <c r="D136" s="239"/>
      <c r="E136" s="239"/>
      <c r="F136" s="170"/>
      <c r="G136" s="170"/>
      <c r="H136" s="175"/>
      <c r="I136" s="175"/>
      <c r="J136" s="175"/>
      <c r="K136" s="175"/>
      <c r="L136" s="199">
        <f>L111*D132/$C$128</f>
        <v>318.68819047799997</v>
      </c>
      <c r="M136" s="183"/>
    </row>
    <row r="137" spans="1:14" x14ac:dyDescent="0.25">
      <c r="B137" s="246" t="s">
        <v>239</v>
      </c>
      <c r="C137" s="247"/>
      <c r="D137" s="247"/>
      <c r="E137" s="247"/>
      <c r="F137" s="246"/>
      <c r="G137" s="246"/>
      <c r="H137" s="248">
        <f>SUM(H131:H136)</f>
        <v>1516.8571428571427</v>
      </c>
      <c r="I137" s="249">
        <f>SUM(I131:I136)</f>
        <v>1380.9795918367347</v>
      </c>
      <c r="J137" s="249">
        <f>SUM(J131:J136)</f>
        <v>1376.0841574344022</v>
      </c>
      <c r="K137" s="249">
        <f>SUM(K131:K136)</f>
        <v>1475.161453147022</v>
      </c>
      <c r="L137" s="249">
        <f>SUM(L131:L136)</f>
        <v>1660.0958505626074</v>
      </c>
      <c r="M137" s="183"/>
    </row>
    <row r="138" spans="1:14" x14ac:dyDescent="0.25">
      <c r="B138" s="235"/>
      <c r="C138" s="172"/>
      <c r="D138" s="172"/>
      <c r="E138" s="172"/>
      <c r="F138" s="172"/>
      <c r="G138" s="172"/>
      <c r="H138" s="167"/>
      <c r="I138" s="167"/>
      <c r="J138" s="167"/>
      <c r="K138" s="167"/>
      <c r="L138" s="167"/>
      <c r="M138" s="183"/>
    </row>
    <row r="139" spans="1:14" x14ac:dyDescent="0.25">
      <c r="A139" t="s">
        <v>226</v>
      </c>
      <c r="B139" s="233" t="s">
        <v>84</v>
      </c>
      <c r="C139" s="233"/>
      <c r="D139" s="233"/>
      <c r="E139" s="214"/>
      <c r="F139" s="214"/>
      <c r="G139" s="214"/>
      <c r="H139" s="215"/>
      <c r="I139" s="234"/>
      <c r="J139" s="234"/>
      <c r="K139" s="234"/>
      <c r="L139" s="234"/>
      <c r="M139" s="181"/>
    </row>
    <row r="140" spans="1:14" x14ac:dyDescent="0.25">
      <c r="B140" s="28" t="s">
        <v>70</v>
      </c>
      <c r="C140" s="254"/>
      <c r="D140" s="47">
        <f t="shared" ref="D140:H140" si="51">C143</f>
        <v>13364</v>
      </c>
      <c r="E140" s="47">
        <f t="shared" si="51"/>
        <v>16606</v>
      </c>
      <c r="F140" s="47">
        <f t="shared" si="51"/>
        <v>23122</v>
      </c>
      <c r="G140" s="47">
        <f t="shared" si="51"/>
        <v>23534</v>
      </c>
      <c r="H140" s="47">
        <f>G143</f>
        <v>25258</v>
      </c>
      <c r="I140" s="47">
        <f>H143</f>
        <v>28112.153999999999</v>
      </c>
      <c r="J140" s="47">
        <f>I143</f>
        <v>31288.827401999999</v>
      </c>
      <c r="K140" s="47">
        <f>J143</f>
        <v>34824.464898425998</v>
      </c>
      <c r="L140" s="47">
        <f>K143</f>
        <v>38759.629431948139</v>
      </c>
      <c r="M140" s="199"/>
      <c r="N140" t="s">
        <v>71</v>
      </c>
    </row>
    <row r="141" spans="1:14" x14ac:dyDescent="0.25">
      <c r="B141" s="27" t="s">
        <v>85</v>
      </c>
      <c r="C141" s="255"/>
      <c r="D141" s="26">
        <f t="shared" ref="D141:H141" si="52">-(D117)</f>
        <v>-582</v>
      </c>
      <c r="E141" s="26">
        <f t="shared" si="52"/>
        <v>-462</v>
      </c>
      <c r="F141" s="26">
        <f t="shared" si="52"/>
        <v>-409</v>
      </c>
      <c r="G141" s="26">
        <f t="shared" si="52"/>
        <v>-306</v>
      </c>
      <c r="H141" s="26">
        <f>-(H117)</f>
        <v>-340.57799999999997</v>
      </c>
      <c r="I141" s="26">
        <f>-(I117)</f>
        <v>-379.06331399999999</v>
      </c>
      <c r="J141" s="26">
        <f>-(J117)</f>
        <v>-421.89746848199991</v>
      </c>
      <c r="K141" s="26">
        <f>-(K117)</f>
        <v>-469.57188242046595</v>
      </c>
      <c r="L141" s="26">
        <f>-(L117)</f>
        <v>-522.63350513397859</v>
      </c>
      <c r="M141" s="181"/>
      <c r="N141" t="s">
        <v>86</v>
      </c>
    </row>
    <row r="142" spans="1:14" ht="15" customHeight="1" x14ac:dyDescent="0.25">
      <c r="B142" s="48" t="s">
        <v>87</v>
      </c>
      <c r="C142" s="256"/>
      <c r="D142" s="50">
        <f>D143-D141-D140</f>
        <v>3824</v>
      </c>
      <c r="E142" s="50">
        <f>E143-E141-E140</f>
        <v>6978</v>
      </c>
      <c r="F142" s="50">
        <f>F143-F141-F140</f>
        <v>821</v>
      </c>
      <c r="G142" s="50">
        <f>G143-G141-G140</f>
        <v>2030</v>
      </c>
      <c r="H142" s="50">
        <f>H143-H141-H140</f>
        <v>3194.732</v>
      </c>
      <c r="I142" s="50">
        <f>I143-I141-I140</f>
        <v>3555.7367159999994</v>
      </c>
      <c r="J142" s="50">
        <f>J143-J141-J140</f>
        <v>3957.5349649079981</v>
      </c>
      <c r="K142" s="50">
        <f>K143-K141-K140</f>
        <v>4404.736415942607</v>
      </c>
      <c r="L142" s="50">
        <f>L143-L141-L140</f>
        <v>4902.4716309441137</v>
      </c>
      <c r="M142" s="199"/>
      <c r="N142" t="s">
        <v>88</v>
      </c>
    </row>
    <row r="143" spans="1:14" x14ac:dyDescent="0.25">
      <c r="B143" s="42" t="s">
        <v>74</v>
      </c>
      <c r="C143" s="36">
        <f>C57</f>
        <v>13364</v>
      </c>
      <c r="D143" s="36">
        <f>D57</f>
        <v>16606</v>
      </c>
      <c r="E143" s="36">
        <f>E57</f>
        <v>23122</v>
      </c>
      <c r="F143" s="36">
        <f>F57</f>
        <v>23534</v>
      </c>
      <c r="G143" s="36">
        <f>G57</f>
        <v>25258</v>
      </c>
      <c r="H143" s="36">
        <f>H57</f>
        <v>28112.153999999999</v>
      </c>
      <c r="I143" s="36">
        <f>I57</f>
        <v>31288.827401999999</v>
      </c>
      <c r="J143" s="36">
        <f>J57</f>
        <v>34824.464898425998</v>
      </c>
      <c r="K143" s="36">
        <f>K57</f>
        <v>38759.629431948139</v>
      </c>
      <c r="L143" s="36">
        <f>L57</f>
        <v>43139.467557758275</v>
      </c>
      <c r="M143" s="190"/>
      <c r="N143" t="s">
        <v>89</v>
      </c>
    </row>
    <row r="144" spans="1:14" x14ac:dyDescent="0.25">
      <c r="B144" s="27"/>
      <c r="C144" s="27"/>
      <c r="D144" s="27"/>
      <c r="F144" s="26"/>
      <c r="G144" s="26"/>
      <c r="I144" s="26"/>
      <c r="J144" s="26"/>
      <c r="K144" s="26"/>
      <c r="L144" s="26"/>
      <c r="M144" s="181"/>
    </row>
    <row r="145" spans="1:17" x14ac:dyDescent="0.25">
      <c r="A145" t="s">
        <v>226</v>
      </c>
      <c r="B145" s="253" t="s">
        <v>90</v>
      </c>
      <c r="C145" s="253"/>
      <c r="D145" s="253"/>
      <c r="E145" s="233"/>
      <c r="F145" s="233"/>
      <c r="G145" s="233"/>
      <c r="H145" s="214"/>
      <c r="I145" s="214"/>
      <c r="J145" s="214"/>
      <c r="K145" s="214"/>
      <c r="L145" s="214"/>
      <c r="M145" s="175"/>
    </row>
    <row r="146" spans="1:17" x14ac:dyDescent="0.25">
      <c r="B146" s="28" t="s">
        <v>70</v>
      </c>
      <c r="C146" s="28"/>
      <c r="D146" s="26">
        <f>C150</f>
        <v>5284</v>
      </c>
      <c r="E146" s="26">
        <f>D150</f>
        <v>9822</v>
      </c>
      <c r="F146" s="26">
        <f>E150</f>
        <v>17840</v>
      </c>
      <c r="G146" s="26">
        <f>F150</f>
        <v>20733</v>
      </c>
      <c r="H146" s="26">
        <f>G150</f>
        <v>25687</v>
      </c>
      <c r="I146" s="26">
        <f>H150</f>
        <v>29702.888245524748</v>
      </c>
      <c r="J146" s="26">
        <f>I150</f>
        <v>34464.190510386368</v>
      </c>
      <c r="K146" s="26">
        <f>J150</f>
        <v>40055.138578769926</v>
      </c>
      <c r="L146" s="26">
        <f>K150</f>
        <v>46569.482426473405</v>
      </c>
      <c r="M146" s="181"/>
      <c r="N146" t="s">
        <v>71</v>
      </c>
    </row>
    <row r="147" spans="1:17" x14ac:dyDescent="0.25">
      <c r="B147" s="27" t="s">
        <v>91</v>
      </c>
      <c r="C147" s="22">
        <f>C31</f>
        <v>5198</v>
      </c>
      <c r="D147" s="22">
        <f>D31</f>
        <v>9043</v>
      </c>
      <c r="E147" s="22">
        <f>E31</f>
        <v>12936</v>
      </c>
      <c r="F147" s="22">
        <f>F31</f>
        <v>7232</v>
      </c>
      <c r="G147" s="22">
        <f>G31</f>
        <v>10142</v>
      </c>
      <c r="H147" s="22">
        <f>H31</f>
        <v>10779.291207642091</v>
      </c>
      <c r="I147" s="22">
        <f>I31</f>
        <v>11970.21574830286</v>
      </c>
      <c r="J147" s="22">
        <f>J31</f>
        <v>13295.714762058298</v>
      </c>
      <c r="K147" s="22">
        <f>K31</f>
        <v>14770.995164368094</v>
      </c>
      <c r="L147" s="22">
        <f>L31</f>
        <v>16412.982252138911</v>
      </c>
      <c r="M147" s="181"/>
      <c r="N147" t="s">
        <v>92</v>
      </c>
    </row>
    <row r="148" spans="1:17" x14ac:dyDescent="0.25">
      <c r="B148" s="27" t="s">
        <v>93</v>
      </c>
      <c r="C148" s="21">
        <v>-2972</v>
      </c>
      <c r="D148" s="21">
        <v>-3097</v>
      </c>
      <c r="E148" s="21">
        <v>-3303</v>
      </c>
      <c r="F148" s="21">
        <v>-3584</v>
      </c>
      <c r="G148" s="21">
        <v>-3794</v>
      </c>
      <c r="H148" s="26">
        <f>H147*G148/G147</f>
        <v>-4032.4029621173431</v>
      </c>
      <c r="I148" s="26">
        <f t="shared" ref="I148:L148" si="53">I147*H148/H147</f>
        <v>-4477.9134834412398</v>
      </c>
      <c r="J148" s="26">
        <f t="shared" si="53"/>
        <v>-4973.7666936747373</v>
      </c>
      <c r="K148" s="26">
        <f t="shared" si="53"/>
        <v>-5525.6513166646173</v>
      </c>
      <c r="L148" s="26">
        <f t="shared" si="53"/>
        <v>-6139.8989020523586</v>
      </c>
      <c r="M148" s="181"/>
      <c r="N148" t="s">
        <v>242</v>
      </c>
    </row>
    <row r="149" spans="1:17" x14ac:dyDescent="0.25">
      <c r="B149" s="48" t="s">
        <v>94</v>
      </c>
      <c r="C149" s="40">
        <v>-1042</v>
      </c>
      <c r="D149" s="40">
        <v>-1958</v>
      </c>
      <c r="E149" s="40">
        <v>-1514</v>
      </c>
      <c r="F149" s="40">
        <v>-2218</v>
      </c>
      <c r="G149" s="40">
        <v>-2731</v>
      </c>
      <c r="H149" s="41">
        <f>G149</f>
        <v>-2731</v>
      </c>
      <c r="I149" s="41">
        <f t="shared" ref="I149:L149" si="54">H149</f>
        <v>-2731</v>
      </c>
      <c r="J149" s="41">
        <f t="shared" si="54"/>
        <v>-2731</v>
      </c>
      <c r="K149" s="41">
        <f t="shared" si="54"/>
        <v>-2731</v>
      </c>
      <c r="L149" s="41">
        <f t="shared" si="54"/>
        <v>-2731</v>
      </c>
      <c r="M149" s="197"/>
      <c r="N149" t="s">
        <v>95</v>
      </c>
    </row>
    <row r="150" spans="1:17" x14ac:dyDescent="0.25">
      <c r="B150" s="42" t="s">
        <v>74</v>
      </c>
      <c r="C150" s="24">
        <f>C76</f>
        <v>5284</v>
      </c>
      <c r="D150" s="24">
        <f>D76</f>
        <v>9822</v>
      </c>
      <c r="E150" s="24">
        <f>E76</f>
        <v>17840</v>
      </c>
      <c r="F150" s="24">
        <f>F76</f>
        <v>20733</v>
      </c>
      <c r="G150" s="24">
        <f>G76</f>
        <v>25687</v>
      </c>
      <c r="H150" s="36">
        <f>SUM(H146:H149)</f>
        <v>29702.888245524748</v>
      </c>
      <c r="I150" s="36">
        <f>SUM(I146:I149)</f>
        <v>34464.190510386368</v>
      </c>
      <c r="J150" s="36">
        <f>SUM(J146:J149)</f>
        <v>40055.138578769926</v>
      </c>
      <c r="K150" s="36">
        <f>SUM(K146:K149)</f>
        <v>46569.482426473405</v>
      </c>
      <c r="L150" s="36">
        <f>SUM(L146:L149)</f>
        <v>54111.565776559961</v>
      </c>
      <c r="M150" s="190"/>
      <c r="N150" t="s">
        <v>96</v>
      </c>
    </row>
    <row r="151" spans="1:17" x14ac:dyDescent="0.25">
      <c r="B151" s="63" t="s">
        <v>243</v>
      </c>
      <c r="C151" s="46">
        <f>-(C148/C147)</f>
        <v>0.57175836860330898</v>
      </c>
      <c r="D151" s="46">
        <f>-(D148/D147)</f>
        <v>0.34247484241955101</v>
      </c>
      <c r="E151" s="46">
        <f>-(E148/E147)</f>
        <v>0.25533395176252321</v>
      </c>
      <c r="F151" s="46">
        <f>-(F148/F147)</f>
        <v>0.49557522123893805</v>
      </c>
      <c r="G151" s="46">
        <f>-(G148/G147)</f>
        <v>0.37408795109445869</v>
      </c>
      <c r="H151" s="46">
        <f t="shared" ref="H151:L151" si="55">-(H148/H147)</f>
        <v>0.37408795109445869</v>
      </c>
      <c r="I151" s="46">
        <f t="shared" si="55"/>
        <v>0.37408795109445869</v>
      </c>
      <c r="J151" s="46">
        <f t="shared" si="55"/>
        <v>0.37408795109445869</v>
      </c>
      <c r="K151" s="46">
        <f t="shared" si="55"/>
        <v>0.37408795109445869</v>
      </c>
      <c r="L151" s="46">
        <f t="shared" si="55"/>
        <v>0.37408795109445864</v>
      </c>
      <c r="N151" t="s">
        <v>244</v>
      </c>
    </row>
    <row r="152" spans="1:17" x14ac:dyDescent="0.25">
      <c r="F152" s="38"/>
      <c r="G152" s="38"/>
    </row>
    <row r="153" spans="1:17" x14ac:dyDescent="0.25">
      <c r="A153" t="s">
        <v>226</v>
      </c>
      <c r="B153" s="171" t="s">
        <v>97</v>
      </c>
      <c r="C153" s="171"/>
      <c r="D153" s="171"/>
      <c r="E153" s="216"/>
      <c r="F153" s="216"/>
      <c r="G153" s="216"/>
      <c r="H153" s="216"/>
      <c r="I153" s="216"/>
      <c r="J153" s="216"/>
      <c r="K153" s="216"/>
      <c r="L153" s="216"/>
      <c r="M153" s="175"/>
      <c r="P153" s="45"/>
      <c r="Q153" s="45"/>
    </row>
    <row r="154" spans="1:17" x14ac:dyDescent="0.25">
      <c r="B154" s="224" t="str">
        <f>B14</f>
        <v xml:space="preserve">Fiscal year  </v>
      </c>
      <c r="C154" s="217">
        <f>C14</f>
        <v>2020</v>
      </c>
      <c r="D154" s="217">
        <f>D14</f>
        <v>2021</v>
      </c>
      <c r="E154" s="217">
        <f>E14</f>
        <v>2022</v>
      </c>
      <c r="F154" s="217">
        <f>F14</f>
        <v>2023</v>
      </c>
      <c r="G154" s="217">
        <f>G14</f>
        <v>2024</v>
      </c>
      <c r="H154" s="218">
        <f>H14</f>
        <v>2025</v>
      </c>
      <c r="I154" s="218">
        <f>I14</f>
        <v>2026</v>
      </c>
      <c r="J154" s="218">
        <f>J14</f>
        <v>2027</v>
      </c>
      <c r="K154" s="218">
        <f>K14</f>
        <v>2028</v>
      </c>
      <c r="L154" s="218">
        <f>L14</f>
        <v>2029</v>
      </c>
      <c r="M154" s="187"/>
      <c r="P154" s="45"/>
      <c r="Q154" s="45"/>
    </row>
    <row r="155" spans="1:17" x14ac:dyDescent="0.25">
      <c r="B155" s="216" t="str">
        <f>B15</f>
        <v>Fiscal year end date</v>
      </c>
      <c r="C155" s="220">
        <f>C15</f>
        <v>42277</v>
      </c>
      <c r="D155" s="220">
        <f>D15</f>
        <v>42643</v>
      </c>
      <c r="E155" s="220">
        <f>E15</f>
        <v>43008</v>
      </c>
      <c r="F155" s="220">
        <f>F15</f>
        <v>43372</v>
      </c>
      <c r="G155" s="220">
        <f>G15</f>
        <v>45657</v>
      </c>
      <c r="H155" s="220">
        <f>H15</f>
        <v>46022</v>
      </c>
      <c r="I155" s="220">
        <f>I15</f>
        <v>46387</v>
      </c>
      <c r="J155" s="220">
        <f>J15</f>
        <v>46752</v>
      </c>
      <c r="K155" s="220">
        <f>K15</f>
        <v>47118</v>
      </c>
      <c r="L155" s="220">
        <f>L15</f>
        <v>47483</v>
      </c>
      <c r="M155" s="188"/>
      <c r="P155" s="45"/>
      <c r="Q155" s="45"/>
    </row>
    <row r="156" spans="1:17" x14ac:dyDescent="0.25">
      <c r="B156" s="27" t="s">
        <v>98</v>
      </c>
      <c r="C156" s="257"/>
      <c r="D156" s="26">
        <f>C49</f>
        <v>11214</v>
      </c>
      <c r="E156" s="26">
        <f>D49</f>
        <v>12414</v>
      </c>
      <c r="F156" s="26">
        <f>E49</f>
        <v>6382</v>
      </c>
      <c r="G156" s="26">
        <f>F49</f>
        <v>11324</v>
      </c>
      <c r="H156" s="26">
        <f>G49</f>
        <v>13300</v>
      </c>
      <c r="I156" s="26">
        <f>H49</f>
        <v>14802.9</v>
      </c>
      <c r="J156" s="26">
        <f>I49</f>
        <v>16475.627700000001</v>
      </c>
      <c r="K156" s="26">
        <f>J49</f>
        <v>18337.373630100003</v>
      </c>
      <c r="L156" s="26">
        <f>K49</f>
        <v>20409.496850301304</v>
      </c>
      <c r="M156" s="181"/>
      <c r="N156" t="s">
        <v>99</v>
      </c>
      <c r="P156" s="45"/>
      <c r="Q156" s="45"/>
    </row>
    <row r="157" spans="1:17" x14ac:dyDescent="0.25">
      <c r="B157" s="27" t="s">
        <v>100</v>
      </c>
      <c r="C157" s="261"/>
      <c r="D157" s="21">
        <v>-1000</v>
      </c>
      <c r="E157" s="21">
        <v>-1000</v>
      </c>
      <c r="F157" s="21">
        <v>-1000</v>
      </c>
      <c r="G157" s="21">
        <v>-1000</v>
      </c>
      <c r="H157" s="21">
        <v>-1000</v>
      </c>
      <c r="I157" s="21">
        <v>-1000</v>
      </c>
      <c r="J157" s="21">
        <v>-1000</v>
      </c>
      <c r="K157" s="21">
        <v>-1000</v>
      </c>
      <c r="L157" s="21">
        <v>-1000</v>
      </c>
      <c r="M157" s="196"/>
      <c r="N157" t="s">
        <v>101</v>
      </c>
      <c r="P157" s="45"/>
      <c r="Q157" s="45"/>
    </row>
    <row r="158" spans="1:17" x14ac:dyDescent="0.25">
      <c r="B158" s="243" t="s">
        <v>102</v>
      </c>
      <c r="C158" s="262"/>
      <c r="D158" s="169">
        <f t="shared" ref="D158:G158" si="56">SUM(D94,D97,D99,D101,D102)</f>
        <v>17452</v>
      </c>
      <c r="E158" s="169">
        <f t="shared" si="56"/>
        <v>15743</v>
      </c>
      <c r="F158" s="169">
        <f t="shared" si="56"/>
        <v>13868</v>
      </c>
      <c r="G158" s="169">
        <f t="shared" si="56"/>
        <v>16168</v>
      </c>
      <c r="H158" s="169">
        <f ca="1">SUM(H94,H97,H99,H101,H102)</f>
        <v>15176.055672248225</v>
      </c>
      <c r="I158" s="169">
        <f ca="1">SUM(I94,I97,I99,I101,I102)</f>
        <v>15967.167311290701</v>
      </c>
      <c r="J158" s="169">
        <f ca="1">SUM(J94,J97,J99,J101,J102)</f>
        <v>16396.752870959997</v>
      </c>
      <c r="K158" s="169">
        <f ca="1">SUM(K94,K97,K99,K101,K102)</f>
        <v>16978.992065130282</v>
      </c>
      <c r="L158" s="169">
        <f ca="1">SUM(L94,L97,L99,L101,L102)</f>
        <v>17701.240788641739</v>
      </c>
      <c r="M158" s="197"/>
      <c r="N158" t="s">
        <v>103</v>
      </c>
    </row>
    <row r="159" spans="1:17" x14ac:dyDescent="0.25">
      <c r="B159" s="232" t="s">
        <v>104</v>
      </c>
      <c r="C159" s="139"/>
      <c r="D159" s="139">
        <f t="shared" ref="D159:G159" si="57">SUM(D156:D158)</f>
        <v>27666</v>
      </c>
      <c r="E159" s="139">
        <f t="shared" si="57"/>
        <v>27157</v>
      </c>
      <c r="F159" s="139">
        <f t="shared" si="57"/>
        <v>19250</v>
      </c>
      <c r="G159" s="139">
        <f t="shared" si="57"/>
        <v>26492</v>
      </c>
      <c r="H159" s="139">
        <f ca="1">SUM(H156:H158)</f>
        <v>27476.055672248225</v>
      </c>
      <c r="I159" s="139">
        <f ca="1">SUM(I156:I158)</f>
        <v>29770.067311290702</v>
      </c>
      <c r="J159" s="139">
        <f ca="1">SUM(J156:J158)</f>
        <v>31872.380570959998</v>
      </c>
      <c r="K159" s="139">
        <f ca="1">SUM(K156:K158)</f>
        <v>34316.365695230284</v>
      </c>
      <c r="L159" s="139">
        <f ca="1">SUM(L156:L158)</f>
        <v>37110.737638943043</v>
      </c>
      <c r="M159" s="190"/>
    </row>
    <row r="161" spans="1:20" x14ac:dyDescent="0.25">
      <c r="B161" s="23" t="s">
        <v>105</v>
      </c>
      <c r="C161" s="23"/>
      <c r="D161" s="23"/>
    </row>
    <row r="162" spans="1:20" x14ac:dyDescent="0.25">
      <c r="B162" s="27" t="s">
        <v>70</v>
      </c>
      <c r="C162" s="257"/>
      <c r="D162" s="265">
        <f>C165</f>
        <v>500</v>
      </c>
      <c r="E162" s="265">
        <f t="shared" ref="E162:L162" si="58">D165</f>
        <v>2044</v>
      </c>
      <c r="F162" s="265">
        <f t="shared" si="58"/>
        <v>1945</v>
      </c>
      <c r="G162" s="265">
        <f t="shared" si="58"/>
        <v>914</v>
      </c>
      <c r="H162" s="265">
        <f t="shared" si="58"/>
        <v>1364</v>
      </c>
      <c r="I162" s="265">
        <f t="shared" ca="1" si="58"/>
        <v>1000</v>
      </c>
      <c r="J162" s="265">
        <f t="shared" ca="1" si="58"/>
        <v>1000</v>
      </c>
      <c r="K162" s="265">
        <f t="shared" ca="1" si="58"/>
        <v>1000</v>
      </c>
      <c r="L162" s="265">
        <f t="shared" ca="1" si="58"/>
        <v>1000</v>
      </c>
      <c r="M162" s="181"/>
      <c r="N162" t="s">
        <v>71</v>
      </c>
    </row>
    <row r="163" spans="1:20" x14ac:dyDescent="0.25">
      <c r="B163" s="39" t="s">
        <v>106</v>
      </c>
      <c r="C163" s="261"/>
      <c r="D163" s="26">
        <f t="shared" ref="D163:G163" si="59">-MIN(D159,D162)</f>
        <v>-500</v>
      </c>
      <c r="E163" s="26">
        <f t="shared" si="59"/>
        <v>-2044</v>
      </c>
      <c r="F163" s="26">
        <f t="shared" si="59"/>
        <v>-1945</v>
      </c>
      <c r="G163" s="26">
        <f t="shared" si="59"/>
        <v>-914</v>
      </c>
      <c r="H163" s="26">
        <f t="shared" ref="H163" ca="1" si="60">-MIN(H159,H162)</f>
        <v>-1364</v>
      </c>
      <c r="I163" s="26">
        <f t="shared" ref="I163" ca="1" si="61">-MIN(I159,I162)</f>
        <v>-1000</v>
      </c>
      <c r="J163" s="26">
        <f t="shared" ref="J163" ca="1" si="62">-MIN(J159,J162)</f>
        <v>-1000</v>
      </c>
      <c r="K163" s="26">
        <f t="shared" ref="K163" ca="1" si="63">-MIN(K159,K162)</f>
        <v>-1000</v>
      </c>
      <c r="L163" s="26">
        <f t="shared" ref="L163" ca="1" si="64">-MIN(L159,L162)</f>
        <v>-1000</v>
      </c>
      <c r="M163" s="181"/>
      <c r="N163" t="s">
        <v>107</v>
      </c>
    </row>
    <row r="164" spans="1:20" x14ac:dyDescent="0.25">
      <c r="B164" s="231" t="s">
        <v>108</v>
      </c>
      <c r="C164" s="262"/>
      <c r="D164" s="168">
        <v>1000</v>
      </c>
      <c r="E164" s="168">
        <v>1000</v>
      </c>
      <c r="F164" s="168">
        <v>1000</v>
      </c>
      <c r="G164" s="168">
        <v>1000</v>
      </c>
      <c r="H164" s="168">
        <v>1000</v>
      </c>
      <c r="I164" s="168">
        <v>1000</v>
      </c>
      <c r="J164" s="168">
        <v>1000</v>
      </c>
      <c r="K164" s="168">
        <v>1000</v>
      </c>
      <c r="L164" s="168">
        <v>1000</v>
      </c>
      <c r="M164" s="200"/>
      <c r="N164" t="s">
        <v>245</v>
      </c>
    </row>
    <row r="165" spans="1:20" x14ac:dyDescent="0.25">
      <c r="B165" s="263" t="s">
        <v>74</v>
      </c>
      <c r="C165" s="264">
        <f>C64</f>
        <v>500</v>
      </c>
      <c r="D165" s="264">
        <f>D64</f>
        <v>2044</v>
      </c>
      <c r="E165" s="264">
        <f>E64</f>
        <v>1945</v>
      </c>
      <c r="F165" s="264">
        <f>F64</f>
        <v>914</v>
      </c>
      <c r="G165" s="264">
        <f>G64</f>
        <v>1364</v>
      </c>
      <c r="H165" s="264">
        <f ca="1">SUM(H162:H164)</f>
        <v>1000</v>
      </c>
      <c r="I165" s="264">
        <f ca="1">SUM(I162:I164)</f>
        <v>1000</v>
      </c>
      <c r="J165" s="264">
        <f ca="1">SUM(J162:J164)</f>
        <v>1000</v>
      </c>
      <c r="K165" s="264">
        <f ca="1">SUM(K162:K164)</f>
        <v>1000</v>
      </c>
      <c r="L165" s="264">
        <f ca="1">SUM(L162:L164)</f>
        <v>1000</v>
      </c>
      <c r="M165" s="189"/>
    </row>
    <row r="166" spans="1:20" x14ac:dyDescent="0.25">
      <c r="B166" s="51" t="s">
        <v>109</v>
      </c>
      <c r="C166" s="52"/>
      <c r="D166" s="52"/>
      <c r="E166" s="53"/>
      <c r="F166" s="53"/>
      <c r="G166" s="54"/>
      <c r="H166" s="55" t="str">
        <f ca="1">IF(H165&lt;0,"Negative Debt","OK")</f>
        <v>OK</v>
      </c>
      <c r="I166" s="55" t="str">
        <f ca="1">IF(I165&lt;0,"Negative Debt","OK")</f>
        <v>OK</v>
      </c>
      <c r="J166" s="55" t="str">
        <f ca="1">IF(J165&lt;0,"Negative Debt","OK")</f>
        <v>OK</v>
      </c>
      <c r="K166" s="55" t="str">
        <f ca="1">IF(K165&lt;0,"Negative Debt","OK")</f>
        <v>OK</v>
      </c>
      <c r="L166" s="55" t="str">
        <f ca="1">IF(L165&lt;0,"Negative Debt","OK")</f>
        <v>OK</v>
      </c>
      <c r="M166" s="201"/>
      <c r="T166" s="38"/>
    </row>
    <row r="167" spans="1:20" x14ac:dyDescent="0.25">
      <c r="E167" s="26"/>
      <c r="F167" s="26"/>
      <c r="G167" s="56"/>
      <c r="H167" s="57"/>
      <c r="I167" s="57"/>
      <c r="J167" s="57"/>
      <c r="K167" s="57"/>
      <c r="L167" s="57"/>
      <c r="M167" s="202"/>
      <c r="T167" s="38"/>
    </row>
    <row r="168" spans="1:20" x14ac:dyDescent="0.25">
      <c r="A168" t="s">
        <v>226</v>
      </c>
      <c r="B168" s="171" t="s">
        <v>110</v>
      </c>
      <c r="C168" s="171"/>
      <c r="D168" s="171"/>
      <c r="E168" s="237"/>
      <c r="F168" s="237"/>
      <c r="G168" s="237"/>
      <c r="H168" s="258"/>
      <c r="I168" s="258"/>
      <c r="J168" s="258"/>
      <c r="K168" s="258"/>
      <c r="L168" s="258"/>
      <c r="M168" s="203"/>
      <c r="S168" s="58"/>
    </row>
    <row r="169" spans="1:20" x14ac:dyDescent="0.25">
      <c r="B169" s="224" t="str">
        <f>B14</f>
        <v xml:space="preserve">Fiscal year  </v>
      </c>
      <c r="C169" s="217">
        <f>C14</f>
        <v>2020</v>
      </c>
      <c r="D169" s="217">
        <f>D14</f>
        <v>2021</v>
      </c>
      <c r="E169" s="217">
        <f>E14</f>
        <v>2022</v>
      </c>
      <c r="F169" s="217">
        <f>F14</f>
        <v>2023</v>
      </c>
      <c r="G169" s="217">
        <f>G14</f>
        <v>2024</v>
      </c>
      <c r="H169" s="218">
        <f>H14</f>
        <v>2025</v>
      </c>
      <c r="I169" s="218">
        <f>I14</f>
        <v>2026</v>
      </c>
      <c r="J169" s="218">
        <f>J14</f>
        <v>2027</v>
      </c>
      <c r="K169" s="218">
        <f>K14</f>
        <v>2028</v>
      </c>
      <c r="L169" s="218">
        <f>L14</f>
        <v>2029</v>
      </c>
      <c r="M169" s="187"/>
      <c r="S169" s="58"/>
      <c r="T169" s="38"/>
    </row>
    <row r="170" spans="1:20" x14ac:dyDescent="0.25">
      <c r="B170" s="216" t="str">
        <f>B15</f>
        <v>Fiscal year end date</v>
      </c>
      <c r="C170" s="220">
        <f>C15</f>
        <v>42277</v>
      </c>
      <c r="D170" s="220">
        <f>D15</f>
        <v>42643</v>
      </c>
      <c r="E170" s="220">
        <f>E15</f>
        <v>43008</v>
      </c>
      <c r="F170" s="220">
        <f>F15</f>
        <v>43372</v>
      </c>
      <c r="G170" s="220">
        <f>G15</f>
        <v>45657</v>
      </c>
      <c r="H170" s="220">
        <f>H15</f>
        <v>46022</v>
      </c>
      <c r="I170" s="220">
        <f>I15</f>
        <v>46387</v>
      </c>
      <c r="J170" s="220">
        <f>J15</f>
        <v>46752</v>
      </c>
      <c r="K170" s="220">
        <f>K15</f>
        <v>47118</v>
      </c>
      <c r="L170" s="220">
        <f>L15</f>
        <v>47483</v>
      </c>
      <c r="M170" s="188"/>
      <c r="S170" s="58"/>
    </row>
    <row r="171" spans="1:20" x14ac:dyDescent="0.25">
      <c r="B171" s="27"/>
      <c r="C171" s="27"/>
      <c r="D171" s="27"/>
      <c r="E171" s="26"/>
      <c r="F171" s="26"/>
      <c r="G171" s="26"/>
      <c r="H171" s="169"/>
      <c r="I171" s="169"/>
      <c r="J171" s="169"/>
      <c r="K171" s="169"/>
      <c r="L171" s="169"/>
      <c r="M171" s="197"/>
      <c r="S171" s="58"/>
    </row>
    <row r="172" spans="1:20" x14ac:dyDescent="0.25">
      <c r="B172" s="28" t="s">
        <v>111</v>
      </c>
      <c r="C172" s="26">
        <f>C24</f>
        <v>-602</v>
      </c>
      <c r="D172" s="26">
        <f t="shared" ref="D172:L172" si="65">D24</f>
        <v>-559</v>
      </c>
      <c r="E172" s="26">
        <f t="shared" si="65"/>
        <v>-490</v>
      </c>
      <c r="F172" s="26">
        <f t="shared" si="65"/>
        <v>-694</v>
      </c>
      <c r="G172" s="26">
        <f t="shared" si="65"/>
        <v>-697</v>
      </c>
      <c r="H172" s="26">
        <f ca="1">H177+H182</f>
        <v>-664.01531601931254</v>
      </c>
      <c r="I172" s="26">
        <f t="shared" ref="I172:L172" ca="1" si="66">I177+I182</f>
        <v>-668.91111601931254</v>
      </c>
      <c r="J172" s="26">
        <f t="shared" ca="1" si="66"/>
        <v>-668.91111601931254</v>
      </c>
      <c r="K172" s="26">
        <f t="shared" ca="1" si="66"/>
        <v>-668.91111601931254</v>
      </c>
      <c r="L172" s="26">
        <f t="shared" ca="1" si="66"/>
        <v>-668.91111601931254</v>
      </c>
      <c r="M172" s="181"/>
      <c r="N172" t="s">
        <v>112</v>
      </c>
      <c r="S172" s="38"/>
    </row>
    <row r="173" spans="1:20" x14ac:dyDescent="0.25">
      <c r="B173" s="59"/>
      <c r="C173" s="59"/>
      <c r="D173" s="59"/>
      <c r="S173" s="38"/>
    </row>
    <row r="174" spans="1:20" x14ac:dyDescent="0.25">
      <c r="B174" s="60" t="s">
        <v>113</v>
      </c>
      <c r="C174" s="60"/>
      <c r="D174" s="60"/>
      <c r="S174" s="38"/>
    </row>
    <row r="175" spans="1:20" x14ac:dyDescent="0.25">
      <c r="B175" s="27" t="s">
        <v>114</v>
      </c>
      <c r="C175" s="61">
        <v>1.2999999999999999E-3</v>
      </c>
      <c r="D175" s="61">
        <v>2.69E-2</v>
      </c>
      <c r="E175" s="61">
        <v>2.69E-2</v>
      </c>
      <c r="F175" s="61">
        <v>2.69E-2</v>
      </c>
      <c r="G175" s="61">
        <v>2.69E-2</v>
      </c>
      <c r="H175" s="62">
        <f>G175</f>
        <v>2.69E-2</v>
      </c>
      <c r="I175" s="62">
        <f>H175</f>
        <v>2.69E-2</v>
      </c>
      <c r="J175" s="62">
        <f>I175</f>
        <v>2.69E-2</v>
      </c>
      <c r="K175" s="62">
        <f>J175</f>
        <v>2.69E-2</v>
      </c>
      <c r="L175" s="62">
        <f>K175</f>
        <v>2.69E-2</v>
      </c>
      <c r="M175" s="204"/>
      <c r="N175" t="s">
        <v>25</v>
      </c>
    </row>
    <row r="176" spans="1:20" x14ac:dyDescent="0.25">
      <c r="B176" s="27" t="s">
        <v>116</v>
      </c>
      <c r="C176" s="265">
        <f>C64</f>
        <v>500</v>
      </c>
      <c r="D176" s="265">
        <f t="shared" ref="D176:L176" si="67">D64</f>
        <v>2044</v>
      </c>
      <c r="E176" s="265">
        <f t="shared" si="67"/>
        <v>1945</v>
      </c>
      <c r="F176" s="265">
        <f t="shared" si="67"/>
        <v>914</v>
      </c>
      <c r="G176" s="265">
        <f t="shared" si="67"/>
        <v>1364</v>
      </c>
      <c r="H176" s="265">
        <f t="shared" ca="1" si="67"/>
        <v>1000</v>
      </c>
      <c r="I176" s="265">
        <f t="shared" ca="1" si="67"/>
        <v>1000</v>
      </c>
      <c r="J176" s="265">
        <f t="shared" ca="1" si="67"/>
        <v>1000</v>
      </c>
      <c r="K176" s="265">
        <f t="shared" ca="1" si="67"/>
        <v>1000</v>
      </c>
      <c r="L176" s="265">
        <f t="shared" ca="1" si="67"/>
        <v>1000</v>
      </c>
      <c r="M176" s="181"/>
      <c r="N176" t="s">
        <v>117</v>
      </c>
    </row>
    <row r="177" spans="1:19" x14ac:dyDescent="0.25">
      <c r="B177" s="260" t="s">
        <v>118</v>
      </c>
      <c r="C177" s="262"/>
      <c r="D177" s="139">
        <f>AVERAGE(C176:D176)*D175</f>
        <v>34.216799999999999</v>
      </c>
      <c r="E177" s="139">
        <f t="shared" ref="E177:L177" si="68">AVERAGE(D176:E176)*E175</f>
        <v>53.652050000000003</v>
      </c>
      <c r="F177" s="139">
        <f t="shared" si="68"/>
        <v>38.45355</v>
      </c>
      <c r="G177" s="139">
        <f t="shared" si="68"/>
        <v>30.639099999999999</v>
      </c>
      <c r="H177" s="139">
        <f t="shared" ca="1" si="68"/>
        <v>31.7958</v>
      </c>
      <c r="I177" s="139">
        <f t="shared" ca="1" si="68"/>
        <v>26.9</v>
      </c>
      <c r="J177" s="139">
        <f t="shared" ca="1" si="68"/>
        <v>26.9</v>
      </c>
      <c r="K177" s="139">
        <f t="shared" ca="1" si="68"/>
        <v>26.9</v>
      </c>
      <c r="L177" s="139">
        <f t="shared" ca="1" si="68"/>
        <v>26.9</v>
      </c>
      <c r="M177" s="180"/>
      <c r="N177" t="s">
        <v>119</v>
      </c>
    </row>
    <row r="178" spans="1:19" x14ac:dyDescent="0.25">
      <c r="B178" s="63"/>
      <c r="C178" s="63"/>
      <c r="D178" s="63"/>
      <c r="E178" s="26"/>
      <c r="F178" s="26"/>
      <c r="G178" s="26"/>
    </row>
    <row r="179" spans="1:19" x14ac:dyDescent="0.25">
      <c r="B179" s="60" t="s">
        <v>62</v>
      </c>
      <c r="C179" s="60"/>
      <c r="D179" s="60"/>
      <c r="E179" s="26"/>
      <c r="F179" s="26"/>
      <c r="G179" s="26"/>
    </row>
    <row r="180" spans="1:19" x14ac:dyDescent="0.25">
      <c r="B180" s="27" t="s">
        <v>116</v>
      </c>
      <c r="C180" s="26">
        <f t="shared" ref="C180:E180" si="69">C70</f>
        <v>15226</v>
      </c>
      <c r="D180" s="26">
        <f t="shared" si="69"/>
        <v>13701</v>
      </c>
      <c r="E180" s="26">
        <f>E70</f>
        <v>13537</v>
      </c>
      <c r="F180" s="26">
        <f>F70</f>
        <v>14484</v>
      </c>
      <c r="G180" s="26">
        <f>G70</f>
        <v>13270</v>
      </c>
      <c r="H180" s="26">
        <f>H70</f>
        <v>13270</v>
      </c>
      <c r="I180" s="26">
        <f>I70</f>
        <v>13270</v>
      </c>
      <c r="J180" s="26">
        <f>J70</f>
        <v>13270</v>
      </c>
      <c r="K180" s="26">
        <f>K70</f>
        <v>13270</v>
      </c>
      <c r="L180" s="26">
        <f>L70</f>
        <v>13270</v>
      </c>
      <c r="M180" s="181"/>
      <c r="N180" t="s">
        <v>64</v>
      </c>
    </row>
    <row r="181" spans="1:19" x14ac:dyDescent="0.25">
      <c r="B181" s="27" t="s">
        <v>114</v>
      </c>
      <c r="C181" s="27"/>
      <c r="D181" s="46">
        <f>D182/AVERAGE(C180:D180)</f>
        <v>-4.1014747467763686E-2</v>
      </c>
      <c r="E181" s="46">
        <f>E182/AVERAGE(D180:E180)</f>
        <v>-3.9918646743520088E-2</v>
      </c>
      <c r="F181" s="46">
        <f t="shared" ref="F181" si="70">F182/AVERAGE(E180:F180)</f>
        <v>-5.2278901538132111E-2</v>
      </c>
      <c r="G181" s="46">
        <f>G182/AVERAGE(F180:G180)</f>
        <v>-5.2434899473949699E-2</v>
      </c>
      <c r="H181" s="64">
        <f>G181</f>
        <v>-5.2434899473949699E-2</v>
      </c>
      <c r="I181" s="64">
        <f>H181</f>
        <v>-5.2434899473949699E-2</v>
      </c>
      <c r="J181" s="64">
        <f>I181</f>
        <v>-5.2434899473949699E-2</v>
      </c>
      <c r="K181" s="64">
        <f>J181</f>
        <v>-5.2434899473949699E-2</v>
      </c>
      <c r="L181" s="64">
        <f>K181</f>
        <v>-5.2434899473949699E-2</v>
      </c>
      <c r="M181" s="205"/>
      <c r="N181" t="s">
        <v>115</v>
      </c>
      <c r="S181" s="58"/>
    </row>
    <row r="182" spans="1:19" x14ac:dyDescent="0.25">
      <c r="B182" s="232" t="s">
        <v>120</v>
      </c>
      <c r="C182" s="262"/>
      <c r="D182" s="139">
        <f t="shared" ref="C182:E182" si="71">D172-D177</f>
        <v>-593.21680000000003</v>
      </c>
      <c r="E182" s="139">
        <f t="shared" si="71"/>
        <v>-543.65205000000003</v>
      </c>
      <c r="F182" s="139">
        <f>F172-F177</f>
        <v>-732.45354999999995</v>
      </c>
      <c r="G182" s="139">
        <f>G172-G177</f>
        <v>-727.63909999999998</v>
      </c>
      <c r="H182" s="121">
        <f>H181*AVERAGE(G180:H180)</f>
        <v>-695.81111601931252</v>
      </c>
      <c r="I182" s="121">
        <f>I181*AVERAGE(H180:I180)</f>
        <v>-695.81111601931252</v>
      </c>
      <c r="J182" s="121">
        <f>J181*AVERAGE(I180:J180)</f>
        <v>-695.81111601931252</v>
      </c>
      <c r="K182" s="121">
        <f>K181*AVERAGE(J180:K180)</f>
        <v>-695.81111601931252</v>
      </c>
      <c r="L182" s="121">
        <f>L181*AVERAGE(K180:L180)</f>
        <v>-695.81111601931252</v>
      </c>
      <c r="M182" s="183"/>
      <c r="N182" t="s">
        <v>121</v>
      </c>
    </row>
    <row r="183" spans="1:19" x14ac:dyDescent="0.25">
      <c r="F183" s="26"/>
    </row>
    <row r="184" spans="1:19" x14ac:dyDescent="0.25">
      <c r="B184" s="59" t="s">
        <v>122</v>
      </c>
      <c r="C184" s="59"/>
      <c r="D184" s="59"/>
      <c r="F184" s="26"/>
      <c r="G184" s="26"/>
    </row>
    <row r="185" spans="1:19" ht="15" customHeight="1" x14ac:dyDescent="0.25">
      <c r="B185" s="27" t="s">
        <v>123</v>
      </c>
      <c r="C185" s="65">
        <v>1.7299999999999999E-2</v>
      </c>
      <c r="D185" s="65"/>
      <c r="E185" s="61">
        <v>1.9900000000000001E-2</v>
      </c>
      <c r="F185" s="61">
        <v>2.1600000000000001E-2</v>
      </c>
      <c r="G185" s="61">
        <v>2.1899999999999999E-2</v>
      </c>
      <c r="H185" s="66">
        <f>G185</f>
        <v>2.1899999999999999E-2</v>
      </c>
      <c r="I185" s="66">
        <f>H185</f>
        <v>2.1899999999999999E-2</v>
      </c>
      <c r="J185" s="66">
        <f>I185</f>
        <v>2.1899999999999999E-2</v>
      </c>
      <c r="K185" s="66">
        <f>J185</f>
        <v>2.1899999999999999E-2</v>
      </c>
      <c r="L185" s="66">
        <f>K185</f>
        <v>2.1899999999999999E-2</v>
      </c>
      <c r="M185" s="206"/>
      <c r="N185" t="s">
        <v>115</v>
      </c>
    </row>
    <row r="186" spans="1:19" ht="15" customHeight="1" x14ac:dyDescent="0.25">
      <c r="B186" s="232" t="s">
        <v>22</v>
      </c>
      <c r="C186" s="139">
        <f>C24</f>
        <v>-602</v>
      </c>
      <c r="D186" s="139">
        <f>D24</f>
        <v>-559</v>
      </c>
      <c r="E186" s="139">
        <f>E24</f>
        <v>-490</v>
      </c>
      <c r="F186" s="139">
        <f>F24</f>
        <v>-694</v>
      </c>
      <c r="G186" s="139">
        <f>G24</f>
        <v>-697</v>
      </c>
      <c r="H186" s="121">
        <f>IF($C$7=1,AVERAGE(G48,H49)*H185,0)</f>
        <v>324.18350999999996</v>
      </c>
      <c r="I186" s="121">
        <f>IF($C$7=1,AVERAGE(H49,I49)*I185,0)</f>
        <v>342.49987831499999</v>
      </c>
      <c r="J186" s="121">
        <f>IF($C$7=1,AVERAGE(I49,J49)*J185,0)</f>
        <v>381.20236456459497</v>
      </c>
      <c r="K186" s="121">
        <f>IF($C$7=1,AVERAGE(J49,K49)*K185,0)</f>
        <v>424.27823176039436</v>
      </c>
      <c r="L186" s="121">
        <f>IF($C$7=1,AVERAGE(K49,L49)*L185,0)</f>
        <v>472.22167194931893</v>
      </c>
      <c r="M186" s="179"/>
      <c r="N186" t="s">
        <v>124</v>
      </c>
    </row>
    <row r="187" spans="1:19" x14ac:dyDescent="0.25">
      <c r="B187" s="67"/>
      <c r="C187" s="67"/>
      <c r="D187" s="67"/>
      <c r="E187" s="46"/>
      <c r="F187" s="46"/>
      <c r="G187" s="46"/>
      <c r="H187" s="46"/>
      <c r="I187" s="46"/>
    </row>
    <row r="188" spans="1:19" x14ac:dyDescent="0.25">
      <c r="A188" t="s">
        <v>227</v>
      </c>
      <c r="B188" s="171" t="s">
        <v>125</v>
      </c>
      <c r="C188" s="171"/>
      <c r="D188" s="171"/>
      <c r="E188" s="171"/>
      <c r="F188" s="171"/>
      <c r="G188" s="171"/>
      <c r="H188" s="171"/>
      <c r="I188" s="171"/>
      <c r="J188" s="171"/>
      <c r="K188" s="171"/>
      <c r="L188" s="171"/>
      <c r="M188" s="207"/>
    </row>
    <row r="189" spans="1:19" x14ac:dyDescent="0.25">
      <c r="B189" s="224" t="str">
        <f>$B$169</f>
        <v xml:space="preserve">Fiscal year  </v>
      </c>
      <c r="C189" s="217">
        <f>C14</f>
        <v>2020</v>
      </c>
      <c r="D189" s="217">
        <f>D14</f>
        <v>2021</v>
      </c>
      <c r="E189" s="217">
        <f>E14</f>
        <v>2022</v>
      </c>
      <c r="F189" s="217">
        <f>F14</f>
        <v>2023</v>
      </c>
      <c r="G189" s="218">
        <f>G14</f>
        <v>2024</v>
      </c>
      <c r="H189" s="218">
        <f>H14</f>
        <v>2025</v>
      </c>
      <c r="I189" s="218">
        <f>I14</f>
        <v>2026</v>
      </c>
      <c r="J189" s="218">
        <f>J14</f>
        <v>2027</v>
      </c>
      <c r="K189" s="218">
        <f>K14</f>
        <v>2028</v>
      </c>
      <c r="L189" s="218">
        <f>L14</f>
        <v>2029</v>
      </c>
      <c r="M189" s="187"/>
    </row>
    <row r="190" spans="1:19" x14ac:dyDescent="0.25">
      <c r="B190" s="224" t="str">
        <f>$B$170</f>
        <v>Fiscal year end date</v>
      </c>
      <c r="C190" s="220">
        <f>C15</f>
        <v>42277</v>
      </c>
      <c r="D190" s="220">
        <f>D15</f>
        <v>42643</v>
      </c>
      <c r="E190" s="220">
        <f>E15</f>
        <v>43008</v>
      </c>
      <c r="F190" s="220">
        <f>F15</f>
        <v>43372</v>
      </c>
      <c r="G190" s="220">
        <f>G15</f>
        <v>45657</v>
      </c>
      <c r="H190" s="220">
        <f>H15</f>
        <v>46022</v>
      </c>
      <c r="I190" s="220">
        <f>I15</f>
        <v>46387</v>
      </c>
      <c r="J190" s="220">
        <f>J15</f>
        <v>46752</v>
      </c>
      <c r="K190" s="220">
        <f>K15</f>
        <v>47118</v>
      </c>
      <c r="L190" s="220">
        <f>L15</f>
        <v>47483</v>
      </c>
      <c r="M190" s="188"/>
    </row>
    <row r="191" spans="1:19" x14ac:dyDescent="0.25">
      <c r="G191" s="32"/>
      <c r="H191" s="32"/>
      <c r="I191" s="32"/>
      <c r="J191" s="31"/>
      <c r="K191" s="31"/>
    </row>
    <row r="192" spans="1:19" x14ac:dyDescent="0.25">
      <c r="B192" t="s">
        <v>29</v>
      </c>
      <c r="C192" s="26">
        <f>C31</f>
        <v>5198</v>
      </c>
      <c r="D192" s="26">
        <f t="shared" ref="D192:L192" si="72">D31</f>
        <v>9043</v>
      </c>
      <c r="E192" s="26">
        <f t="shared" si="72"/>
        <v>12936</v>
      </c>
      <c r="F192" s="26">
        <f t="shared" si="72"/>
        <v>7232</v>
      </c>
      <c r="G192" s="26">
        <f t="shared" si="72"/>
        <v>10142</v>
      </c>
      <c r="H192" s="26">
        <f t="shared" si="72"/>
        <v>10779.291207642091</v>
      </c>
      <c r="I192" s="26">
        <f t="shared" si="72"/>
        <v>11970.21574830286</v>
      </c>
      <c r="J192" s="26">
        <f t="shared" si="72"/>
        <v>13295.714762058298</v>
      </c>
      <c r="K192" s="26">
        <f t="shared" si="72"/>
        <v>14770.995164368094</v>
      </c>
      <c r="L192" s="26">
        <f t="shared" si="72"/>
        <v>16412.982252138911</v>
      </c>
      <c r="M192" s="181"/>
      <c r="N192" t="s">
        <v>126</v>
      </c>
    </row>
    <row r="193" spans="2:14" x14ac:dyDescent="0.25">
      <c r="B193" t="s">
        <v>127</v>
      </c>
      <c r="C193" s="21">
        <v>5470.82</v>
      </c>
      <c r="D193" s="21"/>
      <c r="E193" s="21">
        <v>5217.2420000000002</v>
      </c>
      <c r="F193" s="21">
        <v>4955.3770000000004</v>
      </c>
      <c r="G193" s="21">
        <v>4617.8340000000007</v>
      </c>
      <c r="H193" s="26">
        <f>G193+(-H199+H200)/H201</f>
        <v>4618.9962366666678</v>
      </c>
      <c r="I193" s="26">
        <f t="shared" ref="I193:L193" si="73">H193+(-I199+I200)/I201</f>
        <v>4621.0874409726339</v>
      </c>
      <c r="J193" s="26">
        <f t="shared" si="73"/>
        <v>4624.016896635655</v>
      </c>
      <c r="K193" s="26">
        <f t="shared" si="73"/>
        <v>4627.7024216816299</v>
      </c>
      <c r="L193" s="26">
        <f t="shared" si="73"/>
        <v>4632.0696274390639</v>
      </c>
      <c r="M193" s="181"/>
      <c r="N193" t="s">
        <v>128</v>
      </c>
    </row>
    <row r="194" spans="2:14" x14ac:dyDescent="0.25">
      <c r="B194" s="120" t="s">
        <v>129</v>
      </c>
      <c r="C194" s="259">
        <f t="shared" ref="C194:G194" si="74">C192/C193</f>
        <v>0.95013179011555859</v>
      </c>
      <c r="D194" s="259"/>
      <c r="E194" s="259">
        <f t="shared" si="74"/>
        <v>2.4794709541938058</v>
      </c>
      <c r="F194" s="259">
        <f t="shared" si="74"/>
        <v>1.4594247824131241</v>
      </c>
      <c r="G194" s="259">
        <f t="shared" si="74"/>
        <v>2.1962677740256575</v>
      </c>
      <c r="H194" s="259">
        <f>H192/H193</f>
        <v>2.3336869430794436</v>
      </c>
      <c r="I194" s="259">
        <f>I192/I193</f>
        <v>2.5903460822163975</v>
      </c>
      <c r="J194" s="259">
        <f>J192/J193</f>
        <v>2.8753603326432482</v>
      </c>
      <c r="K194" s="259">
        <f>K192/K193</f>
        <v>3.1918636546644157</v>
      </c>
      <c r="L194" s="259">
        <f>L192/L193</f>
        <v>3.5433366879705495</v>
      </c>
      <c r="M194" s="208"/>
      <c r="N194" t="s">
        <v>130</v>
      </c>
    </row>
    <row r="195" spans="2:14" x14ac:dyDescent="0.25">
      <c r="E195" s="21"/>
      <c r="F195" s="21"/>
      <c r="G195" s="21"/>
      <c r="H195" s="26"/>
    </row>
    <row r="196" spans="2:14" x14ac:dyDescent="0.25">
      <c r="B196" t="s">
        <v>131</v>
      </c>
      <c r="C196" s="21">
        <v>5500.2809999999999</v>
      </c>
      <c r="D196" s="21"/>
      <c r="E196" s="21">
        <v>5251.692</v>
      </c>
      <c r="F196" s="21">
        <v>5000.1090000000004</v>
      </c>
      <c r="G196" s="21">
        <v>4648.9129999999996</v>
      </c>
      <c r="H196" s="26">
        <f>H193+G196-G193</f>
        <v>4650.0752366666657</v>
      </c>
      <c r="I196" s="26">
        <f t="shared" ref="I196:L196" si="75">I193+H196-H193</f>
        <v>4652.1664409726309</v>
      </c>
      <c r="J196" s="26">
        <f t="shared" si="75"/>
        <v>4655.0958966356529</v>
      </c>
      <c r="K196" s="26">
        <f t="shared" si="75"/>
        <v>4658.7814216816287</v>
      </c>
      <c r="L196" s="26">
        <f t="shared" si="75"/>
        <v>4663.1486274390627</v>
      </c>
      <c r="M196" s="181"/>
      <c r="N196" t="s">
        <v>132</v>
      </c>
    </row>
    <row r="197" spans="2:14" x14ac:dyDescent="0.25">
      <c r="B197" s="120" t="s">
        <v>133</v>
      </c>
      <c r="C197" s="259">
        <f>C192/C196</f>
        <v>0.94504262600401689</v>
      </c>
      <c r="D197" s="259"/>
      <c r="E197" s="259">
        <f t="shared" ref="E197:G197" si="76">E192/E196</f>
        <v>2.4632061438484967</v>
      </c>
      <c r="F197" s="259">
        <f t="shared" si="76"/>
        <v>1.4463684691673719</v>
      </c>
      <c r="G197" s="259">
        <f t="shared" si="76"/>
        <v>2.1815852436902996</v>
      </c>
      <c r="H197" s="259">
        <f>H192/H196</f>
        <v>2.3180896349042857</v>
      </c>
      <c r="I197" s="259">
        <f>I192/I196</f>
        <v>2.5730411626889773</v>
      </c>
      <c r="J197" s="259">
        <f>J192/J196</f>
        <v>2.8561634512550911</v>
      </c>
      <c r="K197" s="259">
        <f>K192/K196</f>
        <v>3.1705705478314483</v>
      </c>
      <c r="L197" s="259">
        <f>L192/L196</f>
        <v>3.5197210218780213</v>
      </c>
      <c r="M197" s="208"/>
      <c r="N197" t="s">
        <v>134</v>
      </c>
    </row>
    <row r="198" spans="2:14" x14ac:dyDescent="0.25">
      <c r="H198" s="68"/>
    </row>
    <row r="199" spans="2:14" x14ac:dyDescent="0.25">
      <c r="B199" t="s">
        <v>135</v>
      </c>
      <c r="H199" s="26">
        <f>-(H101)</f>
        <v>2731</v>
      </c>
      <c r="I199" s="26">
        <f>-(I101)</f>
        <v>2731</v>
      </c>
      <c r="J199" s="26">
        <f>-(J101)</f>
        <v>2731</v>
      </c>
      <c r="K199" s="26">
        <f>-(K101)</f>
        <v>2731</v>
      </c>
      <c r="L199" s="26">
        <f>-(L101)</f>
        <v>2731</v>
      </c>
      <c r="M199" s="181"/>
      <c r="N199" t="s">
        <v>136</v>
      </c>
    </row>
    <row r="200" spans="2:14" x14ac:dyDescent="0.25">
      <c r="B200" t="s">
        <v>137</v>
      </c>
      <c r="H200" s="22">
        <f>H35</f>
        <v>3079.6709999999998</v>
      </c>
      <c r="I200" s="22">
        <f>I35</f>
        <v>3427.6738229999996</v>
      </c>
      <c r="J200" s="22">
        <f>J35</f>
        <v>3815.0009649989997</v>
      </c>
      <c r="K200" s="22">
        <f>K35</f>
        <v>4246.0960740438868</v>
      </c>
      <c r="L200" s="22">
        <f>L35</f>
        <v>4725.9049304108457</v>
      </c>
      <c r="M200" s="179"/>
      <c r="N200" t="s">
        <v>138</v>
      </c>
    </row>
    <row r="201" spans="2:14" x14ac:dyDescent="0.25">
      <c r="B201" t="s">
        <v>139</v>
      </c>
      <c r="H201" s="69">
        <v>300</v>
      </c>
      <c r="I201" s="68">
        <f>H201*(1+I202)</f>
        <v>333.14479174149551</v>
      </c>
      <c r="J201" s="68">
        <f>I201*(1+J202)</f>
        <v>370.03494494978003</v>
      </c>
      <c r="K201" s="68">
        <f>J201*(1+K202)</f>
        <v>411.09368547060058</v>
      </c>
      <c r="L201" s="68">
        <f>K201*(1+L202)</f>
        <v>456.79206367027422</v>
      </c>
      <c r="M201" s="209"/>
      <c r="N201" t="s">
        <v>140</v>
      </c>
    </row>
    <row r="202" spans="2:14" x14ac:dyDescent="0.25">
      <c r="B202" t="s">
        <v>141</v>
      </c>
      <c r="I202" s="70">
        <f>I192/H192-1</f>
        <v>0.11048263913831846</v>
      </c>
      <c r="J202" s="70">
        <f t="shared" ref="J202:L202" si="77">J192/I192-1</f>
        <v>0.11073309300572687</v>
      </c>
      <c r="K202" s="70">
        <f t="shared" si="77"/>
        <v>0.11095908935409571</v>
      </c>
      <c r="L202" s="70">
        <f t="shared" si="77"/>
        <v>0.11116292907141179</v>
      </c>
      <c r="M202" s="210"/>
      <c r="N202" t="s">
        <v>142</v>
      </c>
    </row>
    <row r="203" spans="2:14" x14ac:dyDescent="0.25">
      <c r="N203" s="30" t="s">
        <v>143</v>
      </c>
    </row>
    <row r="204" spans="2:14" x14ac:dyDescent="0.25">
      <c r="B204" s="23" t="s">
        <v>144</v>
      </c>
      <c r="E204" s="23"/>
      <c r="F204" s="23"/>
      <c r="G204" s="71" t="s">
        <v>145</v>
      </c>
      <c r="H204" s="72">
        <f>C11</f>
        <v>4443.2650000000003</v>
      </c>
      <c r="I204" s="36">
        <f>H206</f>
        <v>4444.4272366666673</v>
      </c>
      <c r="J204" s="36">
        <f t="shared" ref="J204:L204" si="78">I206</f>
        <v>4446.5184409726335</v>
      </c>
      <c r="K204" s="36">
        <f t="shared" si="78"/>
        <v>4449.4478966356546</v>
      </c>
      <c r="L204" s="36">
        <f t="shared" si="78"/>
        <v>4453.1334216816294</v>
      </c>
      <c r="M204" s="190"/>
      <c r="N204" t="s">
        <v>146</v>
      </c>
    </row>
    <row r="205" spans="2:14" x14ac:dyDescent="0.25">
      <c r="B205" t="s">
        <v>147</v>
      </c>
      <c r="H205" s="26">
        <f>(-H199+H200)/H201</f>
        <v>1.1622366666666661</v>
      </c>
      <c r="I205" s="26">
        <f t="shared" ref="I205:L205" si="79">(-I199+I200)/I201</f>
        <v>2.0912043059661136</v>
      </c>
      <c r="J205" s="26">
        <f t="shared" si="79"/>
        <v>2.9294556630215478</v>
      </c>
      <c r="K205" s="26">
        <f t="shared" si="79"/>
        <v>3.6855250459745608</v>
      </c>
      <c r="L205" s="26">
        <f t="shared" si="79"/>
        <v>4.3672057574337062</v>
      </c>
      <c r="M205" s="181"/>
      <c r="N205" t="s">
        <v>148</v>
      </c>
    </row>
    <row r="206" spans="2:14" x14ac:dyDescent="0.25">
      <c r="B206" t="s">
        <v>149</v>
      </c>
      <c r="H206" s="26">
        <f>SUM(H204:H205)</f>
        <v>4444.4272366666673</v>
      </c>
      <c r="I206" s="26">
        <f t="shared" ref="I206:L206" si="80">SUM(I204:I205)</f>
        <v>4446.5184409726335</v>
      </c>
      <c r="J206" s="26">
        <f t="shared" si="80"/>
        <v>4449.4478966356546</v>
      </c>
      <c r="K206" s="26">
        <f t="shared" si="80"/>
        <v>4453.1334216816294</v>
      </c>
      <c r="L206" s="26">
        <f t="shared" si="80"/>
        <v>4457.5006274390635</v>
      </c>
      <c r="M206" s="181"/>
      <c r="N206" t="s">
        <v>150</v>
      </c>
    </row>
    <row r="207" spans="2:14" x14ac:dyDescent="0.25">
      <c r="B207" s="23" t="s">
        <v>151</v>
      </c>
      <c r="E207" s="23"/>
      <c r="F207" s="23"/>
      <c r="G207" s="23"/>
      <c r="H207" s="36">
        <f>AVERAGE(H206,H204)</f>
        <v>4443.8461183333338</v>
      </c>
      <c r="I207" s="36">
        <f t="shared" ref="I207:L207" si="81">AVERAGE(I206,I204)</f>
        <v>4445.4728388196509</v>
      </c>
      <c r="J207" s="36">
        <f t="shared" si="81"/>
        <v>4447.983168804144</v>
      </c>
      <c r="K207" s="36">
        <f t="shared" si="81"/>
        <v>4451.2906591586416</v>
      </c>
      <c r="L207" s="36">
        <f t="shared" si="81"/>
        <v>4455.3170245603469</v>
      </c>
      <c r="M207" s="190"/>
      <c r="N207" t="s">
        <v>152</v>
      </c>
    </row>
    <row r="208" spans="2:14" x14ac:dyDescent="0.25">
      <c r="N208" s="30"/>
    </row>
    <row r="209" spans="1:13" x14ac:dyDescent="0.25">
      <c r="A209" t="s">
        <v>227</v>
      </c>
      <c r="B209" s="171" t="s">
        <v>153</v>
      </c>
      <c r="C209" s="171"/>
      <c r="D209" s="171"/>
      <c r="E209" s="171"/>
      <c r="F209" s="171"/>
      <c r="G209" s="171"/>
      <c r="H209" s="171"/>
      <c r="I209" s="171"/>
      <c r="J209" s="171"/>
      <c r="K209" s="171"/>
      <c r="L209" s="171"/>
      <c r="M209" s="207"/>
    </row>
    <row r="210" spans="1:13" ht="15.75" thickBot="1" x14ac:dyDescent="0.3"/>
    <row r="211" spans="1:13" ht="15.75" thickBot="1" x14ac:dyDescent="0.3">
      <c r="B211" t="s">
        <v>154</v>
      </c>
      <c r="C211" s="73" t="str">
        <f>L5</f>
        <v>Base case</v>
      </c>
      <c r="D211" s="119"/>
      <c r="G211" s="74" t="s">
        <v>155</v>
      </c>
      <c r="H211" s="34">
        <f>H14</f>
        <v>2025</v>
      </c>
      <c r="I211" s="34">
        <f>I14</f>
        <v>2026</v>
      </c>
      <c r="J211" s="34">
        <f>J14</f>
        <v>2027</v>
      </c>
      <c r="K211" s="34">
        <f>K14</f>
        <v>2028</v>
      </c>
      <c r="L211" s="34">
        <f>L14</f>
        <v>2029</v>
      </c>
      <c r="M211" s="187"/>
    </row>
    <row r="212" spans="1:13" x14ac:dyDescent="0.25">
      <c r="G212" s="75" t="s">
        <v>156</v>
      </c>
      <c r="H212" s="35">
        <f>H15</f>
        <v>46022</v>
      </c>
      <c r="I212" s="35">
        <f>I15</f>
        <v>46387</v>
      </c>
      <c r="J212" s="35">
        <f>J15</f>
        <v>46752</v>
      </c>
      <c r="K212" s="35">
        <f>K15</f>
        <v>47118</v>
      </c>
      <c r="L212" s="35">
        <f>L15</f>
        <v>47483</v>
      </c>
      <c r="M212" s="188"/>
    </row>
    <row r="213" spans="1:13" x14ac:dyDescent="0.25">
      <c r="B213" s="27" t="s">
        <v>39</v>
      </c>
      <c r="G213" s="76" t="str">
        <f ca="1">OFFSET(G$218,MATCH($L$5,$B$219:$B$221,0)+MATCH($B213,$B$218:$B$233,0)-1,0)</f>
        <v>NM</v>
      </c>
      <c r="H213" s="43">
        <f ca="1">OFFSET(H$218,MATCH($L$5,$B$219:$B$221,0)+MATCH($B213,$B$218:$B$233,0)-1,0)</f>
        <v>0.06</v>
      </c>
      <c r="I213" s="43">
        <f ca="1">OFFSET(I$218,MATCH($L$5,$B$219:$B$221,0)+MATCH($B213,$B$218:$B$233,0)-1,0)</f>
        <v>6.9000000000000006E-2</v>
      </c>
      <c r="J213" s="43">
        <f ca="1">OFFSET(J$218,MATCH($L$5,$B$219:$B$221,0)+MATCH($B213,$B$218:$B$233,0)-1,0)</f>
        <v>6.9000000000000006E-2</v>
      </c>
      <c r="K213" s="43">
        <f ca="1">OFFSET(K$218,MATCH($L$5,$B$219:$B$221,0)+MATCH($B213,$B$218:$B$233,0)-1,0)</f>
        <v>6.9000000000000006E-2</v>
      </c>
      <c r="L213" s="43">
        <f ca="1">OFFSET(L$218,MATCH($L$5,$B$219:$B$221,0)+MATCH($B213,$B$218:$B$233,0)-1,0)</f>
        <v>6.9000000000000006E-2</v>
      </c>
      <c r="M213" s="211"/>
    </row>
    <row r="214" spans="1:13" x14ac:dyDescent="0.25">
      <c r="B214" s="27" t="s">
        <v>40</v>
      </c>
      <c r="G214" s="76" t="str">
        <f ca="1">OFFSET(G$218,MATCH($L$5,$B$219:$B$221,0)+MATCH($B214,$B$218:$B$233,0)-1,0)</f>
        <v>NM</v>
      </c>
      <c r="H214" s="43">
        <f ca="1">OFFSET(H$218,MATCH($L$5,$B$219:$B$221,0)+MATCH($B214,$B$218:$B$233,0)-1,0)</f>
        <v>0.378</v>
      </c>
      <c r="I214" s="43">
        <f ca="1">OFFSET(I$218,MATCH($L$5,$B$219:$B$221,0)+MATCH($B214,$B$218:$B$233,0)-1,0)</f>
        <v>0.378</v>
      </c>
      <c r="J214" s="43">
        <f ca="1">OFFSET(J$218,MATCH($L$5,$B$219:$B$221,0)+MATCH($B214,$B$218:$B$233,0)-1,0)</f>
        <v>0.378</v>
      </c>
      <c r="K214" s="43">
        <f ca="1">OFFSET(K$218,MATCH($L$5,$B$219:$B$221,0)+MATCH($B214,$B$218:$B$233,0)-1,0)</f>
        <v>0.378</v>
      </c>
      <c r="L214" s="43">
        <f ca="1">OFFSET(L$218,MATCH($L$5,$B$219:$B$221,0)+MATCH($B214,$B$218:$B$233,0)-1,0)</f>
        <v>0.378</v>
      </c>
      <c r="M214" s="211"/>
    </row>
    <row r="215" spans="1:13" x14ac:dyDescent="0.25">
      <c r="B215" s="27" t="s">
        <v>42</v>
      </c>
      <c r="G215" s="76" t="str">
        <f ca="1">OFFSET(G$218,MATCH($L$5,$B$219:$B$221,0)+MATCH($B215,$B$218:$B$233,0)-1,0)</f>
        <v>NM</v>
      </c>
      <c r="H215" s="43">
        <f ca="1">OFFSET(H$218,MATCH($L$5,$B$219:$B$221,0)+MATCH($B215,$B$218:$B$233,0)-1,0)</f>
        <v>6.2E-2</v>
      </c>
      <c r="I215" s="43">
        <f ca="1">OFFSET(I$218,MATCH($L$5,$B$219:$B$221,0)+MATCH($B215,$B$218:$B$233,0)-1,0)</f>
        <v>6.2E-2</v>
      </c>
      <c r="J215" s="43">
        <f ca="1">OFFSET(J$218,MATCH($L$5,$B$219:$B$221,0)+MATCH($B215,$B$218:$B$233,0)-1,0)</f>
        <v>6.2E-2</v>
      </c>
      <c r="K215" s="43">
        <f ca="1">OFFSET(K$218,MATCH($L$5,$B$219:$B$221,0)+MATCH($B215,$B$218:$B$233,0)-1,0)</f>
        <v>6.2E-2</v>
      </c>
      <c r="L215" s="43">
        <f ca="1">OFFSET(L$218,MATCH($L$5,$B$219:$B$221,0)+MATCH($B215,$B$218:$B$233,0)-1,0)</f>
        <v>6.2E-2</v>
      </c>
      <c r="M215" s="211"/>
    </row>
    <row r="216" spans="1:13" x14ac:dyDescent="0.25">
      <c r="B216" s="27" t="s">
        <v>43</v>
      </c>
      <c r="G216" s="76" t="str">
        <f ca="1">OFFSET(G$218,MATCH($L$5,$B$219:$B$221,0)+MATCH($B216,$B$218:$B$233,0)-1,0)</f>
        <v>NM</v>
      </c>
      <c r="H216" s="43">
        <f ca="1">OFFSET(H$218,MATCH($L$5,$B$219:$B$221,0)+MATCH($B216,$B$218:$B$233,0)-1,0)</f>
        <v>7.0000000000000007E-2</v>
      </c>
      <c r="I216" s="43">
        <f ca="1">OFFSET(I$218,MATCH($L$5,$B$219:$B$221,0)+MATCH($B216,$B$218:$B$233,0)-1,0)</f>
        <v>7.0000000000000007E-2</v>
      </c>
      <c r="J216" s="43">
        <f ca="1">OFFSET(J$218,MATCH($L$5,$B$219:$B$221,0)+MATCH($B216,$B$218:$B$233,0)-1,0)</f>
        <v>7.0000000000000007E-2</v>
      </c>
      <c r="K216" s="43">
        <f ca="1">OFFSET(K$218,MATCH($L$5,$B$219:$B$221,0)+MATCH($B216,$B$218:$B$233,0)-1,0)</f>
        <v>7.0000000000000007E-2</v>
      </c>
      <c r="L216" s="43">
        <f ca="1">OFFSET(L$218,MATCH($L$5,$B$219:$B$221,0)+MATCH($B216,$B$218:$B$233,0)-1,0)</f>
        <v>7.0000000000000007E-2</v>
      </c>
      <c r="M216" s="211"/>
    </row>
    <row r="217" spans="1:13" x14ac:dyDescent="0.25">
      <c r="G217" s="77"/>
    </row>
    <row r="218" spans="1:13" x14ac:dyDescent="0.25">
      <c r="B218" s="42" t="s">
        <v>39</v>
      </c>
      <c r="G218" s="77"/>
    </row>
    <row r="219" spans="1:13" x14ac:dyDescent="0.25">
      <c r="B219" s="63" t="s">
        <v>157</v>
      </c>
      <c r="G219" s="78">
        <v>2.5000000000000001E-2</v>
      </c>
      <c r="H219" s="31">
        <f>H220+$G$219</f>
        <v>8.4999999999999992E-2</v>
      </c>
      <c r="I219" s="31">
        <f t="shared" ref="I219:L219" si="82">I220+$G$219</f>
        <v>9.4E-2</v>
      </c>
      <c r="J219" s="31">
        <f t="shared" si="82"/>
        <v>9.4E-2</v>
      </c>
      <c r="K219" s="31">
        <f t="shared" si="82"/>
        <v>9.4E-2</v>
      </c>
      <c r="L219" s="31">
        <f t="shared" si="82"/>
        <v>9.4E-2</v>
      </c>
      <c r="M219" s="198"/>
    </row>
    <row r="220" spans="1:13" x14ac:dyDescent="0.25">
      <c r="B220" s="63" t="s">
        <v>3</v>
      </c>
      <c r="G220" s="79" t="s">
        <v>158</v>
      </c>
      <c r="H220" s="32">
        <v>0.06</v>
      </c>
      <c r="I220" s="32">
        <v>6.9000000000000006E-2</v>
      </c>
      <c r="J220" s="32">
        <f t="shared" ref="J220:L220" si="83">I220</f>
        <v>6.9000000000000006E-2</v>
      </c>
      <c r="K220" s="32">
        <f t="shared" si="83"/>
        <v>6.9000000000000006E-2</v>
      </c>
      <c r="L220" s="32">
        <f t="shared" si="83"/>
        <v>6.9000000000000006E-2</v>
      </c>
      <c r="M220" s="212"/>
    </row>
    <row r="221" spans="1:13" x14ac:dyDescent="0.25">
      <c r="B221" s="63" t="s">
        <v>159</v>
      </c>
      <c r="G221" s="78">
        <v>-2.5000000000000001E-2</v>
      </c>
      <c r="H221" s="31">
        <f>H220+$G$221</f>
        <v>3.4999999999999996E-2</v>
      </c>
      <c r="I221" s="31">
        <f t="shared" ref="I221:L221" si="84">I220+$G$221</f>
        <v>4.4000000000000004E-2</v>
      </c>
      <c r="J221" s="31">
        <f t="shared" si="84"/>
        <v>4.4000000000000004E-2</v>
      </c>
      <c r="K221" s="31">
        <f t="shared" si="84"/>
        <v>4.4000000000000004E-2</v>
      </c>
      <c r="L221" s="31">
        <f t="shared" si="84"/>
        <v>4.4000000000000004E-2</v>
      </c>
      <c r="M221" s="198"/>
    </row>
    <row r="222" spans="1:13" x14ac:dyDescent="0.25">
      <c r="B222" s="42" t="s">
        <v>40</v>
      </c>
      <c r="G222" s="79"/>
      <c r="H222" s="32"/>
      <c r="I222" s="32"/>
      <c r="J222" s="32"/>
      <c r="K222" s="32"/>
      <c r="L222" s="32"/>
      <c r="M222" s="212"/>
    </row>
    <row r="223" spans="1:13" x14ac:dyDescent="0.25">
      <c r="B223" s="63" t="s">
        <v>157</v>
      </c>
      <c r="G223" s="78">
        <v>0.01</v>
      </c>
      <c r="H223" s="31">
        <f>H224+$G$223</f>
        <v>0.38800000000000001</v>
      </c>
      <c r="I223" s="31">
        <f t="shared" ref="I223:L223" si="85">I224+$G$223</f>
        <v>0.38800000000000001</v>
      </c>
      <c r="J223" s="31">
        <f t="shared" si="85"/>
        <v>0.38800000000000001</v>
      </c>
      <c r="K223" s="31">
        <f t="shared" si="85"/>
        <v>0.38800000000000001</v>
      </c>
      <c r="L223" s="31">
        <f t="shared" si="85"/>
        <v>0.38800000000000001</v>
      </c>
      <c r="M223" s="198"/>
    </row>
    <row r="224" spans="1:13" x14ac:dyDescent="0.25">
      <c r="B224" s="63" t="s">
        <v>3</v>
      </c>
      <c r="G224" s="79" t="s">
        <v>158</v>
      </c>
      <c r="H224" s="32">
        <v>0.378</v>
      </c>
      <c r="I224" s="32">
        <v>0.378</v>
      </c>
      <c r="J224" s="32">
        <v>0.378</v>
      </c>
      <c r="K224" s="32">
        <v>0.378</v>
      </c>
      <c r="L224" s="32">
        <v>0.378</v>
      </c>
      <c r="M224" s="212"/>
    </row>
    <row r="225" spans="2:13" x14ac:dyDescent="0.25">
      <c r="B225" s="63" t="s">
        <v>159</v>
      </c>
      <c r="G225" s="78">
        <v>-0.01</v>
      </c>
      <c r="H225" s="31">
        <f>H224+$G$225</f>
        <v>0.36799999999999999</v>
      </c>
      <c r="I225" s="31">
        <f t="shared" ref="I225:L225" si="86">I224+$G$225</f>
        <v>0.36799999999999999</v>
      </c>
      <c r="J225" s="31">
        <f t="shared" si="86"/>
        <v>0.36799999999999999</v>
      </c>
      <c r="K225" s="31">
        <f t="shared" si="86"/>
        <v>0.36799999999999999</v>
      </c>
      <c r="L225" s="31">
        <f t="shared" si="86"/>
        <v>0.36799999999999999</v>
      </c>
      <c r="M225" s="198"/>
    </row>
    <row r="226" spans="2:13" x14ac:dyDescent="0.25">
      <c r="B226" s="42" t="s">
        <v>42</v>
      </c>
      <c r="G226" s="79"/>
      <c r="H226" s="80"/>
      <c r="I226" s="80"/>
      <c r="J226" s="80"/>
      <c r="K226" s="80"/>
      <c r="L226" s="80"/>
      <c r="M226" s="213"/>
    </row>
    <row r="227" spans="2:13" x14ac:dyDescent="0.25">
      <c r="B227" s="63" t="s">
        <v>157</v>
      </c>
      <c r="G227" s="78">
        <v>-0.01</v>
      </c>
      <c r="H227" s="31">
        <f>H228+$G$227</f>
        <v>5.1999999999999998E-2</v>
      </c>
      <c r="I227" s="31">
        <f t="shared" ref="I227:L227" si="87">I228+$G$227</f>
        <v>5.1999999999999998E-2</v>
      </c>
      <c r="J227" s="31">
        <f t="shared" si="87"/>
        <v>5.1999999999999998E-2</v>
      </c>
      <c r="K227" s="31">
        <f t="shared" si="87"/>
        <v>5.1999999999999998E-2</v>
      </c>
      <c r="L227" s="31">
        <f t="shared" si="87"/>
        <v>5.1999999999999998E-2</v>
      </c>
      <c r="M227" s="198"/>
    </row>
    <row r="228" spans="2:13" x14ac:dyDescent="0.25">
      <c r="B228" s="63" t="s">
        <v>3</v>
      </c>
      <c r="G228" s="79" t="s">
        <v>158</v>
      </c>
      <c r="H228" s="32">
        <v>6.2E-2</v>
      </c>
      <c r="I228" s="32">
        <v>6.2E-2</v>
      </c>
      <c r="J228" s="32">
        <v>6.2E-2</v>
      </c>
      <c r="K228" s="32">
        <v>6.2E-2</v>
      </c>
      <c r="L228" s="32">
        <v>6.2E-2</v>
      </c>
      <c r="M228" s="212"/>
    </row>
    <row r="229" spans="2:13" x14ac:dyDescent="0.25">
      <c r="B229" s="63" t="s">
        <v>159</v>
      </c>
      <c r="G229" s="78">
        <v>0.01</v>
      </c>
      <c r="H229" s="31">
        <f>H228+$G$229</f>
        <v>7.1999999999999995E-2</v>
      </c>
      <c r="I229" s="31">
        <f t="shared" ref="I229:L229" si="88">I228+$G$229</f>
        <v>7.1999999999999995E-2</v>
      </c>
      <c r="J229" s="31">
        <f t="shared" si="88"/>
        <v>7.1999999999999995E-2</v>
      </c>
      <c r="K229" s="31">
        <f t="shared" si="88"/>
        <v>7.1999999999999995E-2</v>
      </c>
      <c r="L229" s="31">
        <f t="shared" si="88"/>
        <v>7.1999999999999995E-2</v>
      </c>
      <c r="M229" s="198"/>
    </row>
    <row r="230" spans="2:13" x14ac:dyDescent="0.25">
      <c r="B230" s="42" t="s">
        <v>43</v>
      </c>
      <c r="G230" s="79"/>
      <c r="H230" s="80"/>
      <c r="I230" s="80"/>
      <c r="J230" s="80"/>
      <c r="K230" s="80"/>
      <c r="L230" s="80"/>
      <c r="M230" s="213"/>
    </row>
    <row r="231" spans="2:13" x14ac:dyDescent="0.25">
      <c r="B231" s="63" t="s">
        <v>157</v>
      </c>
      <c r="G231" s="78">
        <v>-0.01</v>
      </c>
      <c r="H231" s="31">
        <f>H232+$G$231</f>
        <v>6.0000000000000005E-2</v>
      </c>
      <c r="I231" s="31">
        <f t="shared" ref="I231:L231" si="89">I232+$G$231</f>
        <v>6.0000000000000005E-2</v>
      </c>
      <c r="J231" s="31">
        <f t="shared" si="89"/>
        <v>6.0000000000000005E-2</v>
      </c>
      <c r="K231" s="31">
        <f t="shared" si="89"/>
        <v>6.0000000000000005E-2</v>
      </c>
      <c r="L231" s="31">
        <f t="shared" si="89"/>
        <v>6.0000000000000005E-2</v>
      </c>
      <c r="M231" s="198"/>
    </row>
    <row r="232" spans="2:13" x14ac:dyDescent="0.25">
      <c r="B232" s="63" t="s">
        <v>3</v>
      </c>
      <c r="G232" s="79" t="s">
        <v>158</v>
      </c>
      <c r="H232" s="32">
        <v>7.0000000000000007E-2</v>
      </c>
      <c r="I232" s="32">
        <v>7.0000000000000007E-2</v>
      </c>
      <c r="J232" s="32">
        <v>7.0000000000000007E-2</v>
      </c>
      <c r="K232" s="32">
        <v>7.0000000000000007E-2</v>
      </c>
      <c r="L232" s="32">
        <v>7.0000000000000007E-2</v>
      </c>
      <c r="M232" s="212"/>
    </row>
    <row r="233" spans="2:13" ht="15.75" thickBot="1" x14ac:dyDescent="0.3">
      <c r="B233" s="63" t="s">
        <v>159</v>
      </c>
      <c r="G233" s="81">
        <v>0.01</v>
      </c>
      <c r="H233" s="31">
        <f>H232+$G$233</f>
        <v>0.08</v>
      </c>
      <c r="I233" s="31">
        <f t="shared" ref="I233:L233" si="90">I232+$G$233</f>
        <v>0.08</v>
      </c>
      <c r="J233" s="31">
        <f t="shared" si="90"/>
        <v>0.08</v>
      </c>
      <c r="K233" s="31">
        <f t="shared" si="90"/>
        <v>0.08</v>
      </c>
      <c r="L233" s="31">
        <f t="shared" si="90"/>
        <v>0.08</v>
      </c>
      <c r="M233" s="198"/>
    </row>
  </sheetData>
  <conditionalFormatting sqref="B216">
    <cfRule type="expression" dxfId="2" priority="1">
      <formula>#REF!=$B216</formula>
    </cfRule>
  </conditionalFormatting>
  <conditionalFormatting sqref="B230">
    <cfRule type="expression" dxfId="1" priority="2">
      <formula>#REF!=$B230</formula>
    </cfRule>
  </conditionalFormatting>
  <conditionalFormatting sqref="B42:G42">
    <cfRule type="expression" dxfId="0" priority="3">
      <formula>#REF!=$B42</formula>
    </cfRule>
  </conditionalFormatting>
  <dataValidations disablePrompts="1" count="4">
    <dataValidation type="list" allowBlank="1" showInputMessage="1" showErrorMessage="1" sqref="L5:M5" xr:uid="{87CCF2AD-F1E7-4CCA-94E1-A8C270BB7555}">
      <formula1>$B$219:$B$221</formula1>
    </dataValidation>
    <dataValidation type="list" allowBlank="1" showInputMessage="1" showErrorMessage="1" sqref="C7" xr:uid="{A8DDCEAF-C4CC-418B-8DDE-0E8C180DAF78}">
      <formula1>"0,1"</formula1>
    </dataValidation>
    <dataValidation type="list" allowBlank="1" showInputMessage="1" showErrorMessage="1" sqref="B3" xr:uid="{2A54728D-68F6-43A9-95EF-A6893C9A83C6}">
      <formula1>"$ bns except per share, $ mm except per share,$ in thousands except per share"</formula1>
    </dataValidation>
    <dataValidation type="list" allowBlank="1" showInputMessage="1" showErrorMessage="1" sqref="D132" xr:uid="{07BE2923-3077-48CA-B21C-316BEB798FBF}">
      <formula1>"1,.5"</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7C620-9B43-4395-AB0A-65C082336850}">
  <dimension ref="C2:R54"/>
  <sheetViews>
    <sheetView showGridLines="0" zoomScale="130" zoomScaleNormal="130" workbookViewId="0">
      <selection activeCell="I18" sqref="I18"/>
    </sheetView>
  </sheetViews>
  <sheetFormatPr defaultRowHeight="15" x14ac:dyDescent="0.25"/>
  <cols>
    <col min="1" max="2" width="1.7109375" customWidth="1"/>
    <col min="3" max="3" width="27.42578125" customWidth="1"/>
    <col min="6" max="6" width="11.42578125" customWidth="1"/>
    <col min="7" max="11" width="10.85546875" customWidth="1"/>
    <col min="12" max="12" width="2.5703125" customWidth="1"/>
    <col min="14" max="14" width="29.5703125" bestFit="1" customWidth="1"/>
    <col min="15" max="15" width="12.42578125" bestFit="1" customWidth="1"/>
    <col min="16" max="16" width="10" bestFit="1" customWidth="1"/>
  </cols>
  <sheetData>
    <row r="2" spans="3:17" x14ac:dyDescent="0.25">
      <c r="C2" s="12" t="s">
        <v>160</v>
      </c>
      <c r="D2" s="82"/>
      <c r="E2" s="13"/>
      <c r="F2" s="13"/>
      <c r="G2" s="13"/>
      <c r="H2" s="13"/>
      <c r="I2" s="13"/>
      <c r="J2" s="13"/>
      <c r="K2" s="13"/>
    </row>
    <row r="3" spans="3:17" x14ac:dyDescent="0.25">
      <c r="C3" t="str">
        <f>'[1]Extras Complete'!C15</f>
        <v xml:space="preserve">Fiscal year  </v>
      </c>
      <c r="D3" s="33">
        <f>'[1]Extras Complete'!D15</f>
        <v>2016</v>
      </c>
      <c r="E3" s="33">
        <f>'[1]Extras Complete'!E15</f>
        <v>2017</v>
      </c>
      <c r="F3" s="33">
        <f>'[1]Extras Complete'!F15</f>
        <v>2018</v>
      </c>
      <c r="G3" s="34">
        <f>'[1]Extras Complete'!G15</f>
        <v>2019</v>
      </c>
      <c r="H3" s="34">
        <f>'[1]Extras Complete'!H15</f>
        <v>2020</v>
      </c>
      <c r="I3" s="34">
        <f>'[1]Extras Complete'!I15</f>
        <v>2021</v>
      </c>
      <c r="J3" s="34">
        <f>'[1]Extras Complete'!J15</f>
        <v>2022</v>
      </c>
      <c r="K3" s="34">
        <f>'[1]Extras Complete'!K15</f>
        <v>2023</v>
      </c>
    </row>
    <row r="4" spans="3:17" x14ac:dyDescent="0.25">
      <c r="C4" s="16" t="str">
        <f>'[1]Extras Complete'!C16</f>
        <v>Fiscal year end date</v>
      </c>
      <c r="D4" s="83">
        <f>'[1]Extras Complete'!D16</f>
        <v>42643</v>
      </c>
      <c r="E4" s="83">
        <f>'[1]Extras Complete'!E16</f>
        <v>43008</v>
      </c>
      <c r="F4" s="83">
        <f>'[1]Extras Complete'!F16</f>
        <v>43372</v>
      </c>
      <c r="G4" s="83">
        <f>'[1]Extras Complete'!G16</f>
        <v>43738</v>
      </c>
      <c r="H4" s="83">
        <f>'[1]Extras Complete'!H16</f>
        <v>44104</v>
      </c>
      <c r="I4" s="83">
        <f>'[1]Extras Complete'!I16</f>
        <v>44469</v>
      </c>
      <c r="J4" s="83">
        <f>'[1]Extras Complete'!J16</f>
        <v>44834</v>
      </c>
      <c r="K4" s="83">
        <f>'[1]Extras Complete'!K16</f>
        <v>45199</v>
      </c>
    </row>
    <row r="5" spans="3:17" ht="15" customHeight="1" x14ac:dyDescent="0.25">
      <c r="C5" s="84" t="s">
        <v>161</v>
      </c>
      <c r="D5" s="85"/>
      <c r="E5" s="85"/>
      <c r="F5" s="85"/>
      <c r="G5" s="85"/>
      <c r="H5" s="85"/>
      <c r="I5" s="85"/>
      <c r="J5" s="85"/>
      <c r="K5" s="85"/>
    </row>
    <row r="6" spans="3:17" ht="15" customHeight="1" x14ac:dyDescent="0.25">
      <c r="C6" s="86" t="s">
        <v>162</v>
      </c>
      <c r="D6" s="5"/>
      <c r="E6" s="5"/>
      <c r="F6" s="5"/>
      <c r="G6" s="87"/>
      <c r="H6" s="88"/>
      <c r="I6" s="88"/>
      <c r="J6" s="88"/>
      <c r="K6" s="89"/>
    </row>
    <row r="7" spans="3:17" x14ac:dyDescent="0.25">
      <c r="C7" s="27" t="s">
        <v>163</v>
      </c>
      <c r="D7" s="21">
        <v>136700</v>
      </c>
      <c r="E7" s="21">
        <v>141319</v>
      </c>
      <c r="F7" s="21">
        <v>166699</v>
      </c>
      <c r="G7" s="90">
        <f t="shared" ref="G7:K9" si="0">G17*G22/1000</f>
        <v>137570.4</v>
      </c>
      <c r="H7" s="90">
        <f t="shared" si="0"/>
        <v>138388</v>
      </c>
      <c r="I7" s="90">
        <f t="shared" si="0"/>
        <v>138388</v>
      </c>
      <c r="J7" s="90">
        <f t="shared" si="0"/>
        <v>138388</v>
      </c>
      <c r="K7" s="90">
        <f t="shared" si="0"/>
        <v>138388</v>
      </c>
      <c r="P7" s="91"/>
    </row>
    <row r="8" spans="3:17" x14ac:dyDescent="0.25">
      <c r="C8" s="27" t="s">
        <v>164</v>
      </c>
      <c r="D8" s="21">
        <v>20628</v>
      </c>
      <c r="E8" s="21">
        <v>19222</v>
      </c>
      <c r="F8" s="21">
        <v>18805</v>
      </c>
      <c r="G8" s="90">
        <f t="shared" si="0"/>
        <v>20222.921699999999</v>
      </c>
      <c r="H8" s="90">
        <f t="shared" si="0"/>
        <v>20475.904200000001</v>
      </c>
      <c r="I8" s="90">
        <f t="shared" si="0"/>
        <v>20475.904200000001</v>
      </c>
      <c r="J8" s="90">
        <f t="shared" si="0"/>
        <v>20475.904200000001</v>
      </c>
      <c r="K8" s="90">
        <f t="shared" si="0"/>
        <v>20475.904200000001</v>
      </c>
      <c r="O8" s="38"/>
      <c r="P8" s="38"/>
    </row>
    <row r="9" spans="3:17" x14ac:dyDescent="0.25">
      <c r="C9" s="27" t="s">
        <v>165</v>
      </c>
      <c r="D9" s="21">
        <v>22831</v>
      </c>
      <c r="E9" s="21">
        <v>25850</v>
      </c>
      <c r="F9" s="21">
        <v>25484</v>
      </c>
      <c r="G9" s="90">
        <f t="shared" si="0"/>
        <v>26515.16</v>
      </c>
      <c r="H9" s="90">
        <f t="shared" si="0"/>
        <v>26642.880000000001</v>
      </c>
      <c r="I9" s="90">
        <f t="shared" si="0"/>
        <v>26642.880000000001</v>
      </c>
      <c r="J9" s="90">
        <f t="shared" si="0"/>
        <v>26642.880000000001</v>
      </c>
      <c r="K9" s="90">
        <f t="shared" si="0"/>
        <v>26642.880000000001</v>
      </c>
      <c r="O9" s="38"/>
      <c r="P9" s="38"/>
    </row>
    <row r="10" spans="3:17" x14ac:dyDescent="0.25">
      <c r="C10" s="27"/>
      <c r="D10" s="92"/>
      <c r="E10" s="92"/>
      <c r="F10" s="93"/>
      <c r="G10" s="22"/>
      <c r="H10" s="22"/>
      <c r="I10" s="22"/>
      <c r="J10" s="22"/>
      <c r="K10" s="94"/>
      <c r="O10" s="38"/>
      <c r="P10" s="38"/>
    </row>
    <row r="11" spans="3:17" x14ac:dyDescent="0.25">
      <c r="C11" s="27" t="s">
        <v>166</v>
      </c>
      <c r="D11" s="21">
        <v>24348</v>
      </c>
      <c r="E11" s="21">
        <v>29980</v>
      </c>
      <c r="F11" s="95">
        <v>37190</v>
      </c>
      <c r="G11" s="21">
        <v>45603</v>
      </c>
      <c r="H11" s="21">
        <v>53592</v>
      </c>
      <c r="I11" s="90">
        <f>H11*(1+I40)</f>
        <v>62980.559700019738</v>
      </c>
      <c r="J11" s="90">
        <f t="shared" ref="J11:K11" si="1">I11*(1+J40)</f>
        <v>74013.862145987281</v>
      </c>
      <c r="K11" s="90">
        <f t="shared" si="1"/>
        <v>86980.042982429892</v>
      </c>
      <c r="M11" t="s">
        <v>167</v>
      </c>
      <c r="O11" s="38"/>
      <c r="P11" s="38"/>
    </row>
    <row r="12" spans="3:17" x14ac:dyDescent="0.25">
      <c r="C12" s="27" t="s">
        <v>168</v>
      </c>
      <c r="D12" s="21">
        <v>11132</v>
      </c>
      <c r="E12" s="21">
        <v>12863</v>
      </c>
      <c r="F12" s="95">
        <v>17417</v>
      </c>
      <c r="G12" s="21">
        <v>23079</v>
      </c>
      <c r="H12" s="21">
        <v>26278</v>
      </c>
      <c r="I12" s="90">
        <f t="shared" ref="I12:K12" si="2">H12*(1+I41)</f>
        <v>29920.416135881103</v>
      </c>
      <c r="J12" s="90">
        <f t="shared" si="2"/>
        <v>34067.710698846728</v>
      </c>
      <c r="K12" s="90">
        <f t="shared" si="2"/>
        <v>38789.865321040525</v>
      </c>
      <c r="M12" t="s">
        <v>167</v>
      </c>
      <c r="O12" s="38"/>
      <c r="P12" s="38"/>
      <c r="Q12" s="38"/>
    </row>
    <row r="13" spans="3:17" x14ac:dyDescent="0.25">
      <c r="C13" s="23" t="s">
        <v>169</v>
      </c>
      <c r="D13" s="96">
        <f>SUM(D7:D9)+SUM(D11:D12)</f>
        <v>215639</v>
      </c>
      <c r="E13" s="96">
        <f t="shared" ref="E13:K13" si="3">SUM(E7:E9)+SUM(E11:E12)</f>
        <v>229234</v>
      </c>
      <c r="F13" s="97">
        <f t="shared" si="3"/>
        <v>265595</v>
      </c>
      <c r="G13" s="96">
        <f t="shared" si="3"/>
        <v>252990.4817</v>
      </c>
      <c r="H13" s="96">
        <f t="shared" si="3"/>
        <v>265376.78419999999</v>
      </c>
      <c r="I13" s="96">
        <f t="shared" si="3"/>
        <v>278407.76003590086</v>
      </c>
      <c r="J13" s="96">
        <f t="shared" si="3"/>
        <v>293588.357044834</v>
      </c>
      <c r="K13" s="97">
        <f t="shared" si="3"/>
        <v>311276.6925034704</v>
      </c>
      <c r="Q13" s="38"/>
    </row>
    <row r="14" spans="3:17" x14ac:dyDescent="0.25">
      <c r="C14" s="63" t="s">
        <v>170</v>
      </c>
      <c r="E14" s="43">
        <f t="shared" ref="E14:K14" si="4">E13/D13-1</f>
        <v>6.304518199398057E-2</v>
      </c>
      <c r="F14" s="98">
        <f t="shared" si="4"/>
        <v>0.15861957650261305</v>
      </c>
      <c r="G14" s="43">
        <f t="shared" si="4"/>
        <v>-4.7457664112652731E-2</v>
      </c>
      <c r="H14" s="43">
        <f t="shared" si="4"/>
        <v>4.8959559335073566E-2</v>
      </c>
      <c r="I14" s="43">
        <f t="shared" si="4"/>
        <v>4.9103676778599281E-2</v>
      </c>
      <c r="J14" s="43">
        <f t="shared" si="4"/>
        <v>5.452648664310078E-2</v>
      </c>
      <c r="K14" s="98">
        <f t="shared" si="4"/>
        <v>6.0248763393349503E-2</v>
      </c>
      <c r="Q14" s="38"/>
    </row>
    <row r="15" spans="3:17" x14ac:dyDescent="0.25">
      <c r="C15" s="63"/>
      <c r="E15" s="43"/>
      <c r="F15" s="98"/>
      <c r="G15" s="43"/>
      <c r="H15" s="43"/>
      <c r="I15" s="43"/>
      <c r="J15" s="43"/>
      <c r="K15" s="98"/>
    </row>
    <row r="16" spans="3:17" x14ac:dyDescent="0.25">
      <c r="C16" s="99" t="s">
        <v>171</v>
      </c>
      <c r="D16" s="49"/>
      <c r="E16" s="49"/>
      <c r="F16" s="100"/>
      <c r="G16" s="49"/>
      <c r="H16" s="49"/>
      <c r="I16" s="49"/>
      <c r="J16" s="49"/>
      <c r="K16" s="100"/>
      <c r="Q16" s="38"/>
    </row>
    <row r="17" spans="3:18" x14ac:dyDescent="0.25">
      <c r="C17" s="27" t="s">
        <v>163</v>
      </c>
      <c r="D17" s="21">
        <v>211884</v>
      </c>
      <c r="E17" s="21">
        <v>216756</v>
      </c>
      <c r="F17" s="95">
        <v>217722</v>
      </c>
      <c r="G17" s="21">
        <v>173700</v>
      </c>
      <c r="H17" s="21">
        <v>190880</v>
      </c>
      <c r="I17" s="21">
        <v>190880</v>
      </c>
      <c r="J17" s="21">
        <v>190880</v>
      </c>
      <c r="K17" s="95">
        <v>190880</v>
      </c>
      <c r="M17" t="s">
        <v>172</v>
      </c>
      <c r="Q17" s="38"/>
      <c r="R17" s="38"/>
    </row>
    <row r="18" spans="3:18" x14ac:dyDescent="0.25">
      <c r="C18" s="27" t="s">
        <v>164</v>
      </c>
      <c r="D18" s="21">
        <v>45590</v>
      </c>
      <c r="E18" s="21">
        <v>43753</v>
      </c>
      <c r="F18" s="95">
        <v>43535</v>
      </c>
      <c r="G18" s="21">
        <v>46170</v>
      </c>
      <c r="H18" s="21">
        <v>49260</v>
      </c>
      <c r="I18" s="21">
        <v>49260</v>
      </c>
      <c r="J18" s="21">
        <v>49260</v>
      </c>
      <c r="K18" s="95">
        <v>49260</v>
      </c>
      <c r="M18" t="s">
        <v>172</v>
      </c>
      <c r="Q18" s="38"/>
    </row>
    <row r="19" spans="3:18" x14ac:dyDescent="0.25">
      <c r="C19" s="27" t="s">
        <v>165</v>
      </c>
      <c r="D19" s="21">
        <v>18484</v>
      </c>
      <c r="E19" s="21">
        <v>19251</v>
      </c>
      <c r="F19" s="95">
        <v>18209</v>
      </c>
      <c r="G19" s="21">
        <v>19670</v>
      </c>
      <c r="H19" s="21">
        <v>19140</v>
      </c>
      <c r="I19" s="21">
        <v>19140</v>
      </c>
      <c r="J19" s="21">
        <v>19140</v>
      </c>
      <c r="K19" s="95">
        <v>19140</v>
      </c>
      <c r="M19" t="s">
        <v>172</v>
      </c>
      <c r="Q19" s="38"/>
    </row>
    <row r="20" spans="3:18" x14ac:dyDescent="0.25">
      <c r="F20" s="101"/>
      <c r="K20" s="101"/>
      <c r="Q20" s="38"/>
    </row>
    <row r="21" spans="3:18" x14ac:dyDescent="0.25">
      <c r="C21" s="99" t="s">
        <v>173</v>
      </c>
      <c r="D21" s="49"/>
      <c r="E21" s="49"/>
      <c r="F21" s="100"/>
      <c r="G21" s="49"/>
      <c r="H21" s="49"/>
      <c r="I21" s="49"/>
      <c r="J21" s="49"/>
      <c r="K21" s="100"/>
      <c r="P21" s="38"/>
      <c r="Q21" s="38"/>
      <c r="R21" s="38"/>
    </row>
    <row r="22" spans="3:18" x14ac:dyDescent="0.25">
      <c r="C22" s="27" t="s">
        <v>163</v>
      </c>
      <c r="D22" s="102">
        <f t="shared" ref="D22:F24" si="5">D7/D17*1000</f>
        <v>645.16433520228043</v>
      </c>
      <c r="E22" s="102">
        <f t="shared" si="5"/>
        <v>651.97272509180823</v>
      </c>
      <c r="F22" s="102">
        <f t="shared" si="5"/>
        <v>765.65069216707548</v>
      </c>
      <c r="G22" s="103">
        <v>792</v>
      </c>
      <c r="H22" s="104">
        <v>725</v>
      </c>
      <c r="I22" s="104">
        <v>725</v>
      </c>
      <c r="J22" s="104">
        <v>725</v>
      </c>
      <c r="K22" s="105">
        <v>725</v>
      </c>
      <c r="M22" t="s">
        <v>172</v>
      </c>
      <c r="P22" s="38"/>
    </row>
    <row r="23" spans="3:18" x14ac:dyDescent="0.25">
      <c r="C23" s="27" t="s">
        <v>164</v>
      </c>
      <c r="D23" s="102">
        <f t="shared" si="5"/>
        <v>452.46764641368719</v>
      </c>
      <c r="E23" s="102">
        <f t="shared" si="5"/>
        <v>439.32987452288984</v>
      </c>
      <c r="F23" s="102">
        <f t="shared" si="5"/>
        <v>431.95130354886874</v>
      </c>
      <c r="G23" s="103">
        <v>438.01</v>
      </c>
      <c r="H23" s="104">
        <v>415.67</v>
      </c>
      <c r="I23" s="104">
        <v>415.67</v>
      </c>
      <c r="J23" s="104">
        <v>415.67</v>
      </c>
      <c r="K23" s="105">
        <v>415.67</v>
      </c>
      <c r="M23" t="s">
        <v>172</v>
      </c>
    </row>
    <row r="24" spans="3:18" x14ac:dyDescent="0.25">
      <c r="C24" s="27" t="s">
        <v>165</v>
      </c>
      <c r="D24" s="102">
        <f t="shared" si="5"/>
        <v>1235.1763687513526</v>
      </c>
      <c r="E24" s="102">
        <f t="shared" si="5"/>
        <v>1342.7873876681731</v>
      </c>
      <c r="F24" s="102">
        <f t="shared" si="5"/>
        <v>1399.5277060794112</v>
      </c>
      <c r="G24" s="103">
        <v>1348</v>
      </c>
      <c r="H24" s="104">
        <v>1392</v>
      </c>
      <c r="I24" s="104">
        <v>1392</v>
      </c>
      <c r="J24" s="104">
        <v>1392</v>
      </c>
      <c r="K24" s="105">
        <v>1392</v>
      </c>
      <c r="M24" t="s">
        <v>172</v>
      </c>
    </row>
    <row r="25" spans="3:18" x14ac:dyDescent="0.25">
      <c r="C25" s="27"/>
      <c r="D25" s="106"/>
      <c r="E25" s="106"/>
      <c r="F25" s="106"/>
      <c r="G25" s="103"/>
      <c r="H25" s="104"/>
      <c r="I25" s="104"/>
      <c r="J25" s="104"/>
      <c r="K25" s="105"/>
    </row>
    <row r="26" spans="3:18" x14ac:dyDescent="0.25">
      <c r="C26" s="99" t="s">
        <v>174</v>
      </c>
      <c r="D26" s="49"/>
      <c r="E26" s="49"/>
      <c r="F26" s="49"/>
      <c r="G26" s="107"/>
      <c r="H26" s="49"/>
      <c r="I26" s="49"/>
      <c r="J26" s="49"/>
      <c r="K26" s="100"/>
      <c r="P26" s="38"/>
    </row>
    <row r="27" spans="3:18" x14ac:dyDescent="0.25">
      <c r="C27" s="27" t="s">
        <v>163</v>
      </c>
      <c r="D27" s="92"/>
      <c r="E27" s="31">
        <f t="shared" ref="E27:K29" si="6">E17/D17-1</f>
        <v>2.2993713541371585E-2</v>
      </c>
      <c r="F27" s="31">
        <f t="shared" si="6"/>
        <v>4.4566240380889965E-3</v>
      </c>
      <c r="G27" s="108">
        <f t="shared" si="6"/>
        <v>-0.20219362306060018</v>
      </c>
      <c r="H27" s="31">
        <f t="shared" si="6"/>
        <v>9.8906160046056346E-2</v>
      </c>
      <c r="I27" s="31">
        <f t="shared" si="6"/>
        <v>0</v>
      </c>
      <c r="J27" s="31">
        <f t="shared" si="6"/>
        <v>0</v>
      </c>
      <c r="K27" s="109">
        <f t="shared" si="6"/>
        <v>0</v>
      </c>
    </row>
    <row r="28" spans="3:18" x14ac:dyDescent="0.25">
      <c r="C28" s="27" t="s">
        <v>164</v>
      </c>
      <c r="E28" s="31">
        <f t="shared" si="6"/>
        <v>-4.0293924106163614E-2</v>
      </c>
      <c r="F28" s="31">
        <f t="shared" si="6"/>
        <v>-4.98251548465245E-3</v>
      </c>
      <c r="G28" s="108">
        <f t="shared" si="6"/>
        <v>6.052601355231424E-2</v>
      </c>
      <c r="H28" s="31">
        <f t="shared" si="6"/>
        <v>6.6926575698505575E-2</v>
      </c>
      <c r="I28" s="31">
        <f t="shared" si="6"/>
        <v>0</v>
      </c>
      <c r="J28" s="31">
        <f t="shared" si="6"/>
        <v>0</v>
      </c>
      <c r="K28" s="109">
        <f t="shared" si="6"/>
        <v>0</v>
      </c>
    </row>
    <row r="29" spans="3:18" x14ac:dyDescent="0.25">
      <c r="C29" s="27" t="s">
        <v>165</v>
      </c>
      <c r="D29" s="92"/>
      <c r="E29" s="31">
        <f t="shared" si="6"/>
        <v>4.1495347327418219E-2</v>
      </c>
      <c r="F29" s="31">
        <f t="shared" si="6"/>
        <v>-5.4127058334631939E-2</v>
      </c>
      <c r="G29" s="108">
        <f t="shared" si="6"/>
        <v>8.0235048602339543E-2</v>
      </c>
      <c r="H29" s="31">
        <f t="shared" si="6"/>
        <v>-2.6944585663446818E-2</v>
      </c>
      <c r="I29" s="31">
        <f t="shared" si="6"/>
        <v>0</v>
      </c>
      <c r="J29" s="31">
        <f t="shared" si="6"/>
        <v>0</v>
      </c>
      <c r="K29" s="109">
        <f t="shared" si="6"/>
        <v>0</v>
      </c>
    </row>
    <row r="30" spans="3:18" x14ac:dyDescent="0.25">
      <c r="C30" s="63"/>
      <c r="G30" s="110"/>
      <c r="K30" s="101"/>
      <c r="P30" s="38"/>
    </row>
    <row r="31" spans="3:18" x14ac:dyDescent="0.25">
      <c r="C31" s="23" t="s">
        <v>175</v>
      </c>
      <c r="G31" s="110"/>
      <c r="K31" s="101"/>
    </row>
    <row r="32" spans="3:18" x14ac:dyDescent="0.25">
      <c r="C32" s="27" t="s">
        <v>163</v>
      </c>
      <c r="D32" s="111"/>
      <c r="E32" s="31">
        <f t="shared" ref="E32:K34" si="7">E22/D22-1</f>
        <v>1.0552954523428637E-2</v>
      </c>
      <c r="F32" s="31">
        <f t="shared" si="7"/>
        <v>0.17436000418462227</v>
      </c>
      <c r="G32" s="108">
        <f t="shared" si="7"/>
        <v>3.4414267632079332E-2</v>
      </c>
      <c r="H32" s="31">
        <f t="shared" si="7"/>
        <v>-8.4595959595959558E-2</v>
      </c>
      <c r="I32" s="31">
        <f t="shared" si="7"/>
        <v>0</v>
      </c>
      <c r="J32" s="31">
        <f t="shared" si="7"/>
        <v>0</v>
      </c>
      <c r="K32" s="109">
        <f t="shared" si="7"/>
        <v>0</v>
      </c>
    </row>
    <row r="33" spans="3:13" x14ac:dyDescent="0.25">
      <c r="C33" s="27" t="s">
        <v>164</v>
      </c>
      <c r="D33" s="111"/>
      <c r="E33" s="31">
        <f t="shared" si="7"/>
        <v>-2.9035826085972993E-2</v>
      </c>
      <c r="F33" s="31">
        <f t="shared" si="7"/>
        <v>-1.6795058569677779E-2</v>
      </c>
      <c r="G33" s="108">
        <f t="shared" si="7"/>
        <v>1.4026341398564179E-2</v>
      </c>
      <c r="H33" s="31">
        <f t="shared" si="7"/>
        <v>-5.1003401748818455E-2</v>
      </c>
      <c r="I33" s="31">
        <f t="shared" si="7"/>
        <v>0</v>
      </c>
      <c r="J33" s="31">
        <f t="shared" si="7"/>
        <v>0</v>
      </c>
      <c r="K33" s="109">
        <f t="shared" si="7"/>
        <v>0</v>
      </c>
    </row>
    <row r="34" spans="3:13" x14ac:dyDescent="0.25">
      <c r="C34" s="27" t="s">
        <v>165</v>
      </c>
      <c r="D34" s="111"/>
      <c r="E34" s="31">
        <f t="shared" si="7"/>
        <v>8.7121986494613113E-2</v>
      </c>
      <c r="F34" s="31">
        <f t="shared" si="7"/>
        <v>4.2255623587417634E-2</v>
      </c>
      <c r="G34" s="108">
        <f t="shared" si="7"/>
        <v>-3.6817924972531779E-2</v>
      </c>
      <c r="H34" s="31">
        <f t="shared" si="7"/>
        <v>3.2640949554896048E-2</v>
      </c>
      <c r="I34" s="31">
        <f t="shared" si="7"/>
        <v>0</v>
      </c>
      <c r="J34" s="31">
        <f t="shared" si="7"/>
        <v>0</v>
      </c>
      <c r="K34" s="109">
        <f t="shared" si="7"/>
        <v>0</v>
      </c>
    </row>
    <row r="35" spans="3:13" x14ac:dyDescent="0.25">
      <c r="G35" s="110"/>
      <c r="K35" s="101"/>
    </row>
    <row r="36" spans="3:13" x14ac:dyDescent="0.25">
      <c r="C36" s="42" t="s">
        <v>176</v>
      </c>
      <c r="G36" s="110"/>
      <c r="K36" s="101"/>
    </row>
    <row r="37" spans="3:13" x14ac:dyDescent="0.25">
      <c r="C37" s="27" t="s">
        <v>163</v>
      </c>
      <c r="E37" s="46">
        <f t="shared" ref="E37:K39" si="8">E7/D7-1</f>
        <v>3.3789319678127372E-2</v>
      </c>
      <c r="F37" s="46">
        <f t="shared" si="8"/>
        <v>0.1795936852086415</v>
      </c>
      <c r="G37" s="112">
        <f t="shared" si="8"/>
        <v>-0.17473770088602814</v>
      </c>
      <c r="H37" s="46">
        <f t="shared" si="8"/>
        <v>5.9431389310491411E-3</v>
      </c>
      <c r="I37" s="46">
        <f t="shared" si="8"/>
        <v>0</v>
      </c>
      <c r="J37" s="46">
        <f t="shared" si="8"/>
        <v>0</v>
      </c>
      <c r="K37" s="113">
        <f t="shared" si="8"/>
        <v>0</v>
      </c>
    </row>
    <row r="38" spans="3:13" x14ac:dyDescent="0.25">
      <c r="C38" s="27" t="s">
        <v>164</v>
      </c>
      <c r="E38" s="46">
        <f t="shared" si="8"/>
        <v>-6.8159782819468662E-2</v>
      </c>
      <c r="F38" s="46">
        <f t="shared" si="8"/>
        <v>-2.169389241494124E-2</v>
      </c>
      <c r="G38" s="112">
        <f t="shared" si="8"/>
        <v>7.5401313480457199E-2</v>
      </c>
      <c r="H38" s="46">
        <f t="shared" si="8"/>
        <v>1.2509690921663541E-2</v>
      </c>
      <c r="I38" s="46">
        <f t="shared" si="8"/>
        <v>0</v>
      </c>
      <c r="J38" s="46">
        <f t="shared" si="8"/>
        <v>0</v>
      </c>
      <c r="K38" s="113">
        <f t="shared" si="8"/>
        <v>0</v>
      </c>
    </row>
    <row r="39" spans="3:13" x14ac:dyDescent="0.25">
      <c r="C39" s="27" t="s">
        <v>165</v>
      </c>
      <c r="E39" s="46">
        <f t="shared" si="8"/>
        <v>0.13223249091148004</v>
      </c>
      <c r="F39" s="46">
        <f t="shared" si="8"/>
        <v>-1.4158607350096664E-2</v>
      </c>
      <c r="G39" s="112">
        <f t="shared" si="8"/>
        <v>4.0463035630199373E-2</v>
      </c>
      <c r="H39" s="46">
        <f t="shared" si="8"/>
        <v>4.8168670300312577E-3</v>
      </c>
      <c r="I39" s="46">
        <f t="shared" si="8"/>
        <v>0</v>
      </c>
      <c r="J39" s="46">
        <f t="shared" si="8"/>
        <v>0</v>
      </c>
      <c r="K39" s="113">
        <f t="shared" si="8"/>
        <v>0</v>
      </c>
    </row>
    <row r="40" spans="3:13" x14ac:dyDescent="0.25">
      <c r="C40" s="27" t="s">
        <v>166</v>
      </c>
      <c r="D40" s="43"/>
      <c r="E40" s="46">
        <f t="shared" ref="E40:H41" si="9">E11/D11-1</f>
        <v>0.23131263348118947</v>
      </c>
      <c r="F40" s="46">
        <f t="shared" si="9"/>
        <v>0.24049366244162784</v>
      </c>
      <c r="G40" s="114">
        <f t="shared" si="9"/>
        <v>0.22621672492605538</v>
      </c>
      <c r="H40" s="115">
        <f t="shared" si="9"/>
        <v>0.17518584303664242</v>
      </c>
      <c r="I40" s="116">
        <f>H40</f>
        <v>0.17518584303664242</v>
      </c>
      <c r="J40" s="116">
        <f t="shared" ref="J40:K40" si="10">I40</f>
        <v>0.17518584303664242</v>
      </c>
      <c r="K40" s="116">
        <f t="shared" si="10"/>
        <v>0.17518584303664242</v>
      </c>
      <c r="M40" t="s">
        <v>177</v>
      </c>
    </row>
    <row r="41" spans="3:13" x14ac:dyDescent="0.25">
      <c r="C41" s="27" t="s">
        <v>168</v>
      </c>
      <c r="D41" s="43"/>
      <c r="E41" s="46">
        <f t="shared" si="9"/>
        <v>0.15549766439094492</v>
      </c>
      <c r="F41" s="46">
        <f t="shared" si="9"/>
        <v>0.35403871569618284</v>
      </c>
      <c r="G41" s="117">
        <f t="shared" si="9"/>
        <v>0.32508468737440421</v>
      </c>
      <c r="H41" s="118">
        <f t="shared" si="9"/>
        <v>0.13861085835608122</v>
      </c>
      <c r="I41" s="116">
        <f t="shared" ref="I41:K41" si="11">H41</f>
        <v>0.13861085835608122</v>
      </c>
      <c r="J41" s="116">
        <f t="shared" si="11"/>
        <v>0.13861085835608122</v>
      </c>
      <c r="K41" s="116">
        <f t="shared" si="11"/>
        <v>0.13861085835608122</v>
      </c>
      <c r="M41" t="s">
        <v>177</v>
      </c>
    </row>
    <row r="43" spans="3:13" x14ac:dyDescent="0.25">
      <c r="M43" t="s">
        <v>178</v>
      </c>
    </row>
    <row r="44" spans="3:13" x14ac:dyDescent="0.25">
      <c r="M44" t="s">
        <v>179</v>
      </c>
    </row>
    <row r="47" spans="3:13" ht="15" customHeight="1" x14ac:dyDescent="0.25"/>
    <row r="49" ht="15" customHeight="1" x14ac:dyDescent="0.25"/>
    <row r="50" ht="15" customHeight="1" x14ac:dyDescent="0.25"/>
    <row r="52" ht="15" customHeight="1" x14ac:dyDescent="0.25"/>
    <row r="53" ht="15" customHeight="1" x14ac:dyDescent="0.25"/>
    <row r="54" ht="15.75" customHeight="1" x14ac:dyDescent="0.25"/>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6ADCE-8CD2-470F-8EEB-4B14FD2F95A3}">
  <dimension ref="A1"/>
  <sheetViews>
    <sheetView showGridLines="0" zoomScale="190" zoomScaleNormal="190" workbookViewId="0">
      <selection activeCell="E14" sqref="E1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3-Statement Model</vt:lpstr>
      <vt:lpstr>Revenue Segment Build</vt:lpstr>
      <vt:lpstr>Driver ER Consensu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Garcia</dc:creator>
  <cp:lastModifiedBy>Felix Garcia</cp:lastModifiedBy>
  <dcterms:created xsi:type="dcterms:W3CDTF">2025-01-20T07:21:09Z</dcterms:created>
  <dcterms:modified xsi:type="dcterms:W3CDTF">2025-01-21T05:11:11Z</dcterms:modified>
</cp:coreProperties>
</file>