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DF5338EF-F0A5-4C70-A8AD-EB6E0822D7E7}" xr6:coauthVersionLast="47" xr6:coauthVersionMax="47" xr10:uidLastSave="{00000000-0000-0000-0000-000000000000}"/>
  <bookViews>
    <workbookView xWindow="28680" yWindow="-120" windowWidth="29040" windowHeight="15720" xr2:uid="{3887715D-A0B5-44E7-BD1C-3EDF695A7362}"/>
  </bookViews>
  <sheets>
    <sheet name="Cassava Scienc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1" i="1" l="1"/>
  <c r="K101" i="1"/>
  <c r="G101" i="1"/>
  <c r="E101" i="1"/>
  <c r="D101" i="1"/>
  <c r="C101" i="1"/>
  <c r="O100" i="1"/>
  <c r="K100" i="1"/>
  <c r="G100" i="1"/>
  <c r="E100" i="1"/>
  <c r="D100" i="1"/>
  <c r="C100" i="1"/>
  <c r="R99" i="1"/>
  <c r="P99" i="1"/>
  <c r="S99" i="1" s="1"/>
  <c r="U99" i="1" s="1"/>
  <c r="S98" i="1"/>
  <c r="U98" i="1" s="1"/>
  <c r="R98" i="1"/>
  <c r="P98" i="1"/>
  <c r="S97" i="1"/>
  <c r="R97" i="1"/>
  <c r="U97" i="1" s="1"/>
  <c r="S96" i="1"/>
  <c r="U96" i="1" s="1"/>
  <c r="R96" i="1"/>
  <c r="L92" i="1"/>
  <c r="N91" i="1" a="1"/>
  <c r="N91" i="1" s="1"/>
  <c r="S91" i="1" s="1"/>
  <c r="L91" i="1"/>
  <c r="J91" i="1" a="1"/>
  <c r="R93" i="1" s="1"/>
  <c r="O89" i="1"/>
  <c r="P89" i="1" s="1"/>
  <c r="K89" i="1"/>
  <c r="L89" i="1" s="1"/>
  <c r="M89" i="1" s="1"/>
  <c r="J89" i="1"/>
  <c r="I89" i="1"/>
  <c r="H89" i="1"/>
  <c r="S88" i="1"/>
  <c r="J88" i="1"/>
  <c r="R88" i="1" s="1"/>
  <c r="U88" i="1" s="1"/>
  <c r="S87" i="1"/>
  <c r="P87" i="1"/>
  <c r="J87" i="1"/>
  <c r="R87" i="1" s="1"/>
  <c r="U87" i="1" s="1"/>
  <c r="S86" i="1"/>
  <c r="J86" i="1"/>
  <c r="R86" i="1" s="1"/>
  <c r="U86" i="1" s="1"/>
  <c r="N85" i="1"/>
  <c r="M85" i="1"/>
  <c r="S85" i="1" s="1"/>
  <c r="L85" i="1"/>
  <c r="I85" i="1"/>
  <c r="H85" i="1"/>
  <c r="R82" i="1"/>
  <c r="P82" i="1"/>
  <c r="L82" i="1"/>
  <c r="M82" i="1" s="1"/>
  <c r="J82" i="1"/>
  <c r="I82" i="1"/>
  <c r="H82" i="1"/>
  <c r="P81" i="1"/>
  <c r="N81" i="1"/>
  <c r="S81" i="1" s="1"/>
  <c r="M81" i="1"/>
  <c r="L81" i="1"/>
  <c r="I81" i="1"/>
  <c r="H81" i="1"/>
  <c r="J81" i="1" s="1"/>
  <c r="P78" i="1"/>
  <c r="P100" i="1" s="1"/>
  <c r="L78" i="1"/>
  <c r="M78" i="1" s="1"/>
  <c r="H78" i="1"/>
  <c r="P77" i="1"/>
  <c r="N77" i="1"/>
  <c r="M77" i="1"/>
  <c r="S77" i="1" s="1"/>
  <c r="L77" i="1"/>
  <c r="I77" i="1"/>
  <c r="J77" i="1" s="1"/>
  <c r="H77" i="1"/>
  <c r="R76" i="1"/>
  <c r="P76" i="1"/>
  <c r="L76" i="1"/>
  <c r="M76" i="1" s="1"/>
  <c r="J76" i="1"/>
  <c r="I76" i="1"/>
  <c r="H76" i="1"/>
  <c r="P75" i="1"/>
  <c r="N75" i="1"/>
  <c r="S75" i="1" s="1"/>
  <c r="M75" i="1"/>
  <c r="L75" i="1"/>
  <c r="I75" i="1"/>
  <c r="H75" i="1"/>
  <c r="J75" i="1" s="1"/>
  <c r="P74" i="1"/>
  <c r="L74" i="1"/>
  <c r="M74" i="1" s="1"/>
  <c r="H74" i="1"/>
  <c r="N73" i="1"/>
  <c r="M73" i="1"/>
  <c r="L73" i="1"/>
  <c r="I73" i="1"/>
  <c r="H73" i="1"/>
  <c r="J73" i="1" s="1"/>
  <c r="P72" i="1"/>
  <c r="L72" i="1"/>
  <c r="M72" i="1" s="1"/>
  <c r="H72" i="1"/>
  <c r="P70" i="1"/>
  <c r="N70" i="1"/>
  <c r="M70" i="1"/>
  <c r="S70" i="1" s="1"/>
  <c r="L70" i="1"/>
  <c r="I70" i="1"/>
  <c r="J70" i="1" s="1"/>
  <c r="H70" i="1"/>
  <c r="R69" i="1"/>
  <c r="P69" i="1"/>
  <c r="L69" i="1"/>
  <c r="M69" i="1" s="1"/>
  <c r="J69" i="1"/>
  <c r="I69" i="1"/>
  <c r="H69" i="1"/>
  <c r="R68" i="1"/>
  <c r="P68" i="1"/>
  <c r="S68" i="1" s="1"/>
  <c r="U68" i="1" s="1"/>
  <c r="P67" i="1"/>
  <c r="N67" i="1"/>
  <c r="M67" i="1"/>
  <c r="S67" i="1" s="1"/>
  <c r="L67" i="1"/>
  <c r="I67" i="1"/>
  <c r="I101" i="1" s="1"/>
  <c r="H67" i="1"/>
  <c r="R65" i="1"/>
  <c r="P65" i="1"/>
  <c r="P101" i="1" s="1"/>
  <c r="L65" i="1"/>
  <c r="M65" i="1" s="1"/>
  <c r="J65" i="1"/>
  <c r="H65" i="1"/>
  <c r="H101" i="1" s="1"/>
  <c r="S59" i="1"/>
  <c r="U59" i="1" s="1"/>
  <c r="N59" i="1"/>
  <c r="J59" i="1"/>
  <c r="R59" i="1" s="1"/>
  <c r="J57" i="1"/>
  <c r="R57" i="1" s="1"/>
  <c r="R56" i="1"/>
  <c r="N56" i="1"/>
  <c r="S56" i="1" s="1"/>
  <c r="U56" i="1" s="1"/>
  <c r="J56" i="1"/>
  <c r="R55" i="1"/>
  <c r="N55" i="1"/>
  <c r="S55" i="1" s="1"/>
  <c r="U55" i="1" s="1"/>
  <c r="J55" i="1"/>
  <c r="S54" i="1"/>
  <c r="U54" i="1" s="1"/>
  <c r="R54" i="1"/>
  <c r="N54" i="1"/>
  <c r="J54" i="1"/>
  <c r="N53" i="1"/>
  <c r="N57" i="1" s="1"/>
  <c r="S57" i="1" s="1"/>
  <c r="U57" i="1" s="1"/>
  <c r="J53" i="1"/>
  <c r="R53" i="1" s="1"/>
  <c r="P50" i="1"/>
  <c r="O50" i="1"/>
  <c r="S50" i="1" s="1"/>
  <c r="N50" i="1"/>
  <c r="J50" i="1"/>
  <c r="R50" i="1" s="1"/>
  <c r="N49" i="1"/>
  <c r="S49" i="1" s="1"/>
  <c r="U49" i="1" s="1"/>
  <c r="J49" i="1"/>
  <c r="R49" i="1" s="1"/>
  <c r="R48" i="1"/>
  <c r="N48" i="1"/>
  <c r="S48" i="1" s="1"/>
  <c r="U48" i="1" s="1"/>
  <c r="J48" i="1"/>
  <c r="R47" i="1"/>
  <c r="N47" i="1"/>
  <c r="S47" i="1" s="1"/>
  <c r="U47" i="1" s="1"/>
  <c r="J47" i="1"/>
  <c r="S46" i="1"/>
  <c r="N46" i="1"/>
  <c r="J46" i="1"/>
  <c r="R46" i="1" s="1"/>
  <c r="S45" i="1"/>
  <c r="J45" i="1"/>
  <c r="R45" i="1" s="1"/>
  <c r="U45" i="1" s="1"/>
  <c r="N44" i="1"/>
  <c r="S44" i="1" s="1"/>
  <c r="J44" i="1"/>
  <c r="R44" i="1" s="1"/>
  <c r="R43" i="1"/>
  <c r="N43" i="1"/>
  <c r="S43" i="1" s="1"/>
  <c r="U43" i="1" s="1"/>
  <c r="J43" i="1"/>
  <c r="R42" i="1"/>
  <c r="N42" i="1"/>
  <c r="S42" i="1" s="1"/>
  <c r="U42" i="1" s="1"/>
  <c r="J42" i="1"/>
  <c r="S41" i="1"/>
  <c r="N41" i="1"/>
  <c r="J41" i="1"/>
  <c r="R41" i="1" s="1"/>
  <c r="O39" i="1"/>
  <c r="N39" i="1"/>
  <c r="S39" i="1" s="1"/>
  <c r="J39" i="1"/>
  <c r="R39" i="1" s="1"/>
  <c r="R38" i="1"/>
  <c r="N38" i="1"/>
  <c r="S38" i="1" s="1"/>
  <c r="U38" i="1" s="1"/>
  <c r="J38" i="1"/>
  <c r="S37" i="1"/>
  <c r="N37" i="1"/>
  <c r="J37" i="1"/>
  <c r="R37" i="1" s="1"/>
  <c r="N36" i="1"/>
  <c r="S36" i="1" s="1"/>
  <c r="J36" i="1"/>
  <c r="R36" i="1" s="1"/>
  <c r="N35" i="1"/>
  <c r="S35" i="1" s="1"/>
  <c r="J35" i="1"/>
  <c r="R35" i="1" s="1"/>
  <c r="R34" i="1"/>
  <c r="J34" i="1"/>
  <c r="S33" i="1"/>
  <c r="N33" i="1"/>
  <c r="J33" i="1"/>
  <c r="R33" i="1" s="1"/>
  <c r="N32" i="1"/>
  <c r="N34" i="1" s="1"/>
  <c r="S34" i="1" s="1"/>
  <c r="U34" i="1" s="1"/>
  <c r="J32" i="1"/>
  <c r="R32" i="1" s="1"/>
  <c r="E26" i="1"/>
  <c r="Y25" i="1"/>
  <c r="P25" i="1"/>
  <c r="P26" i="1" s="1"/>
  <c r="O25" i="1"/>
  <c r="I25" i="1"/>
  <c r="I26" i="1" s="1"/>
  <c r="H25" i="1"/>
  <c r="H26" i="1" s="1"/>
  <c r="G25" i="1"/>
  <c r="E25" i="1"/>
  <c r="D25" i="1"/>
  <c r="D26" i="1" s="1"/>
  <c r="C25" i="1"/>
  <c r="R23" i="1"/>
  <c r="N23" i="1"/>
  <c r="S23" i="1" s="1"/>
  <c r="U23" i="1" s="1"/>
  <c r="J23" i="1"/>
  <c r="J21" i="1"/>
  <c r="I21" i="1"/>
  <c r="H21" i="1"/>
  <c r="E21" i="1"/>
  <c r="D21" i="1"/>
  <c r="P20" i="1"/>
  <c r="P21" i="1" s="1"/>
  <c r="M20" i="1"/>
  <c r="J20" i="1"/>
  <c r="J25" i="1" s="1"/>
  <c r="J26" i="1" s="1"/>
  <c r="U19" i="1"/>
  <c r="S19" i="1"/>
  <c r="R19" i="1"/>
  <c r="X18" i="1"/>
  <c r="N18" i="1"/>
  <c r="S18" i="1" s="1"/>
  <c r="J18" i="1"/>
  <c r="R18" i="1" s="1"/>
  <c r="X17" i="1"/>
  <c r="S17" i="1"/>
  <c r="U17" i="1" s="1"/>
  <c r="R17" i="1"/>
  <c r="N17" i="1"/>
  <c r="J17" i="1"/>
  <c r="P15" i="1"/>
  <c r="I15" i="1"/>
  <c r="H15" i="1"/>
  <c r="E15" i="1"/>
  <c r="D15" i="1"/>
  <c r="Y14" i="1"/>
  <c r="W14" i="1"/>
  <c r="W20" i="1" s="1"/>
  <c r="M14" i="1"/>
  <c r="L14" i="1"/>
  <c r="M15" i="1" s="1"/>
  <c r="K14" i="1"/>
  <c r="L15" i="1" s="1"/>
  <c r="J14" i="1"/>
  <c r="J15" i="1" s="1"/>
  <c r="X12" i="1"/>
  <c r="S12" i="1"/>
  <c r="N12" i="1"/>
  <c r="J12" i="1"/>
  <c r="R12" i="1" s="1"/>
  <c r="X11" i="1"/>
  <c r="X14" i="1" s="1"/>
  <c r="X20" i="1" s="1"/>
  <c r="N11" i="1"/>
  <c r="N14" i="1" s="1"/>
  <c r="J11" i="1"/>
  <c r="R11" i="1" s="1"/>
  <c r="O10" i="1"/>
  <c r="N10" i="1"/>
  <c r="M10" i="1"/>
  <c r="L10" i="1"/>
  <c r="S8" i="1"/>
  <c r="R8" i="1"/>
  <c r="X25" i="1" l="1"/>
  <c r="X21" i="1"/>
  <c r="Y21" i="1"/>
  <c r="U35" i="1"/>
  <c r="U36" i="1"/>
  <c r="U39" i="1"/>
  <c r="N65" i="1"/>
  <c r="M101" i="1"/>
  <c r="N72" i="1"/>
  <c r="S72" i="1" s="1"/>
  <c r="N74" i="1"/>
  <c r="S74" i="1" s="1"/>
  <c r="R81" i="1"/>
  <c r="N82" i="1"/>
  <c r="S82" i="1" s="1"/>
  <c r="U82" i="1" s="1"/>
  <c r="R89" i="1"/>
  <c r="N69" i="1"/>
  <c r="S69" i="1" s="1"/>
  <c r="U69" i="1" s="1"/>
  <c r="W25" i="1"/>
  <c r="W21" i="1"/>
  <c r="U46" i="1"/>
  <c r="U12" i="1"/>
  <c r="M21" i="1"/>
  <c r="U33" i="1"/>
  <c r="N89" i="1"/>
  <c r="S89" i="1" s="1"/>
  <c r="U89" i="1" s="1"/>
  <c r="U37" i="1"/>
  <c r="R75" i="1"/>
  <c r="U75" i="1" s="1"/>
  <c r="N76" i="1"/>
  <c r="S76" i="1" s="1"/>
  <c r="U76" i="1" s="1"/>
  <c r="U81" i="1"/>
  <c r="O15" i="1"/>
  <c r="N15" i="1"/>
  <c r="N20" i="1"/>
  <c r="S14" i="1"/>
  <c r="M100" i="1"/>
  <c r="N78" i="1"/>
  <c r="N100" i="1" s="1"/>
  <c r="U18" i="1"/>
  <c r="U41" i="1"/>
  <c r="U44" i="1"/>
  <c r="U50" i="1"/>
  <c r="J78" i="1"/>
  <c r="J100" i="1" s="1"/>
  <c r="R85" i="1"/>
  <c r="U85" i="1" s="1"/>
  <c r="S20" i="1"/>
  <c r="K10" i="1"/>
  <c r="J10" i="1" s="1"/>
  <c r="S11" i="1"/>
  <c r="U11" i="1" s="1"/>
  <c r="K20" i="1"/>
  <c r="R70" i="1"/>
  <c r="U70" i="1" s="1"/>
  <c r="R77" i="1"/>
  <c r="U77" i="1" s="1"/>
  <c r="S93" i="1"/>
  <c r="U93" i="1" s="1"/>
  <c r="L100" i="1"/>
  <c r="L101" i="1"/>
  <c r="R14" i="1"/>
  <c r="M25" i="1"/>
  <c r="K15" i="1"/>
  <c r="L20" i="1"/>
  <c r="S32" i="1"/>
  <c r="U32" i="1" s="1"/>
  <c r="J67" i="1"/>
  <c r="J101" i="1" s="1"/>
  <c r="R101" i="1" s="1"/>
  <c r="J85" i="1"/>
  <c r="I72" i="1"/>
  <c r="J72" i="1" s="1"/>
  <c r="I74" i="1"/>
  <c r="J74" i="1" s="1"/>
  <c r="I78" i="1"/>
  <c r="J91" i="1"/>
  <c r="R91" i="1" s="1"/>
  <c r="U91" i="1" s="1"/>
  <c r="R92" i="1"/>
  <c r="H100" i="1"/>
  <c r="S53" i="1"/>
  <c r="U53" i="1" s="1"/>
  <c r="S92" i="1"/>
  <c r="S100" i="1" l="1"/>
  <c r="N101" i="1"/>
  <c r="S101" i="1" s="1"/>
  <c r="U101" i="1" s="1"/>
  <c r="S78" i="1"/>
  <c r="I100" i="1"/>
  <c r="R100" i="1" s="1"/>
  <c r="R78" i="1"/>
  <c r="R67" i="1"/>
  <c r="U67" i="1" s="1"/>
  <c r="S15" i="1"/>
  <c r="U14" i="1"/>
  <c r="S65" i="1"/>
  <c r="U65" i="1" s="1"/>
  <c r="L21" i="1"/>
  <c r="L25" i="1"/>
  <c r="L26" i="1" s="1"/>
  <c r="R74" i="1"/>
  <c r="U74" i="1" s="1"/>
  <c r="S25" i="1"/>
  <c r="K25" i="1"/>
  <c r="R20" i="1"/>
  <c r="S21" i="1" s="1"/>
  <c r="K21" i="1"/>
  <c r="O21" i="1"/>
  <c r="N21" i="1"/>
  <c r="N25" i="1"/>
  <c r="R72" i="1"/>
  <c r="U72" i="1" s="1"/>
  <c r="U92" i="1"/>
  <c r="U100" i="1" l="1"/>
  <c r="W26" i="1"/>
  <c r="U20" i="1"/>
  <c r="K26" i="1"/>
  <c r="R25" i="1"/>
  <c r="U25" i="1" s="1"/>
  <c r="O26" i="1"/>
  <c r="N26" i="1"/>
  <c r="U78" i="1"/>
  <c r="M26" i="1"/>
  <c r="S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<sst xmlns="http://schemas.openxmlformats.org/spreadsheetml/2006/main" count="160" uniqueCount="105">
  <si>
    <t>Cassava Sciences (NASDAQ: SAVA)</t>
  </si>
  <si>
    <t>(In Millions)</t>
  </si>
  <si>
    <t>FYE</t>
  </si>
  <si>
    <t>Quarterly</t>
  </si>
  <si>
    <t>LTM</t>
  </si>
  <si>
    <t>LTM VAR</t>
  </si>
  <si>
    <t>Forecast</t>
  </si>
  <si>
    <t>X</t>
  </si>
  <si>
    <t xml:space="preserve">Income Statement </t>
  </si>
  <si>
    <t>FY2021</t>
  </si>
  <si>
    <t>FY2022</t>
  </si>
  <si>
    <t>FY2023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</si>
  <si>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</si>
  <si>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</si>
  <si>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</si>
  <si>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</si>
  <si>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</si>
  <si>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</si>
  <si>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</si>
  <si>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</si>
  <si>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</si>
  <si>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</si>
  <si>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VAR</t>
  </si>
  <si>
    <t>3Q24F</t>
  </si>
  <si>
    <t>4Q24F</t>
  </si>
  <si>
    <t>1Q25</t>
  </si>
  <si>
    <t>Consolidated Statements of Income - USD ($) shares in Millions, $ in Millions</t>
  </si>
  <si>
    <t>3-Months Ended</t>
  </si>
  <si>
    <t>12-Months Ended</t>
  </si>
  <si>
    <t>Operating expenses:</t>
  </si>
  <si>
    <t>Research and development, net of grant reimbursement</t>
  </si>
  <si>
    <t>General and administrative</t>
  </si>
  <si>
    <t>Legal Imparimenents &amp; SEC Charges</t>
  </si>
  <si>
    <t>Total operating expenses</t>
  </si>
  <si>
    <t>Y/Y Growth, Q/Q Growth</t>
  </si>
  <si>
    <t>Interest income</t>
  </si>
  <si>
    <t>Other income, net</t>
  </si>
  <si>
    <t>Gain from change in fair value of warrant liabilities</t>
  </si>
  <si>
    <t>Net loss</t>
  </si>
  <si>
    <t>Shares used in computing net loss per share, basic and diluted</t>
  </si>
  <si>
    <t>Adjustment for change in fair value of warrant liabilities</t>
  </si>
  <si>
    <t>Net loss per share, basic and diluted</t>
  </si>
  <si>
    <t xml:space="preserve">Balance Sheet Statement </t>
  </si>
  <si>
    <t>Consolidated Balance Sheets - USD ($) $ in Millions</t>
  </si>
  <si>
    <t>Current assets:</t>
  </si>
  <si>
    <t>Cash and cash equivalents</t>
  </si>
  <si>
    <t>Prepaid expenses and other current assets</t>
  </si>
  <si>
    <t>Total current assets</t>
  </si>
  <si>
    <t>Operating lease right-of-use assets</t>
  </si>
  <si>
    <t>—</t>
  </si>
  <si>
    <t>-</t>
  </si>
  <si>
    <t>Property and equipment, net</t>
  </si>
  <si>
    <t>Intangible assets, net</t>
  </si>
  <si>
    <t>Other assets</t>
  </si>
  <si>
    <t>Total assets</t>
  </si>
  <si>
    <t>Current liabilities:</t>
  </si>
  <si>
    <t>Accounts payable and other accrued expenses</t>
  </si>
  <si>
    <t>Accrued development expense</t>
  </si>
  <si>
    <t>Accrued compensation and benefits</t>
  </si>
  <si>
    <t>Operating lease liabilities, current</t>
  </si>
  <si>
    <t>Warrant liabilities</t>
  </si>
  <si>
    <t>Other current liabilities</t>
  </si>
  <si>
    <t>Total current liabilities</t>
  </si>
  <si>
    <t>Operating lease liabilities, non-current</t>
  </si>
  <si>
    <t>Other non-current liabilities</t>
  </si>
  <si>
    <t>Total liabilities</t>
  </si>
  <si>
    <t>Stockholders' equity:</t>
  </si>
  <si>
    <t>Preferred stock, $ 0.001  par value;  10,000,000  shares authorized,  none  issued and outstanding</t>
  </si>
  <si>
    <t>Common stock, $ 0.001  par value;  120,000,000  shares authorized;  42,236,919  and  41,735,557  shares issued and outstanding at December 31, 2023 and December 31, 2022, respectively</t>
  </si>
  <si>
    <t>Additional paid-in capital</t>
  </si>
  <si>
    <t>Accumulated deficit</t>
  </si>
  <si>
    <t>Total stockholders' equity</t>
  </si>
  <si>
    <t>Total liabilities and stockholders' equity</t>
  </si>
  <si>
    <t>Cash-Flows Statement</t>
  </si>
  <si>
    <t>Consolidated Statements of Cash Flows - USD ($) $ in Millions</t>
  </si>
  <si>
    <t>Cash flows from operating activities:</t>
  </si>
  <si>
    <t>Adjustments to reconcile net loss to net cash used in operating activities:</t>
  </si>
  <si>
    <t>Stock-based compensation</t>
  </si>
  <si>
    <t>Depreciation</t>
  </si>
  <si>
    <t>Amortization of intangible assets</t>
  </si>
  <si>
    <t>Changes in operating assets and liabilities:</t>
  </si>
  <si>
    <t>Prepaid and other assets</t>
  </si>
  <si>
    <t>Operating lease right-of-use assets and liabilities</t>
  </si>
  <si>
    <t>Other liabilities</t>
  </si>
  <si>
    <t>Net cash used in operating activities</t>
  </si>
  <si>
    <t>Cash flows from investing activities:</t>
  </si>
  <si>
    <t>Purchase of property and equipment</t>
  </si>
  <si>
    <t>Net cash used in investing activities</t>
  </si>
  <si>
    <t>Cash flows from financing activities:</t>
  </si>
  <si>
    <t>Proceeds from issuance of common stock upon exercise of stock options</t>
  </si>
  <si>
    <t>Proceeds from issuance of common stock upon exercise of 2018 warrants</t>
  </si>
  <si>
    <t>Proceeds from exercise of common stock warrants, net of exercise costs</t>
  </si>
  <si>
    <t>Proceeds from common stock offering, net of issuance costs</t>
  </si>
  <si>
    <t>Net cash provided by financing activities</t>
  </si>
  <si>
    <t>Net (decrease) increase in cash and cash equivalents</t>
  </si>
  <si>
    <t>Cash and cash equivalents at beginning of period</t>
  </si>
  <si>
    <t>Cash and cash equivalents at end of period</t>
  </si>
  <si>
    <t>Supplemental cash flow information:</t>
  </si>
  <si>
    <t>Non-cash investing activities</t>
  </si>
  <si>
    <t>Purchases of property and equipment included in accounts payable</t>
  </si>
  <si>
    <t>$—</t>
  </si>
  <si>
    <t>Issuance of warrants resulting in recognition of warrant liabilities</t>
  </si>
  <si>
    <t>Derecognition of warrant liabilities upon exercise of warrants</t>
  </si>
  <si>
    <t>FCF</t>
  </si>
  <si>
    <t>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</si>
</sst>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 &quot;#,##0_);_(&quot;$ &quot;\(#,##0\)"/>
    <numFmt numFmtId="165" formatCode="&quot;$&quot;#,##0"/>
    <numFmt numFmtId="166" formatCode="0.0%"/>
    <numFmt numFmtId="167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i/>
      <sz val="10"/>
      <name val="Calibri"/>
      <family val="2"/>
    </font>
    <font>
      <sz val="9"/>
      <color theme="1"/>
      <name val="Calibri"/>
      <family val="2"/>
      <scheme val="minor"/>
    </font>
    <font>
      <sz val="11"/>
      <color rgb="FF0000E1"/>
      <name val="Calibri"/>
      <family val="2"/>
    </font>
    <font>
      <sz val="12"/>
      <color rgb="FF0000E1"/>
      <name val="Calibri"/>
      <family val="2"/>
      <scheme val="minor"/>
    </font>
    <font>
      <i/>
      <sz val="9"/>
      <color rgb="FF0000E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E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CC"/>
      <name val="Calibri"/>
      <family val="2"/>
    </font>
    <font>
      <sz val="11"/>
      <color rgb="FF0000CC"/>
      <name val="Calibri"/>
      <family val="2"/>
      <scheme val="minor"/>
    </font>
    <font>
      <b/>
      <sz val="12"/>
      <color indexed="8"/>
      <name val="Calibri"/>
      <family val="2"/>
      <charset val="1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Gray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2" borderId="0" xfId="0" applyFont="1" applyFill="1"/>
    <xf numFmtId="0" fontId="0" fillId="2" borderId="0" xfId="0" applyFill="1"/>
    <xf numFmtId="0" fontId="5" fillId="2" borderId="0" xfId="0" applyFont="1" applyFill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10" fontId="9" fillId="0" borderId="0" xfId="0" applyNumberFormat="1" applyFont="1" applyAlignment="1">
      <alignment horizontal="center"/>
    </xf>
    <xf numFmtId="9" fontId="10" fillId="0" borderId="0" xfId="3" applyFont="1" applyBorder="1" applyAlignment="1">
      <alignment horizontal="right" vertical="center"/>
    </xf>
    <xf numFmtId="0" fontId="8" fillId="0" borderId="0" xfId="0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164" fontId="12" fillId="0" borderId="0" xfId="0" applyNumberFormat="1" applyFont="1"/>
    <xf numFmtId="10" fontId="13" fillId="3" borderId="0" xfId="3" applyNumberFormat="1" applyFont="1" applyFill="1" applyAlignment="1">
      <alignment horizontal="center"/>
    </xf>
    <xf numFmtId="37" fontId="11" fillId="0" borderId="0" xfId="0" applyNumberFormat="1" applyFont="1" applyAlignment="1">
      <alignment horizontal="right" vertical="top"/>
    </xf>
    <xf numFmtId="37" fontId="12" fillId="0" borderId="0" xfId="0" applyNumberFormat="1" applyFont="1"/>
    <xf numFmtId="165" fontId="14" fillId="0" borderId="2" xfId="0" applyNumberFormat="1" applyFont="1" applyBorder="1" applyAlignment="1">
      <alignment vertical="top" wrapText="1"/>
    </xf>
    <xf numFmtId="165" fontId="14" fillId="0" borderId="2" xfId="0" applyNumberFormat="1" applyFont="1" applyBorder="1" applyAlignment="1">
      <alignment horizontal="right" vertical="top"/>
    </xf>
    <xf numFmtId="164" fontId="14" fillId="0" borderId="2" xfId="0" applyNumberFormat="1" applyFont="1" applyBorder="1" applyAlignment="1">
      <alignment horizontal="right" vertical="top"/>
    </xf>
    <xf numFmtId="164" fontId="15" fillId="0" borderId="2" xfId="0" applyNumberFormat="1" applyFont="1" applyBorder="1"/>
    <xf numFmtId="164" fontId="15" fillId="0" borderId="0" xfId="0" applyNumberFormat="1" applyFont="1"/>
    <xf numFmtId="10" fontId="16" fillId="3" borderId="0" xfId="3" applyNumberFormat="1" applyFont="1" applyFill="1" applyAlignment="1">
      <alignment horizontal="center"/>
    </xf>
    <xf numFmtId="0" fontId="17" fillId="0" borderId="0" xfId="0" applyFont="1" applyAlignment="1">
      <alignment horizontal="right" vertical="center"/>
    </xf>
    <xf numFmtId="165" fontId="14" fillId="0" borderId="0" xfId="0" applyNumberFormat="1" applyFont="1" applyAlignment="1">
      <alignment horizontal="right" vertical="top"/>
    </xf>
    <xf numFmtId="10" fontId="16" fillId="0" borderId="0" xfId="3" applyNumberFormat="1" applyFont="1" applyFill="1" applyAlignment="1">
      <alignment horizontal="center"/>
    </xf>
    <xf numFmtId="165" fontId="14" fillId="0" borderId="0" xfId="0" applyNumberFormat="1" applyFont="1" applyAlignment="1">
      <alignment vertical="top" wrapText="1"/>
    </xf>
    <xf numFmtId="0" fontId="12" fillId="0" borderId="0" xfId="0" applyFont="1"/>
    <xf numFmtId="0" fontId="0" fillId="3" borderId="0" xfId="0" applyFill="1" applyAlignment="1">
      <alignment horizontal="center"/>
    </xf>
    <xf numFmtId="0" fontId="8" fillId="0" borderId="0" xfId="0" applyFont="1" applyAlignment="1">
      <alignment vertical="top" wrapText="1"/>
    </xf>
    <xf numFmtId="0" fontId="14" fillId="0" borderId="2" xfId="0" applyFont="1" applyBorder="1" applyAlignment="1">
      <alignment vertical="top"/>
    </xf>
    <xf numFmtId="37" fontId="14" fillId="0" borderId="2" xfId="0" applyNumberFormat="1" applyFont="1" applyBorder="1" applyAlignment="1">
      <alignment horizontal="right" vertical="top"/>
    </xf>
    <xf numFmtId="39" fontId="10" fillId="0" borderId="0" xfId="0" applyNumberFormat="1" applyFont="1" applyAlignment="1">
      <alignment horizontal="right" vertical="center"/>
    </xf>
    <xf numFmtId="9" fontId="10" fillId="0" borderId="0" xfId="3" applyFont="1" applyFill="1" applyBorder="1" applyAlignment="1">
      <alignment horizontal="right" vertical="center"/>
    </xf>
    <xf numFmtId="10" fontId="13" fillId="0" borderId="0" xfId="3" applyNumberFormat="1" applyFont="1" applyFill="1" applyAlignment="1">
      <alignment horizontal="center"/>
    </xf>
    <xf numFmtId="0" fontId="13" fillId="0" borderId="0" xfId="0" applyFont="1" applyAlignment="1">
      <alignment horizontal="right"/>
    </xf>
    <xf numFmtId="166" fontId="13" fillId="0" borderId="0" xfId="3" applyNumberFormat="1" applyFont="1" applyBorder="1" applyAlignment="1">
      <alignment horizontal="right"/>
    </xf>
    <xf numFmtId="166" fontId="13" fillId="0" borderId="0" xfId="3" applyNumberFormat="1" applyFont="1" applyFill="1" applyBorder="1" applyAlignment="1">
      <alignment horizontal="right"/>
    </xf>
    <xf numFmtId="0" fontId="18" fillId="0" borderId="0" xfId="0" applyFont="1" applyAlignment="1">
      <alignment horizontal="right"/>
    </xf>
    <xf numFmtId="37" fontId="19" fillId="0" borderId="0" xfId="2" applyNumberFormat="1" applyFont="1" applyBorder="1" applyAlignment="1">
      <alignment horizontal="right"/>
    </xf>
    <xf numFmtId="0" fontId="20" fillId="0" borderId="0" xfId="0" applyFont="1"/>
    <xf numFmtId="166" fontId="21" fillId="0" borderId="0" xfId="3" applyNumberFormat="1" applyFont="1" applyBorder="1" applyAlignment="1">
      <alignment horizontal="right"/>
    </xf>
    <xf numFmtId="37" fontId="12" fillId="4" borderId="0" xfId="2" applyNumberFormat="1" applyFont="1" applyFill="1" applyBorder="1" applyAlignment="1">
      <alignment horizontal="right"/>
    </xf>
    <xf numFmtId="44" fontId="12" fillId="0" borderId="0" xfId="2" applyFont="1" applyBorder="1" applyAlignment="1">
      <alignment horizontal="right"/>
    </xf>
    <xf numFmtId="10" fontId="10" fillId="0" borderId="0" xfId="3" applyNumberFormat="1" applyFont="1" applyBorder="1" applyAlignment="1">
      <alignment horizontal="right" vertical="center"/>
    </xf>
    <xf numFmtId="0" fontId="2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vertical="top"/>
    </xf>
    <xf numFmtId="37" fontId="20" fillId="0" borderId="0" xfId="0" applyNumberFormat="1" applyFont="1"/>
    <xf numFmtId="37" fontId="23" fillId="0" borderId="2" xfId="0" applyNumberFormat="1" applyFont="1" applyBorder="1"/>
    <xf numFmtId="37" fontId="3" fillId="0" borderId="2" xfId="0" applyNumberFormat="1" applyFont="1" applyBorder="1"/>
    <xf numFmtId="37" fontId="24" fillId="0" borderId="0" xfId="0" applyNumberFormat="1" applyFont="1"/>
    <xf numFmtId="37" fontId="19" fillId="0" borderId="0" xfId="0" applyNumberFormat="1" applyFont="1" applyAlignment="1">
      <alignment horizontal="right" vertical="top"/>
    </xf>
    <xf numFmtId="37" fontId="25" fillId="0" borderId="2" xfId="0" applyNumberFormat="1" applyFont="1" applyBorder="1"/>
    <xf numFmtId="37" fontId="23" fillId="0" borderId="0" xfId="0" applyNumberFormat="1" applyFont="1"/>
    <xf numFmtId="37" fontId="26" fillId="0" borderId="0" xfId="0" applyNumberFormat="1" applyFont="1" applyAlignment="1">
      <alignment horizontal="right" vertical="top"/>
    </xf>
    <xf numFmtId="0" fontId="23" fillId="0" borderId="0" xfId="0" applyFont="1"/>
    <xf numFmtId="37" fontId="0" fillId="0" borderId="0" xfId="0" applyNumberFormat="1"/>
    <xf numFmtId="37" fontId="9" fillId="0" borderId="2" xfId="0" applyNumberFormat="1" applyFont="1" applyBorder="1"/>
    <xf numFmtId="37" fontId="3" fillId="0" borderId="0" xfId="0" applyNumberFormat="1" applyFont="1"/>
    <xf numFmtId="37" fontId="14" fillId="0" borderId="0" xfId="0" applyNumberFormat="1" applyFont="1" applyAlignment="1">
      <alignment horizontal="right" vertical="top"/>
    </xf>
    <xf numFmtId="37" fontId="27" fillId="0" borderId="0" xfId="0" applyNumberFormat="1" applyFont="1"/>
    <xf numFmtId="0" fontId="19" fillId="0" borderId="0" xfId="0" applyFont="1"/>
    <xf numFmtId="37" fontId="19" fillId="0" borderId="0" xfId="0" applyNumberFormat="1" applyFont="1"/>
    <xf numFmtId="37" fontId="19" fillId="0" borderId="0" xfId="0" applyNumberFormat="1" applyFont="1" applyAlignment="1">
      <alignment vertical="top" wrapText="1"/>
    </xf>
    <xf numFmtId="37" fontId="14" fillId="0" borderId="2" xfId="0" applyNumberFormat="1" applyFont="1" applyBorder="1"/>
    <xf numFmtId="0" fontId="14" fillId="0" borderId="2" xfId="0" applyFont="1" applyBorder="1"/>
    <xf numFmtId="0" fontId="3" fillId="0" borderId="0" xfId="0" applyFont="1"/>
    <xf numFmtId="37" fontId="8" fillId="0" borderId="0" xfId="0" applyNumberFormat="1" applyFont="1" applyAlignment="1">
      <alignment horizontal="right" vertical="top"/>
    </xf>
    <xf numFmtId="0" fontId="28" fillId="0" borderId="0" xfId="0" applyFont="1"/>
    <xf numFmtId="167" fontId="0" fillId="0" borderId="0" xfId="1" applyNumberFormat="1" applyFont="1" applyBorder="1"/>
    <xf numFmtId="37" fontId="11" fillId="0" borderId="0" xfId="1" applyNumberFormat="1" applyFont="1" applyBorder="1"/>
    <xf numFmtId="0" fontId="29" fillId="0" borderId="0" xfId="0" applyFont="1"/>
    <xf numFmtId="37" fontId="11" fillId="0" borderId="0" xfId="1" applyNumberFormat="1" applyFont="1" applyFill="1" applyBorder="1"/>
    <xf numFmtId="0" fontId="23" fillId="0" borderId="2" xfId="0" applyFont="1" applyBorder="1"/>
    <xf numFmtId="37" fontId="14" fillId="0" borderId="2" xfId="1" applyNumberFormat="1" applyFont="1" applyBorder="1"/>
    <xf numFmtId="37" fontId="14" fillId="0" borderId="0" xfId="1" applyNumberFormat="1" applyFont="1" applyBorder="1"/>
    <xf numFmtId="37" fontId="14" fillId="0" borderId="0" xfId="1" applyNumberFormat="1" applyFont="1" applyFill="1" applyBorder="1"/>
    <xf numFmtId="0" fontId="25" fillId="0" borderId="2" xfId="0" applyFont="1" applyBorder="1"/>
    <xf numFmtId="0" fontId="25" fillId="0" borderId="0" xfId="0" applyFont="1"/>
    <xf numFmtId="37" fontId="15" fillId="0" borderId="0" xfId="1" applyNumberFormat="1" applyFont="1" applyBorder="1"/>
    <xf numFmtId="37" fontId="15" fillId="0" borderId="0" xfId="1" applyNumberFormat="1" applyFont="1" applyFill="1" applyBorder="1"/>
    <xf numFmtId="37" fontId="19" fillId="0" borderId="0" xfId="1" applyNumberFormat="1" applyFont="1" applyBorder="1"/>
    <xf numFmtId="37" fontId="12" fillId="5" borderId="0" xfId="0" applyNumberFormat="1" applyFont="1" applyFill="1"/>
    <xf numFmtId="37" fontId="19" fillId="0" borderId="0" xfId="1" applyNumberFormat="1" applyFont="1" applyFill="1" applyBorder="1"/>
    <xf numFmtId="37" fontId="8" fillId="0" borderId="0" xfId="1" applyNumberFormat="1" applyFont="1" applyBorder="1"/>
    <xf numFmtId="37" fontId="8" fillId="0" borderId="0" xfId="1" applyNumberFormat="1" applyFont="1" applyFill="1" applyBorder="1"/>
    <xf numFmtId="0" fontId="23" fillId="6" borderId="3" xfId="0" applyFont="1" applyFill="1" applyBorder="1"/>
    <xf numFmtId="37" fontId="14" fillId="6" borderId="4" xfId="1" applyNumberFormat="1" applyFont="1" applyFill="1" applyBorder="1"/>
    <xf numFmtId="37" fontId="14" fillId="6" borderId="5" xfId="1" applyNumberFormat="1" applyFont="1" applyFill="1" applyBorder="1"/>
    <xf numFmtId="37" fontId="14" fillId="6" borderId="3" xfId="1" applyNumberFormat="1" applyFont="1" applyFill="1" applyBorder="1"/>
    <xf numFmtId="37" fontId="15" fillId="6" borderId="3" xfId="0" applyNumberFormat="1" applyFont="1" applyFill="1" applyBorder="1"/>
    <xf numFmtId="37" fontId="15" fillId="6" borderId="5" xfId="1" applyNumberFormat="1" applyFont="1" applyFill="1" applyBorder="1"/>
    <xf numFmtId="0" fontId="3" fillId="6" borderId="6" xfId="0" applyFont="1" applyFill="1" applyBorder="1"/>
    <xf numFmtId="37" fontId="15" fillId="6" borderId="1" xfId="1" applyNumberFormat="1" applyFont="1" applyFill="1" applyBorder="1"/>
    <xf numFmtId="37" fontId="15" fillId="6" borderId="7" xfId="1" applyNumberFormat="1" applyFont="1" applyFill="1" applyBorder="1"/>
    <xf numFmtId="37" fontId="15" fillId="6" borderId="6" xfId="1" applyNumberFormat="1" applyFont="1" applyFill="1" applyBorder="1"/>
    <xf numFmtId="37" fontId="15" fillId="6" borderId="6" xfId="0" applyNumberFormat="1" applyFont="1" applyFill="1" applyBorder="1"/>
    <xf numFmtId="167" fontId="3" fillId="0" borderId="0" xfId="1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DD17-18D9-4311-B5CA-9309D2491A5C}">
  <dimension ref="A1:Y123"/>
  <sheetViews>
    <sheetView showGridLines="0" tabSelected="1" zoomScale="85" zoomScaleNormal="85" workbookViewId="0">
      <selection activeCell="J21" sqref="J21"/>
    </sheetView>
  </sheetViews>
  <sheetFormatPr defaultRowHeight="15" x14ac:dyDescent="0.25"/>
  <cols>
    <col min="1" max="1" width="2.42578125" customWidth="1"/>
    <col min="2" max="2" width="52.42578125" customWidth="1"/>
    <col min="3" max="5" width="15.42578125" bestFit="1" customWidth="1"/>
    <col min="6" max="6" width="1" customWidth="1"/>
    <col min="7" max="9" width="10.140625" bestFit="1" customWidth="1"/>
    <col min="10" max="10" width="11.28515625" bestFit="1" customWidth="1"/>
    <col min="11" max="13" width="10.140625" bestFit="1" customWidth="1"/>
    <col min="14" max="14" width="11.28515625" bestFit="1" customWidth="1"/>
    <col min="15" max="16" width="10.140625" bestFit="1" customWidth="1"/>
    <col min="17" max="17" width="0.7109375" customWidth="1"/>
    <col min="18" max="18" width="11.85546875" bestFit="1" customWidth="1"/>
    <col min="19" max="19" width="11" bestFit="1" customWidth="1"/>
    <col min="20" max="20" width="1.42578125" customWidth="1"/>
    <col min="21" max="21" width="11.42578125" bestFit="1" customWidth="1"/>
    <col min="22" max="22" width="1.5703125" customWidth="1"/>
    <col min="23" max="23" width="16.28515625" bestFit="1" customWidth="1"/>
    <col min="24" max="24" width="17.28515625" bestFit="1" customWidth="1"/>
    <col min="25" max="25" width="16.28515625" bestFit="1" customWidth="1"/>
  </cols>
  <sheetData>
    <row r="1" spans="1:25" ht="6" customHeight="1" x14ac:dyDescent="0.25"/>
    <row r="2" spans="1:25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5" x14ac:dyDescent="0.25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5" ht="5.25" customHeight="1" x14ac:dyDescent="0.25">
      <c r="B4" s="4"/>
    </row>
    <row r="5" spans="1:25" ht="15.75" thickBot="1" x14ac:dyDescent="0.3">
      <c r="B5" s="5"/>
      <c r="C5" s="5" t="s">
        <v>2</v>
      </c>
      <c r="D5" s="5"/>
      <c r="E5" s="5"/>
      <c r="G5" s="5" t="s">
        <v>3</v>
      </c>
      <c r="H5" s="5"/>
      <c r="I5" s="5"/>
      <c r="J5" s="5"/>
      <c r="K5" s="5"/>
      <c r="L5" s="5"/>
      <c r="M5" s="5"/>
      <c r="N5" s="5"/>
      <c r="O5" s="5"/>
      <c r="P5" s="5"/>
      <c r="R5" s="5" t="s">
        <v>4</v>
      </c>
      <c r="S5" s="5"/>
      <c r="T5" s="6"/>
      <c r="U5" s="5" t="s">
        <v>5</v>
      </c>
      <c r="W5" s="5" t="s">
        <v>6</v>
      </c>
      <c r="X5" s="5"/>
      <c r="Y5" s="5"/>
    </row>
    <row r="6" spans="1:25" ht="4.5" customHeight="1" x14ac:dyDescent="0.25"/>
    <row r="7" spans="1:25" x14ac:dyDescent="0.25">
      <c r="A7" t="s">
        <v>7</v>
      </c>
      <c r="B7" s="1" t="s">
        <v>8</v>
      </c>
      <c r="C7" s="7" t="s">
        <v>9</v>
      </c>
      <c r="D7" s="7" t="s">
        <v>10</v>
      </c>
      <c r="E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R7" s="7" t="s">
        <v>17</v>
      </c>
      <c r="S7" s="7" t="s">
        <v>21</v>
      </c>
      <c r="T7" s="8"/>
      <c r="U7" s="9" t="s">
        <v>22</v>
      </c>
      <c r="W7" s="7" t="s">
        <v>23</v>
      </c>
      <c r="X7" s="7" t="s">
        <v>24</v>
      </c>
      <c r="Y7" s="7" t="s">
        <v>25</v>
      </c>
    </row>
    <row r="8" spans="1:25" x14ac:dyDescent="0.25">
      <c r="B8" s="10" t="s">
        <v>26</v>
      </c>
      <c r="C8" s="11">
        <v>44561</v>
      </c>
      <c r="D8" s="11">
        <v>44926</v>
      </c>
      <c r="E8" s="11">
        <v>45291</v>
      </c>
      <c r="G8" s="12">
        <v>44651</v>
      </c>
      <c r="H8" s="12">
        <v>44742</v>
      </c>
      <c r="I8" s="12">
        <v>44834</v>
      </c>
      <c r="J8" s="12">
        <v>44926</v>
      </c>
      <c r="K8" s="12">
        <v>45016</v>
      </c>
      <c r="L8" s="12">
        <v>45107</v>
      </c>
      <c r="M8" s="12">
        <v>45199</v>
      </c>
      <c r="N8" s="12">
        <v>45291</v>
      </c>
      <c r="O8" s="12">
        <v>45382</v>
      </c>
      <c r="P8" s="12">
        <v>45473</v>
      </c>
      <c r="R8" s="11">
        <f>L8</f>
        <v>45107</v>
      </c>
      <c r="S8" s="11">
        <f>P8</f>
        <v>45473</v>
      </c>
      <c r="T8" s="13"/>
      <c r="U8" s="9"/>
      <c r="W8" s="11" t="s">
        <v>27</v>
      </c>
      <c r="X8" s="11" t="s">
        <v>28</v>
      </c>
      <c r="Y8" s="11" t="s">
        <v>27</v>
      </c>
    </row>
    <row r="9" spans="1:25" ht="3.75" customHeight="1" x14ac:dyDescent="0.25">
      <c r="B9" s="14"/>
      <c r="C9" s="13"/>
      <c r="D9" s="13"/>
      <c r="E9" s="13"/>
      <c r="G9" s="15"/>
      <c r="H9" s="15"/>
      <c r="I9" s="15"/>
      <c r="J9" s="15"/>
      <c r="K9" s="15"/>
      <c r="L9" s="15"/>
      <c r="M9" s="15"/>
      <c r="N9" s="15"/>
      <c r="O9" s="15"/>
      <c r="P9" s="15"/>
      <c r="R9" s="15"/>
      <c r="S9" s="15"/>
      <c r="T9" s="15"/>
    </row>
    <row r="10" spans="1:25" x14ac:dyDescent="0.25">
      <c r="B10" s="16" t="s">
        <v>29</v>
      </c>
      <c r="C10" s="13"/>
      <c r="D10" s="13"/>
      <c r="E10" s="13"/>
      <c r="G10" s="15"/>
      <c r="H10" s="15"/>
      <c r="I10" s="17"/>
      <c r="J10" s="17">
        <f>AVERAGE(K10:P10)</f>
        <v>3.7591965686784842E-2</v>
      </c>
      <c r="K10" s="18">
        <f>SUM(K12/J12)-1</f>
        <v>0.33698630136986307</v>
      </c>
      <c r="L10" s="18">
        <f>SUM(L12/K12)-1</f>
        <v>-0.13296903460837883</v>
      </c>
      <c r="M10" s="18">
        <f>SUM(M12/L12)-1</f>
        <v>0.12289915966386555</v>
      </c>
      <c r="N10" s="18">
        <f>SUM(N12/M12)-1</f>
        <v>-5.0982226379794215E-2</v>
      </c>
      <c r="O10" s="18">
        <f>SUM(O12/N12)-1</f>
        <v>-8.7974371611631352E-2</v>
      </c>
      <c r="P10" s="18"/>
      <c r="R10" s="15"/>
      <c r="S10" s="15"/>
      <c r="T10" s="15"/>
    </row>
    <row r="11" spans="1:25" x14ac:dyDescent="0.25">
      <c r="B11" s="19" t="s">
        <v>30</v>
      </c>
      <c r="C11" s="20">
        <v>24813</v>
      </c>
      <c r="D11" s="20">
        <v>68032</v>
      </c>
      <c r="E11" s="20">
        <v>89423</v>
      </c>
      <c r="G11" s="20">
        <v>14906</v>
      </c>
      <c r="H11" s="20">
        <v>16948</v>
      </c>
      <c r="I11" s="20">
        <v>18526</v>
      </c>
      <c r="J11" s="20">
        <f>SUM(D11-SUM(G11:I11))</f>
        <v>17652</v>
      </c>
      <c r="K11" s="20">
        <v>22120</v>
      </c>
      <c r="L11" s="20">
        <v>24969</v>
      </c>
      <c r="M11" s="20">
        <v>23603</v>
      </c>
      <c r="N11" s="20">
        <f>SUM(E11-SUM(K11:M11))</f>
        <v>18731</v>
      </c>
      <c r="O11" s="20">
        <v>16233</v>
      </c>
      <c r="P11" s="20">
        <v>15198</v>
      </c>
      <c r="R11" s="21">
        <f>SUM(I11:L11)</f>
        <v>83267</v>
      </c>
      <c r="S11" s="21">
        <f>SUM(M11:P11)</f>
        <v>73765</v>
      </c>
      <c r="T11" s="21"/>
      <c r="U11" s="22">
        <f>SUM(S11/R11)-1</f>
        <v>-0.11411483540898559</v>
      </c>
      <c r="W11" s="20">
        <v>15198</v>
      </c>
      <c r="X11" s="20">
        <f>E11</f>
        <v>89423</v>
      </c>
      <c r="Y11" s="20"/>
    </row>
    <row r="12" spans="1:25" x14ac:dyDescent="0.25">
      <c r="B12" s="19" t="s">
        <v>31</v>
      </c>
      <c r="C12" s="23">
        <v>8055</v>
      </c>
      <c r="D12" s="23">
        <v>11988</v>
      </c>
      <c r="E12" s="23">
        <v>16534</v>
      </c>
      <c r="G12" s="23">
        <v>2915</v>
      </c>
      <c r="H12" s="23">
        <v>2969</v>
      </c>
      <c r="I12" s="23">
        <v>2819</v>
      </c>
      <c r="J12" s="23">
        <f>SUM(D12-SUM(G12:I12))</f>
        <v>3285</v>
      </c>
      <c r="K12" s="23">
        <v>4392</v>
      </c>
      <c r="L12" s="23">
        <v>3808</v>
      </c>
      <c r="M12" s="23">
        <v>4276</v>
      </c>
      <c r="N12" s="20">
        <f>SUM(E12-SUM(K12:M12))</f>
        <v>4058</v>
      </c>
      <c r="O12" s="23">
        <v>3701</v>
      </c>
      <c r="P12" s="23">
        <v>46204</v>
      </c>
      <c r="R12" s="24">
        <f>SUM(I12:L12)</f>
        <v>14304</v>
      </c>
      <c r="S12" s="24">
        <f>SUM(M12:P12)</f>
        <v>58239</v>
      </c>
      <c r="T12" s="24"/>
      <c r="U12" s="22">
        <f>SUM(S12/R12)-1</f>
        <v>3.0715184563758386</v>
      </c>
      <c r="W12" s="20">
        <v>46204</v>
      </c>
      <c r="X12" s="23">
        <f>E12</f>
        <v>16534</v>
      </c>
      <c r="Y12" s="23"/>
    </row>
    <row r="13" spans="1:25" x14ac:dyDescent="0.25">
      <c r="B13" s="19" t="s">
        <v>32</v>
      </c>
      <c r="C13" s="23"/>
      <c r="D13" s="23"/>
      <c r="E13" s="23"/>
      <c r="G13" s="23"/>
      <c r="H13" s="23"/>
      <c r="I13" s="23"/>
      <c r="J13" s="23"/>
      <c r="K13" s="23"/>
      <c r="L13" s="23"/>
      <c r="M13" s="23"/>
      <c r="N13" s="20"/>
      <c r="O13" s="23"/>
      <c r="P13" s="23"/>
      <c r="R13" s="24"/>
      <c r="S13" s="24"/>
      <c r="T13" s="24"/>
      <c r="U13" s="22"/>
      <c r="W13" s="20">
        <v>40000</v>
      </c>
      <c r="X13" s="20">
        <v>40000</v>
      </c>
      <c r="Y13" s="23"/>
    </row>
    <row r="14" spans="1:25" x14ac:dyDescent="0.25">
      <c r="B14" s="25" t="s">
        <v>33</v>
      </c>
      <c r="C14" s="26">
        <v>32868</v>
      </c>
      <c r="D14" s="26">
        <v>80020</v>
      </c>
      <c r="E14" s="26">
        <v>105957</v>
      </c>
      <c r="G14" s="26">
        <v>17821</v>
      </c>
      <c r="H14" s="26">
        <v>19917</v>
      </c>
      <c r="I14" s="26">
        <v>21345</v>
      </c>
      <c r="J14" s="27">
        <f>SUM(D14-SUM(G14:I14))</f>
        <v>20937</v>
      </c>
      <c r="K14" s="26">
        <f>SUM(K11:K12)</f>
        <v>26512</v>
      </c>
      <c r="L14" s="26">
        <f>SUM(L11:L12)</f>
        <v>28777</v>
      </c>
      <c r="M14" s="26">
        <f>SUM(M11:M12)</f>
        <v>27879</v>
      </c>
      <c r="N14" s="26">
        <f>SUM(N11:N12)</f>
        <v>22789</v>
      </c>
      <c r="O14" s="26">
        <v>19934</v>
      </c>
      <c r="P14" s="26">
        <v>61402</v>
      </c>
      <c r="R14" s="28">
        <f>SUM(I14:L14)</f>
        <v>97571</v>
      </c>
      <c r="S14" s="28">
        <f>SUM(M14:P14)</f>
        <v>132004</v>
      </c>
      <c r="T14" s="29"/>
      <c r="U14" s="30">
        <f>SUM(S14/R14)-1</f>
        <v>0.35290198932059735</v>
      </c>
      <c r="W14" s="26">
        <f>SUM(W11:W13)</f>
        <v>101402</v>
      </c>
      <c r="X14" s="26">
        <f>SUM(X11:X13)</f>
        <v>145957</v>
      </c>
      <c r="Y14" s="26">
        <f>SUM(Y11:Y12)</f>
        <v>0</v>
      </c>
    </row>
    <row r="15" spans="1:25" x14ac:dyDescent="0.25">
      <c r="B15" s="31" t="s">
        <v>34</v>
      </c>
      <c r="C15" s="32"/>
      <c r="D15" s="18">
        <f>D14/C14-1</f>
        <v>1.4345868321771937</v>
      </c>
      <c r="E15" s="18">
        <f>E14/D14-1</f>
        <v>0.32413146713321672</v>
      </c>
      <c r="F15" s="18"/>
      <c r="H15" s="18">
        <f t="shared" ref="H15:P15" si="0">H14/G14-1</f>
        <v>0.11761405083889787</v>
      </c>
      <c r="I15" s="18">
        <f t="shared" si="0"/>
        <v>7.1697544810965574E-2</v>
      </c>
      <c r="J15" s="18">
        <f t="shared" si="0"/>
        <v>-1.9114546732255766E-2</v>
      </c>
      <c r="K15" s="18">
        <f t="shared" si="0"/>
        <v>0.26627501552275867</v>
      </c>
      <c r="L15" s="18">
        <f t="shared" si="0"/>
        <v>8.5433011466505837E-2</v>
      </c>
      <c r="M15" s="18">
        <f t="shared" si="0"/>
        <v>-3.1205476595892567E-2</v>
      </c>
      <c r="N15" s="18">
        <f t="shared" si="0"/>
        <v>-0.18257469780121238</v>
      </c>
      <c r="O15" s="18">
        <f t="shared" si="0"/>
        <v>-0.12527974022554744</v>
      </c>
      <c r="P15" s="18">
        <f t="shared" si="0"/>
        <v>2.0802648740844787</v>
      </c>
      <c r="S15" s="18">
        <f>S14/R14-1</f>
        <v>0.35290198932059735</v>
      </c>
      <c r="T15" s="29"/>
      <c r="U15" s="33"/>
      <c r="W15" s="32"/>
      <c r="X15" s="32"/>
      <c r="Y15" s="32"/>
    </row>
    <row r="16" spans="1:25" ht="2.25" customHeight="1" x14ac:dyDescent="0.25">
      <c r="B16" s="34" t="s">
        <v>35</v>
      </c>
      <c r="C16" s="32">
        <v>49</v>
      </c>
      <c r="D16" s="32">
        <v>2777</v>
      </c>
      <c r="E16" s="32">
        <v>7833</v>
      </c>
      <c r="G16" s="32"/>
      <c r="H16" s="32"/>
      <c r="I16" s="32"/>
      <c r="J16" s="32"/>
      <c r="K16" s="32"/>
      <c r="L16" s="32">
        <v>-28777</v>
      </c>
      <c r="M16" s="32">
        <v>-27879</v>
      </c>
      <c r="N16" s="32"/>
      <c r="O16" s="32">
        <v>-19934</v>
      </c>
      <c r="P16" s="32">
        <v>-61402</v>
      </c>
      <c r="R16" s="35"/>
      <c r="S16" s="35"/>
      <c r="T16" s="35"/>
      <c r="U16" s="36"/>
      <c r="W16" s="32">
        <v>-61402</v>
      </c>
      <c r="X16" s="32">
        <v>-61402</v>
      </c>
      <c r="Y16" s="32">
        <v>-61402</v>
      </c>
    </row>
    <row r="17" spans="1:25" x14ac:dyDescent="0.25">
      <c r="B17" s="37" t="s">
        <v>35</v>
      </c>
      <c r="C17" s="23">
        <v>49</v>
      </c>
      <c r="D17" s="23">
        <v>2777</v>
      </c>
      <c r="E17" s="23">
        <v>7833</v>
      </c>
      <c r="G17" s="23">
        <v>31</v>
      </c>
      <c r="H17" s="23">
        <v>314</v>
      </c>
      <c r="I17" s="23">
        <v>878</v>
      </c>
      <c r="J17" s="23">
        <f>SUM(D17-SUM(G17:I17))</f>
        <v>1554</v>
      </c>
      <c r="K17" s="23">
        <v>2051</v>
      </c>
      <c r="L17" s="23">
        <v>2198</v>
      </c>
      <c r="M17" s="23">
        <v>2005</v>
      </c>
      <c r="N17" s="23">
        <f>SUM(E17-SUM(K17:M17))</f>
        <v>1579</v>
      </c>
      <c r="O17" s="23">
        <v>1776</v>
      </c>
      <c r="P17" s="23">
        <v>2316</v>
      </c>
      <c r="R17" s="24">
        <f>SUM(I17:L17)</f>
        <v>6681</v>
      </c>
      <c r="S17" s="24">
        <f>SUM(M17:P17)</f>
        <v>7676</v>
      </c>
      <c r="T17" s="24"/>
      <c r="U17" s="22">
        <f>SUM(S17/R17)-1</f>
        <v>0.1489298009280049</v>
      </c>
      <c r="W17" s="23">
        <v>2316</v>
      </c>
      <c r="X17" s="23">
        <f>E17</f>
        <v>7833</v>
      </c>
      <c r="Y17" s="23"/>
    </row>
    <row r="18" spans="1:25" x14ac:dyDescent="0.25">
      <c r="B18" s="37" t="s">
        <v>36</v>
      </c>
      <c r="C18" s="23">
        <v>434</v>
      </c>
      <c r="D18" s="23">
        <v>997</v>
      </c>
      <c r="E18" s="23">
        <v>907</v>
      </c>
      <c r="G18" s="23">
        <v>263</v>
      </c>
      <c r="H18" s="23">
        <v>275</v>
      </c>
      <c r="I18" s="23">
        <v>210</v>
      </c>
      <c r="J18" s="23">
        <f>SUM(D18-SUM(G18:I18))</f>
        <v>249</v>
      </c>
      <c r="K18" s="23">
        <v>190</v>
      </c>
      <c r="L18" s="23">
        <v>203</v>
      </c>
      <c r="M18" s="23">
        <v>223</v>
      </c>
      <c r="N18" s="23">
        <f>SUM(E18-SUM(K18:M18))</f>
        <v>291</v>
      </c>
      <c r="O18" s="23">
        <v>160</v>
      </c>
      <c r="P18" s="23">
        <v>99</v>
      </c>
      <c r="R18" s="24">
        <f>SUM(I18:L18)</f>
        <v>852</v>
      </c>
      <c r="S18" s="24">
        <f>SUM(M18:P18)</f>
        <v>773</v>
      </c>
      <c r="T18" s="24"/>
      <c r="U18" s="22">
        <f>SUM(S18/R18)-1</f>
        <v>-9.2723004694835631E-2</v>
      </c>
      <c r="W18" s="23">
        <v>99</v>
      </c>
      <c r="X18" s="23">
        <f>E18</f>
        <v>907</v>
      </c>
      <c r="Y18" s="23"/>
    </row>
    <row r="19" spans="1:25" x14ac:dyDescent="0.25">
      <c r="B19" s="37" t="s">
        <v>37</v>
      </c>
      <c r="C19" s="23"/>
      <c r="D19" s="23"/>
      <c r="E19" s="23"/>
      <c r="G19" s="23"/>
      <c r="H19" s="23"/>
      <c r="I19" s="23"/>
      <c r="J19" s="23"/>
      <c r="K19" s="23"/>
      <c r="L19" s="23"/>
      <c r="M19" s="23"/>
      <c r="N19" s="23"/>
      <c r="O19" s="23">
        <v>43041</v>
      </c>
      <c r="P19" s="23">
        <v>65142</v>
      </c>
      <c r="R19" s="24">
        <f>SUM(I19:L19)</f>
        <v>0</v>
      </c>
      <c r="S19" s="24">
        <f>SUM(M19:P19)</f>
        <v>108183</v>
      </c>
      <c r="T19" s="24"/>
      <c r="U19" s="22" t="e">
        <f>SUM(S19/R19)-1</f>
        <v>#DIV/0!</v>
      </c>
      <c r="W19" s="23">
        <v>65142</v>
      </c>
      <c r="X19" s="23">
        <v>65142</v>
      </c>
      <c r="Y19" s="23"/>
    </row>
    <row r="20" spans="1:25" x14ac:dyDescent="0.25">
      <c r="B20" s="38" t="s">
        <v>38</v>
      </c>
      <c r="C20" s="39">
        <v>-32385</v>
      </c>
      <c r="D20" s="39">
        <v>-76246</v>
      </c>
      <c r="E20" s="39">
        <v>-97217</v>
      </c>
      <c r="G20" s="39">
        <v>-17527</v>
      </c>
      <c r="H20" s="39">
        <v>-19328</v>
      </c>
      <c r="I20" s="39">
        <v>-20257</v>
      </c>
      <c r="J20" s="27">
        <f>SUM(D20-SUM(G20:I20))</f>
        <v>-19134</v>
      </c>
      <c r="K20" s="39">
        <f>SUM(K17:K18)-K14</f>
        <v>-24271</v>
      </c>
      <c r="L20" s="39">
        <f>SUM(L17:L18)-L14</f>
        <v>-26376</v>
      </c>
      <c r="M20" s="39">
        <f>SUM(M17:M18)-M14</f>
        <v>-25651</v>
      </c>
      <c r="N20" s="39">
        <f>SUM(N17:N18)-N14</f>
        <v>-20919</v>
      </c>
      <c r="O20" s="39">
        <v>25043</v>
      </c>
      <c r="P20" s="39">
        <f>SUM(P17:P19)-P14</f>
        <v>6155</v>
      </c>
      <c r="R20" s="28">
        <f>SUM(I20:L20)</f>
        <v>-90038</v>
      </c>
      <c r="S20" s="28">
        <f>SUM(M20:P20)</f>
        <v>-15372</v>
      </c>
      <c r="T20" s="29"/>
      <c r="U20" s="30">
        <f>SUM(S20/R20)-1</f>
        <v>-0.82927208511961614</v>
      </c>
      <c r="W20" s="39">
        <f>SUM(W17:W19)-W14</f>
        <v>-33845</v>
      </c>
      <c r="X20" s="39">
        <f>SUM(X17:X19)-X14</f>
        <v>-72075</v>
      </c>
      <c r="Y20" s="39">
        <v>6155</v>
      </c>
    </row>
    <row r="21" spans="1:25" x14ac:dyDescent="0.25">
      <c r="B21" s="31" t="s">
        <v>34</v>
      </c>
      <c r="C21" s="40"/>
      <c r="D21" s="18">
        <f>D20/C20-1</f>
        <v>1.3543615871545467</v>
      </c>
      <c r="E21" s="18">
        <f>E20/D20-1</f>
        <v>0.27504393673110727</v>
      </c>
      <c r="F21" s="18"/>
      <c r="H21" s="18">
        <f t="shared" ref="H21:P21" si="1">H20/G20-1</f>
        <v>0.10275574827409151</v>
      </c>
      <c r="I21" s="18">
        <f t="shared" si="1"/>
        <v>4.8064983443708575E-2</v>
      </c>
      <c r="J21" s="18">
        <f t="shared" si="1"/>
        <v>-5.5437626499481696E-2</v>
      </c>
      <c r="K21" s="18">
        <f t="shared" si="1"/>
        <v>0.26847496602905818</v>
      </c>
      <c r="L21" s="18">
        <f t="shared" si="1"/>
        <v>8.6729018169832361E-2</v>
      </c>
      <c r="M21" s="18">
        <f t="shared" si="1"/>
        <v>-2.7487109493478878E-2</v>
      </c>
      <c r="N21" s="18">
        <f t="shared" si="1"/>
        <v>-0.18447623874312891</v>
      </c>
      <c r="O21" s="18">
        <f t="shared" si="1"/>
        <v>-2.1971413547492711</v>
      </c>
      <c r="P21" s="18">
        <f t="shared" si="1"/>
        <v>-0.75422273689254482</v>
      </c>
      <c r="S21" s="18">
        <f>S20/R20-1</f>
        <v>-0.82927208511961614</v>
      </c>
      <c r="T21" s="41"/>
      <c r="U21" s="42"/>
      <c r="W21" s="18" t="e">
        <f>W20/V20-1</f>
        <v>#DIV/0!</v>
      </c>
      <c r="X21" s="18">
        <f>X20/W20-1</f>
        <v>1.1295612350421038</v>
      </c>
      <c r="Y21" s="18">
        <f>Y20/X20-1</f>
        <v>-1.085397155740548</v>
      </c>
    </row>
    <row r="22" spans="1:25" ht="5.25" customHeight="1" x14ac:dyDescent="0.25">
      <c r="B22" s="43"/>
      <c r="C22" s="44"/>
      <c r="D22" s="44"/>
      <c r="E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/>
      <c r="W22" s="44"/>
      <c r="X22" s="44"/>
      <c r="Y22" s="44"/>
    </row>
    <row r="23" spans="1:25" ht="15.75" x14ac:dyDescent="0.25">
      <c r="B23" s="46" t="s">
        <v>39</v>
      </c>
      <c r="C23" s="47">
        <v>39405</v>
      </c>
      <c r="D23" s="47">
        <v>40202</v>
      </c>
      <c r="E23" s="47">
        <v>41932</v>
      </c>
      <c r="F23" s="48"/>
      <c r="G23" s="47">
        <v>39962</v>
      </c>
      <c r="H23" s="47">
        <v>40015</v>
      </c>
      <c r="I23" s="47">
        <v>40050</v>
      </c>
      <c r="J23" s="47">
        <f>D23</f>
        <v>40202</v>
      </c>
      <c r="K23" s="47">
        <v>41739</v>
      </c>
      <c r="L23" s="47">
        <v>41793</v>
      </c>
      <c r="M23" s="47">
        <v>42002</v>
      </c>
      <c r="N23" s="47">
        <f>E23</f>
        <v>41932</v>
      </c>
      <c r="O23" s="47">
        <v>44102</v>
      </c>
      <c r="P23" s="47">
        <v>46202</v>
      </c>
      <c r="Q23" s="49"/>
      <c r="R23" s="24">
        <f>SUM(I23:L23)</f>
        <v>163784</v>
      </c>
      <c r="S23" s="24">
        <f>SUM(M23:P23)</f>
        <v>174238</v>
      </c>
      <c r="T23" s="45"/>
      <c r="U23" s="30">
        <f>SUM(S23/R23)-1</f>
        <v>6.382796854393602E-2</v>
      </c>
      <c r="W23" s="47">
        <v>46202</v>
      </c>
      <c r="X23" s="47">
        <v>46202</v>
      </c>
      <c r="Y23" s="47">
        <v>46202</v>
      </c>
    </row>
    <row r="24" spans="1:25" x14ac:dyDescent="0.25">
      <c r="B24" s="46" t="s">
        <v>40</v>
      </c>
      <c r="C24" s="50"/>
      <c r="D24" s="50"/>
      <c r="E24" s="50"/>
      <c r="G24" s="50"/>
      <c r="H24" s="50"/>
      <c r="I24" s="50"/>
      <c r="J24" s="50"/>
      <c r="K24" s="50"/>
      <c r="L24" s="50"/>
      <c r="M24" s="50"/>
      <c r="N24" s="50"/>
      <c r="O24" s="47">
        <v>43792</v>
      </c>
      <c r="P24" s="47">
        <v>0</v>
      </c>
      <c r="Q24" s="44"/>
      <c r="R24" s="44"/>
      <c r="S24" s="44"/>
      <c r="T24" s="45"/>
      <c r="W24" s="47">
        <v>0</v>
      </c>
      <c r="X24" s="47">
        <v>0</v>
      </c>
      <c r="Y24" s="47">
        <v>0</v>
      </c>
    </row>
    <row r="25" spans="1:25" x14ac:dyDescent="0.25">
      <c r="B25" s="46" t="s">
        <v>41</v>
      </c>
      <c r="C25" s="51">
        <f>SUM(C20/C23)</f>
        <v>-0.82185001903311761</v>
      </c>
      <c r="D25" s="51">
        <f>SUM(D20/D23)</f>
        <v>-1.8965723098353315</v>
      </c>
      <c r="E25" s="51">
        <f>SUM(E20/E23)</f>
        <v>-2.3184441476676523</v>
      </c>
      <c r="G25" s="51">
        <f t="shared" ref="G25:N25" si="2">SUM(G20/G23)</f>
        <v>-0.43859166207897504</v>
      </c>
      <c r="H25" s="51">
        <f t="shared" si="2"/>
        <v>-0.48301886792452831</v>
      </c>
      <c r="I25" s="51">
        <f t="shared" si="2"/>
        <v>-0.50579275905118604</v>
      </c>
      <c r="J25" s="51">
        <f t="shared" si="2"/>
        <v>-0.47594647032485948</v>
      </c>
      <c r="K25" s="51">
        <f t="shared" si="2"/>
        <v>-0.58149452550372549</v>
      </c>
      <c r="L25" s="51">
        <f t="shared" si="2"/>
        <v>-0.63111047304572532</v>
      </c>
      <c r="M25" s="51">
        <f t="shared" si="2"/>
        <v>-0.61070901385648302</v>
      </c>
      <c r="N25" s="51">
        <f t="shared" si="2"/>
        <v>-0.49887913765143566</v>
      </c>
      <c r="O25" s="51">
        <f>SUM(O20-O24)/O23</f>
        <v>-0.42512811210375945</v>
      </c>
      <c r="P25" s="51">
        <f>SUM(P20/P23)</f>
        <v>0.13321934115406259</v>
      </c>
      <c r="Q25" s="44"/>
      <c r="R25" s="51">
        <f>SUM(I25:L25)</f>
        <v>-2.1943442279254963</v>
      </c>
      <c r="S25" s="51">
        <f>SUM(M25:P25)</f>
        <v>-1.4014969224576157</v>
      </c>
      <c r="T25" s="45"/>
      <c r="U25" s="30">
        <f>SUM(S25/R25)-1</f>
        <v>-0.36131400688096593</v>
      </c>
      <c r="W25" s="51">
        <f>SUM(W20/W23)</f>
        <v>-0.7325440457123068</v>
      </c>
      <c r="X25" s="51">
        <f>SUM(X20/X23)</f>
        <v>-1.5599974027098393</v>
      </c>
      <c r="Y25" s="51">
        <f>SUM(Y20/Y23)</f>
        <v>0.13321934115406259</v>
      </c>
    </row>
    <row r="26" spans="1:25" x14ac:dyDescent="0.25">
      <c r="B26" s="31" t="s">
        <v>34</v>
      </c>
      <c r="C26" s="40"/>
      <c r="D26" s="18">
        <f>D25/C25-1</f>
        <v>1.3076866410085297</v>
      </c>
      <c r="E26" s="18">
        <f>E25/D25-1</f>
        <v>0.22243910007783962</v>
      </c>
      <c r="F26" s="18"/>
      <c r="H26" s="18">
        <f t="shared" ref="H26:P26" si="3">H25/G25-1</f>
        <v>0.10129514463399314</v>
      </c>
      <c r="I26" s="18">
        <f t="shared" si="3"/>
        <v>4.714907147315861E-2</v>
      </c>
      <c r="J26" s="18">
        <f t="shared" si="3"/>
        <v>-5.9008928443963993E-2</v>
      </c>
      <c r="K26" s="18">
        <f t="shared" si="3"/>
        <v>0.22176455076307988</v>
      </c>
      <c r="L26" s="18">
        <f t="shared" si="3"/>
        <v>8.5324874725208222E-2</v>
      </c>
      <c r="M26" s="18">
        <f t="shared" si="3"/>
        <v>-3.2326288440097217E-2</v>
      </c>
      <c r="N26" s="18">
        <f t="shared" si="3"/>
        <v>-0.18311482828600834</v>
      </c>
      <c r="O26" s="18">
        <f t="shared" si="3"/>
        <v>-0.14783345299799988</v>
      </c>
      <c r="P26" s="52">
        <f t="shared" si="3"/>
        <v>-1.3133628131407793</v>
      </c>
      <c r="S26" s="18">
        <f>S25/R25-1</f>
        <v>-0.36131400688096593</v>
      </c>
      <c r="T26" s="45"/>
      <c r="U26" s="30"/>
      <c r="W26" s="18">
        <f>W25/S25-1</f>
        <v>-0.47731312572007412</v>
      </c>
      <c r="X26" s="51"/>
      <c r="Y26" s="51"/>
    </row>
    <row r="27" spans="1:25" x14ac:dyDescent="0.25">
      <c r="B27" s="43"/>
      <c r="C27" s="44"/>
      <c r="D27" s="44"/>
      <c r="E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5"/>
    </row>
    <row r="28" spans="1:25" x14ac:dyDescent="0.25">
      <c r="A28" t="s">
        <v>7</v>
      </c>
      <c r="B28" s="1" t="s">
        <v>42</v>
      </c>
      <c r="C28" s="53"/>
      <c r="D28" s="53"/>
      <c r="E28" s="5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5" x14ac:dyDescent="0.25">
      <c r="B29" s="54" t="s">
        <v>43</v>
      </c>
      <c r="C29" s="55"/>
      <c r="D29" s="55"/>
      <c r="E29" s="5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5" ht="6" customHeight="1" x14ac:dyDescent="0.25">
      <c r="B30" s="56"/>
      <c r="C30" s="57"/>
      <c r="D30" s="57"/>
      <c r="E30" s="57"/>
    </row>
    <row r="31" spans="1:25" x14ac:dyDescent="0.25">
      <c r="B31" s="58" t="s">
        <v>44</v>
      </c>
      <c r="D31" s="23"/>
      <c r="E31" s="23"/>
    </row>
    <row r="32" spans="1:25" ht="15.75" x14ac:dyDescent="0.25">
      <c r="B32" s="19" t="s">
        <v>45</v>
      </c>
      <c r="C32" s="59">
        <v>233437</v>
      </c>
      <c r="D32" s="59">
        <v>201015</v>
      </c>
      <c r="E32" s="23">
        <v>121136</v>
      </c>
      <c r="G32" s="23">
        <v>209693</v>
      </c>
      <c r="H32" s="23">
        <v>197232</v>
      </c>
      <c r="I32" s="23">
        <v>174662</v>
      </c>
      <c r="J32" s="23">
        <f t="shared" ref="J32:J39" si="4">D32</f>
        <v>201015</v>
      </c>
      <c r="K32" s="23">
        <v>187467</v>
      </c>
      <c r="L32" s="23">
        <v>168438</v>
      </c>
      <c r="M32" s="23">
        <v>142350</v>
      </c>
      <c r="N32" s="23">
        <f>E32</f>
        <v>121136</v>
      </c>
      <c r="O32" s="23">
        <v>124169</v>
      </c>
      <c r="P32" s="23">
        <v>207291</v>
      </c>
      <c r="R32" s="24">
        <f t="shared" ref="R32:R39" si="5">SUM(I32:L32)</f>
        <v>731582</v>
      </c>
      <c r="S32" s="24">
        <f t="shared" ref="S32:S39" si="6">SUM(M32:P32)</f>
        <v>594946</v>
      </c>
      <c r="T32" s="24"/>
      <c r="U32" s="22">
        <f t="shared" ref="U32:U39" si="7">SUM(S32/R32)-1</f>
        <v>-0.18676785377442306</v>
      </c>
    </row>
    <row r="33" spans="2:23" ht="15.75" x14ac:dyDescent="0.25">
      <c r="B33" s="19" t="s">
        <v>46</v>
      </c>
      <c r="C33" s="59">
        <v>11045</v>
      </c>
      <c r="D33" s="59">
        <v>10211</v>
      </c>
      <c r="E33" s="23">
        <v>8497</v>
      </c>
      <c r="G33" s="23">
        <v>12507</v>
      </c>
      <c r="H33" s="23">
        <v>6969</v>
      </c>
      <c r="I33" s="23">
        <v>8610</v>
      </c>
      <c r="J33" s="23">
        <f t="shared" si="4"/>
        <v>10211</v>
      </c>
      <c r="K33" s="23">
        <v>7532</v>
      </c>
      <c r="L33" s="23">
        <v>6095</v>
      </c>
      <c r="M33" s="23">
        <v>7834</v>
      </c>
      <c r="N33" s="23">
        <f>E33</f>
        <v>8497</v>
      </c>
      <c r="O33" s="23">
        <v>9830</v>
      </c>
      <c r="P33" s="23">
        <v>14831</v>
      </c>
      <c r="R33" s="24">
        <f t="shared" si="5"/>
        <v>32448</v>
      </c>
      <c r="S33" s="24">
        <f t="shared" si="6"/>
        <v>40992</v>
      </c>
      <c r="T33" s="24"/>
      <c r="U33" s="22">
        <f t="shared" si="7"/>
        <v>0.26331360946745552</v>
      </c>
    </row>
    <row r="34" spans="2:23" ht="15.75" x14ac:dyDescent="0.25">
      <c r="B34" s="38" t="s">
        <v>47</v>
      </c>
      <c r="C34" s="60">
        <v>244482</v>
      </c>
      <c r="D34" s="61">
        <v>211226</v>
      </c>
      <c r="E34" s="39">
        <v>129633</v>
      </c>
      <c r="G34" s="39">
        <v>222200</v>
      </c>
      <c r="H34" s="39">
        <v>204201</v>
      </c>
      <c r="I34" s="39">
        <v>183272</v>
      </c>
      <c r="J34" s="39">
        <f t="shared" si="4"/>
        <v>211226</v>
      </c>
      <c r="K34" s="39">
        <v>194999</v>
      </c>
      <c r="L34" s="39">
        <v>174533</v>
      </c>
      <c r="M34" s="39">
        <v>150184</v>
      </c>
      <c r="N34" s="39">
        <f>SUM(N32:N33)</f>
        <v>129633</v>
      </c>
      <c r="O34" s="39">
        <v>133999</v>
      </c>
      <c r="P34" s="39">
        <v>222122</v>
      </c>
      <c r="R34" s="28">
        <f t="shared" si="5"/>
        <v>764030</v>
      </c>
      <c r="S34" s="28">
        <f t="shared" si="6"/>
        <v>635938</v>
      </c>
      <c r="T34" s="29"/>
      <c r="U34" s="30">
        <f t="shared" si="7"/>
        <v>-0.16765310262686017</v>
      </c>
    </row>
    <row r="35" spans="2:23" ht="15.75" x14ac:dyDescent="0.25">
      <c r="B35" s="19" t="s">
        <v>48</v>
      </c>
      <c r="C35" s="59">
        <v>210</v>
      </c>
      <c r="D35" s="62">
        <v>122</v>
      </c>
      <c r="E35" s="63" t="s">
        <v>49</v>
      </c>
      <c r="G35" s="63">
        <v>188</v>
      </c>
      <c r="H35" s="63">
        <v>166</v>
      </c>
      <c r="I35" s="63">
        <v>144</v>
      </c>
      <c r="J35" s="23">
        <f t="shared" si="4"/>
        <v>122</v>
      </c>
      <c r="K35" s="63" t="s">
        <v>49</v>
      </c>
      <c r="L35" s="63" t="s">
        <v>49</v>
      </c>
      <c r="M35" s="63" t="s">
        <v>49</v>
      </c>
      <c r="N35" s="63" t="str">
        <f>E35</f>
        <v>—</v>
      </c>
      <c r="O35" s="63" t="s">
        <v>50</v>
      </c>
      <c r="P35" s="63" t="s">
        <v>50</v>
      </c>
      <c r="R35" s="24">
        <f t="shared" si="5"/>
        <v>266</v>
      </c>
      <c r="S35" s="24">
        <f t="shared" si="6"/>
        <v>0</v>
      </c>
      <c r="T35" s="24"/>
      <c r="U35" s="22">
        <f t="shared" si="7"/>
        <v>-1</v>
      </c>
    </row>
    <row r="36" spans="2:23" ht="15.75" x14ac:dyDescent="0.25">
      <c r="B36" s="19" t="s">
        <v>51</v>
      </c>
      <c r="C36" s="59">
        <v>20616</v>
      </c>
      <c r="D36" s="59">
        <v>22864</v>
      </c>
      <c r="E36" s="63">
        <v>21854</v>
      </c>
      <c r="G36" s="63">
        <v>20863</v>
      </c>
      <c r="H36" s="63">
        <v>22155</v>
      </c>
      <c r="I36" s="63">
        <v>23130</v>
      </c>
      <c r="J36" s="23">
        <f t="shared" si="4"/>
        <v>22864</v>
      </c>
      <c r="K36" s="63">
        <v>22609</v>
      </c>
      <c r="L36" s="63">
        <v>22328</v>
      </c>
      <c r="M36" s="63">
        <v>22077</v>
      </c>
      <c r="N36" s="63">
        <f>E36</f>
        <v>21854</v>
      </c>
      <c r="O36" s="63">
        <v>21604</v>
      </c>
      <c r="P36" s="63">
        <v>21364</v>
      </c>
      <c r="R36" s="24">
        <f t="shared" si="5"/>
        <v>90931</v>
      </c>
      <c r="S36" s="24">
        <f t="shared" si="6"/>
        <v>86899</v>
      </c>
      <c r="T36" s="24"/>
      <c r="U36" s="22">
        <f t="shared" si="7"/>
        <v>-4.4341313743387789E-2</v>
      </c>
    </row>
    <row r="37" spans="2:23" ht="15.75" x14ac:dyDescent="0.25">
      <c r="B37" s="19" t="s">
        <v>52</v>
      </c>
      <c r="C37" s="59">
        <v>1075</v>
      </c>
      <c r="D37" s="59">
        <v>622</v>
      </c>
      <c r="E37" s="63">
        <v>176</v>
      </c>
      <c r="G37" s="63">
        <v>940</v>
      </c>
      <c r="H37" s="63">
        <v>859</v>
      </c>
      <c r="I37" s="63">
        <v>740</v>
      </c>
      <c r="J37" s="23">
        <f t="shared" si="4"/>
        <v>622</v>
      </c>
      <c r="K37" s="63">
        <v>503</v>
      </c>
      <c r="L37" s="63">
        <v>387</v>
      </c>
      <c r="M37" s="63">
        <v>268</v>
      </c>
      <c r="N37" s="63">
        <f>E37</f>
        <v>176</v>
      </c>
      <c r="O37" s="63">
        <v>115</v>
      </c>
      <c r="P37" s="63">
        <v>82</v>
      </c>
      <c r="R37" s="24">
        <f t="shared" si="5"/>
        <v>2252</v>
      </c>
      <c r="S37" s="24">
        <f t="shared" si="6"/>
        <v>641</v>
      </c>
      <c r="T37" s="24"/>
      <c r="U37" s="22">
        <f t="shared" si="7"/>
        <v>-0.71536412078152756</v>
      </c>
    </row>
    <row r="38" spans="2:23" ht="15.75" x14ac:dyDescent="0.25">
      <c r="B38" s="19" t="s">
        <v>53</v>
      </c>
      <c r="C38" s="59">
        <v>399</v>
      </c>
      <c r="D38" s="59"/>
      <c r="E38" s="63"/>
      <c r="G38" s="63" t="s">
        <v>49</v>
      </c>
      <c r="H38" s="63" t="s">
        <v>49</v>
      </c>
      <c r="I38" s="63" t="s">
        <v>49</v>
      </c>
      <c r="J38" s="23">
        <f t="shared" si="4"/>
        <v>0</v>
      </c>
      <c r="K38" s="63"/>
      <c r="L38" s="63" t="s">
        <v>50</v>
      </c>
      <c r="M38" s="63" t="s">
        <v>50</v>
      </c>
      <c r="N38" s="63">
        <f>E38</f>
        <v>0</v>
      </c>
      <c r="O38" s="63"/>
      <c r="P38" s="63"/>
      <c r="R38" s="24">
        <f t="shared" si="5"/>
        <v>0</v>
      </c>
      <c r="S38" s="24">
        <f t="shared" si="6"/>
        <v>0</v>
      </c>
      <c r="T38" s="24"/>
      <c r="U38" s="22" t="e">
        <f t="shared" si="7"/>
        <v>#DIV/0!</v>
      </c>
    </row>
    <row r="39" spans="2:23" ht="15.75" x14ac:dyDescent="0.25">
      <c r="B39" s="38" t="s">
        <v>54</v>
      </c>
      <c r="C39" s="64">
        <v>266782</v>
      </c>
      <c r="D39" s="64">
        <v>234834</v>
      </c>
      <c r="E39" s="39">
        <v>151663</v>
      </c>
      <c r="G39" s="39">
        <v>244191</v>
      </c>
      <c r="H39" s="39">
        <v>227381</v>
      </c>
      <c r="I39" s="39">
        <v>207286</v>
      </c>
      <c r="J39" s="39">
        <f t="shared" si="4"/>
        <v>234834</v>
      </c>
      <c r="K39" s="39">
        <v>218111</v>
      </c>
      <c r="L39" s="39">
        <v>197248</v>
      </c>
      <c r="M39" s="39">
        <v>172529</v>
      </c>
      <c r="N39" s="39">
        <f>E39</f>
        <v>151663</v>
      </c>
      <c r="O39" s="39">
        <f>SUM(O35:O38)+O34</f>
        <v>155718</v>
      </c>
      <c r="P39" s="39">
        <v>243568</v>
      </c>
      <c r="R39" s="28">
        <f t="shared" si="5"/>
        <v>857479</v>
      </c>
      <c r="S39" s="28">
        <f t="shared" si="6"/>
        <v>723478</v>
      </c>
      <c r="T39" s="29"/>
      <c r="U39" s="30">
        <f t="shared" si="7"/>
        <v>-0.15627321485424128</v>
      </c>
    </row>
    <row r="40" spans="2:23" s="67" customFormat="1" ht="15.75" x14ac:dyDescent="0.25">
      <c r="B40" s="58" t="s">
        <v>55</v>
      </c>
      <c r="C40" s="65"/>
      <c r="D40" s="65"/>
      <c r="E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R40" s="66"/>
      <c r="S40" s="66"/>
      <c r="T40" s="66"/>
    </row>
    <row r="41" spans="2:23" ht="15.75" x14ac:dyDescent="0.25">
      <c r="B41" s="19" t="s">
        <v>56</v>
      </c>
      <c r="C41" s="59">
        <v>7126</v>
      </c>
      <c r="D41" s="62">
        <v>4017</v>
      </c>
      <c r="E41" s="63">
        <v>10573</v>
      </c>
      <c r="G41" s="63">
        <v>3332</v>
      </c>
      <c r="H41" s="63">
        <v>4758</v>
      </c>
      <c r="I41" s="63">
        <v>3534</v>
      </c>
      <c r="J41" s="23">
        <f t="shared" ref="J41:J49" si="8">D41</f>
        <v>4017</v>
      </c>
      <c r="K41" s="63">
        <v>8242</v>
      </c>
      <c r="L41" s="63">
        <v>10338</v>
      </c>
      <c r="M41" s="63">
        <v>9492</v>
      </c>
      <c r="N41" s="63">
        <f>E41</f>
        <v>10573</v>
      </c>
      <c r="O41" s="63">
        <v>9603</v>
      </c>
      <c r="P41" s="63">
        <v>52552</v>
      </c>
      <c r="R41" s="24">
        <f t="shared" ref="R41:R46" si="9">SUM(I41:L41)</f>
        <v>26131</v>
      </c>
      <c r="S41" s="24">
        <f t="shared" ref="S41:S46" si="10">SUM(M41:P41)</f>
        <v>82220</v>
      </c>
      <c r="T41" s="24"/>
      <c r="U41" s="22">
        <f t="shared" ref="U41:U46" si="11">SUM(S41/R41)-1</f>
        <v>2.1464544028165782</v>
      </c>
    </row>
    <row r="42" spans="2:23" ht="15.75" x14ac:dyDescent="0.25">
      <c r="B42" s="19" t="s">
        <v>57</v>
      </c>
      <c r="C42" s="59">
        <v>2803</v>
      </c>
      <c r="D42" s="62">
        <v>2280</v>
      </c>
      <c r="E42" s="63">
        <v>3037</v>
      </c>
      <c r="G42" s="63">
        <v>2925</v>
      </c>
      <c r="H42" s="63">
        <v>3318</v>
      </c>
      <c r="I42" s="63">
        <v>4096</v>
      </c>
      <c r="J42" s="23">
        <f t="shared" si="8"/>
        <v>2280</v>
      </c>
      <c r="K42" s="63">
        <v>5276</v>
      </c>
      <c r="L42" s="63">
        <v>7044</v>
      </c>
      <c r="M42" s="63">
        <v>7344</v>
      </c>
      <c r="N42" s="63">
        <f>E42</f>
        <v>3037</v>
      </c>
      <c r="O42" s="63">
        <v>1797</v>
      </c>
      <c r="P42" s="63">
        <v>1596</v>
      </c>
      <c r="R42" s="24">
        <f t="shared" si="9"/>
        <v>18696</v>
      </c>
      <c r="S42" s="24">
        <f t="shared" si="10"/>
        <v>13774</v>
      </c>
      <c r="T42" s="24"/>
      <c r="U42" s="22">
        <f t="shared" si="11"/>
        <v>-0.26326486949080019</v>
      </c>
    </row>
    <row r="43" spans="2:23" ht="15.75" x14ac:dyDescent="0.25">
      <c r="B43" s="19" t="s">
        <v>58</v>
      </c>
      <c r="C43" s="59">
        <v>1877</v>
      </c>
      <c r="D43" s="62">
        <v>170</v>
      </c>
      <c r="E43" s="63">
        <v>200</v>
      </c>
      <c r="G43" s="63">
        <v>172</v>
      </c>
      <c r="H43" s="63">
        <v>176</v>
      </c>
      <c r="I43" s="63">
        <v>160</v>
      </c>
      <c r="J43" s="23">
        <f t="shared" si="8"/>
        <v>170</v>
      </c>
      <c r="K43" s="63">
        <v>212</v>
      </c>
      <c r="L43" s="63">
        <v>220</v>
      </c>
      <c r="M43" s="63">
        <v>187</v>
      </c>
      <c r="N43" s="63">
        <f>E43</f>
        <v>200</v>
      </c>
      <c r="O43" s="63">
        <v>228</v>
      </c>
      <c r="P43" s="63">
        <v>218</v>
      </c>
      <c r="R43" s="24">
        <f t="shared" si="9"/>
        <v>762</v>
      </c>
      <c r="S43" s="24">
        <f t="shared" si="10"/>
        <v>833</v>
      </c>
      <c r="T43" s="24"/>
      <c r="U43" s="22">
        <f t="shared" si="11"/>
        <v>9.3175853018372612E-2</v>
      </c>
    </row>
    <row r="44" spans="2:23" ht="15.75" x14ac:dyDescent="0.25">
      <c r="B44" s="19" t="s">
        <v>59</v>
      </c>
      <c r="C44" s="59">
        <v>97</v>
      </c>
      <c r="D44" s="62">
        <v>104</v>
      </c>
      <c r="E44" s="63" t="s">
        <v>49</v>
      </c>
      <c r="G44" s="63">
        <v>99</v>
      </c>
      <c r="H44" s="63">
        <v>100</v>
      </c>
      <c r="I44" s="63">
        <v>102</v>
      </c>
      <c r="J44" s="23">
        <f t="shared" si="8"/>
        <v>104</v>
      </c>
      <c r="K44" s="63" t="s">
        <v>49</v>
      </c>
      <c r="L44" s="63" t="s">
        <v>49</v>
      </c>
      <c r="M44" s="63" t="s">
        <v>49</v>
      </c>
      <c r="N44" s="63" t="str">
        <f>E44</f>
        <v>—</v>
      </c>
      <c r="O44" s="63" t="s">
        <v>50</v>
      </c>
      <c r="P44" s="63">
        <v>0</v>
      </c>
      <c r="R44" s="24">
        <f t="shared" si="9"/>
        <v>206</v>
      </c>
      <c r="S44" s="24">
        <f t="shared" si="10"/>
        <v>0</v>
      </c>
      <c r="T44" s="24"/>
      <c r="U44" s="22">
        <f t="shared" si="11"/>
        <v>-1</v>
      </c>
    </row>
    <row r="45" spans="2:23" x14ac:dyDescent="0.25">
      <c r="B45" s="19" t="s">
        <v>60</v>
      </c>
      <c r="C45" s="63" t="s">
        <v>49</v>
      </c>
      <c r="D45" s="63" t="s">
        <v>49</v>
      </c>
      <c r="E45" s="63" t="s">
        <v>49</v>
      </c>
      <c r="G45" s="63"/>
      <c r="H45" s="63"/>
      <c r="I45" s="63"/>
      <c r="J45" s="23" t="str">
        <f t="shared" si="8"/>
        <v>—</v>
      </c>
      <c r="K45" s="63" t="s">
        <v>49</v>
      </c>
      <c r="L45" s="63" t="s">
        <v>49</v>
      </c>
      <c r="M45" s="63" t="s">
        <v>49</v>
      </c>
      <c r="N45" s="63" t="s">
        <v>49</v>
      </c>
      <c r="O45" s="63">
        <v>65368</v>
      </c>
      <c r="P45" s="63">
        <v>0</v>
      </c>
      <c r="R45" s="24">
        <f t="shared" si="9"/>
        <v>0</v>
      </c>
      <c r="S45" s="24">
        <f t="shared" si="10"/>
        <v>65368</v>
      </c>
      <c r="T45" s="24"/>
      <c r="U45" s="22" t="e">
        <f t="shared" si="11"/>
        <v>#DIV/0!</v>
      </c>
      <c r="W45" s="68"/>
    </row>
    <row r="46" spans="2:23" ht="15.75" x14ac:dyDescent="0.25">
      <c r="B46" s="19" t="s">
        <v>61</v>
      </c>
      <c r="C46" s="59">
        <v>631</v>
      </c>
      <c r="D46" s="62">
        <v>492</v>
      </c>
      <c r="E46" s="63">
        <v>385</v>
      </c>
      <c r="G46" s="63">
        <v>261</v>
      </c>
      <c r="H46" s="63">
        <v>370</v>
      </c>
      <c r="I46" s="63">
        <v>416</v>
      </c>
      <c r="J46" s="23">
        <f t="shared" si="8"/>
        <v>492</v>
      </c>
      <c r="K46" s="63">
        <v>179</v>
      </c>
      <c r="L46" s="63">
        <v>293</v>
      </c>
      <c r="M46" s="63">
        <v>391</v>
      </c>
      <c r="N46" s="63">
        <f>E46</f>
        <v>385</v>
      </c>
      <c r="O46" s="63">
        <v>125</v>
      </c>
      <c r="P46" s="63">
        <v>228</v>
      </c>
      <c r="R46" s="24">
        <f t="shared" si="9"/>
        <v>1380</v>
      </c>
      <c r="S46" s="24">
        <f t="shared" si="10"/>
        <v>1129</v>
      </c>
      <c r="T46" s="24"/>
      <c r="U46" s="22">
        <f t="shared" si="11"/>
        <v>-0.18188405797101448</v>
      </c>
    </row>
    <row r="47" spans="2:23" ht="15.75" x14ac:dyDescent="0.25">
      <c r="B47" s="38" t="s">
        <v>62</v>
      </c>
      <c r="C47" s="64">
        <v>12534</v>
      </c>
      <c r="D47" s="69">
        <v>7063</v>
      </c>
      <c r="E47" s="39">
        <v>14195</v>
      </c>
      <c r="G47" s="39">
        <v>6789</v>
      </c>
      <c r="H47" s="39">
        <v>8722</v>
      </c>
      <c r="I47" s="39">
        <v>8308</v>
      </c>
      <c r="J47" s="39">
        <f>D47</f>
        <v>7063</v>
      </c>
      <c r="K47" s="39">
        <v>13909</v>
      </c>
      <c r="L47" s="39">
        <v>17895</v>
      </c>
      <c r="M47" s="39">
        <v>17414</v>
      </c>
      <c r="N47" s="39">
        <f>E47</f>
        <v>14195</v>
      </c>
      <c r="O47" s="39">
        <v>77121</v>
      </c>
      <c r="P47" s="39">
        <v>54594</v>
      </c>
      <c r="R47" s="28">
        <f>SUM(I47:L47)</f>
        <v>47175</v>
      </c>
      <c r="S47" s="28">
        <f>SUM(M47:P47)</f>
        <v>163324</v>
      </c>
      <c r="T47" s="29"/>
      <c r="U47" s="30">
        <f>SUM(S47/R47)-1</f>
        <v>2.4620879703232643</v>
      </c>
    </row>
    <row r="48" spans="2:23" ht="15.75" x14ac:dyDescent="0.25">
      <c r="B48" s="19" t="s">
        <v>63</v>
      </c>
      <c r="C48" s="59">
        <v>139</v>
      </c>
      <c r="D48" s="62">
        <v>35</v>
      </c>
      <c r="E48" s="63" t="s">
        <v>49</v>
      </c>
      <c r="G48" s="63">
        <v>114</v>
      </c>
      <c r="H48" s="63">
        <v>88</v>
      </c>
      <c r="I48" s="63">
        <v>62</v>
      </c>
      <c r="J48" s="23">
        <f t="shared" si="8"/>
        <v>35</v>
      </c>
      <c r="K48" s="63" t="s">
        <v>49</v>
      </c>
      <c r="L48" s="63" t="s">
        <v>49</v>
      </c>
      <c r="M48" s="63" t="s">
        <v>49</v>
      </c>
      <c r="N48" s="63" t="str">
        <f>E48</f>
        <v>—</v>
      </c>
      <c r="O48" s="63">
        <v>0</v>
      </c>
      <c r="P48" s="63">
        <v>0</v>
      </c>
      <c r="R48" s="24">
        <f>SUM(I48:L48)</f>
        <v>97</v>
      </c>
      <c r="S48" s="24">
        <f>SUM(M48:P48)</f>
        <v>0</v>
      </c>
      <c r="T48" s="24"/>
      <c r="U48" s="22">
        <f>SUM(S48/R48)-1</f>
        <v>-1</v>
      </c>
    </row>
    <row r="49" spans="1:21" ht="15.75" x14ac:dyDescent="0.25">
      <c r="B49" s="19" t="s">
        <v>64</v>
      </c>
      <c r="C49" s="59">
        <v>194</v>
      </c>
      <c r="D49" s="62">
        <v>197</v>
      </c>
      <c r="E49" s="63" t="s">
        <v>49</v>
      </c>
      <c r="G49" s="63">
        <v>194</v>
      </c>
      <c r="H49" s="63">
        <v>201</v>
      </c>
      <c r="I49" s="63">
        <v>197</v>
      </c>
      <c r="J49" s="23">
        <f t="shared" si="8"/>
        <v>197</v>
      </c>
      <c r="K49" s="63">
        <v>197</v>
      </c>
      <c r="L49" s="63" t="s">
        <v>49</v>
      </c>
      <c r="M49" s="63" t="s">
        <v>49</v>
      </c>
      <c r="N49" s="63" t="str">
        <f>E49</f>
        <v>—</v>
      </c>
      <c r="O49" s="63">
        <v>0</v>
      </c>
      <c r="P49" s="63">
        <v>0</v>
      </c>
      <c r="R49" s="24">
        <f>SUM(I49:L49)</f>
        <v>591</v>
      </c>
      <c r="S49" s="24">
        <f>SUM(M49:P49)</f>
        <v>0</v>
      </c>
      <c r="T49" s="24"/>
      <c r="U49" s="22">
        <f>SUM(S49/R49)-1</f>
        <v>-1</v>
      </c>
    </row>
    <row r="50" spans="1:21" ht="15.75" x14ac:dyDescent="0.25">
      <c r="B50" s="38" t="s">
        <v>65</v>
      </c>
      <c r="C50" s="60">
        <v>12867</v>
      </c>
      <c r="D50" s="61">
        <v>7295</v>
      </c>
      <c r="E50" s="39">
        <v>14195</v>
      </c>
      <c r="G50" s="39">
        <v>7097</v>
      </c>
      <c r="H50" s="39">
        <v>9011</v>
      </c>
      <c r="I50" s="39">
        <v>8567</v>
      </c>
      <c r="J50" s="39">
        <f>D50</f>
        <v>7295</v>
      </c>
      <c r="K50" s="39">
        <v>14106</v>
      </c>
      <c r="L50" s="39">
        <v>17895</v>
      </c>
      <c r="M50" s="39">
        <v>17414</v>
      </c>
      <c r="N50" s="39">
        <f>E50</f>
        <v>14195</v>
      </c>
      <c r="O50" s="39">
        <f>O47</f>
        <v>77121</v>
      </c>
      <c r="P50" s="39">
        <f>P47</f>
        <v>54594</v>
      </c>
      <c r="R50" s="28">
        <f>SUM(I50:L50)</f>
        <v>47863</v>
      </c>
      <c r="S50" s="28">
        <f>SUM(M50:P50)</f>
        <v>163324</v>
      </c>
      <c r="T50" s="29"/>
      <c r="U50" s="30">
        <f>SUM(S50/R50)-1</f>
        <v>2.412322670956689</v>
      </c>
    </row>
    <row r="51" spans="1:21" ht="3.75" customHeight="1" x14ac:dyDescent="0.25">
      <c r="B51" s="58"/>
      <c r="C51" s="65"/>
      <c r="D51" s="70"/>
      <c r="E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R51" s="29"/>
      <c r="S51" s="29"/>
      <c r="T51" s="29"/>
      <c r="U51" s="30"/>
    </row>
    <row r="52" spans="1:21" x14ac:dyDescent="0.25">
      <c r="B52" s="58" t="s">
        <v>66</v>
      </c>
      <c r="C52" s="68"/>
      <c r="D52" s="72"/>
      <c r="E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21" x14ac:dyDescent="0.25">
      <c r="B53" s="19" t="s">
        <v>67</v>
      </c>
      <c r="C53" s="63" t="s">
        <v>49</v>
      </c>
      <c r="D53" s="63" t="s">
        <v>49</v>
      </c>
      <c r="E53" s="63" t="s">
        <v>49</v>
      </c>
      <c r="F53" s="73"/>
      <c r="G53" s="63" t="s">
        <v>49</v>
      </c>
      <c r="H53" s="63" t="s">
        <v>49</v>
      </c>
      <c r="I53" s="63" t="s">
        <v>49</v>
      </c>
      <c r="J53" s="23" t="str">
        <f>D53</f>
        <v>—</v>
      </c>
      <c r="K53" s="63" t="s">
        <v>49</v>
      </c>
      <c r="L53" s="63" t="s">
        <v>49</v>
      </c>
      <c r="M53" s="63" t="s">
        <v>49</v>
      </c>
      <c r="N53" s="63" t="str">
        <f>E53</f>
        <v>—</v>
      </c>
      <c r="O53" s="63" t="s">
        <v>49</v>
      </c>
      <c r="P53" s="63" t="s">
        <v>49</v>
      </c>
      <c r="R53" s="24">
        <f>SUM(I53:L53)</f>
        <v>0</v>
      </c>
      <c r="S53" s="24">
        <f>SUM(M53:P53)</f>
        <v>0</v>
      </c>
      <c r="T53" s="24"/>
      <c r="U53" s="22" t="e">
        <f>SUM(S53/R53)-1</f>
        <v>#DIV/0!</v>
      </c>
    </row>
    <row r="54" spans="1:21" x14ac:dyDescent="0.25">
      <c r="B54" s="19" t="s">
        <v>68</v>
      </c>
      <c r="C54" s="74">
        <v>40</v>
      </c>
      <c r="D54" s="74">
        <v>42</v>
      </c>
      <c r="E54" s="75">
        <v>42</v>
      </c>
      <c r="F54" s="73"/>
      <c r="G54" s="75">
        <v>40</v>
      </c>
      <c r="H54" s="75">
        <v>40</v>
      </c>
      <c r="I54" s="75">
        <v>40</v>
      </c>
      <c r="J54" s="23">
        <f>D54</f>
        <v>42</v>
      </c>
      <c r="K54" s="75">
        <v>42</v>
      </c>
      <c r="L54" s="75">
        <v>42</v>
      </c>
      <c r="M54" s="75">
        <v>42</v>
      </c>
      <c r="N54" s="63">
        <f>E54</f>
        <v>42</v>
      </c>
      <c r="O54" s="75">
        <v>43</v>
      </c>
      <c r="P54" s="75">
        <v>48</v>
      </c>
      <c r="R54" s="24">
        <f>SUM(I54:L54)</f>
        <v>166</v>
      </c>
      <c r="S54" s="24">
        <f>SUM(M54:P54)</f>
        <v>175</v>
      </c>
      <c r="T54" s="24"/>
      <c r="U54" s="22">
        <f>SUM(S54/R54)-1</f>
        <v>5.4216867469879526E-2</v>
      </c>
    </row>
    <row r="55" spans="1:21" x14ac:dyDescent="0.25">
      <c r="B55" s="19" t="s">
        <v>69</v>
      </c>
      <c r="C55" s="74">
        <v>461181</v>
      </c>
      <c r="D55" s="74">
        <v>511049</v>
      </c>
      <c r="E55" s="63">
        <v>518195</v>
      </c>
      <c r="F55" s="73"/>
      <c r="G55" s="63">
        <v>461887</v>
      </c>
      <c r="H55" s="63">
        <v>462491</v>
      </c>
      <c r="I55" s="63">
        <v>463097</v>
      </c>
      <c r="J55" s="23">
        <f>D55</f>
        <v>511049</v>
      </c>
      <c r="K55" s="63">
        <v>511786</v>
      </c>
      <c r="L55" s="63">
        <v>513510</v>
      </c>
      <c r="M55" s="63">
        <v>514923</v>
      </c>
      <c r="N55" s="63">
        <f>E55</f>
        <v>518195</v>
      </c>
      <c r="O55" s="63">
        <v>434280</v>
      </c>
      <c r="P55" s="63">
        <v>538497</v>
      </c>
      <c r="R55" s="24">
        <f>SUM(I55:L55)</f>
        <v>1999442</v>
      </c>
      <c r="S55" s="24">
        <f>SUM(M55:P55)</f>
        <v>2005895</v>
      </c>
      <c r="T55" s="24"/>
      <c r="U55" s="22">
        <f>SUM(S55/R55)-1</f>
        <v>3.2274004447241378E-3</v>
      </c>
    </row>
    <row r="56" spans="1:21" x14ac:dyDescent="0.25">
      <c r="B56" s="19" t="s">
        <v>70</v>
      </c>
      <c r="C56" s="74">
        <v>-207306</v>
      </c>
      <c r="D56" s="74">
        <v>-283552</v>
      </c>
      <c r="E56" s="63">
        <v>-380769</v>
      </c>
      <c r="F56" s="73"/>
      <c r="G56" s="63">
        <v>-224833</v>
      </c>
      <c r="H56" s="63">
        <v>-244161</v>
      </c>
      <c r="I56" s="63">
        <v>-264418</v>
      </c>
      <c r="J56" s="23">
        <f>D56</f>
        <v>-283552</v>
      </c>
      <c r="K56" s="63">
        <v>-307823</v>
      </c>
      <c r="L56" s="63">
        <v>-334199</v>
      </c>
      <c r="M56" s="63">
        <v>-359850</v>
      </c>
      <c r="N56" s="63">
        <f>E56</f>
        <v>-380769</v>
      </c>
      <c r="O56" s="63">
        <v>-355726</v>
      </c>
      <c r="P56" s="63">
        <v>-349571</v>
      </c>
      <c r="R56" s="24">
        <f>SUM(I56:L56)</f>
        <v>-1189992</v>
      </c>
      <c r="S56" s="24">
        <f>SUM(M56:P56)</f>
        <v>-1445916</v>
      </c>
      <c r="T56" s="24"/>
      <c r="U56" s="22">
        <f>SUM(S56/R56)-1</f>
        <v>0.21506363067987011</v>
      </c>
    </row>
    <row r="57" spans="1:21" x14ac:dyDescent="0.25">
      <c r="B57" s="38" t="s">
        <v>71</v>
      </c>
      <c r="C57" s="76">
        <v>253915</v>
      </c>
      <c r="D57" s="76">
        <v>227539</v>
      </c>
      <c r="E57" s="39">
        <v>137468</v>
      </c>
      <c r="F57" s="77"/>
      <c r="G57" s="39">
        <v>237094</v>
      </c>
      <c r="H57" s="39">
        <v>218370</v>
      </c>
      <c r="I57" s="39">
        <v>198719</v>
      </c>
      <c r="J57" s="39">
        <f>D57</f>
        <v>227539</v>
      </c>
      <c r="K57" s="39">
        <v>204005</v>
      </c>
      <c r="L57" s="39">
        <v>179353</v>
      </c>
      <c r="M57" s="39">
        <v>155115</v>
      </c>
      <c r="N57" s="39">
        <f>SUM(N53:N56)</f>
        <v>137468</v>
      </c>
      <c r="O57" s="39">
        <v>78597</v>
      </c>
      <c r="P57" s="39">
        <v>188974</v>
      </c>
      <c r="R57" s="28">
        <f>SUM(I57:L57)</f>
        <v>809616</v>
      </c>
      <c r="S57" s="28">
        <f>SUM(M57:P57)</f>
        <v>560154</v>
      </c>
      <c r="T57" s="29"/>
      <c r="U57" s="22">
        <f>SUM(S57/R57)-1</f>
        <v>-0.30812385130728637</v>
      </c>
    </row>
    <row r="58" spans="1:21" ht="6" customHeight="1" x14ac:dyDescent="0.25">
      <c r="B58" s="19"/>
      <c r="C58" s="74"/>
      <c r="D58" s="74"/>
      <c r="E58" s="63"/>
      <c r="F58" s="73"/>
      <c r="J58" s="63"/>
      <c r="K58" s="63"/>
      <c r="L58" s="63"/>
      <c r="M58" s="63"/>
      <c r="N58" s="63"/>
      <c r="O58" s="63"/>
      <c r="P58" s="63"/>
      <c r="R58" s="63"/>
      <c r="S58" s="63"/>
      <c r="T58" s="63"/>
    </row>
    <row r="59" spans="1:21" x14ac:dyDescent="0.25">
      <c r="B59" s="19" t="s">
        <v>72</v>
      </c>
      <c r="C59" s="74">
        <v>266782</v>
      </c>
      <c r="D59" s="74">
        <v>234834</v>
      </c>
      <c r="E59" s="63">
        <v>151663</v>
      </c>
      <c r="F59" s="73"/>
      <c r="G59" s="63">
        <v>244191</v>
      </c>
      <c r="H59" s="63">
        <v>227381</v>
      </c>
      <c r="I59" s="63">
        <v>207286</v>
      </c>
      <c r="J59" s="23">
        <f>D59</f>
        <v>234834</v>
      </c>
      <c r="K59" s="63">
        <v>218111</v>
      </c>
      <c r="L59" s="63">
        <v>197248</v>
      </c>
      <c r="M59" s="63">
        <v>172529</v>
      </c>
      <c r="N59" s="63">
        <f>E59</f>
        <v>151663</v>
      </c>
      <c r="O59" s="63">
        <v>155718</v>
      </c>
      <c r="P59" s="63">
        <v>243568</v>
      </c>
      <c r="R59" s="24">
        <f>SUM(I59:L59)</f>
        <v>857479</v>
      </c>
      <c r="S59" s="24">
        <f>SUM(M59:P59)</f>
        <v>723478</v>
      </c>
      <c r="T59" s="24"/>
      <c r="U59" s="22">
        <f>SUM(S59/R59)-1</f>
        <v>-0.15627321485424128</v>
      </c>
    </row>
    <row r="60" spans="1:21" x14ac:dyDescent="0.25">
      <c r="B60" s="58"/>
      <c r="C60" s="78"/>
      <c r="D60" s="79"/>
      <c r="E60" s="79"/>
      <c r="F60" s="78"/>
    </row>
    <row r="61" spans="1:21" x14ac:dyDescent="0.25">
      <c r="A61" t="s">
        <v>7</v>
      </c>
      <c r="B61" s="1" t="s">
        <v>73</v>
      </c>
      <c r="C61" s="7"/>
      <c r="D61" s="7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21" x14ac:dyDescent="0.25">
      <c r="B62" s="3" t="s">
        <v>74</v>
      </c>
      <c r="C62" s="55"/>
      <c r="D62" s="55"/>
      <c r="E62" s="5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21" ht="3" customHeight="1" x14ac:dyDescent="0.25">
      <c r="B63" s="4"/>
      <c r="C63" s="57"/>
      <c r="D63" s="57"/>
      <c r="E63" s="57"/>
    </row>
    <row r="64" spans="1:21" ht="15.75" x14ac:dyDescent="0.25">
      <c r="B64" s="80" t="s">
        <v>75</v>
      </c>
      <c r="C64" s="81"/>
      <c r="D64" s="81"/>
      <c r="E64" s="81"/>
    </row>
    <row r="65" spans="2:21" x14ac:dyDescent="0.25">
      <c r="B65" t="s">
        <v>38</v>
      </c>
      <c r="C65" s="82">
        <v>-32385</v>
      </c>
      <c r="D65" s="82">
        <v>-76246</v>
      </c>
      <c r="E65" s="82">
        <v>-97217</v>
      </c>
      <c r="G65" s="82">
        <v>-17527</v>
      </c>
      <c r="H65" s="82">
        <f>-36855-G65</f>
        <v>-19328</v>
      </c>
      <c r="I65" s="82">
        <v>-57112</v>
      </c>
      <c r="J65" s="82">
        <f>D65-G65-H65-I65</f>
        <v>17721</v>
      </c>
      <c r="K65" s="82">
        <v>-24271</v>
      </c>
      <c r="L65" s="82">
        <f>-50647-(K65)</f>
        <v>-26376</v>
      </c>
      <c r="M65" s="82">
        <f>-76298-L65-K65</f>
        <v>-25651</v>
      </c>
      <c r="N65" s="82">
        <f>E65-M65-L65-K65</f>
        <v>-20919</v>
      </c>
      <c r="O65" s="82">
        <v>25043</v>
      </c>
      <c r="P65" s="82">
        <f>31198-O65</f>
        <v>6155</v>
      </c>
      <c r="R65" s="24">
        <f>SUM(I65:L65)</f>
        <v>-90038</v>
      </c>
      <c r="S65" s="24">
        <f>SUM(M65:P65)</f>
        <v>-15372</v>
      </c>
      <c r="T65" s="24"/>
      <c r="U65" s="22">
        <f>SUM(S65/R65)-1</f>
        <v>-0.82927208511961614</v>
      </c>
    </row>
    <row r="66" spans="2:21" ht="15.75" x14ac:dyDescent="0.25">
      <c r="B66" s="83" t="s">
        <v>76</v>
      </c>
      <c r="C66" s="82"/>
      <c r="D66" s="82"/>
      <c r="E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R66" s="82"/>
      <c r="S66" s="82"/>
      <c r="T66" s="84"/>
    </row>
    <row r="67" spans="2:21" x14ac:dyDescent="0.25">
      <c r="B67" t="s">
        <v>77</v>
      </c>
      <c r="C67" s="82">
        <v>1759</v>
      </c>
      <c r="D67" s="82">
        <v>2066</v>
      </c>
      <c r="E67" s="82">
        <v>4586</v>
      </c>
      <c r="G67" s="82">
        <v>495</v>
      </c>
      <c r="H67" s="82">
        <f>980-G67</f>
        <v>485</v>
      </c>
      <c r="I67" s="82">
        <f>1450-H67-G67</f>
        <v>470</v>
      </c>
      <c r="J67" s="82">
        <f>D67-G67-H67-I67</f>
        <v>616</v>
      </c>
      <c r="K67" s="82">
        <v>673</v>
      </c>
      <c r="L67" s="82">
        <f>1508-K67</f>
        <v>835</v>
      </c>
      <c r="M67" s="82">
        <f>2457-L67-K67</f>
        <v>949</v>
      </c>
      <c r="N67" s="82">
        <f>E67-M67-L67-K67</f>
        <v>2129</v>
      </c>
      <c r="O67" s="82">
        <v>2335</v>
      </c>
      <c r="P67" s="82">
        <f>4939-O67</f>
        <v>2604</v>
      </c>
      <c r="R67" s="24">
        <f>SUM(I67:L67)</f>
        <v>2594</v>
      </c>
      <c r="S67" s="24">
        <f>SUM(M67:P67)</f>
        <v>8017</v>
      </c>
      <c r="T67" s="24"/>
      <c r="U67" s="22">
        <f>SUM(S67/R67)-1</f>
        <v>2.0905936777178105</v>
      </c>
    </row>
    <row r="68" spans="2:21" x14ac:dyDescent="0.25">
      <c r="B68" t="s">
        <v>37</v>
      </c>
      <c r="C68" s="82"/>
      <c r="D68" s="82"/>
      <c r="E68" s="82"/>
      <c r="G68" s="82"/>
      <c r="H68" s="82"/>
      <c r="I68" s="82"/>
      <c r="J68" s="82"/>
      <c r="K68" s="82"/>
      <c r="L68" s="82"/>
      <c r="M68" s="82"/>
      <c r="N68" s="82"/>
      <c r="O68" s="82">
        <v>-43041</v>
      </c>
      <c r="P68" s="82">
        <f>-108183-O68</f>
        <v>-65142</v>
      </c>
      <c r="R68" s="24">
        <f>SUM(I68:L68)</f>
        <v>0</v>
      </c>
      <c r="S68" s="24">
        <f>SUM(M68:P68)</f>
        <v>-108183</v>
      </c>
      <c r="T68" s="24"/>
      <c r="U68" s="22" t="e">
        <f>SUM(S68/R68)-1</f>
        <v>#DIV/0!</v>
      </c>
    </row>
    <row r="69" spans="2:21" x14ac:dyDescent="0.25">
      <c r="B69" t="s">
        <v>78</v>
      </c>
      <c r="C69" s="82">
        <v>310</v>
      </c>
      <c r="D69" s="82">
        <v>804</v>
      </c>
      <c r="E69" s="82">
        <v>1084</v>
      </c>
      <c r="G69" s="82">
        <v>178</v>
      </c>
      <c r="H69" s="82">
        <f>352-G69</f>
        <v>174</v>
      </c>
      <c r="I69" s="82">
        <f>533-H69-G69</f>
        <v>181</v>
      </c>
      <c r="J69" s="82">
        <f>D69-G69-H69-I69</f>
        <v>271</v>
      </c>
      <c r="K69" s="82">
        <v>272</v>
      </c>
      <c r="L69" s="82">
        <f>544-K69</f>
        <v>272</v>
      </c>
      <c r="M69" s="82">
        <f>817-L69-K69</f>
        <v>273</v>
      </c>
      <c r="N69" s="82">
        <f>E69-M69-L69-K69</f>
        <v>267</v>
      </c>
      <c r="O69" s="82">
        <v>250</v>
      </c>
      <c r="P69" s="82">
        <f>496-O69</f>
        <v>246</v>
      </c>
      <c r="R69" s="24">
        <f>SUM(I69:L69)</f>
        <v>996</v>
      </c>
      <c r="S69" s="24">
        <f>SUM(M69:P69)</f>
        <v>1036</v>
      </c>
      <c r="T69" s="24"/>
      <c r="U69" s="22">
        <f>SUM(S69/R69)-1</f>
        <v>4.016064257028118E-2</v>
      </c>
    </row>
    <row r="70" spans="2:21" x14ac:dyDescent="0.25">
      <c r="B70" t="s">
        <v>79</v>
      </c>
      <c r="C70" s="82">
        <v>224</v>
      </c>
      <c r="D70" s="82">
        <v>497</v>
      </c>
      <c r="E70" s="82">
        <v>446</v>
      </c>
      <c r="G70" s="82">
        <v>135</v>
      </c>
      <c r="H70" s="82">
        <f>260-G70</f>
        <v>125</v>
      </c>
      <c r="I70" s="82">
        <f>379-H70-G70</f>
        <v>119</v>
      </c>
      <c r="J70" s="82">
        <f>D70-G70-H70-I70</f>
        <v>118</v>
      </c>
      <c r="K70" s="82">
        <v>119</v>
      </c>
      <c r="L70" s="82">
        <f>238-K70</f>
        <v>119</v>
      </c>
      <c r="M70" s="82">
        <f>357-L70-K70</f>
        <v>119</v>
      </c>
      <c r="N70" s="82">
        <f>E70-M70-L70-K70</f>
        <v>89</v>
      </c>
      <c r="O70" s="82">
        <v>61</v>
      </c>
      <c r="P70" s="82">
        <f>117-O70</f>
        <v>56</v>
      </c>
      <c r="R70" s="24">
        <f>SUM(I70:L70)</f>
        <v>475</v>
      </c>
      <c r="S70" s="24">
        <f>SUM(M70:P70)</f>
        <v>325</v>
      </c>
      <c r="T70" s="24"/>
      <c r="U70" s="22">
        <f>SUM(S70/R70)-1</f>
        <v>-0.31578947368421051</v>
      </c>
    </row>
    <row r="71" spans="2:21" ht="15.75" x14ac:dyDescent="0.25">
      <c r="B71" s="67" t="s">
        <v>80</v>
      </c>
      <c r="C71" s="82"/>
      <c r="D71" s="82"/>
      <c r="E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R71" s="82"/>
      <c r="S71" s="82"/>
      <c r="T71" s="84"/>
    </row>
    <row r="72" spans="2:21" x14ac:dyDescent="0.25">
      <c r="B72" t="s">
        <v>81</v>
      </c>
      <c r="C72" s="82">
        <v>-10956</v>
      </c>
      <c r="D72" s="82">
        <v>1189</v>
      </c>
      <c r="E72" s="82">
        <v>1714</v>
      </c>
      <c r="G72" s="82">
        <v>-1063</v>
      </c>
      <c r="H72" s="82">
        <f>4431-G72</f>
        <v>5494</v>
      </c>
      <c r="I72" s="82">
        <f>2790-H72-G72</f>
        <v>-1641</v>
      </c>
      <c r="J72" s="82">
        <f t="shared" ref="J72:J78" si="12">D72-G72-H72-I72</f>
        <v>-1601</v>
      </c>
      <c r="K72" s="82">
        <v>2679</v>
      </c>
      <c r="L72" s="82">
        <f>4116-K72</f>
        <v>1437</v>
      </c>
      <c r="M72" s="82">
        <f>2377-L72-K72</f>
        <v>-1739</v>
      </c>
      <c r="N72" s="82">
        <f t="shared" ref="N72:N77" si="13">E72-M72-L72-K72</f>
        <v>-663</v>
      </c>
      <c r="O72" s="82">
        <v>-1333</v>
      </c>
      <c r="P72" s="82">
        <f>-6334-O72</f>
        <v>-5001</v>
      </c>
      <c r="R72" s="24">
        <f>SUM(I72:L72)</f>
        <v>874</v>
      </c>
      <c r="S72" s="24">
        <f>SUM(M72:P72)</f>
        <v>-8736</v>
      </c>
      <c r="T72" s="24"/>
      <c r="U72" s="22">
        <f>SUM(S72/R72)-1</f>
        <v>-10.995423340961098</v>
      </c>
    </row>
    <row r="73" spans="2:21" x14ac:dyDescent="0.25">
      <c r="B73" t="s">
        <v>82</v>
      </c>
      <c r="C73" s="82">
        <v>28</v>
      </c>
      <c r="D73" s="82">
        <v>-9</v>
      </c>
      <c r="E73" s="82">
        <v>-17</v>
      </c>
      <c r="G73" s="82">
        <v>-1</v>
      </c>
      <c r="H73" s="82">
        <f>-4-G73</f>
        <v>-3</v>
      </c>
      <c r="I73" s="82">
        <f>-6-H73-G73</f>
        <v>-2</v>
      </c>
      <c r="J73" s="82">
        <f t="shared" si="12"/>
        <v>-3</v>
      </c>
      <c r="K73" s="82">
        <v>-17</v>
      </c>
      <c r="L73" s="82">
        <f>-17+K73</f>
        <v>-34</v>
      </c>
      <c r="M73" s="82">
        <f>-17-L73-K73</f>
        <v>34</v>
      </c>
      <c r="N73" s="82">
        <f t="shared" si="13"/>
        <v>0</v>
      </c>
      <c r="O73" s="82" t="s">
        <v>50</v>
      </c>
      <c r="P73" s="82" t="s">
        <v>49</v>
      </c>
      <c r="R73" s="82"/>
      <c r="S73" s="82"/>
      <c r="T73" s="84"/>
    </row>
    <row r="74" spans="2:21" x14ac:dyDescent="0.25">
      <c r="B74" t="s">
        <v>56</v>
      </c>
      <c r="C74" s="82">
        <v>6215</v>
      </c>
      <c r="D74" s="82">
        <v>-3449</v>
      </c>
      <c r="E74" s="82">
        <v>6896</v>
      </c>
      <c r="G74" s="82">
        <v>-3794</v>
      </c>
      <c r="H74" s="82">
        <f>-2368-G74</f>
        <v>1426</v>
      </c>
      <c r="I74" s="82">
        <f>-3592-H74-G74</f>
        <v>-1224</v>
      </c>
      <c r="J74" s="82">
        <f t="shared" si="12"/>
        <v>143</v>
      </c>
      <c r="K74" s="82">
        <v>4565</v>
      </c>
      <c r="L74" s="82">
        <f>6661-K74</f>
        <v>2096</v>
      </c>
      <c r="M74" s="82">
        <f>5815-L74-K74</f>
        <v>-846</v>
      </c>
      <c r="N74" s="82">
        <f t="shared" si="13"/>
        <v>1081</v>
      </c>
      <c r="O74" s="82">
        <v>-970</v>
      </c>
      <c r="P74" s="82">
        <f>41979-O74</f>
        <v>42949</v>
      </c>
      <c r="R74" s="24">
        <f>SUM(I74:L74)</f>
        <v>5580</v>
      </c>
      <c r="S74" s="24">
        <f>SUM(M74:P74)</f>
        <v>42214</v>
      </c>
      <c r="T74" s="24"/>
      <c r="U74" s="22">
        <f>SUM(S74/R74)-1</f>
        <v>6.5652329749103941</v>
      </c>
    </row>
    <row r="75" spans="2:21" x14ac:dyDescent="0.25">
      <c r="B75" t="s">
        <v>57</v>
      </c>
      <c r="C75" s="82">
        <v>2084</v>
      </c>
      <c r="D75" s="82">
        <v>-523</v>
      </c>
      <c r="E75" s="82">
        <v>757</v>
      </c>
      <c r="G75" s="82">
        <v>122</v>
      </c>
      <c r="H75" s="82">
        <f>515-G75</f>
        <v>393</v>
      </c>
      <c r="I75" s="82">
        <f>1293-H75-G75</f>
        <v>778</v>
      </c>
      <c r="J75" s="82">
        <f t="shared" si="12"/>
        <v>-1816</v>
      </c>
      <c r="K75" s="82">
        <v>2996</v>
      </c>
      <c r="L75" s="82">
        <f>4764-K75</f>
        <v>1768</v>
      </c>
      <c r="M75" s="82">
        <f>5064-L75-K75</f>
        <v>300</v>
      </c>
      <c r="N75" s="82">
        <f t="shared" si="13"/>
        <v>-4307</v>
      </c>
      <c r="O75" s="82">
        <v>-1240</v>
      </c>
      <c r="P75" s="82">
        <f>-1441-O75</f>
        <v>-201</v>
      </c>
      <c r="R75" s="24">
        <f>SUM(I75:L75)</f>
        <v>3726</v>
      </c>
      <c r="S75" s="24">
        <f>SUM(M75:P75)</f>
        <v>-5448</v>
      </c>
      <c r="T75" s="24"/>
      <c r="U75" s="22">
        <f>SUM(S75/R75)-1</f>
        <v>-2.4621578099838972</v>
      </c>
    </row>
    <row r="76" spans="2:21" x14ac:dyDescent="0.25">
      <c r="B76" t="s">
        <v>58</v>
      </c>
      <c r="C76" s="82">
        <v>1794</v>
      </c>
      <c r="D76" s="82">
        <v>-1707</v>
      </c>
      <c r="E76" s="82">
        <v>30</v>
      </c>
      <c r="G76" s="82">
        <v>-1705</v>
      </c>
      <c r="H76" s="82">
        <f>-1701-G76</f>
        <v>4</v>
      </c>
      <c r="I76" s="82">
        <f>-1717-H76-G76</f>
        <v>-16</v>
      </c>
      <c r="J76" s="82">
        <f t="shared" si="12"/>
        <v>10</v>
      </c>
      <c r="K76" s="82">
        <v>42</v>
      </c>
      <c r="L76" s="82">
        <f>50-K76</f>
        <v>8</v>
      </c>
      <c r="M76" s="82">
        <f>17-L76-K76</f>
        <v>-33</v>
      </c>
      <c r="N76" s="82">
        <f t="shared" si="13"/>
        <v>13</v>
      </c>
      <c r="O76" s="82">
        <v>28</v>
      </c>
      <c r="P76" s="82">
        <f>18-O76</f>
        <v>-10</v>
      </c>
      <c r="R76" s="24">
        <f>SUM(I76:L76)</f>
        <v>44</v>
      </c>
      <c r="S76" s="24">
        <f>SUM(M76:P76)</f>
        <v>-2</v>
      </c>
      <c r="T76" s="24"/>
      <c r="U76" s="22">
        <f>SUM(S76/R76)-1</f>
        <v>-1.0454545454545454</v>
      </c>
    </row>
    <row r="77" spans="2:21" x14ac:dyDescent="0.25">
      <c r="B77" t="s">
        <v>83</v>
      </c>
      <c r="C77" s="82">
        <v>731</v>
      </c>
      <c r="D77" s="82">
        <v>-136</v>
      </c>
      <c r="E77" s="82">
        <v>-304</v>
      </c>
      <c r="G77" s="82">
        <v>-370</v>
      </c>
      <c r="H77" s="82">
        <f>-254-G77</f>
        <v>116</v>
      </c>
      <c r="I77" s="82">
        <f>-212-H77-G77</f>
        <v>42</v>
      </c>
      <c r="J77" s="82">
        <f t="shared" si="12"/>
        <v>76</v>
      </c>
      <c r="K77" s="82">
        <v>-313</v>
      </c>
      <c r="L77" s="82">
        <f>-396-K77</f>
        <v>-83</v>
      </c>
      <c r="M77" s="82">
        <f>-298-L77-K77</f>
        <v>98</v>
      </c>
      <c r="N77" s="82">
        <f t="shared" si="13"/>
        <v>-6</v>
      </c>
      <c r="O77" s="82">
        <v>-260</v>
      </c>
      <c r="P77" s="82">
        <f>-157-O77</f>
        <v>103</v>
      </c>
      <c r="R77" s="24">
        <f>SUM(I77:L77)</f>
        <v>-278</v>
      </c>
      <c r="S77" s="24">
        <f>SUM(M77:P77)</f>
        <v>-65</v>
      </c>
      <c r="T77" s="24"/>
      <c r="U77" s="22">
        <f>SUM(S77/R77)-1</f>
        <v>-0.76618705035971224</v>
      </c>
    </row>
    <row r="78" spans="2:21" ht="15.75" x14ac:dyDescent="0.25">
      <c r="B78" s="85" t="s">
        <v>84</v>
      </c>
      <c r="C78" s="86">
        <v>-30196</v>
      </c>
      <c r="D78" s="86">
        <v>-77514</v>
      </c>
      <c r="E78" s="86">
        <v>-82025</v>
      </c>
      <c r="G78" s="86">
        <v>-23530</v>
      </c>
      <c r="H78" s="86">
        <f>-34644-G78</f>
        <v>-11114</v>
      </c>
      <c r="I78" s="86">
        <f>-56194-H78-G78</f>
        <v>-21550</v>
      </c>
      <c r="J78" s="86">
        <f t="shared" si="12"/>
        <v>-21320</v>
      </c>
      <c r="K78" s="86">
        <v>-13255</v>
      </c>
      <c r="L78" s="86">
        <f>-33179-K78</f>
        <v>-19924</v>
      </c>
      <c r="M78" s="86">
        <f>-59709-L78-K78</f>
        <v>-26530</v>
      </c>
      <c r="N78" s="86">
        <f>SUM(E78-M78-L78-K78)</f>
        <v>-22316</v>
      </c>
      <c r="O78" s="86">
        <v>-19127</v>
      </c>
      <c r="P78" s="86">
        <f>-37368-O78</f>
        <v>-18241</v>
      </c>
      <c r="R78" s="28">
        <f>SUM(I78:L78)</f>
        <v>-76049</v>
      </c>
      <c r="S78" s="28">
        <f>SUM(M78:P78)</f>
        <v>-86214</v>
      </c>
      <c r="T78" s="29"/>
      <c r="U78" s="22">
        <f>SUM(S78/R78)-1</f>
        <v>0.13366382200949389</v>
      </c>
    </row>
    <row r="79" spans="2:21" ht="5.25" customHeight="1" x14ac:dyDescent="0.25">
      <c r="B79" s="67"/>
      <c r="C79" s="87"/>
      <c r="D79" s="87"/>
      <c r="E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R79" s="87"/>
      <c r="S79" s="87"/>
      <c r="T79" s="88"/>
    </row>
    <row r="80" spans="2:21" ht="15.75" x14ac:dyDescent="0.25">
      <c r="B80" s="67" t="s">
        <v>85</v>
      </c>
      <c r="C80" s="82"/>
      <c r="D80" s="82"/>
      <c r="E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R80" s="82"/>
      <c r="S80" s="82"/>
      <c r="T80" s="84"/>
    </row>
    <row r="81" spans="2:21" x14ac:dyDescent="0.25">
      <c r="B81" t="s">
        <v>86</v>
      </c>
      <c r="C81" s="82">
        <v>-22214</v>
      </c>
      <c r="D81" s="82">
        <v>-2712</v>
      </c>
      <c r="E81" s="82">
        <v>-414</v>
      </c>
      <c r="G81" s="82">
        <v>-425</v>
      </c>
      <c r="H81" s="82">
        <f>-1891-G81</f>
        <v>-1466</v>
      </c>
      <c r="I81" s="82">
        <f>-3047-H81-G81</f>
        <v>-1156</v>
      </c>
      <c r="J81" s="82">
        <f>D81-G81-H81-I81</f>
        <v>335</v>
      </c>
      <c r="K81" s="82">
        <v>-357</v>
      </c>
      <c r="L81" s="82">
        <f>-351-K81</f>
        <v>6</v>
      </c>
      <c r="M81" s="82">
        <f>-373-L81-K81</f>
        <v>-22</v>
      </c>
      <c r="N81" s="82">
        <f>E81-M81-L81-K81</f>
        <v>-41</v>
      </c>
      <c r="O81" s="82">
        <v>0</v>
      </c>
      <c r="P81" s="82">
        <f>-29-O81</f>
        <v>-29</v>
      </c>
      <c r="R81" s="24">
        <f>SUM(I81:L81)</f>
        <v>-1172</v>
      </c>
      <c r="S81" s="24">
        <f>SUM(M81:P81)</f>
        <v>-92</v>
      </c>
      <c r="T81" s="24"/>
      <c r="U81" s="22">
        <f>SUM(S81/R81)-1</f>
        <v>-0.92150170648464158</v>
      </c>
    </row>
    <row r="82" spans="2:21" ht="15.75" x14ac:dyDescent="0.25">
      <c r="B82" s="89" t="s">
        <v>87</v>
      </c>
      <c r="C82" s="86">
        <v>-22214</v>
      </c>
      <c r="D82" s="86">
        <v>-2712</v>
      </c>
      <c r="E82" s="86">
        <v>-414</v>
      </c>
      <c r="G82" s="86">
        <v>-425</v>
      </c>
      <c r="H82" s="86">
        <f>-1891-G82</f>
        <v>-1466</v>
      </c>
      <c r="I82" s="86">
        <f>-3047-H82-G82</f>
        <v>-1156</v>
      </c>
      <c r="J82" s="86">
        <f>D82-G82-H82-I82</f>
        <v>335</v>
      </c>
      <c r="K82" s="86">
        <v>-357</v>
      </c>
      <c r="L82" s="86">
        <f>-351-K82</f>
        <v>6</v>
      </c>
      <c r="M82" s="86">
        <f>-373-L82-K82</f>
        <v>-22</v>
      </c>
      <c r="N82" s="86">
        <f>E82-M82-L82-K82</f>
        <v>-41</v>
      </c>
      <c r="O82" s="86">
        <v>0</v>
      </c>
      <c r="P82" s="86">
        <f>-29-O82</f>
        <v>-29</v>
      </c>
      <c r="R82" s="28">
        <f>SUM(I82:L82)</f>
        <v>-1172</v>
      </c>
      <c r="S82" s="28">
        <f>SUM(M82:P82)</f>
        <v>-92</v>
      </c>
      <c r="T82" s="29"/>
      <c r="U82" s="22">
        <f>SUM(S82/R82)-1</f>
        <v>-0.92150170648464158</v>
      </c>
    </row>
    <row r="83" spans="2:21" ht="5.25" customHeight="1" x14ac:dyDescent="0.25">
      <c r="B83" s="90"/>
      <c r="C83" s="87"/>
      <c r="D83" s="87"/>
      <c r="E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R83" s="87"/>
      <c r="S83" s="87"/>
      <c r="T83" s="88"/>
    </row>
    <row r="84" spans="2:21" ht="15.75" x14ac:dyDescent="0.25">
      <c r="B84" s="67" t="s">
        <v>88</v>
      </c>
      <c r="C84" s="91"/>
      <c r="D84" s="91"/>
      <c r="E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R84" s="91"/>
      <c r="S84" s="91"/>
      <c r="T84" s="92"/>
    </row>
    <row r="85" spans="2:21" x14ac:dyDescent="0.25">
      <c r="B85" t="s">
        <v>89</v>
      </c>
      <c r="C85" s="93">
        <v>1824</v>
      </c>
      <c r="D85" s="93">
        <v>475</v>
      </c>
      <c r="E85" s="93">
        <v>2560</v>
      </c>
      <c r="G85" s="93">
        <v>211</v>
      </c>
      <c r="H85" s="93">
        <f>330-G85</f>
        <v>119</v>
      </c>
      <c r="I85" s="93">
        <f>466-H85-G85</f>
        <v>136</v>
      </c>
      <c r="J85" s="82">
        <f>D85-G85-H85-I85</f>
        <v>9</v>
      </c>
      <c r="K85" s="93">
        <v>64</v>
      </c>
      <c r="L85" s="93">
        <f>953-K85</f>
        <v>889</v>
      </c>
      <c r="M85" s="93">
        <f>1417-L85-K85</f>
        <v>464</v>
      </c>
      <c r="N85" s="82">
        <f>E85-M85-L85-K85</f>
        <v>1143</v>
      </c>
      <c r="O85" s="93">
        <v>0</v>
      </c>
      <c r="P85" s="93">
        <v>0</v>
      </c>
      <c r="R85" s="24">
        <f>SUM(I85:L85)</f>
        <v>1098</v>
      </c>
      <c r="S85" s="24">
        <f>SUM(M85:P85)</f>
        <v>1607</v>
      </c>
      <c r="T85" s="24"/>
      <c r="U85" s="22">
        <f>SUM(S85/R85)-1</f>
        <v>0.46357012750455384</v>
      </c>
    </row>
    <row r="86" spans="2:21" x14ac:dyDescent="0.25">
      <c r="B86" t="s">
        <v>90</v>
      </c>
      <c r="C86" s="93">
        <v>692</v>
      </c>
      <c r="D86" s="93"/>
      <c r="E86" s="93"/>
      <c r="G86" s="93">
        <v>0</v>
      </c>
      <c r="H86" s="93">
        <v>0</v>
      </c>
      <c r="I86" s="93">
        <v>0</v>
      </c>
      <c r="J86" s="82">
        <f>D86-G86-H86-I86</f>
        <v>0</v>
      </c>
      <c r="K86" s="93"/>
      <c r="L86" s="93"/>
      <c r="M86" s="93"/>
      <c r="N86" s="93"/>
      <c r="O86" s="93">
        <v>0</v>
      </c>
      <c r="P86" s="93">
        <v>0</v>
      </c>
      <c r="R86" s="24">
        <f>SUM(I86:L86)</f>
        <v>0</v>
      </c>
      <c r="S86" s="24">
        <f>SUM(M86:P86)</f>
        <v>0</v>
      </c>
      <c r="T86" s="24"/>
      <c r="U86" s="22" t="e">
        <f>SUM(S86/R86)-1</f>
        <v>#DIV/0!</v>
      </c>
    </row>
    <row r="87" spans="2:21" x14ac:dyDescent="0.25">
      <c r="B87" t="s">
        <v>91</v>
      </c>
      <c r="C87" s="93"/>
      <c r="D87" s="93"/>
      <c r="E87" s="93"/>
      <c r="G87" s="93">
        <v>0</v>
      </c>
      <c r="H87" s="93">
        <v>0</v>
      </c>
      <c r="I87" s="93">
        <v>0</v>
      </c>
      <c r="J87" s="82">
        <f>D87-G87-H87-I87</f>
        <v>0</v>
      </c>
      <c r="K87" s="93"/>
      <c r="L87" s="93"/>
      <c r="M87" s="93"/>
      <c r="N87" s="93"/>
      <c r="O87" s="93">
        <v>22160</v>
      </c>
      <c r="P87" s="93">
        <f>123552-O87</f>
        <v>101392</v>
      </c>
      <c r="R87" s="24">
        <f>SUM(I87:L87)</f>
        <v>0</v>
      </c>
      <c r="S87" s="24">
        <f>SUM(M87:P87)</f>
        <v>123552</v>
      </c>
      <c r="T87" s="24"/>
      <c r="U87" s="22" t="e">
        <f>SUM(S87/R87)-1</f>
        <v>#DIV/0!</v>
      </c>
    </row>
    <row r="88" spans="2:21" x14ac:dyDescent="0.25">
      <c r="B88" t="s">
        <v>92</v>
      </c>
      <c r="C88" s="93">
        <v>189825</v>
      </c>
      <c r="D88" s="93">
        <v>47329</v>
      </c>
      <c r="E88" s="93"/>
      <c r="G88" s="93">
        <v>0</v>
      </c>
      <c r="H88" s="93">
        <v>0</v>
      </c>
      <c r="I88" s="93">
        <v>0</v>
      </c>
      <c r="J88" s="82">
        <f>D88-G88-H88-I88</f>
        <v>47329</v>
      </c>
      <c r="K88" s="93"/>
      <c r="L88" s="93"/>
      <c r="M88" s="93"/>
      <c r="N88" s="93"/>
      <c r="O88" s="93">
        <v>0</v>
      </c>
      <c r="P88" s="93">
        <v>0</v>
      </c>
      <c r="R88" s="24">
        <f>SUM(I88:L88)</f>
        <v>47329</v>
      </c>
      <c r="S88" s="24">
        <f>SUM(M88:P88)</f>
        <v>0</v>
      </c>
      <c r="T88" s="24"/>
      <c r="U88" s="22">
        <f>SUM(S88/R88)-1</f>
        <v>-1</v>
      </c>
    </row>
    <row r="89" spans="2:21" ht="15.75" x14ac:dyDescent="0.25">
      <c r="B89" s="85" t="s">
        <v>93</v>
      </c>
      <c r="C89" s="86">
        <v>192341</v>
      </c>
      <c r="D89" s="86">
        <v>47804</v>
      </c>
      <c r="E89" s="86">
        <v>2560</v>
      </c>
      <c r="G89" s="86">
        <v>211</v>
      </c>
      <c r="H89" s="86">
        <f>330-G89</f>
        <v>119</v>
      </c>
      <c r="I89" s="86">
        <f>466-H89-G89</f>
        <v>136</v>
      </c>
      <c r="J89" s="86">
        <f>D89-G89-H89-I89</f>
        <v>47338</v>
      </c>
      <c r="K89" s="86">
        <f>SUM(K85:K88)</f>
        <v>64</v>
      </c>
      <c r="L89" s="86">
        <f>SUM(L85:L88)-K89</f>
        <v>825</v>
      </c>
      <c r="M89" s="86">
        <f>SUM(M85:M88)-L89-K89</f>
        <v>-425</v>
      </c>
      <c r="N89" s="86">
        <f>SUM(E89-M89-L89-K89)</f>
        <v>2096</v>
      </c>
      <c r="O89" s="86">
        <f>SUM(O85:O88)</f>
        <v>22160</v>
      </c>
      <c r="P89" s="86">
        <f>SUM(P85:P88)-O89</f>
        <v>79232</v>
      </c>
      <c r="R89" s="28">
        <f>SUM(I89:L89)</f>
        <v>48363</v>
      </c>
      <c r="S89" s="28">
        <f>SUM(M89:P89)</f>
        <v>103063</v>
      </c>
      <c r="T89" s="29"/>
      <c r="U89" s="22">
        <f>SUM(S89/R89)-1</f>
        <v>1.1310299195666107</v>
      </c>
    </row>
    <row r="90" spans="2:21" ht="6" customHeight="1" x14ac:dyDescent="0.25">
      <c r="B90" s="67"/>
      <c r="C90" s="87"/>
      <c r="D90" s="87"/>
      <c r="E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R90" s="87"/>
      <c r="S90" s="87"/>
      <c r="T90" s="88"/>
    </row>
    <row r="91" spans="2:21" x14ac:dyDescent="0.25">
      <c r="B91" t="s">
        <v>94</v>
      </c>
      <c r="C91" s="93">
        <v>139931</v>
      </c>
      <c r="D91" s="93">
        <v>-32422</v>
      </c>
      <c r="E91" s="93">
        <v>-79879</v>
      </c>
      <c r="G91" s="93">
        <v>-23744</v>
      </c>
      <c r="H91" s="93">
        <v>-36205</v>
      </c>
      <c r="I91" s="93">
        <v>-58775</v>
      </c>
      <c r="J91" s="93" cm="1">
        <f t="array" ref="J91:J93">D91:D93</f>
        <v>-32422</v>
      </c>
      <c r="K91" s="93">
        <v>-13548</v>
      </c>
      <c r="L91" s="93">
        <f>-32577</f>
        <v>-32577</v>
      </c>
      <c r="M91" s="93">
        <v>-58665</v>
      </c>
      <c r="N91" s="93" cm="1">
        <f t="array" ref="N91:N93">E91:E93</f>
        <v>-79879</v>
      </c>
      <c r="O91" s="93">
        <v>3033</v>
      </c>
      <c r="P91" s="93">
        <v>86155</v>
      </c>
      <c r="R91" s="94">
        <f>SUM(I91:L91)</f>
        <v>-137322</v>
      </c>
      <c r="S91" s="94">
        <f>SUM(M91:P91)</f>
        <v>-49356</v>
      </c>
      <c r="T91" s="24"/>
      <c r="U91" s="22">
        <f>SUM(S91/R91)-1</f>
        <v>-0.64058198977585534</v>
      </c>
    </row>
    <row r="92" spans="2:21" x14ac:dyDescent="0.25">
      <c r="B92" t="s">
        <v>95</v>
      </c>
      <c r="C92" s="93">
        <v>93506</v>
      </c>
      <c r="D92" s="93">
        <v>233437</v>
      </c>
      <c r="E92" s="93">
        <v>201015</v>
      </c>
      <c r="G92" s="93">
        <v>233437</v>
      </c>
      <c r="H92" s="93">
        <v>233437</v>
      </c>
      <c r="I92" s="93">
        <v>233437</v>
      </c>
      <c r="J92" s="93">
        <v>233437</v>
      </c>
      <c r="K92" s="93">
        <v>201015</v>
      </c>
      <c r="L92" s="93">
        <f>201015</f>
        <v>201015</v>
      </c>
      <c r="M92" s="93">
        <v>201015</v>
      </c>
      <c r="N92" s="93">
        <v>201015</v>
      </c>
      <c r="O92" s="93">
        <v>121136</v>
      </c>
      <c r="P92" s="93">
        <v>121136</v>
      </c>
      <c r="R92" s="94">
        <f>SUM(I92:L92)</f>
        <v>868904</v>
      </c>
      <c r="S92" s="94">
        <f>SUM(M92:P92)</f>
        <v>644302</v>
      </c>
      <c r="T92" s="24"/>
      <c r="U92" s="22">
        <f>SUM(S92/R92)-1</f>
        <v>-0.25848885492528517</v>
      </c>
    </row>
    <row r="93" spans="2:21" x14ac:dyDescent="0.25">
      <c r="B93" t="s">
        <v>96</v>
      </c>
      <c r="C93" s="93">
        <v>233437</v>
      </c>
      <c r="D93" s="93">
        <v>201015</v>
      </c>
      <c r="E93" s="93">
        <v>121136</v>
      </c>
      <c r="G93" s="93">
        <v>209693</v>
      </c>
      <c r="H93" s="93">
        <v>197232</v>
      </c>
      <c r="I93" s="93">
        <v>174662</v>
      </c>
      <c r="J93" s="93">
        <v>201015</v>
      </c>
      <c r="K93" s="93">
        <v>187467</v>
      </c>
      <c r="L93" s="93">
        <v>168438</v>
      </c>
      <c r="M93" s="93">
        <v>142350</v>
      </c>
      <c r="N93" s="93">
        <v>121136</v>
      </c>
      <c r="O93" s="93">
        <v>124169</v>
      </c>
      <c r="P93" s="93">
        <v>207291</v>
      </c>
      <c r="R93" s="94">
        <f>SUM(I93:L93)</f>
        <v>731582</v>
      </c>
      <c r="S93" s="94">
        <f>SUM(M93:P93)</f>
        <v>594946</v>
      </c>
      <c r="T93" s="24"/>
      <c r="U93" s="22">
        <f>SUM(S93/R93)-1</f>
        <v>-0.18676785377442306</v>
      </c>
    </row>
    <row r="94" spans="2:21" ht="5.25" customHeight="1" x14ac:dyDescent="0.25">
      <c r="C94" s="93"/>
      <c r="D94" s="93"/>
      <c r="E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R94" s="93"/>
      <c r="S94" s="93"/>
      <c r="T94" s="95"/>
    </row>
    <row r="95" spans="2:21" ht="15.75" x14ac:dyDescent="0.25">
      <c r="B95" s="67" t="s">
        <v>97</v>
      </c>
      <c r="C95" s="96"/>
      <c r="D95" s="96"/>
      <c r="E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R95" s="96"/>
      <c r="S95" s="96"/>
      <c r="T95" s="97"/>
    </row>
    <row r="96" spans="2:21" x14ac:dyDescent="0.25">
      <c r="B96" t="s">
        <v>98</v>
      </c>
      <c r="C96" s="96"/>
      <c r="D96" s="96"/>
      <c r="E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R96" s="24">
        <f t="shared" ref="R96:R101" si="14">SUM(I96:L96)</f>
        <v>0</v>
      </c>
      <c r="S96" s="24">
        <f t="shared" ref="S96:S101" si="15">SUM(M96:P96)</f>
        <v>0</v>
      </c>
      <c r="T96" s="24"/>
      <c r="U96" s="22" t="e">
        <f t="shared" ref="U96:U101" si="16">SUM(S96/R96)-1</f>
        <v>#DIV/0!</v>
      </c>
    </row>
    <row r="97" spans="2:21" x14ac:dyDescent="0.25">
      <c r="B97" t="s">
        <v>99</v>
      </c>
      <c r="C97" s="93" t="s">
        <v>100</v>
      </c>
      <c r="D97" s="93">
        <v>340</v>
      </c>
      <c r="E97" s="93" t="s">
        <v>100</v>
      </c>
      <c r="G97" s="93"/>
      <c r="H97" s="93"/>
      <c r="I97" s="93"/>
      <c r="J97" s="93"/>
      <c r="K97" s="93"/>
      <c r="L97" s="93"/>
      <c r="M97" s="93"/>
      <c r="N97" s="93"/>
      <c r="O97" s="93"/>
      <c r="P97" s="93"/>
      <c r="R97" s="24">
        <f t="shared" si="14"/>
        <v>0</v>
      </c>
      <c r="S97" s="24">
        <f t="shared" si="15"/>
        <v>0</v>
      </c>
      <c r="T97" s="24"/>
      <c r="U97" s="22" t="e">
        <f t="shared" si="16"/>
        <v>#DIV/0!</v>
      </c>
    </row>
    <row r="98" spans="2:21" x14ac:dyDescent="0.25">
      <c r="B98" t="s">
        <v>101</v>
      </c>
      <c r="C98" s="93"/>
      <c r="D98" s="93"/>
      <c r="E98" s="93"/>
      <c r="G98" s="93"/>
      <c r="H98" s="93"/>
      <c r="I98" s="93"/>
      <c r="J98" s="93"/>
      <c r="K98" s="93"/>
      <c r="L98" s="93"/>
      <c r="M98" s="93"/>
      <c r="N98" s="93"/>
      <c r="O98" s="93">
        <v>113363</v>
      </c>
      <c r="P98" s="93">
        <f>-113363+O98</f>
        <v>0</v>
      </c>
      <c r="R98" s="24">
        <f t="shared" si="14"/>
        <v>0</v>
      </c>
      <c r="S98" s="24">
        <f t="shared" si="15"/>
        <v>113363</v>
      </c>
      <c r="T98" s="24"/>
      <c r="U98" s="22" t="e">
        <f t="shared" si="16"/>
        <v>#DIV/0!</v>
      </c>
    </row>
    <row r="99" spans="2:21" ht="15.75" thickBot="1" x14ac:dyDescent="0.3">
      <c r="B99" t="s">
        <v>102</v>
      </c>
      <c r="C99" s="93"/>
      <c r="D99" s="93"/>
      <c r="E99" s="93"/>
      <c r="G99" s="93"/>
      <c r="H99" s="93"/>
      <c r="I99" s="93"/>
      <c r="J99" s="93"/>
      <c r="K99" s="93"/>
      <c r="L99" s="93"/>
      <c r="M99" s="93"/>
      <c r="N99" s="93"/>
      <c r="O99" s="93">
        <v>-4954</v>
      </c>
      <c r="P99" s="93">
        <f>-5180-O99</f>
        <v>-226</v>
      </c>
      <c r="R99" s="24">
        <f t="shared" si="14"/>
        <v>0</v>
      </c>
      <c r="S99" s="24">
        <f t="shared" si="15"/>
        <v>-5180</v>
      </c>
      <c r="T99" s="24"/>
      <c r="U99" s="22" t="e">
        <f t="shared" si="16"/>
        <v>#DIV/0!</v>
      </c>
    </row>
    <row r="100" spans="2:21" ht="15.75" x14ac:dyDescent="0.25">
      <c r="B100" s="98" t="s">
        <v>103</v>
      </c>
      <c r="C100" s="99">
        <f>C78-C81</f>
        <v>-7982</v>
      </c>
      <c r="D100" s="99">
        <f>D78-D81</f>
        <v>-74802</v>
      </c>
      <c r="E100" s="100">
        <f>E78-E81</f>
        <v>-81611</v>
      </c>
      <c r="G100" s="101">
        <f>G78-G81</f>
        <v>-23105</v>
      </c>
      <c r="H100" s="99">
        <f>H78-H81</f>
        <v>-9648</v>
      </c>
      <c r="I100" s="99">
        <f>I78-I81</f>
        <v>-20394</v>
      </c>
      <c r="J100" s="99">
        <f>J78-J81</f>
        <v>-21655</v>
      </c>
      <c r="K100" s="99">
        <f t="shared" ref="K100:P100" si="17">K78-K81</f>
        <v>-12898</v>
      </c>
      <c r="L100" s="99">
        <f t="shared" si="17"/>
        <v>-19930</v>
      </c>
      <c r="M100" s="99">
        <f t="shared" si="17"/>
        <v>-26508</v>
      </c>
      <c r="N100" s="99">
        <f t="shared" si="17"/>
        <v>-22275</v>
      </c>
      <c r="O100" s="99">
        <f t="shared" si="17"/>
        <v>-19127</v>
      </c>
      <c r="P100" s="100">
        <f t="shared" si="17"/>
        <v>-18212</v>
      </c>
      <c r="R100" s="102">
        <f t="shared" si="14"/>
        <v>-74877</v>
      </c>
      <c r="S100" s="103">
        <f t="shared" si="15"/>
        <v>-86122</v>
      </c>
      <c r="T100" s="92"/>
      <c r="U100" s="22">
        <f t="shared" si="16"/>
        <v>0.15017962792312733</v>
      </c>
    </row>
    <row r="101" spans="2:21" ht="15.75" thickBot="1" x14ac:dyDescent="0.3">
      <c r="B101" s="104" t="s">
        <v>104</v>
      </c>
      <c r="C101" s="105">
        <f>C65+C67+C69</f>
        <v>-30316</v>
      </c>
      <c r="D101" s="105">
        <f>D65+D67+D69</f>
        <v>-73376</v>
      </c>
      <c r="E101" s="106">
        <f>E65+E67+E69</f>
        <v>-91547</v>
      </c>
      <c r="G101" s="107">
        <f t="shared" ref="G101:N101" si="18">G65+G67+G69</f>
        <v>-16854</v>
      </c>
      <c r="H101" s="105">
        <f t="shared" si="18"/>
        <v>-18669</v>
      </c>
      <c r="I101" s="105">
        <f t="shared" si="18"/>
        <v>-56461</v>
      </c>
      <c r="J101" s="105">
        <f t="shared" si="18"/>
        <v>18608</v>
      </c>
      <c r="K101" s="105">
        <f t="shared" si="18"/>
        <v>-23326</v>
      </c>
      <c r="L101" s="105">
        <f t="shared" si="18"/>
        <v>-25269</v>
      </c>
      <c r="M101" s="105">
        <f t="shared" si="18"/>
        <v>-24429</v>
      </c>
      <c r="N101" s="105">
        <f t="shared" si="18"/>
        <v>-18523</v>
      </c>
      <c r="O101" s="105">
        <f>O65+O67+O69+O68</f>
        <v>-15413</v>
      </c>
      <c r="P101" s="106">
        <f>P65+P67+P69+P68</f>
        <v>-56137</v>
      </c>
      <c r="R101" s="108">
        <f t="shared" si="14"/>
        <v>-86448</v>
      </c>
      <c r="S101" s="106">
        <f t="shared" si="15"/>
        <v>-114502</v>
      </c>
      <c r="T101" s="92"/>
      <c r="U101" s="22">
        <f t="shared" si="16"/>
        <v>0.32451878585970761</v>
      </c>
    </row>
    <row r="102" spans="2:21" ht="5.25" customHeight="1" x14ac:dyDescent="0.25">
      <c r="B102" s="78"/>
      <c r="C102" s="109"/>
      <c r="D102" s="109"/>
      <c r="E102" s="109"/>
      <c r="U102" s="42"/>
    </row>
    <row r="103" spans="2:21" x14ac:dyDescent="0.25">
      <c r="B103" s="78"/>
      <c r="C103" s="81"/>
      <c r="D103" s="81"/>
      <c r="E103" s="81"/>
    </row>
    <row r="104" spans="2:21" x14ac:dyDescent="0.25">
      <c r="C104" s="81"/>
      <c r="D104" s="81"/>
      <c r="E104" s="81"/>
    </row>
    <row r="105" spans="2:21" x14ac:dyDescent="0.25">
      <c r="C105" s="81"/>
      <c r="D105" s="81"/>
      <c r="E105" s="81"/>
    </row>
    <row r="106" spans="2:21" x14ac:dyDescent="0.25">
      <c r="C106" s="81"/>
      <c r="D106" s="81"/>
      <c r="E106" s="81"/>
    </row>
    <row r="107" spans="2:21" x14ac:dyDescent="0.25">
      <c r="C107" s="81"/>
      <c r="D107" s="81"/>
      <c r="E107" s="81"/>
    </row>
    <row r="108" spans="2:21" x14ac:dyDescent="0.25">
      <c r="C108" s="81"/>
      <c r="D108" s="81"/>
      <c r="E108" s="81"/>
    </row>
    <row r="109" spans="2:21" x14ac:dyDescent="0.25">
      <c r="C109" s="81"/>
      <c r="D109" s="81"/>
      <c r="E109" s="81"/>
    </row>
    <row r="110" spans="2:21" x14ac:dyDescent="0.25">
      <c r="C110" s="81"/>
      <c r="D110" s="81"/>
      <c r="E110" s="81"/>
    </row>
    <row r="111" spans="2:21" x14ac:dyDescent="0.25">
      <c r="C111" s="81"/>
      <c r="D111" s="81"/>
      <c r="E111" s="81"/>
    </row>
    <row r="112" spans="2:21" x14ac:dyDescent="0.25">
      <c r="C112" s="81"/>
      <c r="D112" s="81"/>
      <c r="E112" s="81"/>
    </row>
    <row r="113" spans="2:5" x14ac:dyDescent="0.25">
      <c r="C113" s="81"/>
      <c r="D113" s="81"/>
      <c r="E113" s="81"/>
    </row>
    <row r="114" spans="2:5" x14ac:dyDescent="0.25">
      <c r="C114" s="81"/>
      <c r="D114" s="81"/>
      <c r="E114" s="81"/>
    </row>
    <row r="115" spans="2:5" x14ac:dyDescent="0.25">
      <c r="B115" s="78"/>
      <c r="C115" s="109"/>
      <c r="D115" s="109"/>
      <c r="E115" s="109"/>
    </row>
    <row r="116" spans="2:5" ht="3.75" customHeight="1" x14ac:dyDescent="0.25">
      <c r="B116" s="78"/>
      <c r="C116" s="109"/>
      <c r="D116" s="109"/>
      <c r="E116" s="109"/>
    </row>
    <row r="117" spans="2:5" x14ac:dyDescent="0.25">
      <c r="C117" s="81"/>
      <c r="D117" s="81"/>
      <c r="E117" s="81"/>
    </row>
    <row r="118" spans="2:5" x14ac:dyDescent="0.25">
      <c r="C118" s="81"/>
      <c r="D118" s="81"/>
      <c r="E118" s="81"/>
    </row>
    <row r="119" spans="2:5" x14ac:dyDescent="0.25">
      <c r="C119" s="81"/>
      <c r="D119" s="81"/>
      <c r="E119" s="81"/>
    </row>
    <row r="120" spans="2:5" x14ac:dyDescent="0.25">
      <c r="C120" s="81"/>
      <c r="D120" s="81"/>
      <c r="E120" s="81"/>
    </row>
    <row r="121" spans="2:5" x14ac:dyDescent="0.25">
      <c r="C121" s="81"/>
      <c r="D121" s="81"/>
      <c r="E121" s="81"/>
    </row>
    <row r="122" spans="2:5" x14ac:dyDescent="0.25">
      <c r="C122" s="81"/>
      <c r="D122" s="81"/>
      <c r="E122" s="81"/>
    </row>
    <row r="123" spans="2:5" x14ac:dyDescent="0.25">
      <c r="C123" s="81"/>
      <c r="D123" s="81"/>
      <c r="E123" s="81"/>
    </row>
  </sheetData>
  <mergeCells count="1">
    <mergeCell ref="U7:U8"/>
  </mergeCells>
  <conditionalFormatting sqref="C8:P9 C10:J10 L10:P10">
    <cfRule type="timePeriod" dxfId="0" priority="1" timePeriod="lastWeek">
      <formula>AND(TODAY()-ROUNDDOWN(C8,0)&gt;=(WEEKDAY(TODAY())),TODAY()-ROUNDDOWN(C8,0)&lt;(WEEKDAY(TODAY())+7))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Cassava Sciences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dcterms:created xsi:type="dcterms:W3CDTF">2024-11-08T23:44:24Z</dcterms:created>
  <dcterms:modified xsi:type="dcterms:W3CDTF">2024-11-08T23:48:43Z</dcterms:modified>
</cp:coreProperties>
</file>