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COP\upcoming meeting\apr 23\"/>
    </mc:Choice>
  </mc:AlternateContent>
  <xr:revisionPtr revIDLastSave="0" documentId="13_ncr:1_{522FD2D0-C257-472D-803B-8729A060FD3E}" xr6:coauthVersionLast="47" xr6:coauthVersionMax="47" xr10:uidLastSave="{00000000-0000-0000-0000-000000000000}"/>
  <bookViews>
    <workbookView xWindow="-120" yWindow="-120" windowWidth="20730" windowHeight="11160" tabRatio="817" activeTab="7" xr2:uid="{00000000-000D-0000-FFFF-FFFF00000000}"/>
  </bookViews>
  <sheets>
    <sheet name="Summary" sheetId="1" r:id="rId1"/>
    <sheet name="78 MLD NEW" sheetId="12" r:id="rId2"/>
    <sheet name="12 Mld New " sheetId="10" r:id="rId3"/>
    <sheet name="24MLD New" sheetId="13" r:id="rId4"/>
    <sheet name="40 MLd New" sheetId="11" r:id="rId5"/>
    <sheet name="10MLD NEW" sheetId="14" r:id="rId6"/>
    <sheet name="14MLD New" sheetId="15" r:id="rId7"/>
    <sheet name="2.25Mld NEW " sheetId="16" r:id="rId8"/>
    <sheet name="Sheet1" sheetId="17" r:id="rId9"/>
  </sheets>
  <definedNames>
    <definedName name="_xlnm._FilterDatabase" localSheetId="3" hidden="1">'24MLD New'!$G$2:$H$2</definedName>
    <definedName name="_xlnm.Print_Area" localSheetId="5">'10MLD NEW'!$A$1:$X$38</definedName>
    <definedName name="_xlnm.Print_Area" localSheetId="2">'12 Mld New '!$A$1:$X$38</definedName>
    <definedName name="_xlnm.Print_Area" localSheetId="6">'14MLD New'!$A$1:$X$38</definedName>
    <definedName name="_xlnm.Print_Area" localSheetId="7">'2.25Mld NEW '!$A$1:$X$38</definedName>
    <definedName name="_xlnm.Print_Area" localSheetId="3">'24MLD New'!$A$1:$X$38</definedName>
    <definedName name="_xlnm.Print_Area" localSheetId="4">'40 MLd New'!$A$1:$X$38</definedName>
    <definedName name="_xlnm.Print_Area" localSheetId="1">'78 MLD NEW'!$A$1:$X$38</definedName>
    <definedName name="_xlnm.Print_Area" localSheetId="0">Summary!$A$1:$K$32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6" l="1"/>
  <c r="V7" i="16"/>
  <c r="W7" i="16"/>
  <c r="V8" i="16"/>
  <c r="W8" i="16"/>
  <c r="V9" i="16"/>
  <c r="W9" i="16"/>
  <c r="V10" i="16"/>
  <c r="W10" i="16"/>
  <c r="V11" i="16"/>
  <c r="W11" i="16"/>
  <c r="V12" i="16"/>
  <c r="W12" i="16"/>
  <c r="V13" i="16"/>
  <c r="W13" i="16"/>
  <c r="V14" i="16"/>
  <c r="W14" i="16"/>
  <c r="V15" i="16"/>
  <c r="W15" i="16"/>
  <c r="V16" i="16"/>
  <c r="W16" i="16"/>
  <c r="V17" i="16"/>
  <c r="W17" i="16"/>
  <c r="V18" i="16"/>
  <c r="W18" i="16"/>
  <c r="V19" i="16"/>
  <c r="W19" i="16"/>
  <c r="V20" i="16"/>
  <c r="W20" i="16"/>
  <c r="V21" i="16"/>
  <c r="W21" i="16"/>
  <c r="V22" i="16"/>
  <c r="W22" i="16"/>
  <c r="V23" i="16"/>
  <c r="W23" i="16"/>
  <c r="V24" i="16"/>
  <c r="W24" i="16"/>
  <c r="V25" i="16"/>
  <c r="W25" i="16"/>
  <c r="V26" i="16"/>
  <c r="W26" i="16"/>
  <c r="V27" i="16"/>
  <c r="W27" i="16"/>
  <c r="V28" i="16"/>
  <c r="W28" i="16"/>
  <c r="V29" i="16"/>
  <c r="W29" i="16"/>
  <c r="V30" i="16"/>
  <c r="W30" i="16"/>
  <c r="V31" i="16"/>
  <c r="W31" i="16"/>
  <c r="V32" i="16"/>
  <c r="W32" i="16"/>
  <c r="V33" i="16"/>
  <c r="W33" i="16"/>
  <c r="V34" i="16"/>
  <c r="W34" i="16"/>
  <c r="V35" i="16"/>
  <c r="W35" i="16"/>
  <c r="V36" i="16"/>
  <c r="W36" i="16"/>
  <c r="V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Q18" i="16"/>
  <c r="R18" i="16"/>
  <c r="Q19" i="16"/>
  <c r="R19" i="16"/>
  <c r="Q20" i="16"/>
  <c r="R20" i="16"/>
  <c r="Q21" i="16"/>
  <c r="R21" i="16"/>
  <c r="Q22" i="16"/>
  <c r="R22" i="16"/>
  <c r="Q23" i="16"/>
  <c r="R23" i="16"/>
  <c r="Q24" i="16"/>
  <c r="R24" i="16"/>
  <c r="Q25" i="16"/>
  <c r="R25" i="16"/>
  <c r="Q26" i="16"/>
  <c r="R26" i="16"/>
  <c r="Q27" i="16"/>
  <c r="R27" i="16"/>
  <c r="Q28" i="16"/>
  <c r="R28" i="16"/>
  <c r="Q29" i="16"/>
  <c r="R29" i="16"/>
  <c r="Q30" i="16"/>
  <c r="R30" i="16"/>
  <c r="Q31" i="16"/>
  <c r="R31" i="16"/>
  <c r="Q32" i="16"/>
  <c r="R32" i="16"/>
  <c r="Q33" i="16"/>
  <c r="R33" i="16"/>
  <c r="Q34" i="16"/>
  <c r="R34" i="16"/>
  <c r="Q35" i="16"/>
  <c r="R35" i="16"/>
  <c r="Q36" i="16"/>
  <c r="R36" i="16"/>
  <c r="N7" i="16"/>
  <c r="O7" i="16"/>
  <c r="N8" i="16"/>
  <c r="O8" i="16"/>
  <c r="N9" i="16"/>
  <c r="O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N34" i="16"/>
  <c r="O34" i="16"/>
  <c r="N35" i="16"/>
  <c r="O35" i="16"/>
  <c r="N36" i="16"/>
  <c r="O3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K20" i="16"/>
  <c r="L20" i="16"/>
  <c r="K21" i="16"/>
  <c r="L21" i="16"/>
  <c r="K22" i="16"/>
  <c r="L22" i="16"/>
  <c r="K23" i="16"/>
  <c r="L23" i="16"/>
  <c r="K24" i="16"/>
  <c r="L24" i="16"/>
  <c r="K25" i="16"/>
  <c r="L25" i="16"/>
  <c r="K26" i="16"/>
  <c r="L26" i="16"/>
  <c r="K27" i="16"/>
  <c r="L27" i="16"/>
  <c r="K28" i="16"/>
  <c r="L28" i="16"/>
  <c r="K29" i="16"/>
  <c r="L29" i="16"/>
  <c r="K30" i="16"/>
  <c r="L30" i="16"/>
  <c r="K31" i="16"/>
  <c r="L31" i="16"/>
  <c r="K32" i="16"/>
  <c r="L32" i="16"/>
  <c r="K33" i="16"/>
  <c r="L33" i="16"/>
  <c r="K34" i="16"/>
  <c r="L34" i="16"/>
  <c r="K35" i="16"/>
  <c r="L35" i="16"/>
  <c r="K36" i="16"/>
  <c r="L3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V38" i="15"/>
  <c r="W37" i="15"/>
  <c r="V37" i="15"/>
  <c r="V7" i="15"/>
  <c r="W7" i="15"/>
  <c r="V8" i="15"/>
  <c r="W8" i="15"/>
  <c r="V9" i="15"/>
  <c r="W9" i="15"/>
  <c r="V10" i="15"/>
  <c r="W10" i="15"/>
  <c r="V11" i="15"/>
  <c r="W11" i="15"/>
  <c r="V12" i="15"/>
  <c r="W12" i="15"/>
  <c r="V13" i="15"/>
  <c r="W13" i="15"/>
  <c r="V14" i="15"/>
  <c r="W14" i="15"/>
  <c r="V15" i="15"/>
  <c r="W15" i="15"/>
  <c r="V16" i="15"/>
  <c r="W16" i="15"/>
  <c r="V17" i="15"/>
  <c r="W17" i="15"/>
  <c r="V18" i="15"/>
  <c r="W18" i="15"/>
  <c r="V19" i="15"/>
  <c r="W19" i="15"/>
  <c r="V20" i="15"/>
  <c r="W20" i="15"/>
  <c r="V21" i="15"/>
  <c r="W21" i="15"/>
  <c r="V22" i="15"/>
  <c r="W22" i="15"/>
  <c r="V23" i="15"/>
  <c r="W23" i="15"/>
  <c r="V24" i="15"/>
  <c r="W24" i="15"/>
  <c r="V25" i="15"/>
  <c r="W25" i="15"/>
  <c r="V26" i="15"/>
  <c r="W26" i="15"/>
  <c r="V27" i="15"/>
  <c r="W27" i="15"/>
  <c r="V28" i="15"/>
  <c r="W28" i="15"/>
  <c r="V29" i="15"/>
  <c r="W29" i="15"/>
  <c r="V30" i="15"/>
  <c r="W30" i="15"/>
  <c r="V31" i="15"/>
  <c r="W31" i="15"/>
  <c r="V32" i="15"/>
  <c r="W32" i="15"/>
  <c r="V33" i="15"/>
  <c r="W33" i="15"/>
  <c r="V34" i="15"/>
  <c r="W34" i="15"/>
  <c r="V35" i="15"/>
  <c r="W35" i="15"/>
  <c r="V36" i="15"/>
  <c r="W36" i="15"/>
  <c r="W6" i="15"/>
  <c r="V6" i="15"/>
  <c r="T7" i="15"/>
  <c r="U7" i="15"/>
  <c r="T8" i="15"/>
  <c r="U8" i="15"/>
  <c r="T9" i="15"/>
  <c r="U9" i="15"/>
  <c r="T10" i="15"/>
  <c r="U10" i="15"/>
  <c r="T11" i="15"/>
  <c r="U11" i="15"/>
  <c r="T12" i="15"/>
  <c r="U12" i="15"/>
  <c r="T13" i="15"/>
  <c r="U13" i="15"/>
  <c r="T14" i="15"/>
  <c r="U14" i="15"/>
  <c r="T15" i="15"/>
  <c r="U15" i="15"/>
  <c r="T16" i="15"/>
  <c r="U16" i="15"/>
  <c r="T17" i="15"/>
  <c r="U17" i="15"/>
  <c r="T18" i="15"/>
  <c r="U18" i="15"/>
  <c r="T19" i="15"/>
  <c r="U19" i="15"/>
  <c r="T20" i="15"/>
  <c r="U20" i="15"/>
  <c r="T21" i="15"/>
  <c r="U21" i="15"/>
  <c r="T22" i="15"/>
  <c r="U22" i="15"/>
  <c r="T23" i="15"/>
  <c r="U23" i="15"/>
  <c r="T24" i="15"/>
  <c r="U24" i="15"/>
  <c r="T25" i="15"/>
  <c r="U25" i="15"/>
  <c r="T26" i="15"/>
  <c r="U26" i="15"/>
  <c r="T27" i="15"/>
  <c r="U27" i="15"/>
  <c r="T28" i="15"/>
  <c r="U28" i="15"/>
  <c r="T29" i="15"/>
  <c r="U29" i="15"/>
  <c r="T30" i="15"/>
  <c r="U30" i="15"/>
  <c r="T31" i="15"/>
  <c r="U31" i="15"/>
  <c r="T32" i="15"/>
  <c r="U32" i="15"/>
  <c r="T33" i="15"/>
  <c r="U33" i="15"/>
  <c r="T34" i="15"/>
  <c r="U34" i="15"/>
  <c r="T35" i="15"/>
  <c r="U35" i="15"/>
  <c r="T36" i="15"/>
  <c r="U36" i="15"/>
  <c r="Q7" i="15"/>
  <c r="R7" i="15"/>
  <c r="Q8" i="15"/>
  <c r="R8" i="15"/>
  <c r="Q9" i="15"/>
  <c r="R9" i="15"/>
  <c r="Q10" i="15"/>
  <c r="R10" i="15"/>
  <c r="Q11" i="15"/>
  <c r="R11" i="15"/>
  <c r="Q12" i="15"/>
  <c r="R12" i="15"/>
  <c r="Q13" i="15"/>
  <c r="R13" i="15"/>
  <c r="Q14" i="15"/>
  <c r="R14" i="15"/>
  <c r="Q15" i="15"/>
  <c r="R15" i="15"/>
  <c r="Q16" i="15"/>
  <c r="R16" i="15"/>
  <c r="Q17" i="15"/>
  <c r="R17" i="15"/>
  <c r="Q18" i="15"/>
  <c r="R18" i="15"/>
  <c r="Q19" i="15"/>
  <c r="R19" i="15"/>
  <c r="Q20" i="15"/>
  <c r="R20" i="15"/>
  <c r="Q21" i="15"/>
  <c r="R21" i="15"/>
  <c r="Q22" i="15"/>
  <c r="R22" i="15"/>
  <c r="Q23" i="15"/>
  <c r="R23" i="15"/>
  <c r="Q24" i="15"/>
  <c r="R24" i="15"/>
  <c r="Q25" i="15"/>
  <c r="R25" i="15"/>
  <c r="Q26" i="15"/>
  <c r="R26" i="15"/>
  <c r="Q27" i="15"/>
  <c r="R27" i="15"/>
  <c r="Q28" i="15"/>
  <c r="R28" i="15"/>
  <c r="Q29" i="15"/>
  <c r="R29" i="15"/>
  <c r="Q30" i="15"/>
  <c r="R30" i="15"/>
  <c r="Q31" i="15"/>
  <c r="R31" i="15"/>
  <c r="Q32" i="15"/>
  <c r="R32" i="15"/>
  <c r="Q33" i="15"/>
  <c r="R33" i="15"/>
  <c r="Q34" i="15"/>
  <c r="R34" i="15"/>
  <c r="Q35" i="15"/>
  <c r="R35" i="15"/>
  <c r="Q36" i="15"/>
  <c r="R36" i="15"/>
  <c r="N7" i="15"/>
  <c r="O7" i="15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N21" i="15"/>
  <c r="O21" i="15"/>
  <c r="N22" i="15"/>
  <c r="O22" i="15"/>
  <c r="N23" i="15"/>
  <c r="O23" i="15"/>
  <c r="N24" i="15"/>
  <c r="O24" i="15"/>
  <c r="N25" i="15"/>
  <c r="O25" i="15"/>
  <c r="N26" i="15"/>
  <c r="O26" i="15"/>
  <c r="N27" i="15"/>
  <c r="O27" i="15"/>
  <c r="N28" i="15"/>
  <c r="O28" i="15"/>
  <c r="N29" i="15"/>
  <c r="O29" i="15"/>
  <c r="N30" i="15"/>
  <c r="O30" i="15"/>
  <c r="N31" i="15"/>
  <c r="O31" i="15"/>
  <c r="N32" i="15"/>
  <c r="O32" i="15"/>
  <c r="N33" i="15"/>
  <c r="O33" i="15"/>
  <c r="N34" i="15"/>
  <c r="O34" i="15"/>
  <c r="N35" i="15"/>
  <c r="O35" i="15"/>
  <c r="N36" i="15"/>
  <c r="O36" i="15"/>
  <c r="K7" i="15"/>
  <c r="L7" i="15"/>
  <c r="K8" i="15"/>
  <c r="L8" i="15"/>
  <c r="K9" i="15"/>
  <c r="L9" i="15"/>
  <c r="K10" i="15"/>
  <c r="L10" i="15"/>
  <c r="K11" i="15"/>
  <c r="L11" i="15"/>
  <c r="K12" i="15"/>
  <c r="L12" i="15"/>
  <c r="K13" i="15"/>
  <c r="L13" i="15"/>
  <c r="K14" i="15"/>
  <c r="L14" i="15"/>
  <c r="K15" i="15"/>
  <c r="L15" i="15"/>
  <c r="K16" i="15"/>
  <c r="L16" i="15"/>
  <c r="K17" i="15"/>
  <c r="L17" i="15"/>
  <c r="K18" i="15"/>
  <c r="L18" i="15"/>
  <c r="K19" i="15"/>
  <c r="L19" i="15"/>
  <c r="K20" i="15"/>
  <c r="L20" i="15"/>
  <c r="K21" i="15"/>
  <c r="L21" i="15"/>
  <c r="K22" i="15"/>
  <c r="L22" i="15"/>
  <c r="K23" i="15"/>
  <c r="L23" i="15"/>
  <c r="K24" i="15"/>
  <c r="L24" i="15"/>
  <c r="K25" i="15"/>
  <c r="L25" i="15"/>
  <c r="K26" i="15"/>
  <c r="L26" i="15"/>
  <c r="K27" i="15"/>
  <c r="L27" i="15"/>
  <c r="K28" i="15"/>
  <c r="L28" i="15"/>
  <c r="K29" i="15"/>
  <c r="L29" i="15"/>
  <c r="K30" i="15"/>
  <c r="L30" i="15"/>
  <c r="K31" i="15"/>
  <c r="L31" i="15"/>
  <c r="K32" i="15"/>
  <c r="L32" i="15"/>
  <c r="K33" i="15"/>
  <c r="L33" i="15"/>
  <c r="K34" i="15"/>
  <c r="L34" i="15"/>
  <c r="K35" i="15"/>
  <c r="L35" i="15"/>
  <c r="K36" i="15"/>
  <c r="L3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V7" i="14"/>
  <c r="W7" i="14"/>
  <c r="V8" i="14"/>
  <c r="W8" i="14"/>
  <c r="V9" i="14"/>
  <c r="W9" i="14"/>
  <c r="V10" i="14"/>
  <c r="W10" i="14"/>
  <c r="V11" i="14"/>
  <c r="W11" i="14"/>
  <c r="V12" i="14"/>
  <c r="W12" i="14"/>
  <c r="V13" i="14"/>
  <c r="W13" i="14"/>
  <c r="V14" i="14"/>
  <c r="W14" i="14"/>
  <c r="V15" i="14"/>
  <c r="W15" i="14"/>
  <c r="V16" i="14"/>
  <c r="W16" i="14"/>
  <c r="V17" i="14"/>
  <c r="W17" i="14"/>
  <c r="V18" i="14"/>
  <c r="W18" i="14"/>
  <c r="V19" i="14"/>
  <c r="W19" i="14"/>
  <c r="V20" i="14"/>
  <c r="W20" i="14"/>
  <c r="V21" i="14"/>
  <c r="W21" i="14"/>
  <c r="V22" i="14"/>
  <c r="W22" i="14"/>
  <c r="V23" i="14"/>
  <c r="W23" i="14"/>
  <c r="V24" i="14"/>
  <c r="W24" i="14"/>
  <c r="V25" i="14"/>
  <c r="W25" i="14"/>
  <c r="V26" i="14"/>
  <c r="W26" i="14"/>
  <c r="V27" i="14"/>
  <c r="W27" i="14"/>
  <c r="V28" i="14"/>
  <c r="W28" i="14"/>
  <c r="V29" i="14"/>
  <c r="W29" i="14"/>
  <c r="V30" i="14"/>
  <c r="W30" i="14"/>
  <c r="V31" i="14"/>
  <c r="W31" i="14"/>
  <c r="V32" i="14"/>
  <c r="W32" i="14"/>
  <c r="V33" i="14"/>
  <c r="W33" i="14"/>
  <c r="V34" i="14"/>
  <c r="W34" i="14"/>
  <c r="V35" i="14"/>
  <c r="W35" i="14"/>
  <c r="V36" i="14"/>
  <c r="W36" i="14"/>
  <c r="W6" i="14"/>
  <c r="V6" i="14"/>
  <c r="Q7" i="14"/>
  <c r="R7" i="14"/>
  <c r="Q8" i="14"/>
  <c r="R8" i="14"/>
  <c r="Q9" i="14"/>
  <c r="R9" i="14"/>
  <c r="Q10" i="14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R36" i="14"/>
  <c r="N7" i="14"/>
  <c r="O7" i="14"/>
  <c r="N8" i="14"/>
  <c r="O8" i="14"/>
  <c r="N9" i="14"/>
  <c r="O9" i="14"/>
  <c r="N10" i="14"/>
  <c r="O10" i="14"/>
  <c r="N11" i="14"/>
  <c r="O11" i="14"/>
  <c r="N12" i="14"/>
  <c r="O12" i="14"/>
  <c r="N13" i="14"/>
  <c r="O13" i="14"/>
  <c r="N14" i="14"/>
  <c r="O14" i="14"/>
  <c r="N15" i="14"/>
  <c r="O15" i="14"/>
  <c r="N16" i="14"/>
  <c r="O16" i="14"/>
  <c r="N17" i="14"/>
  <c r="O17" i="14"/>
  <c r="N18" i="14"/>
  <c r="O18" i="14"/>
  <c r="N19" i="14"/>
  <c r="O19" i="14"/>
  <c r="N20" i="14"/>
  <c r="O20" i="14"/>
  <c r="N21" i="14"/>
  <c r="O21" i="14"/>
  <c r="N22" i="14"/>
  <c r="O22" i="14"/>
  <c r="N23" i="14"/>
  <c r="O23" i="14"/>
  <c r="N24" i="14"/>
  <c r="O24" i="14"/>
  <c r="N25" i="14"/>
  <c r="O25" i="14"/>
  <c r="N26" i="14"/>
  <c r="O26" i="14"/>
  <c r="N27" i="14"/>
  <c r="O27" i="14"/>
  <c r="N28" i="14"/>
  <c r="O28" i="14"/>
  <c r="N29" i="14"/>
  <c r="O29" i="14"/>
  <c r="N30" i="14"/>
  <c r="O30" i="14"/>
  <c r="N31" i="14"/>
  <c r="O31" i="14"/>
  <c r="N32" i="14"/>
  <c r="O32" i="14"/>
  <c r="N33" i="14"/>
  <c r="O33" i="14"/>
  <c r="N34" i="14"/>
  <c r="O34" i="14"/>
  <c r="N35" i="14"/>
  <c r="O35" i="14"/>
  <c r="N36" i="14"/>
  <c r="O36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L13" i="14"/>
  <c r="K14" i="14"/>
  <c r="L14" i="14"/>
  <c r="K15" i="14"/>
  <c r="L15" i="14"/>
  <c r="K16" i="14"/>
  <c r="L16" i="14"/>
  <c r="K17" i="14"/>
  <c r="L17" i="14"/>
  <c r="K18" i="14"/>
  <c r="L18" i="14"/>
  <c r="K19" i="14"/>
  <c r="L19" i="14"/>
  <c r="K20" i="14"/>
  <c r="L20" i="14"/>
  <c r="K21" i="14"/>
  <c r="L21" i="14"/>
  <c r="K22" i="14"/>
  <c r="L22" i="14"/>
  <c r="K23" i="14"/>
  <c r="L23" i="14"/>
  <c r="K24" i="14"/>
  <c r="L24" i="14"/>
  <c r="K25" i="14"/>
  <c r="L25" i="14"/>
  <c r="K26" i="14"/>
  <c r="L26" i="14"/>
  <c r="K27" i="14"/>
  <c r="L27" i="14"/>
  <c r="K28" i="14"/>
  <c r="L28" i="14"/>
  <c r="K29" i="14"/>
  <c r="L29" i="14"/>
  <c r="K30" i="14"/>
  <c r="L30" i="14"/>
  <c r="K31" i="14"/>
  <c r="L31" i="14"/>
  <c r="K32" i="14"/>
  <c r="L32" i="14"/>
  <c r="K33" i="14"/>
  <c r="L33" i="14"/>
  <c r="K34" i="14"/>
  <c r="L34" i="14"/>
  <c r="K35" i="14"/>
  <c r="L35" i="14"/>
  <c r="K36" i="14"/>
  <c r="L3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5" i="11"/>
  <c r="V26" i="11"/>
  <c r="W26" i="11"/>
  <c r="V27" i="11"/>
  <c r="W27" i="11"/>
  <c r="V28" i="11"/>
  <c r="W28" i="11"/>
  <c r="V29" i="11"/>
  <c r="W29" i="11"/>
  <c r="V30" i="11"/>
  <c r="W30" i="11"/>
  <c r="V31" i="11"/>
  <c r="W31" i="11"/>
  <c r="V32" i="11"/>
  <c r="W32" i="11"/>
  <c r="V33" i="11"/>
  <c r="W33" i="11"/>
  <c r="V34" i="11"/>
  <c r="W34" i="11"/>
  <c r="V35" i="11"/>
  <c r="W35" i="11"/>
  <c r="V36" i="11"/>
  <c r="W36" i="11"/>
  <c r="W6" i="11"/>
  <c r="V6" i="11"/>
  <c r="T7" i="11"/>
  <c r="U7" i="11"/>
  <c r="T8" i="11"/>
  <c r="U8" i="11"/>
  <c r="T9" i="11"/>
  <c r="U9" i="11"/>
  <c r="T10" i="11"/>
  <c r="U10" i="11"/>
  <c r="T11" i="11"/>
  <c r="U11" i="11"/>
  <c r="T12" i="11"/>
  <c r="U12" i="11"/>
  <c r="T13" i="11"/>
  <c r="U13" i="11"/>
  <c r="T14" i="11"/>
  <c r="U14" i="11"/>
  <c r="T15" i="11"/>
  <c r="U15" i="11"/>
  <c r="T16" i="11"/>
  <c r="U16" i="11"/>
  <c r="T17" i="11"/>
  <c r="U17" i="11"/>
  <c r="T18" i="11"/>
  <c r="U18" i="11"/>
  <c r="T19" i="11"/>
  <c r="U19" i="11"/>
  <c r="T20" i="11"/>
  <c r="U20" i="11"/>
  <c r="T21" i="11"/>
  <c r="U21" i="11"/>
  <c r="T22" i="11"/>
  <c r="U22" i="11"/>
  <c r="T23" i="11"/>
  <c r="U23" i="11"/>
  <c r="T24" i="11"/>
  <c r="U24" i="11"/>
  <c r="T25" i="11"/>
  <c r="U25" i="11"/>
  <c r="T26" i="11"/>
  <c r="U26" i="11"/>
  <c r="T27" i="11"/>
  <c r="U27" i="11"/>
  <c r="T28" i="11"/>
  <c r="U28" i="11"/>
  <c r="T29" i="11"/>
  <c r="U29" i="11"/>
  <c r="T30" i="11"/>
  <c r="U30" i="11"/>
  <c r="T31" i="11"/>
  <c r="U31" i="11"/>
  <c r="T32" i="11"/>
  <c r="U32" i="11"/>
  <c r="T33" i="11"/>
  <c r="U33" i="11"/>
  <c r="T34" i="11"/>
  <c r="U34" i="11"/>
  <c r="T35" i="11"/>
  <c r="U35" i="11"/>
  <c r="T36" i="11"/>
  <c r="U36" i="11"/>
  <c r="Q7" i="11"/>
  <c r="R7" i="11"/>
  <c r="Q8" i="11"/>
  <c r="R8" i="11"/>
  <c r="Q9" i="11"/>
  <c r="R9" i="11"/>
  <c r="Q10" i="11"/>
  <c r="R10" i="11"/>
  <c r="Q11" i="11"/>
  <c r="R11" i="11"/>
  <c r="Q12" i="11"/>
  <c r="R12" i="11"/>
  <c r="Q13" i="11"/>
  <c r="R13" i="11"/>
  <c r="Q14" i="11"/>
  <c r="R14" i="11"/>
  <c r="Q15" i="11"/>
  <c r="R15" i="11"/>
  <c r="Q16" i="11"/>
  <c r="R16" i="11"/>
  <c r="Q17" i="11"/>
  <c r="R17" i="11"/>
  <c r="Q18" i="11"/>
  <c r="R18" i="11"/>
  <c r="Q19" i="11"/>
  <c r="R19" i="11"/>
  <c r="Q20" i="11"/>
  <c r="R20" i="11"/>
  <c r="Q21" i="11"/>
  <c r="R21" i="11"/>
  <c r="Q22" i="11"/>
  <c r="R22" i="11"/>
  <c r="Q23" i="11"/>
  <c r="R23" i="11"/>
  <c r="Q24" i="11"/>
  <c r="R24" i="11"/>
  <c r="Q25" i="11"/>
  <c r="R25" i="11"/>
  <c r="Q26" i="11"/>
  <c r="R26" i="11"/>
  <c r="Q27" i="11"/>
  <c r="R27" i="11"/>
  <c r="Q28" i="11"/>
  <c r="R28" i="11"/>
  <c r="Q29" i="11"/>
  <c r="R29" i="11"/>
  <c r="Q30" i="11"/>
  <c r="R30" i="11"/>
  <c r="Q31" i="11"/>
  <c r="R31" i="11"/>
  <c r="Q32" i="11"/>
  <c r="R32" i="11"/>
  <c r="Q33" i="11"/>
  <c r="R33" i="11"/>
  <c r="Q34" i="11"/>
  <c r="R34" i="11"/>
  <c r="Q35" i="11"/>
  <c r="R35" i="11"/>
  <c r="Q36" i="11"/>
  <c r="R3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N16" i="11"/>
  <c r="O16" i="11"/>
  <c r="N17" i="11"/>
  <c r="O17" i="11"/>
  <c r="N18" i="11"/>
  <c r="O18" i="11"/>
  <c r="N19" i="11"/>
  <c r="O19" i="11"/>
  <c r="N20" i="11"/>
  <c r="O20" i="11"/>
  <c r="N21" i="11"/>
  <c r="O21" i="11"/>
  <c r="N22" i="11"/>
  <c r="O22" i="11"/>
  <c r="N23" i="11"/>
  <c r="O23" i="11"/>
  <c r="N24" i="11"/>
  <c r="O24" i="11"/>
  <c r="N25" i="11"/>
  <c r="O25" i="11"/>
  <c r="N26" i="11"/>
  <c r="O26" i="11"/>
  <c r="N27" i="11"/>
  <c r="O27" i="11"/>
  <c r="N28" i="11"/>
  <c r="O28" i="11"/>
  <c r="N29" i="11"/>
  <c r="O29" i="11"/>
  <c r="N30" i="11"/>
  <c r="O30" i="11"/>
  <c r="N31" i="11"/>
  <c r="O31" i="11"/>
  <c r="N32" i="11"/>
  <c r="O32" i="11"/>
  <c r="N33" i="11"/>
  <c r="O33" i="11"/>
  <c r="N34" i="11"/>
  <c r="O34" i="11"/>
  <c r="N35" i="11"/>
  <c r="O35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V7" i="13"/>
  <c r="W7" i="13"/>
  <c r="V8" i="13"/>
  <c r="W8" i="13"/>
  <c r="V9" i="13"/>
  <c r="W9" i="13"/>
  <c r="V10" i="13"/>
  <c r="W10" i="13"/>
  <c r="V11" i="13"/>
  <c r="W11" i="13"/>
  <c r="V12" i="13"/>
  <c r="W12" i="13"/>
  <c r="V13" i="13"/>
  <c r="W13" i="13"/>
  <c r="V14" i="13"/>
  <c r="W14" i="13"/>
  <c r="V15" i="13"/>
  <c r="W15" i="13"/>
  <c r="V16" i="13"/>
  <c r="W16" i="13"/>
  <c r="V17" i="13"/>
  <c r="W17" i="13"/>
  <c r="V18" i="13"/>
  <c r="W18" i="13"/>
  <c r="V19" i="13"/>
  <c r="W19" i="13"/>
  <c r="V20" i="13"/>
  <c r="W20" i="13"/>
  <c r="V21" i="13"/>
  <c r="W21" i="13"/>
  <c r="V22" i="13"/>
  <c r="W22" i="13"/>
  <c r="V23" i="13"/>
  <c r="W23" i="13"/>
  <c r="V24" i="13"/>
  <c r="W24" i="13"/>
  <c r="V25" i="13"/>
  <c r="W25" i="13"/>
  <c r="V26" i="13"/>
  <c r="W26" i="13"/>
  <c r="V27" i="13"/>
  <c r="W27" i="13"/>
  <c r="V28" i="13"/>
  <c r="W28" i="13"/>
  <c r="V29" i="13"/>
  <c r="W29" i="13"/>
  <c r="V30" i="13"/>
  <c r="W30" i="13"/>
  <c r="V31" i="13"/>
  <c r="W31" i="13"/>
  <c r="V32" i="13"/>
  <c r="W32" i="13"/>
  <c r="V33" i="13"/>
  <c r="W33" i="13"/>
  <c r="V34" i="13"/>
  <c r="W34" i="13"/>
  <c r="V35" i="13"/>
  <c r="W35" i="13"/>
  <c r="V36" i="13"/>
  <c r="W36" i="13"/>
  <c r="W6" i="13"/>
  <c r="V6" i="13"/>
  <c r="T7" i="13"/>
  <c r="U7" i="13"/>
  <c r="T8" i="13"/>
  <c r="U8" i="13"/>
  <c r="T9" i="13"/>
  <c r="U9" i="13"/>
  <c r="T10" i="13"/>
  <c r="U10" i="13"/>
  <c r="T11" i="13"/>
  <c r="U11" i="13"/>
  <c r="T12" i="13"/>
  <c r="U12" i="13"/>
  <c r="T13" i="13"/>
  <c r="U13" i="13"/>
  <c r="T14" i="13"/>
  <c r="U14" i="13"/>
  <c r="T15" i="13"/>
  <c r="U15" i="13"/>
  <c r="T16" i="13"/>
  <c r="U16" i="13"/>
  <c r="T17" i="13"/>
  <c r="U17" i="13"/>
  <c r="T18" i="13"/>
  <c r="U18" i="13"/>
  <c r="T19" i="13"/>
  <c r="U19" i="13"/>
  <c r="T20" i="13"/>
  <c r="U20" i="13"/>
  <c r="T21" i="13"/>
  <c r="U21" i="13"/>
  <c r="T22" i="13"/>
  <c r="U22" i="13"/>
  <c r="T23" i="13"/>
  <c r="U23" i="13"/>
  <c r="T24" i="13"/>
  <c r="U24" i="13"/>
  <c r="T25" i="13"/>
  <c r="U25" i="13"/>
  <c r="T26" i="13"/>
  <c r="U26" i="13"/>
  <c r="T27" i="13"/>
  <c r="U27" i="13"/>
  <c r="T28" i="13"/>
  <c r="U28" i="13"/>
  <c r="T29" i="13"/>
  <c r="U29" i="13"/>
  <c r="T30" i="13"/>
  <c r="U30" i="13"/>
  <c r="T31" i="13"/>
  <c r="U31" i="13"/>
  <c r="T32" i="13"/>
  <c r="U32" i="13"/>
  <c r="T33" i="13"/>
  <c r="U33" i="13"/>
  <c r="T34" i="13"/>
  <c r="U34" i="13"/>
  <c r="T35" i="13"/>
  <c r="U35" i="13"/>
  <c r="T36" i="13"/>
  <c r="U36" i="13"/>
  <c r="Q7" i="13"/>
  <c r="R7" i="13"/>
  <c r="Q8" i="13"/>
  <c r="R8" i="13"/>
  <c r="Q9" i="13"/>
  <c r="R9" i="13"/>
  <c r="Q10" i="13"/>
  <c r="R10" i="13"/>
  <c r="Q11" i="13"/>
  <c r="R11" i="13"/>
  <c r="Q12" i="13"/>
  <c r="R12" i="13"/>
  <c r="Q13" i="13"/>
  <c r="R13" i="13"/>
  <c r="Q14" i="13"/>
  <c r="R14" i="13"/>
  <c r="Q15" i="13"/>
  <c r="R15" i="13"/>
  <c r="Q16" i="13"/>
  <c r="R16" i="13"/>
  <c r="Q17" i="13"/>
  <c r="R17" i="13"/>
  <c r="Q18" i="13"/>
  <c r="R18" i="13"/>
  <c r="Q19" i="13"/>
  <c r="R19" i="13"/>
  <c r="Q20" i="13"/>
  <c r="R20" i="13"/>
  <c r="Q21" i="13"/>
  <c r="R21" i="13"/>
  <c r="Q22" i="13"/>
  <c r="R22" i="13"/>
  <c r="Q23" i="13"/>
  <c r="R23" i="13"/>
  <c r="Q24" i="13"/>
  <c r="R24" i="13"/>
  <c r="Q25" i="13"/>
  <c r="R25" i="13"/>
  <c r="Q26" i="13"/>
  <c r="R26" i="13"/>
  <c r="Q27" i="13"/>
  <c r="R27" i="13"/>
  <c r="Q28" i="13"/>
  <c r="R28" i="13"/>
  <c r="Q29" i="13"/>
  <c r="R29" i="13"/>
  <c r="Q30" i="13"/>
  <c r="R30" i="13"/>
  <c r="Q31" i="13"/>
  <c r="R31" i="13"/>
  <c r="Q32" i="13"/>
  <c r="R32" i="13"/>
  <c r="Q33" i="13"/>
  <c r="R33" i="13"/>
  <c r="Q34" i="13"/>
  <c r="R34" i="13"/>
  <c r="Q35" i="13"/>
  <c r="R35" i="13"/>
  <c r="Q36" i="13"/>
  <c r="R36" i="13"/>
  <c r="O7" i="13"/>
  <c r="N7" i="13" s="1"/>
  <c r="O8" i="13"/>
  <c r="N8" i="13" s="1"/>
  <c r="O9" i="13"/>
  <c r="N9" i="13" s="1"/>
  <c r="O10" i="13"/>
  <c r="N10" i="13" s="1"/>
  <c r="O11" i="13"/>
  <c r="N11" i="13" s="1"/>
  <c r="O12" i="13"/>
  <c r="N12" i="13" s="1"/>
  <c r="O13" i="13"/>
  <c r="N13" i="13" s="1"/>
  <c r="O14" i="13"/>
  <c r="N14" i="13" s="1"/>
  <c r="O15" i="13"/>
  <c r="N15" i="13" s="1"/>
  <c r="O16" i="13"/>
  <c r="N16" i="13" s="1"/>
  <c r="O17" i="13"/>
  <c r="N17" i="13" s="1"/>
  <c r="O18" i="13"/>
  <c r="N18" i="13" s="1"/>
  <c r="O19" i="13"/>
  <c r="N19" i="13" s="1"/>
  <c r="O20" i="13"/>
  <c r="N20" i="13" s="1"/>
  <c r="O21" i="13"/>
  <c r="N21" i="13" s="1"/>
  <c r="O22" i="13"/>
  <c r="N22" i="13" s="1"/>
  <c r="O23" i="13"/>
  <c r="N23" i="13" s="1"/>
  <c r="O24" i="13"/>
  <c r="N24" i="13" s="1"/>
  <c r="O25" i="13"/>
  <c r="N25" i="13" s="1"/>
  <c r="O26" i="13"/>
  <c r="N26" i="13" s="1"/>
  <c r="O27" i="13"/>
  <c r="N27" i="13" s="1"/>
  <c r="O28" i="13"/>
  <c r="N28" i="13" s="1"/>
  <c r="O29" i="13"/>
  <c r="N29" i="13" s="1"/>
  <c r="O30" i="13"/>
  <c r="N30" i="13" s="1"/>
  <c r="O31" i="13"/>
  <c r="N31" i="13" s="1"/>
  <c r="O32" i="13"/>
  <c r="N32" i="13" s="1"/>
  <c r="O33" i="13"/>
  <c r="N33" i="13" s="1"/>
  <c r="O34" i="13"/>
  <c r="N34" i="13" s="1"/>
  <c r="O35" i="13"/>
  <c r="N35" i="13" s="1"/>
  <c r="O36" i="13"/>
  <c r="N36" i="13" s="1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K25" i="13"/>
  <c r="L25" i="13"/>
  <c r="K26" i="13"/>
  <c r="L26" i="13"/>
  <c r="K27" i="13"/>
  <c r="L27" i="13"/>
  <c r="K28" i="13"/>
  <c r="L28" i="13"/>
  <c r="K29" i="13"/>
  <c r="L29" i="13"/>
  <c r="K30" i="13"/>
  <c r="L30" i="13"/>
  <c r="K31" i="13"/>
  <c r="L31" i="13"/>
  <c r="K32" i="13"/>
  <c r="L32" i="13"/>
  <c r="K33" i="13"/>
  <c r="L33" i="13"/>
  <c r="K34" i="13"/>
  <c r="L34" i="13"/>
  <c r="K35" i="13"/>
  <c r="L35" i="13"/>
  <c r="K36" i="13"/>
  <c r="L3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V7" i="10"/>
  <c r="W7" i="10"/>
  <c r="V8" i="10"/>
  <c r="W8" i="10"/>
  <c r="V9" i="10"/>
  <c r="W9" i="10"/>
  <c r="V10" i="10"/>
  <c r="W10" i="10"/>
  <c r="V11" i="10"/>
  <c r="W11" i="10"/>
  <c r="V12" i="10"/>
  <c r="W12" i="10"/>
  <c r="V13" i="10"/>
  <c r="W13" i="10"/>
  <c r="V14" i="10"/>
  <c r="W14" i="10"/>
  <c r="V15" i="10"/>
  <c r="W15" i="10"/>
  <c r="V16" i="10"/>
  <c r="W16" i="10"/>
  <c r="V17" i="10"/>
  <c r="W17" i="10"/>
  <c r="V18" i="10"/>
  <c r="W18" i="10"/>
  <c r="V19" i="10"/>
  <c r="W19" i="10"/>
  <c r="V20" i="10"/>
  <c r="W20" i="10"/>
  <c r="V21" i="10"/>
  <c r="W21" i="10"/>
  <c r="V22" i="10"/>
  <c r="W22" i="10"/>
  <c r="V23" i="10"/>
  <c r="W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V30" i="10"/>
  <c r="W30" i="10"/>
  <c r="V31" i="10"/>
  <c r="W31" i="10"/>
  <c r="V32" i="10"/>
  <c r="W32" i="10"/>
  <c r="V33" i="10"/>
  <c r="W33" i="10"/>
  <c r="V34" i="10"/>
  <c r="W34" i="10"/>
  <c r="V35" i="10"/>
  <c r="W35" i="10"/>
  <c r="V36" i="10"/>
  <c r="W36" i="10"/>
  <c r="W6" i="10"/>
  <c r="V6" i="10"/>
  <c r="T7" i="10"/>
  <c r="U7" i="10"/>
  <c r="T8" i="10"/>
  <c r="U8" i="10"/>
  <c r="T9" i="10"/>
  <c r="U9" i="10"/>
  <c r="T10" i="10"/>
  <c r="U10" i="10"/>
  <c r="T11" i="10"/>
  <c r="U11" i="10"/>
  <c r="T12" i="10"/>
  <c r="U12" i="10"/>
  <c r="T13" i="10"/>
  <c r="U13" i="10"/>
  <c r="T14" i="10"/>
  <c r="U14" i="10"/>
  <c r="T15" i="10"/>
  <c r="U15" i="10"/>
  <c r="T16" i="10"/>
  <c r="U16" i="10"/>
  <c r="T17" i="10"/>
  <c r="U17" i="10"/>
  <c r="T18" i="10"/>
  <c r="U18" i="10"/>
  <c r="T19" i="10"/>
  <c r="U19" i="10"/>
  <c r="T20" i="10"/>
  <c r="U20" i="10"/>
  <c r="T21" i="10"/>
  <c r="U21" i="10"/>
  <c r="T22" i="10"/>
  <c r="U22" i="10"/>
  <c r="T23" i="10"/>
  <c r="U23" i="10"/>
  <c r="T24" i="10"/>
  <c r="U24" i="10"/>
  <c r="T25" i="10"/>
  <c r="U25" i="10"/>
  <c r="T26" i="10"/>
  <c r="U26" i="10"/>
  <c r="T27" i="10"/>
  <c r="U27" i="10"/>
  <c r="T28" i="10"/>
  <c r="U28" i="10"/>
  <c r="T29" i="10"/>
  <c r="U29" i="10"/>
  <c r="T30" i="10"/>
  <c r="U30" i="10"/>
  <c r="T31" i="10"/>
  <c r="U31" i="10"/>
  <c r="T32" i="10"/>
  <c r="U32" i="10"/>
  <c r="T33" i="10"/>
  <c r="U33" i="10"/>
  <c r="T34" i="10"/>
  <c r="U34" i="10"/>
  <c r="T35" i="10"/>
  <c r="U35" i="10"/>
  <c r="T36" i="10"/>
  <c r="U3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Q35" i="10"/>
  <c r="R35" i="10"/>
  <c r="Q36" i="10"/>
  <c r="R3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K7" i="10"/>
  <c r="L7" i="10"/>
  <c r="K8" i="10"/>
  <c r="L8" i="10"/>
  <c r="K9" i="10"/>
  <c r="L9" i="10"/>
  <c r="K10" i="10"/>
  <c r="L10" i="10"/>
  <c r="K11" i="10"/>
  <c r="L11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K31" i="10"/>
  <c r="L31" i="10"/>
  <c r="K32" i="10"/>
  <c r="L32" i="10"/>
  <c r="K33" i="10"/>
  <c r="L33" i="10"/>
  <c r="K34" i="10"/>
  <c r="L34" i="10"/>
  <c r="K35" i="10"/>
  <c r="L35" i="10"/>
  <c r="K36" i="10"/>
  <c r="L3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V7" i="12"/>
  <c r="W7" i="12"/>
  <c r="V8" i="12"/>
  <c r="W8" i="12"/>
  <c r="V9" i="12"/>
  <c r="W9" i="12"/>
  <c r="V10" i="12"/>
  <c r="W10" i="12"/>
  <c r="V11" i="12"/>
  <c r="W11" i="12"/>
  <c r="V12" i="12"/>
  <c r="W12" i="12"/>
  <c r="V13" i="12"/>
  <c r="W13" i="12"/>
  <c r="V14" i="12"/>
  <c r="W14" i="12"/>
  <c r="V15" i="12"/>
  <c r="W15" i="12"/>
  <c r="V16" i="12"/>
  <c r="W16" i="12"/>
  <c r="V17" i="12"/>
  <c r="W17" i="12"/>
  <c r="V18" i="12"/>
  <c r="W18" i="12"/>
  <c r="V19" i="12"/>
  <c r="W19" i="12"/>
  <c r="V20" i="12"/>
  <c r="W20" i="12"/>
  <c r="V21" i="12"/>
  <c r="W21" i="12"/>
  <c r="V22" i="12"/>
  <c r="W22" i="12"/>
  <c r="V23" i="12"/>
  <c r="W23" i="12"/>
  <c r="V24" i="12"/>
  <c r="W24" i="12"/>
  <c r="V25" i="12"/>
  <c r="W25" i="12"/>
  <c r="V26" i="12"/>
  <c r="W26" i="12"/>
  <c r="V27" i="12"/>
  <c r="W27" i="12"/>
  <c r="V28" i="12"/>
  <c r="W28" i="12"/>
  <c r="V29" i="12"/>
  <c r="W29" i="12"/>
  <c r="V30" i="12"/>
  <c r="W30" i="12"/>
  <c r="V31" i="12"/>
  <c r="W31" i="12"/>
  <c r="V32" i="12"/>
  <c r="W32" i="12"/>
  <c r="V33" i="12"/>
  <c r="W33" i="12"/>
  <c r="V34" i="12"/>
  <c r="W34" i="12"/>
  <c r="V35" i="12"/>
  <c r="W35" i="12"/>
  <c r="V36" i="12"/>
  <c r="W36" i="12"/>
  <c r="W6" i="12"/>
  <c r="V6" i="12"/>
  <c r="Q7" i="12"/>
  <c r="R7" i="12"/>
  <c r="Q8" i="12"/>
  <c r="R8" i="12"/>
  <c r="Q9" i="12"/>
  <c r="R9" i="12"/>
  <c r="Q10" i="12"/>
  <c r="R10" i="12"/>
  <c r="Q11" i="12"/>
  <c r="R11" i="12"/>
  <c r="Q12" i="12"/>
  <c r="R12" i="12"/>
  <c r="Q13" i="12"/>
  <c r="R13" i="12"/>
  <c r="Q14" i="12"/>
  <c r="R14" i="12"/>
  <c r="Q15" i="12"/>
  <c r="R15" i="12"/>
  <c r="Q16" i="12"/>
  <c r="R16" i="12"/>
  <c r="Q17" i="12"/>
  <c r="R17" i="12"/>
  <c r="Q18" i="12"/>
  <c r="R18" i="12"/>
  <c r="Q19" i="12"/>
  <c r="R19" i="12"/>
  <c r="Q20" i="12"/>
  <c r="R20" i="12"/>
  <c r="Q21" i="12"/>
  <c r="R21" i="12"/>
  <c r="Q22" i="12"/>
  <c r="R22" i="12"/>
  <c r="Q23" i="12"/>
  <c r="R23" i="12"/>
  <c r="Q24" i="12"/>
  <c r="R24" i="12"/>
  <c r="Q25" i="12"/>
  <c r="R25" i="12"/>
  <c r="Q26" i="12"/>
  <c r="R26" i="12"/>
  <c r="Q27" i="12"/>
  <c r="R27" i="12"/>
  <c r="Q28" i="12"/>
  <c r="R28" i="12"/>
  <c r="Q29" i="12"/>
  <c r="R29" i="12"/>
  <c r="Q30" i="12"/>
  <c r="R30" i="12"/>
  <c r="Q31" i="12"/>
  <c r="R31" i="12"/>
  <c r="Q32" i="12"/>
  <c r="R32" i="12"/>
  <c r="Q33" i="12"/>
  <c r="R33" i="12"/>
  <c r="Q34" i="12"/>
  <c r="R34" i="12"/>
  <c r="Q35" i="12"/>
  <c r="R35" i="12"/>
  <c r="Q36" i="12"/>
  <c r="R36" i="12"/>
  <c r="N7" i="12"/>
  <c r="O7" i="12"/>
  <c r="N8" i="12"/>
  <c r="O8" i="12"/>
  <c r="N9" i="12"/>
  <c r="O9" i="12"/>
  <c r="N10" i="12"/>
  <c r="O10" i="12"/>
  <c r="N11" i="12"/>
  <c r="O11" i="12"/>
  <c r="N12" i="12"/>
  <c r="O12" i="12"/>
  <c r="N13" i="12"/>
  <c r="O13" i="12"/>
  <c r="N14" i="12"/>
  <c r="O14" i="12"/>
  <c r="N15" i="12"/>
  <c r="O15" i="12"/>
  <c r="N16" i="12"/>
  <c r="O16" i="12"/>
  <c r="N17" i="12"/>
  <c r="O17" i="12"/>
  <c r="N18" i="12"/>
  <c r="O18" i="12"/>
  <c r="N19" i="12"/>
  <c r="O19" i="12"/>
  <c r="N20" i="12"/>
  <c r="O20" i="12"/>
  <c r="N21" i="12"/>
  <c r="O21" i="12"/>
  <c r="N22" i="12"/>
  <c r="O22" i="12"/>
  <c r="N23" i="12"/>
  <c r="O23" i="12"/>
  <c r="N24" i="12"/>
  <c r="O24" i="12"/>
  <c r="N25" i="12"/>
  <c r="O25" i="12"/>
  <c r="N26" i="12"/>
  <c r="O26" i="12"/>
  <c r="N27" i="12"/>
  <c r="O27" i="12"/>
  <c r="N28" i="12"/>
  <c r="O28" i="12"/>
  <c r="N29" i="12"/>
  <c r="O29" i="12"/>
  <c r="N30" i="12"/>
  <c r="O30" i="12"/>
  <c r="N31" i="12"/>
  <c r="O31" i="12"/>
  <c r="N32" i="12"/>
  <c r="O32" i="12"/>
  <c r="N33" i="12"/>
  <c r="O33" i="12"/>
  <c r="N34" i="12"/>
  <c r="O34" i="12"/>
  <c r="N35" i="12"/>
  <c r="O35" i="12"/>
  <c r="N36" i="12"/>
  <c r="O3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K34" i="12"/>
  <c r="L34" i="12"/>
  <c r="K35" i="12"/>
  <c r="L35" i="12"/>
  <c r="K36" i="12"/>
  <c r="L3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D37" i="12"/>
  <c r="O36" i="11"/>
  <c r="D37" i="16"/>
  <c r="D37" i="15"/>
  <c r="D37" i="11"/>
  <c r="E9" i="17" l="1"/>
  <c r="E6" i="13" l="1"/>
  <c r="D37" i="13"/>
  <c r="L6" i="13" l="1"/>
  <c r="U6" i="10" l="1"/>
  <c r="U37" i="14" l="1"/>
  <c r="T37" i="14"/>
  <c r="U37" i="16"/>
  <c r="T37" i="16"/>
  <c r="U37" i="12"/>
  <c r="T37" i="12"/>
  <c r="L6" i="14"/>
  <c r="L6" i="12"/>
  <c r="L37" i="12" l="1"/>
  <c r="L37" i="14"/>
  <c r="U6" i="11"/>
  <c r="A1" i="14" l="1"/>
  <c r="A1" i="16"/>
  <c r="A1" i="15"/>
  <c r="A1" i="10"/>
  <c r="A1" i="11"/>
  <c r="A1" i="13"/>
  <c r="A1" i="12"/>
  <c r="R6" i="14" l="1"/>
  <c r="O6" i="14"/>
  <c r="E6" i="14"/>
  <c r="E6" i="16"/>
  <c r="E6" i="15"/>
  <c r="E6" i="10"/>
  <c r="E6" i="11"/>
  <c r="E6" i="12"/>
  <c r="O37" i="14" l="1"/>
  <c r="E37" i="10"/>
  <c r="U6" i="13"/>
  <c r="U6" i="15"/>
  <c r="R6" i="12"/>
  <c r="R6" i="16"/>
  <c r="R6" i="15"/>
  <c r="R37" i="15" s="1"/>
  <c r="R6" i="10"/>
  <c r="R6" i="11"/>
  <c r="R6" i="13"/>
  <c r="O6" i="12"/>
  <c r="W37" i="12" s="1"/>
  <c r="O6" i="16"/>
  <c r="O37" i="16" s="1"/>
  <c r="O6" i="15"/>
  <c r="O37" i="15" s="1"/>
  <c r="O6" i="10"/>
  <c r="O37" i="10" s="1"/>
  <c r="O6" i="11"/>
  <c r="O37" i="11" s="1"/>
  <c r="O6" i="13"/>
  <c r="L6" i="16"/>
  <c r="L6" i="15"/>
  <c r="L6" i="10"/>
  <c r="L6" i="11"/>
  <c r="R37" i="11" l="1"/>
  <c r="R37" i="12"/>
  <c r="U37" i="15"/>
  <c r="R37" i="10"/>
  <c r="O37" i="13"/>
  <c r="L37" i="11"/>
  <c r="L37" i="10"/>
  <c r="L37" i="15"/>
  <c r="O37" i="12"/>
  <c r="D14" i="1" l="1"/>
  <c r="E14" i="1"/>
  <c r="F7" i="1" l="1"/>
  <c r="F14" i="1" s="1"/>
  <c r="G8" i="1" l="1"/>
  <c r="B36" i="14" s="1"/>
  <c r="G7" i="1"/>
  <c r="G9" i="1"/>
  <c r="G10" i="1"/>
  <c r="G11" i="1"/>
  <c r="G12" i="1"/>
  <c r="G13" i="1"/>
  <c r="B10" i="13" l="1"/>
  <c r="B14" i="13"/>
  <c r="B18" i="13"/>
  <c r="H18" i="13" s="1"/>
  <c r="B22" i="13"/>
  <c r="H22" i="13" s="1"/>
  <c r="B26" i="13"/>
  <c r="B30" i="13"/>
  <c r="B34" i="13"/>
  <c r="B12" i="13"/>
  <c r="B16" i="13"/>
  <c r="B20" i="13"/>
  <c r="B28" i="13"/>
  <c r="F28" i="13" s="1"/>
  <c r="B36" i="13"/>
  <c r="B13" i="13"/>
  <c r="F13" i="13" s="1"/>
  <c r="B17" i="13"/>
  <c r="F17" i="13" s="1"/>
  <c r="B25" i="13"/>
  <c r="H25" i="13" s="1"/>
  <c r="B33" i="13"/>
  <c r="H33" i="13" s="1"/>
  <c r="B7" i="13"/>
  <c r="H7" i="13" s="1"/>
  <c r="B11" i="13"/>
  <c r="B15" i="13"/>
  <c r="H15" i="13" s="1"/>
  <c r="B19" i="13"/>
  <c r="H19" i="13" s="1"/>
  <c r="B23" i="13"/>
  <c r="B27" i="13"/>
  <c r="B31" i="13"/>
  <c r="B35" i="13"/>
  <c r="B8" i="13"/>
  <c r="B24" i="13"/>
  <c r="B32" i="13"/>
  <c r="H32" i="13" s="1"/>
  <c r="B9" i="13"/>
  <c r="H9" i="13" s="1"/>
  <c r="B21" i="13"/>
  <c r="B29" i="13"/>
  <c r="B6" i="13"/>
  <c r="F6" i="13" s="1"/>
  <c r="G6" i="13" s="1"/>
  <c r="B7" i="11"/>
  <c r="H7" i="11" s="1"/>
  <c r="B11" i="11"/>
  <c r="H11" i="11" s="1"/>
  <c r="B15" i="11"/>
  <c r="F15" i="11" s="1"/>
  <c r="B19" i="11"/>
  <c r="H19" i="11" s="1"/>
  <c r="B23" i="11"/>
  <c r="H23" i="11" s="1"/>
  <c r="B27" i="11"/>
  <c r="F27" i="11" s="1"/>
  <c r="B31" i="11"/>
  <c r="H31" i="11" s="1"/>
  <c r="B35" i="11"/>
  <c r="B13" i="11"/>
  <c r="H13" i="11" s="1"/>
  <c r="B25" i="11"/>
  <c r="B33" i="11"/>
  <c r="B10" i="11"/>
  <c r="B22" i="11"/>
  <c r="H22" i="11" s="1"/>
  <c r="B30" i="11"/>
  <c r="B8" i="11"/>
  <c r="B12" i="11"/>
  <c r="B16" i="11"/>
  <c r="H16" i="11" s="1"/>
  <c r="B20" i="11"/>
  <c r="B24" i="11"/>
  <c r="B28" i="11"/>
  <c r="F28" i="11" s="1"/>
  <c r="B32" i="11"/>
  <c r="H32" i="11" s="1"/>
  <c r="B36" i="11"/>
  <c r="B9" i="11"/>
  <c r="F9" i="11" s="1"/>
  <c r="B17" i="11"/>
  <c r="F17" i="11" s="1"/>
  <c r="B21" i="11"/>
  <c r="H21" i="11" s="1"/>
  <c r="B29" i="11"/>
  <c r="H29" i="11" s="1"/>
  <c r="B6" i="11"/>
  <c r="B14" i="11"/>
  <c r="F14" i="11" s="1"/>
  <c r="B18" i="11"/>
  <c r="F18" i="11" s="1"/>
  <c r="B26" i="11"/>
  <c r="B34" i="11"/>
  <c r="B8" i="12"/>
  <c r="B12" i="12"/>
  <c r="B16" i="12"/>
  <c r="B20" i="12"/>
  <c r="B24" i="12"/>
  <c r="F24" i="12" s="1"/>
  <c r="B28" i="12"/>
  <c r="B32" i="12"/>
  <c r="B36" i="12"/>
  <c r="B6" i="12"/>
  <c r="H6" i="12" s="1"/>
  <c r="I6" i="12" s="1"/>
  <c r="B10" i="12"/>
  <c r="F10" i="12" s="1"/>
  <c r="B14" i="12"/>
  <c r="F14" i="12" s="1"/>
  <c r="B18" i="12"/>
  <c r="H18" i="12" s="1"/>
  <c r="B22" i="12"/>
  <c r="F22" i="12" s="1"/>
  <c r="B26" i="12"/>
  <c r="H26" i="12" s="1"/>
  <c r="B30" i="12"/>
  <c r="H30" i="12" s="1"/>
  <c r="B34" i="12"/>
  <c r="H34" i="12" s="1"/>
  <c r="B7" i="12"/>
  <c r="H7" i="12" s="1"/>
  <c r="B11" i="12"/>
  <c r="F11" i="12" s="1"/>
  <c r="B15" i="12"/>
  <c r="B19" i="12"/>
  <c r="B23" i="12"/>
  <c r="B27" i="12"/>
  <c r="B31" i="12"/>
  <c r="B35" i="12"/>
  <c r="B9" i="12"/>
  <c r="H9" i="12" s="1"/>
  <c r="B13" i="12"/>
  <c r="B17" i="12"/>
  <c r="F17" i="12" s="1"/>
  <c r="B21" i="12"/>
  <c r="F21" i="12" s="1"/>
  <c r="B25" i="12"/>
  <c r="H25" i="12" s="1"/>
  <c r="B29" i="12"/>
  <c r="H29" i="12" s="1"/>
  <c r="B33" i="12"/>
  <c r="H33" i="12" s="1"/>
  <c r="B9" i="15"/>
  <c r="F9" i="15" s="1"/>
  <c r="B13" i="15"/>
  <c r="F13" i="15" s="1"/>
  <c r="B17" i="15"/>
  <c r="H17" i="15" s="1"/>
  <c r="B21" i="15"/>
  <c r="H21" i="15" s="1"/>
  <c r="B25" i="15"/>
  <c r="H25" i="15" s="1"/>
  <c r="B29" i="15"/>
  <c r="H29" i="15" s="1"/>
  <c r="B33" i="15"/>
  <c r="H33" i="15" s="1"/>
  <c r="B6" i="15"/>
  <c r="B11" i="15"/>
  <c r="B23" i="15"/>
  <c r="F23" i="15" s="1"/>
  <c r="B31" i="15"/>
  <c r="B12" i="15"/>
  <c r="H12" i="15" s="1"/>
  <c r="B20" i="15"/>
  <c r="B10" i="15"/>
  <c r="F10" i="15" s="1"/>
  <c r="B14" i="15"/>
  <c r="F14" i="15" s="1"/>
  <c r="B18" i="15"/>
  <c r="B22" i="15"/>
  <c r="F22" i="15" s="1"/>
  <c r="B26" i="15"/>
  <c r="H26" i="15" s="1"/>
  <c r="B30" i="15"/>
  <c r="H30" i="15" s="1"/>
  <c r="B34" i="15"/>
  <c r="F34" i="15" s="1"/>
  <c r="B7" i="15"/>
  <c r="F7" i="15" s="1"/>
  <c r="B15" i="15"/>
  <c r="H15" i="15" s="1"/>
  <c r="B19" i="15"/>
  <c r="F19" i="15" s="1"/>
  <c r="B27" i="15"/>
  <c r="F27" i="15" s="1"/>
  <c r="B35" i="15"/>
  <c r="B8" i="15"/>
  <c r="H8" i="15" s="1"/>
  <c r="B16" i="15"/>
  <c r="H16" i="15" s="1"/>
  <c r="B24" i="15"/>
  <c r="B28" i="15"/>
  <c r="H28" i="15" s="1"/>
  <c r="B32" i="15"/>
  <c r="F32" i="15" s="1"/>
  <c r="B36" i="15"/>
  <c r="B10" i="16"/>
  <c r="F10" i="16" s="1"/>
  <c r="B14" i="16"/>
  <c r="B18" i="16"/>
  <c r="F18" i="16" s="1"/>
  <c r="B22" i="16"/>
  <c r="B26" i="16"/>
  <c r="F26" i="16" s="1"/>
  <c r="B30" i="16"/>
  <c r="H30" i="16" s="1"/>
  <c r="B34" i="16"/>
  <c r="H34" i="16" s="1"/>
  <c r="B8" i="16"/>
  <c r="H8" i="16" s="1"/>
  <c r="B20" i="16"/>
  <c r="H20" i="16" s="1"/>
  <c r="B28" i="16"/>
  <c r="F28" i="16" s="1"/>
  <c r="B36" i="16"/>
  <c r="B7" i="16"/>
  <c r="F7" i="16" s="1"/>
  <c r="B11" i="16"/>
  <c r="F11" i="16" s="1"/>
  <c r="B15" i="16"/>
  <c r="H15" i="16" s="1"/>
  <c r="B19" i="16"/>
  <c r="H19" i="16" s="1"/>
  <c r="B23" i="16"/>
  <c r="H23" i="16" s="1"/>
  <c r="B27" i="16"/>
  <c r="B31" i="16"/>
  <c r="B35" i="16"/>
  <c r="B12" i="16"/>
  <c r="F12" i="16" s="1"/>
  <c r="B16" i="16"/>
  <c r="B24" i="16"/>
  <c r="H24" i="16" s="1"/>
  <c r="B32" i="16"/>
  <c r="F32" i="16" s="1"/>
  <c r="B9" i="16"/>
  <c r="H9" i="16" s="1"/>
  <c r="B25" i="16"/>
  <c r="F25" i="16" s="1"/>
  <c r="B29" i="16"/>
  <c r="F29" i="16" s="1"/>
  <c r="B17" i="16"/>
  <c r="F17" i="16" s="1"/>
  <c r="B21" i="16"/>
  <c r="H21" i="16" s="1"/>
  <c r="B13" i="16"/>
  <c r="H13" i="16" s="1"/>
  <c r="B33" i="16"/>
  <c r="F33" i="16" s="1"/>
  <c r="B6" i="16"/>
  <c r="H6" i="16" s="1"/>
  <c r="B8" i="10"/>
  <c r="B12" i="10"/>
  <c r="H12" i="10" s="1"/>
  <c r="B16" i="10"/>
  <c r="H16" i="10" s="1"/>
  <c r="B20" i="10"/>
  <c r="H20" i="10" s="1"/>
  <c r="B24" i="10"/>
  <c r="H24" i="10" s="1"/>
  <c r="B28" i="10"/>
  <c r="B32" i="10"/>
  <c r="B36" i="10"/>
  <c r="B10" i="10"/>
  <c r="B18" i="10"/>
  <c r="B26" i="10"/>
  <c r="H26" i="10" s="1"/>
  <c r="B34" i="10"/>
  <c r="B7" i="10"/>
  <c r="B15" i="10"/>
  <c r="H15" i="10" s="1"/>
  <c r="B23" i="10"/>
  <c r="B35" i="10"/>
  <c r="B9" i="10"/>
  <c r="H9" i="10" s="1"/>
  <c r="B13" i="10"/>
  <c r="B17" i="10"/>
  <c r="H17" i="10" s="1"/>
  <c r="B21" i="10"/>
  <c r="B25" i="10"/>
  <c r="H25" i="10" s="1"/>
  <c r="B29" i="10"/>
  <c r="H29" i="10" s="1"/>
  <c r="B33" i="10"/>
  <c r="H33" i="10" s="1"/>
  <c r="B6" i="10"/>
  <c r="F6" i="10" s="1"/>
  <c r="B14" i="10"/>
  <c r="H14" i="10" s="1"/>
  <c r="B22" i="10"/>
  <c r="B30" i="10"/>
  <c r="H30" i="10" s="1"/>
  <c r="B11" i="10"/>
  <c r="H11" i="10" s="1"/>
  <c r="B19" i="10"/>
  <c r="B27" i="10"/>
  <c r="B31" i="10"/>
  <c r="B7" i="14"/>
  <c r="F7" i="14" s="1"/>
  <c r="B11" i="14"/>
  <c r="H11" i="14" s="1"/>
  <c r="B15" i="14"/>
  <c r="H15" i="14" s="1"/>
  <c r="B19" i="14"/>
  <c r="H19" i="14" s="1"/>
  <c r="B23" i="14"/>
  <c r="F23" i="14" s="1"/>
  <c r="B27" i="14"/>
  <c r="F27" i="14" s="1"/>
  <c r="B31" i="14"/>
  <c r="F31" i="14" s="1"/>
  <c r="B35" i="14"/>
  <c r="B13" i="14"/>
  <c r="H13" i="14" s="1"/>
  <c r="B21" i="14"/>
  <c r="H21" i="14" s="1"/>
  <c r="B29" i="14"/>
  <c r="H29" i="14" s="1"/>
  <c r="B6" i="14"/>
  <c r="B8" i="14"/>
  <c r="F8" i="14" s="1"/>
  <c r="B12" i="14"/>
  <c r="H12" i="14" s="1"/>
  <c r="B16" i="14"/>
  <c r="B20" i="14"/>
  <c r="H20" i="14" s="1"/>
  <c r="B24" i="14"/>
  <c r="B28" i="14"/>
  <c r="H28" i="14" s="1"/>
  <c r="B32" i="14"/>
  <c r="B9" i="14"/>
  <c r="H9" i="14" s="1"/>
  <c r="B17" i="14"/>
  <c r="H17" i="14" s="1"/>
  <c r="B25" i="14"/>
  <c r="B33" i="14"/>
  <c r="B10" i="14"/>
  <c r="F10" i="14" s="1"/>
  <c r="B26" i="14"/>
  <c r="H26" i="14" s="1"/>
  <c r="B30" i="14"/>
  <c r="H30" i="14" s="1"/>
  <c r="B18" i="14"/>
  <c r="H18" i="14" s="1"/>
  <c r="B22" i="14"/>
  <c r="H22" i="14" s="1"/>
  <c r="B14" i="14"/>
  <c r="F14" i="14" s="1"/>
  <c r="B34" i="14"/>
  <c r="H34" i="14" s="1"/>
  <c r="F8" i="12"/>
  <c r="H16" i="14"/>
  <c r="H16" i="16"/>
  <c r="F8" i="11"/>
  <c r="H20" i="15"/>
  <c r="H22" i="10"/>
  <c r="F12" i="11"/>
  <c r="H23" i="13"/>
  <c r="H18" i="10"/>
  <c r="H24" i="15"/>
  <c r="H29" i="13"/>
  <c r="H18" i="15"/>
  <c r="H26" i="11"/>
  <c r="H28" i="10"/>
  <c r="H11" i="13"/>
  <c r="G14" i="1"/>
  <c r="H21" i="13"/>
  <c r="H20" i="13"/>
  <c r="H24" i="13"/>
  <c r="H23" i="12"/>
  <c r="F32" i="12"/>
  <c r="F20" i="11"/>
  <c r="H16" i="13"/>
  <c r="H14" i="13"/>
  <c r="H22" i="16"/>
  <c r="F24" i="14"/>
  <c r="H15" i="12"/>
  <c r="H19" i="12"/>
  <c r="H34" i="11"/>
  <c r="F10" i="11"/>
  <c r="F24" i="11"/>
  <c r="H34" i="10"/>
  <c r="H10" i="10"/>
  <c r="H19" i="10"/>
  <c r="F10" i="13"/>
  <c r="H8" i="13"/>
  <c r="H12" i="13"/>
  <c r="H11" i="15"/>
  <c r="H31" i="16"/>
  <c r="F33" i="14"/>
  <c r="H32" i="14"/>
  <c r="H27" i="12"/>
  <c r="F31" i="12"/>
  <c r="H31" i="15"/>
  <c r="F6" i="15"/>
  <c r="F34" i="13"/>
  <c r="H31" i="13"/>
  <c r="F27" i="16"/>
  <c r="F25" i="14"/>
  <c r="F28" i="12"/>
  <c r="F20" i="12"/>
  <c r="H33" i="11"/>
  <c r="H25" i="11"/>
  <c r="H27" i="13"/>
  <c r="F26" i="13"/>
  <c r="H16" i="12"/>
  <c r="F16" i="12"/>
  <c r="F11" i="14"/>
  <c r="H12" i="12"/>
  <c r="F12" i="12"/>
  <c r="H30" i="13"/>
  <c r="F30" i="13"/>
  <c r="F30" i="16"/>
  <c r="H13" i="12"/>
  <c r="F13" i="12"/>
  <c r="H14" i="16"/>
  <c r="F14" i="16"/>
  <c r="F9" i="14"/>
  <c r="F30" i="11"/>
  <c r="H30" i="11"/>
  <c r="H17" i="13" l="1"/>
  <c r="F15" i="14"/>
  <c r="F16" i="10"/>
  <c r="F29" i="14"/>
  <c r="H23" i="14"/>
  <c r="H14" i="14"/>
  <c r="F30" i="14"/>
  <c r="F14" i="10"/>
  <c r="F16" i="15"/>
  <c r="H10" i="12"/>
  <c r="F17" i="14"/>
  <c r="F30" i="15"/>
  <c r="F35" i="10"/>
  <c r="H35" i="10"/>
  <c r="H36" i="10"/>
  <c r="F36" i="10"/>
  <c r="F36" i="16"/>
  <c r="H36" i="16"/>
  <c r="F35" i="13"/>
  <c r="H35" i="13"/>
  <c r="F13" i="14"/>
  <c r="F20" i="10"/>
  <c r="F35" i="14"/>
  <c r="H35" i="14"/>
  <c r="F35" i="11"/>
  <c r="H35" i="11"/>
  <c r="F9" i="12"/>
  <c r="F15" i="16"/>
  <c r="F23" i="11"/>
  <c r="H13" i="15"/>
  <c r="H7" i="14"/>
  <c r="F18" i="12"/>
  <c r="H10" i="14"/>
  <c r="F6" i="12"/>
  <c r="G6" i="12" s="1"/>
  <c r="F35" i="16"/>
  <c r="H35" i="16"/>
  <c r="F36" i="13"/>
  <c r="H36" i="13"/>
  <c r="F36" i="14"/>
  <c r="H36" i="14"/>
  <c r="F35" i="15"/>
  <c r="H35" i="15"/>
  <c r="F35" i="12"/>
  <c r="H35" i="12"/>
  <c r="F36" i="12"/>
  <c r="H36" i="12"/>
  <c r="F26" i="10"/>
  <c r="H36" i="15"/>
  <c r="F36" i="15"/>
  <c r="H36" i="11"/>
  <c r="F36" i="11"/>
  <c r="F19" i="14"/>
  <c r="H8" i="14"/>
  <c r="H18" i="16"/>
  <c r="F19" i="11"/>
  <c r="H28" i="11"/>
  <c r="H11" i="12"/>
  <c r="F11" i="13"/>
  <c r="F26" i="11"/>
  <c r="H8" i="11"/>
  <c r="F17" i="10"/>
  <c r="F12" i="10"/>
  <c r="F18" i="10"/>
  <c r="F7" i="10"/>
  <c r="H7" i="10"/>
  <c r="F32" i="10"/>
  <c r="H32" i="10"/>
  <c r="F13" i="10"/>
  <c r="H13" i="10"/>
  <c r="F31" i="10"/>
  <c r="H31" i="10"/>
  <c r="F21" i="10"/>
  <c r="H21" i="10"/>
  <c r="F27" i="10"/>
  <c r="H27" i="10"/>
  <c r="F25" i="10"/>
  <c r="F8" i="10"/>
  <c r="H8" i="10"/>
  <c r="F23" i="10"/>
  <c r="H23" i="10"/>
  <c r="F18" i="15"/>
  <c r="H10" i="16"/>
  <c r="I6" i="16"/>
  <c r="Q6" i="16" s="1"/>
  <c r="H8" i="12"/>
  <c r="F18" i="14"/>
  <c r="F16" i="16"/>
  <c r="H22" i="15"/>
  <c r="F34" i="14"/>
  <c r="F23" i="12"/>
  <c r="F13" i="16"/>
  <c r="F15" i="13"/>
  <c r="H33" i="14"/>
  <c r="F12" i="14"/>
  <c r="F29" i="12"/>
  <c r="F11" i="10"/>
  <c r="F7" i="11"/>
  <c r="H24" i="14"/>
  <c r="F12" i="15"/>
  <c r="F14" i="13"/>
  <c r="F26" i="12"/>
  <c r="F16" i="14"/>
  <c r="H32" i="12"/>
  <c r="H14" i="15"/>
  <c r="F30" i="10"/>
  <c r="H22" i="12"/>
  <c r="F32" i="11"/>
  <c r="F29" i="10"/>
  <c r="H18" i="11"/>
  <c r="K6" i="12"/>
  <c r="Q6" i="12"/>
  <c r="N6" i="12"/>
  <c r="F23" i="16"/>
  <c r="F24" i="15"/>
  <c r="F8" i="15"/>
  <c r="H6" i="15"/>
  <c r="I6" i="15" s="1"/>
  <c r="G6" i="15"/>
  <c r="H9" i="15"/>
  <c r="H19" i="15"/>
  <c r="F21" i="15"/>
  <c r="H10" i="15"/>
  <c r="F20" i="15"/>
  <c r="H27" i="11"/>
  <c r="F29" i="11"/>
  <c r="F11" i="11"/>
  <c r="H12" i="11"/>
  <c r="H10" i="11"/>
  <c r="F12" i="13"/>
  <c r="F15" i="10"/>
  <c r="F19" i="10"/>
  <c r="F9" i="10"/>
  <c r="F29" i="15"/>
  <c r="F22" i="16"/>
  <c r="F15" i="15"/>
  <c r="F20" i="13"/>
  <c r="F23" i="13"/>
  <c r="H14" i="12"/>
  <c r="F31" i="11"/>
  <c r="H14" i="11"/>
  <c r="H17" i="12"/>
  <c r="F22" i="10"/>
  <c r="H7" i="15"/>
  <c r="H28" i="16"/>
  <c r="F16" i="11"/>
  <c r="F24" i="10"/>
  <c r="F31" i="15"/>
  <c r="F7" i="12"/>
  <c r="F21" i="14"/>
  <c r="F29" i="13"/>
  <c r="F21" i="11"/>
  <c r="H27" i="15"/>
  <c r="F22" i="14"/>
  <c r="F26" i="14"/>
  <c r="F22" i="11"/>
  <c r="H6" i="13"/>
  <c r="F22" i="13"/>
  <c r="F33" i="10"/>
  <c r="F9" i="13"/>
  <c r="F17" i="15"/>
  <c r="F28" i="10"/>
  <c r="F34" i="10"/>
  <c r="H24" i="12"/>
  <c r="H12" i="16"/>
  <c r="F32" i="13"/>
  <c r="F24" i="13"/>
  <c r="F11" i="15"/>
  <c r="F28" i="15"/>
  <c r="H7" i="16"/>
  <c r="H10" i="13"/>
  <c r="H17" i="11"/>
  <c r="H34" i="15"/>
  <c r="H24" i="11"/>
  <c r="F32" i="14"/>
  <c r="H28" i="13"/>
  <c r="F6" i="14"/>
  <c r="B37" i="14"/>
  <c r="H6" i="14"/>
  <c r="F8" i="16"/>
  <c r="H33" i="16"/>
  <c r="F24" i="16"/>
  <c r="H29" i="16"/>
  <c r="H17" i="16"/>
  <c r="F19" i="16"/>
  <c r="H27" i="16"/>
  <c r="H32" i="16"/>
  <c r="F9" i="16"/>
  <c r="F21" i="16"/>
  <c r="H26" i="16"/>
  <c r="F31" i="16"/>
  <c r="H11" i="16"/>
  <c r="F20" i="16"/>
  <c r="H32" i="15"/>
  <c r="F33" i="15"/>
  <c r="F25" i="15"/>
  <c r="B37" i="15"/>
  <c r="H23" i="15"/>
  <c r="F26" i="15"/>
  <c r="H25" i="14"/>
  <c r="F20" i="14"/>
  <c r="F28" i="14"/>
  <c r="F33" i="11"/>
  <c r="H9" i="11"/>
  <c r="H20" i="11"/>
  <c r="B37" i="11"/>
  <c r="F6" i="11"/>
  <c r="G6" i="11" s="1"/>
  <c r="F34" i="11"/>
  <c r="H15" i="11"/>
  <c r="F13" i="11"/>
  <c r="F25" i="11"/>
  <c r="H6" i="11"/>
  <c r="F8" i="13"/>
  <c r="H13" i="13"/>
  <c r="F16" i="13"/>
  <c r="F31" i="13"/>
  <c r="F19" i="13"/>
  <c r="F27" i="13"/>
  <c r="F18" i="13"/>
  <c r="F33" i="13"/>
  <c r="F25" i="13"/>
  <c r="F7" i="13"/>
  <c r="F21" i="13"/>
  <c r="H34" i="13"/>
  <c r="H26" i="13"/>
  <c r="H6" i="10"/>
  <c r="F10" i="10"/>
  <c r="B37" i="10"/>
  <c r="F34" i="12"/>
  <c r="H21" i="12"/>
  <c r="F30" i="12"/>
  <c r="H28" i="12"/>
  <c r="F15" i="12"/>
  <c r="F25" i="12"/>
  <c r="H31" i="12"/>
  <c r="B37" i="12"/>
  <c r="F19" i="12"/>
  <c r="H20" i="12"/>
  <c r="F27" i="12"/>
  <c r="F33" i="12"/>
  <c r="H31" i="14"/>
  <c r="H25" i="16"/>
  <c r="F6" i="16"/>
  <c r="G6" i="16" s="1"/>
  <c r="B37" i="13"/>
  <c r="H27" i="14"/>
  <c r="B37" i="16"/>
  <c r="F34" i="16"/>
  <c r="G6" i="10"/>
  <c r="N36" i="11" l="1"/>
  <c r="G37" i="10"/>
  <c r="H11" i="1" s="1"/>
  <c r="W37" i="14"/>
  <c r="R37" i="14"/>
  <c r="C40" i="11"/>
  <c r="W37" i="10"/>
  <c r="U37" i="10"/>
  <c r="G37" i="13"/>
  <c r="H13" i="1" s="1"/>
  <c r="R37" i="13"/>
  <c r="L37" i="16"/>
  <c r="I6" i="13"/>
  <c r="H37" i="13"/>
  <c r="H37" i="11"/>
  <c r="G37" i="11"/>
  <c r="H12" i="1" s="1"/>
  <c r="I6" i="10"/>
  <c r="T6" i="10" s="1"/>
  <c r="H37" i="10"/>
  <c r="G37" i="15"/>
  <c r="H10" i="1" s="1"/>
  <c r="H37" i="15"/>
  <c r="G37" i="16"/>
  <c r="H9" i="1" s="1"/>
  <c r="K6" i="16"/>
  <c r="N6" i="16"/>
  <c r="I37" i="16"/>
  <c r="K37" i="16" s="1"/>
  <c r="H37" i="16"/>
  <c r="I37" i="12"/>
  <c r="G37" i="12"/>
  <c r="H7" i="1" s="1"/>
  <c r="H37" i="12"/>
  <c r="I6" i="14"/>
  <c r="Q6" i="14" s="1"/>
  <c r="H37" i="14"/>
  <c r="T6" i="15"/>
  <c r="I37" i="15"/>
  <c r="F37" i="12"/>
  <c r="F37" i="15"/>
  <c r="F37" i="14"/>
  <c r="I6" i="11"/>
  <c r="F37" i="10"/>
  <c r="K6" i="15"/>
  <c r="N6" i="15"/>
  <c r="G6" i="14"/>
  <c r="G37" i="14" s="1"/>
  <c r="F37" i="16"/>
  <c r="F37" i="11"/>
  <c r="C42" i="13"/>
  <c r="F37" i="13"/>
  <c r="Q6" i="15"/>
  <c r="N6" i="10" l="1"/>
  <c r="N37" i="10" s="1"/>
  <c r="K6" i="10"/>
  <c r="K37" i="10" s="1"/>
  <c r="Q6" i="10"/>
  <c r="Q37" i="10" s="1"/>
  <c r="W37" i="11"/>
  <c r="U37" i="11"/>
  <c r="U37" i="13"/>
  <c r="W37" i="16"/>
  <c r="R37" i="16"/>
  <c r="I37" i="13"/>
  <c r="K6" i="13"/>
  <c r="K37" i="13" s="1"/>
  <c r="I37" i="14"/>
  <c r="Q37" i="14" s="1"/>
  <c r="N6" i="13"/>
  <c r="N37" i="13" s="1"/>
  <c r="L37" i="13"/>
  <c r="T6" i="13"/>
  <c r="Q6" i="13"/>
  <c r="Q37" i="13" s="1"/>
  <c r="N37" i="15"/>
  <c r="N6" i="14"/>
  <c r="N37" i="14" s="1"/>
  <c r="K6" i="14"/>
  <c r="K37" i="14" s="1"/>
  <c r="I37" i="10"/>
  <c r="K37" i="15"/>
  <c r="Q37" i="15"/>
  <c r="N37" i="16"/>
  <c r="Q37" i="16"/>
  <c r="N37" i="12"/>
  <c r="K37" i="12"/>
  <c r="Q37" i="12"/>
  <c r="T37" i="15"/>
  <c r="T6" i="11"/>
  <c r="I37" i="11"/>
  <c r="T37" i="11" s="1"/>
  <c r="J7" i="1"/>
  <c r="N6" i="11"/>
  <c r="N37" i="11" s="1"/>
  <c r="K6" i="11"/>
  <c r="K37" i="11" s="1"/>
  <c r="J11" i="1"/>
  <c r="Q6" i="11"/>
  <c r="Q37" i="11" s="1"/>
  <c r="J10" i="1"/>
  <c r="V37" i="13" l="1"/>
  <c r="V37" i="14"/>
  <c r="V38" i="14" s="1"/>
  <c r="V37" i="11"/>
  <c r="I12" i="1" s="1"/>
  <c r="K12" i="1" s="1"/>
  <c r="V37" i="12"/>
  <c r="I7" i="1" s="1"/>
  <c r="W37" i="13"/>
  <c r="J13" i="1" s="1"/>
  <c r="H8" i="1"/>
  <c r="H14" i="1" s="1"/>
  <c r="T37" i="10"/>
  <c r="V37" i="10"/>
  <c r="T37" i="13"/>
  <c r="I10" i="1"/>
  <c r="K10" i="1" s="1"/>
  <c r="V37" i="16"/>
  <c r="I9" i="1" s="1"/>
  <c r="K9" i="1" s="1"/>
  <c r="J12" i="1"/>
  <c r="J9" i="1"/>
  <c r="J8" i="1"/>
  <c r="I8" i="1" l="1"/>
  <c r="K8" i="1" s="1"/>
  <c r="V38" i="13"/>
  <c r="I13" i="1"/>
  <c r="K13" i="1" s="1"/>
  <c r="V38" i="10"/>
  <c r="I11" i="1"/>
  <c r="K11" i="1" s="1"/>
  <c r="K7" i="1"/>
  <c r="V38" i="12"/>
  <c r="J14" i="1"/>
  <c r="V38" i="16"/>
  <c r="K14" i="1" l="1"/>
  <c r="K18" i="1" s="1"/>
  <c r="K19" i="1"/>
  <c r="V38" i="11"/>
  <c r="K22" i="1" l="1"/>
  <c r="K23" i="1" s="1"/>
  <c r="I14" i="1"/>
  <c r="K24" i="1" l="1"/>
  <c r="K25" i="1" s="1"/>
  <c r="K26" i="1" s="1"/>
  <c r="K28" i="1" s="1"/>
  <c r="K30" i="1" l="1"/>
  <c r="E8" i="17" s="1"/>
  <c r="E6" i="17"/>
  <c r="K29" i="1"/>
  <c r="E7" i="17" s="1"/>
  <c r="K32" i="1" l="1"/>
  <c r="E10" i="17"/>
  <c r="E11" i="17" s="1"/>
</calcChain>
</file>

<file path=xl/sharedStrings.xml><?xml version="1.0" encoding="utf-8"?>
<sst xmlns="http://schemas.openxmlformats.org/spreadsheetml/2006/main" count="293" uniqueCount="109">
  <si>
    <t>Sl No</t>
  </si>
  <si>
    <t xml:space="preserve">Name of Zone </t>
  </si>
  <si>
    <t>Name of city</t>
  </si>
  <si>
    <t>SPT Capacity (MLD)</t>
  </si>
  <si>
    <t>a</t>
  </si>
  <si>
    <t>b</t>
  </si>
  <si>
    <t>c</t>
  </si>
  <si>
    <t>d</t>
  </si>
  <si>
    <t>e</t>
  </si>
  <si>
    <t>f</t>
  </si>
  <si>
    <t>g</t>
  </si>
  <si>
    <t>h</t>
  </si>
  <si>
    <t>Agra</t>
  </si>
  <si>
    <t xml:space="preserve">10% Centage/ Supervion  charge to UP Jal Nigam </t>
  </si>
  <si>
    <t>Grand Total</t>
  </si>
  <si>
    <t>BOD</t>
  </si>
  <si>
    <t>TSS</t>
  </si>
  <si>
    <t>COD</t>
  </si>
  <si>
    <t>Month wise Contract  Cost VoL -1, Section IV, Clause 39</t>
  </si>
  <si>
    <t>Contract Amount (Rs)</t>
  </si>
  <si>
    <t>Contract Amount/Month/MLD (Rs)</t>
  </si>
  <si>
    <t xml:space="preserve"> STP wise Cost (Rs)/month</t>
  </si>
  <si>
    <t>FC</t>
  </si>
  <si>
    <t>Dates</t>
  </si>
  <si>
    <t>Amount Of 12 Mld Stp</t>
  </si>
  <si>
    <t>Flow</t>
  </si>
  <si>
    <t>As Per CB</t>
  </si>
  <si>
    <t>As Per Actual</t>
  </si>
  <si>
    <t>Fix Charges(60%)</t>
  </si>
  <si>
    <t>Variable Charges(40%)</t>
  </si>
  <si>
    <t>Total</t>
  </si>
  <si>
    <t>Amount Of 40 Mld Stp</t>
  </si>
  <si>
    <t>AS Per CB</t>
  </si>
  <si>
    <t xml:space="preserve">AS Per Actual </t>
  </si>
  <si>
    <t>Amount Of 14 Mld Stp</t>
  </si>
  <si>
    <t>Capicity</t>
  </si>
  <si>
    <t>Treated for
 Payement</t>
  </si>
  <si>
    <t>Actual
Achieved</t>
  </si>
  <si>
    <t>Grand Total(7+14)</t>
  </si>
  <si>
    <t>i</t>
  </si>
  <si>
    <t>Amount Of 78 
Mld Stp</t>
  </si>
  <si>
    <t>Treated for
 Payement MLD</t>
  </si>
  <si>
    <t>Reported Value</t>
  </si>
  <si>
    <t>LD</t>
  </si>
  <si>
    <t>Amount Of 
24 Mld Stp</t>
  </si>
  <si>
    <t>Amount Of 2.25 
Mld Stp</t>
  </si>
  <si>
    <t>Amount Of 10 
Mld Stp</t>
  </si>
  <si>
    <t>LD recommended by OM&amp;M Cell</t>
  </si>
  <si>
    <t>Total verified amount</t>
  </si>
  <si>
    <t>Verified amount by OM&amp;M Cell</t>
  </si>
  <si>
    <t>Fixed Cost</t>
  </si>
  <si>
    <t>Variable cost</t>
  </si>
  <si>
    <t>j (g+h)</t>
  </si>
  <si>
    <t>Amount Recommended By OM&amp;M Cell</t>
  </si>
  <si>
    <t>Total Verified Amount</t>
  </si>
  <si>
    <t>Withheld amount by UPJN</t>
  </si>
  <si>
    <t>5 (1-2-3-4)</t>
  </si>
  <si>
    <t>Payable amount</t>
  </si>
  <si>
    <t>6 (5% * 5)</t>
  </si>
  <si>
    <t>Escalation @ 5%</t>
  </si>
  <si>
    <t>Sub Total</t>
  </si>
  <si>
    <t>Sub total</t>
  </si>
  <si>
    <t>Fuel Charges as certified by UPJN</t>
  </si>
  <si>
    <t>Grand total certified by OM&amp;M Cell</t>
  </si>
  <si>
    <t>Grand Total(7+22)</t>
  </si>
  <si>
    <t>Total LD</t>
  </si>
  <si>
    <t>Capacity</t>
  </si>
  <si>
    <t>BOD =&lt; 30 mg/lt</t>
  </si>
  <si>
    <t>COD =&lt; 250 mg/lt</t>
  </si>
  <si>
    <t>TSS =&lt; 50 mg/lt</t>
  </si>
  <si>
    <t>Treated for Payement</t>
  </si>
  <si>
    <t>Grand Total (7+22)</t>
  </si>
  <si>
    <t>Variable Charges (40%)</t>
  </si>
  <si>
    <t>Fix Charges (60%)</t>
  </si>
  <si>
    <t>Treated for
 Payment</t>
  </si>
  <si>
    <t>Amount Payable</t>
  </si>
  <si>
    <t>Other LD recommended by UPJN and Jal Kal on conveyance system by UPJN and Jal Kal</t>
  </si>
  <si>
    <t>7 (5 + 6)*5%</t>
  </si>
  <si>
    <t>Escalation @ 5% 2nd Year</t>
  </si>
  <si>
    <t>LD as recommeded by OM&amp;M cell on quality parameters (rounded off to nearest thousand)</t>
  </si>
  <si>
    <r>
      <t xml:space="preserve">Release of withheld amount </t>
    </r>
    <r>
      <rPr>
        <b/>
        <sz val="12"/>
        <color theme="1"/>
        <rFont val="Times New Roman"/>
        <family val="1"/>
      </rPr>
      <t>(amount witheld in month…......, year …......)</t>
    </r>
  </si>
  <si>
    <t>Ø-l-</t>
  </si>
  <si>
    <t>isesUV lfVZfQdsV@fcy dk fooj.k</t>
  </si>
  <si>
    <t>1-</t>
  </si>
  <si>
    <t xml:space="preserve">isesUV lfVZfQdsV@fcy ds lkis{k voeqDr dh tkus okyh /kujkf'k  </t>
  </si>
  <si>
    <t>2-</t>
  </si>
  <si>
    <t>th-,l-Vh- ¼12 izfr'kr½</t>
  </si>
  <si>
    <t>3-</t>
  </si>
  <si>
    <r>
      <t xml:space="preserve">¶;wy pktsZl </t>
    </r>
    <r>
      <rPr>
        <sz val="11"/>
        <color theme="1"/>
        <rFont val="Times New Roman"/>
        <family val="1"/>
      </rPr>
      <t>(As per actual Certified by UPJN)</t>
    </r>
  </si>
  <si>
    <t>4-</t>
  </si>
  <si>
    <r>
      <t xml:space="preserve">m0iz0 ty fuxe dks ns; lsUVst@lqijohtu pktsZl </t>
    </r>
    <r>
      <rPr>
        <sz val="11"/>
        <color theme="1"/>
        <rFont val="Times New Roman"/>
        <family val="1"/>
      </rPr>
      <t>(10%)</t>
    </r>
  </si>
  <si>
    <t>5-</t>
  </si>
  <si>
    <t>;ksx ¼1$2$3$4½</t>
  </si>
  <si>
    <t>6-</t>
  </si>
  <si>
    <t>m0ç0 ty fuxe dks vkoafVr dh tkus okyh /kujkf'k</t>
  </si>
  <si>
    <t>7-</t>
  </si>
  <si>
    <t>vkoafVr dh tkus okyh /kujkf'k esa ls ,LØks ,dkmaV esa çcU/k funs'kd] m0ç0 ty fuxe }kjk tek dh tkus okyh /kujkf'k dk fooj.k</t>
  </si>
  <si>
    <t>UPPCB</t>
  </si>
  <si>
    <t>Grand Total (7+14)</t>
  </si>
  <si>
    <t>GST @ 18 %</t>
  </si>
  <si>
    <r>
      <t>30</t>
    </r>
    <r>
      <rPr>
        <vertAlign val="superscript"/>
        <sz val="10"/>
        <color theme="1"/>
        <rFont val="Times New Roman"/>
        <family val="1"/>
      </rPr>
      <t>th</t>
    </r>
    <r>
      <rPr>
        <sz val="10"/>
        <color theme="1"/>
        <rFont val="Times New Roman"/>
        <family val="1"/>
      </rPr>
      <t xml:space="preserve"> Payment Certificate/ Bill- </t>
    </r>
    <r>
      <rPr>
        <b/>
        <sz val="10"/>
        <color theme="1"/>
        <rFont val="Times New Roman"/>
        <family val="1"/>
      </rPr>
      <t>August-</t>
    </r>
    <r>
      <rPr>
        <sz val="10"/>
        <color theme="1"/>
        <rFont val="Times New Roman"/>
        <family val="1"/>
      </rPr>
      <t>2022 (Rs.)</t>
    </r>
  </si>
  <si>
    <t>Escalation @ 5% 3nd Year</t>
  </si>
  <si>
    <t>8 (5 + 6 +7)*5%</t>
  </si>
  <si>
    <t>9 (5+6+7+8)</t>
  </si>
  <si>
    <t>11 (9+10)</t>
  </si>
  <si>
    <t>12 (18% * 11)</t>
  </si>
  <si>
    <t>13 (10% * 11)</t>
  </si>
  <si>
    <t>AGRA Payment for the month of JANUARY 2023 (As Per VoL -1, Section IV, Clause 39)</t>
  </si>
  <si>
    <t>15 (11+12+13+14)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</si>
</sst>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409]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Kruti Dev 010"/>
    </font>
    <font>
      <b/>
      <sz val="12"/>
      <color theme="1"/>
      <name val="Kruti Dev 010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Kruti Dev 010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2" fontId="0" fillId="0" borderId="0" xfId="0" applyNumberFormat="1"/>
    <xf numFmtId="1" fontId="1" fillId="0" borderId="0" xfId="0" applyNumberFormat="1" applyFont="1"/>
    <xf numFmtId="0" fontId="4" fillId="0" borderId="0" xfId="0" applyFont="1" applyAlignment="1">
      <alignment vertical="top" wrapText="1"/>
    </xf>
    <xf numFmtId="0" fontId="2" fillId="0" borderId="0" xfId="0" applyFont="1"/>
    <xf numFmtId="0" fontId="6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 wrapText="1"/>
    </xf>
    <xf numFmtId="0" fontId="20" fillId="0" borderId="1" xfId="0" applyFont="1" applyBorder="1" applyAlignment="1">
      <alignment horizontal="justify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43" fontId="18" fillId="0" borderId="1" xfId="1" applyFont="1" applyBorder="1" applyAlignment="1">
      <alignment horizontal="center" vertical="center" wrapText="1"/>
    </xf>
    <xf numFmtId="43" fontId="18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1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19" fillId="0" borderId="0" xfId="0" applyFont="1"/>
    <xf numFmtId="0" fontId="7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/>
    <xf numFmtId="0" fontId="19" fillId="0" borderId="1" xfId="0" applyFont="1" applyBorder="1"/>
    <xf numFmtId="0" fontId="5" fillId="0" borderId="1" xfId="0" applyFont="1" applyBorder="1"/>
    <xf numFmtId="2" fontId="5" fillId="0" borderId="1" xfId="0" applyNumberFormat="1" applyFont="1" applyBorder="1"/>
    <xf numFmtId="2" fontId="3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2" fontId="21" fillId="0" borderId="1" xfId="0" applyNumberFormat="1" applyFont="1" applyBorder="1"/>
    <xf numFmtId="2" fontId="8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9" fontId="1" fillId="0" borderId="1" xfId="0" applyNumberFormat="1" applyFont="1" applyBorder="1" applyAlignment="1">
      <alignment horizontal="center" vertical="top" wrapText="1"/>
    </xf>
    <xf numFmtId="164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6" xfId="0" applyNumberFormat="1" applyBorder="1"/>
    <xf numFmtId="2" fontId="0" fillId="0" borderId="14" xfId="0" applyNumberFormat="1" applyBorder="1" applyAlignment="1">
      <alignment horizontal="center" vertical="center"/>
    </xf>
    <xf numFmtId="2" fontId="3" fillId="0" borderId="0" xfId="0" applyNumberFormat="1" applyFont="1"/>
    <xf numFmtId="2" fontId="1" fillId="0" borderId="1" xfId="0" applyNumberFormat="1" applyFont="1" applyBorder="1" applyAlignment="1">
      <alignment horizontal="center" vertical="center"/>
    </xf>
    <xf numFmtId="2" fontId="11" fillId="0" borderId="0" xfId="0" applyNumberFormat="1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2" fontId="2" fillId="0" borderId="0" xfId="0" applyNumberFormat="1" applyFont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2" borderId="14" xfId="0" applyNumberFormat="1" applyFill="1" applyBorder="1" applyAlignment="1">
      <alignment horizontal="center" vertical="center"/>
    </xf>
    <xf numFmtId="43" fontId="5" fillId="0" borderId="1" xfId="1" applyFont="1" applyBorder="1" applyAlignment="1">
      <alignment horizontal="center" vertical="center" wrapText="1"/>
    </xf>
    <xf numFmtId="43" fontId="5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opLeftCell="A17" zoomScaleNormal="100" workbookViewId="0">
      <selection activeCell="M24" sqref="M24"/>
    </sheetView>
  </sheetViews>
  <sheetFormatPr defaultRowHeight="15" x14ac:dyDescent="0.25"/>
  <cols>
    <col min="2" max="2" width="11" customWidth="1"/>
    <col min="3" max="3" width="10.7109375" customWidth="1"/>
    <col min="4" max="4" width="11.5703125" bestFit="1" customWidth="1"/>
    <col min="5" max="5" width="14.28515625" bestFit="1" customWidth="1"/>
    <col min="6" max="6" width="10.7109375" bestFit="1" customWidth="1"/>
    <col min="7" max="8" width="13.140625" bestFit="1" customWidth="1"/>
    <col min="9" max="9" width="14.28515625" bestFit="1" customWidth="1"/>
    <col min="10" max="10" width="15.140625" customWidth="1"/>
    <col min="11" max="11" width="18.42578125" customWidth="1"/>
    <col min="12" max="12" width="9.7109375" customWidth="1"/>
    <col min="13" max="13" width="11.140625" bestFit="1" customWidth="1"/>
    <col min="14" max="15" width="9.5703125" bestFit="1" customWidth="1"/>
    <col min="16" max="16" width="16.42578125" bestFit="1" customWidth="1"/>
  </cols>
  <sheetData>
    <row r="1" spans="1:14" ht="18.75" x14ac:dyDescent="0.3">
      <c r="A1" s="134" t="s">
        <v>107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5"/>
    </row>
    <row r="2" spans="1:14" x14ac:dyDescent="0.25">
      <c r="G2" s="1"/>
      <c r="H2" s="1"/>
      <c r="I2" s="1"/>
    </row>
    <row r="3" spans="1:14" ht="34.5" customHeight="1" x14ac:dyDescent="0.25">
      <c r="A3" s="38"/>
      <c r="B3" s="38"/>
      <c r="C3" s="38"/>
      <c r="D3" s="38"/>
      <c r="E3" s="38"/>
      <c r="F3" s="38"/>
      <c r="G3" s="135" t="s">
        <v>18</v>
      </c>
      <c r="H3" s="136"/>
      <c r="I3" s="137"/>
      <c r="J3" s="138" t="s">
        <v>47</v>
      </c>
      <c r="K3" s="138" t="s">
        <v>48</v>
      </c>
    </row>
    <row r="4" spans="1:14" ht="15.75" customHeight="1" x14ac:dyDescent="0.25">
      <c r="A4" s="39"/>
      <c r="B4" s="39"/>
      <c r="C4" s="39"/>
      <c r="D4" s="39"/>
      <c r="E4" s="39"/>
      <c r="F4" s="39"/>
      <c r="G4" s="138" t="s">
        <v>21</v>
      </c>
      <c r="H4" s="141" t="s">
        <v>49</v>
      </c>
      <c r="I4" s="141"/>
      <c r="J4" s="139"/>
      <c r="K4" s="139"/>
    </row>
    <row r="5" spans="1:14" ht="60" customHeight="1" x14ac:dyDescent="0.25">
      <c r="A5" s="142" t="s">
        <v>0</v>
      </c>
      <c r="B5" s="40" t="s">
        <v>1</v>
      </c>
      <c r="C5" s="40" t="s">
        <v>2</v>
      </c>
      <c r="D5" s="40" t="s">
        <v>3</v>
      </c>
      <c r="E5" s="40" t="s">
        <v>19</v>
      </c>
      <c r="F5" s="41" t="s">
        <v>20</v>
      </c>
      <c r="G5" s="140"/>
      <c r="H5" s="6" t="s">
        <v>50</v>
      </c>
      <c r="I5" s="6" t="s">
        <v>51</v>
      </c>
      <c r="J5" s="140"/>
      <c r="K5" s="140"/>
    </row>
    <row r="6" spans="1:14" ht="15.75" x14ac:dyDescent="0.25">
      <c r="A6" s="143"/>
      <c r="B6" s="25" t="s">
        <v>4</v>
      </c>
      <c r="C6" s="25" t="s">
        <v>5</v>
      </c>
      <c r="D6" s="25" t="s">
        <v>6</v>
      </c>
      <c r="E6" s="25" t="s">
        <v>7</v>
      </c>
      <c r="F6" s="25" t="s">
        <v>8</v>
      </c>
      <c r="G6" s="7" t="s">
        <v>9</v>
      </c>
      <c r="H6" s="7" t="s">
        <v>10</v>
      </c>
      <c r="I6" s="8" t="s">
        <v>11</v>
      </c>
      <c r="J6" s="6" t="s">
        <v>39</v>
      </c>
      <c r="K6" s="6" t="s">
        <v>52</v>
      </c>
    </row>
    <row r="7" spans="1:14" ht="15.75" x14ac:dyDescent="0.25">
      <c r="A7" s="42">
        <v>1</v>
      </c>
      <c r="B7" s="117" t="s">
        <v>12</v>
      </c>
      <c r="C7" s="117" t="s">
        <v>12</v>
      </c>
      <c r="D7" s="43">
        <v>78</v>
      </c>
      <c r="E7" s="120">
        <v>428402900</v>
      </c>
      <c r="F7" s="123">
        <f>E7/D14/12</f>
        <v>198059.59</v>
      </c>
      <c r="G7" s="44">
        <f>$F$14*D7</f>
        <v>15448648.02</v>
      </c>
      <c r="H7" s="44">
        <f>'78 MLD NEW'!G37</f>
        <v>9189798.8699999992</v>
      </c>
      <c r="I7" s="44">
        <f>'78 MLD NEW'!V37</f>
        <v>6126532.5899999999</v>
      </c>
      <c r="J7" s="44">
        <f>'78 MLD NEW'!W37</f>
        <v>0</v>
      </c>
      <c r="K7" s="44">
        <f>I7+H7</f>
        <v>15316331.460000001</v>
      </c>
      <c r="M7" s="2"/>
    </row>
    <row r="8" spans="1:14" ht="15.75" x14ac:dyDescent="0.25">
      <c r="A8" s="42">
        <v>2</v>
      </c>
      <c r="B8" s="118"/>
      <c r="C8" s="118"/>
      <c r="D8" s="43">
        <v>10</v>
      </c>
      <c r="E8" s="121"/>
      <c r="F8" s="124"/>
      <c r="G8" s="44">
        <f>$F$14*D8</f>
        <v>1980595.9</v>
      </c>
      <c r="H8" s="44">
        <f>'10MLD NEW'!G37</f>
        <v>1188357.4099999999</v>
      </c>
      <c r="I8" s="44">
        <f>'10MLD NEW'!V37</f>
        <v>792238.48</v>
      </c>
      <c r="J8" s="44">
        <f>'10MLD NEW'!W37</f>
        <v>0</v>
      </c>
      <c r="K8" s="53">
        <f t="shared" ref="K8:K13" si="0">I8+H8</f>
        <v>1980595.89</v>
      </c>
      <c r="M8" s="2"/>
    </row>
    <row r="9" spans="1:14" ht="15.75" x14ac:dyDescent="0.25">
      <c r="A9" s="42">
        <v>3</v>
      </c>
      <c r="B9" s="118"/>
      <c r="C9" s="118"/>
      <c r="D9" s="43">
        <v>2.25</v>
      </c>
      <c r="E9" s="121"/>
      <c r="F9" s="124"/>
      <c r="G9" s="44">
        <f t="shared" ref="G9:G13" si="1">$F$14*D9</f>
        <v>445634.08</v>
      </c>
      <c r="H9" s="44">
        <f>'2.25Mld NEW '!G37</f>
        <v>265425.24</v>
      </c>
      <c r="I9" s="44">
        <f>'2.25Mld NEW '!V37</f>
        <v>176950.42</v>
      </c>
      <c r="J9" s="44">
        <f>'2.25Mld NEW '!W37</f>
        <v>0</v>
      </c>
      <c r="K9" s="44">
        <f t="shared" si="0"/>
        <v>442375.66</v>
      </c>
      <c r="M9" s="2"/>
    </row>
    <row r="10" spans="1:14" ht="15.75" x14ac:dyDescent="0.25">
      <c r="A10" s="42">
        <v>4</v>
      </c>
      <c r="B10" s="118"/>
      <c r="C10" s="118"/>
      <c r="D10" s="43">
        <v>14</v>
      </c>
      <c r="E10" s="121"/>
      <c r="F10" s="124"/>
      <c r="G10" s="44">
        <f t="shared" si="1"/>
        <v>2772834.26</v>
      </c>
      <c r="H10" s="44">
        <f>'14MLD New'!G37</f>
        <v>1663700.56</v>
      </c>
      <c r="I10" s="44">
        <f>'14MLD New'!V37</f>
        <v>1109134.1200000001</v>
      </c>
      <c r="J10" s="44">
        <f>'14MLD New'!W37</f>
        <v>0</v>
      </c>
      <c r="K10" s="44">
        <f t="shared" si="0"/>
        <v>2772834.68</v>
      </c>
      <c r="M10" s="2"/>
    </row>
    <row r="11" spans="1:14" ht="15.75" customHeight="1" x14ac:dyDescent="0.25">
      <c r="A11" s="42">
        <v>5</v>
      </c>
      <c r="B11" s="118"/>
      <c r="C11" s="118"/>
      <c r="D11" s="43">
        <v>12</v>
      </c>
      <c r="E11" s="121"/>
      <c r="F11" s="124"/>
      <c r="G11" s="44">
        <f t="shared" si="1"/>
        <v>2376715.08</v>
      </c>
      <c r="H11" s="44">
        <f>'12 Mld New '!G37</f>
        <v>960077.95</v>
      </c>
      <c r="I11" s="44">
        <f>'12 Mld New '!V37</f>
        <v>640052.01</v>
      </c>
      <c r="J11" s="44">
        <f>'12 Mld New '!W37</f>
        <v>0</v>
      </c>
      <c r="K11" s="44">
        <f t="shared" si="0"/>
        <v>1600129.96</v>
      </c>
      <c r="L11" s="16"/>
      <c r="M11" s="2"/>
    </row>
    <row r="12" spans="1:14" ht="15.75" x14ac:dyDescent="0.25">
      <c r="A12" s="42">
        <v>6</v>
      </c>
      <c r="B12" s="118"/>
      <c r="C12" s="118"/>
      <c r="D12" s="43">
        <v>40</v>
      </c>
      <c r="E12" s="121"/>
      <c r="F12" s="124"/>
      <c r="G12" s="44">
        <f t="shared" si="1"/>
        <v>7922383.5999999996</v>
      </c>
      <c r="H12" s="44">
        <f>'40 MLd New'!G37</f>
        <v>3227617.48</v>
      </c>
      <c r="I12" s="44">
        <f>'40 MLd New'!V37</f>
        <v>2151744.98</v>
      </c>
      <c r="J12" s="44">
        <f>'40 MLd New'!W37</f>
        <v>0</v>
      </c>
      <c r="K12" s="52">
        <f t="shared" si="0"/>
        <v>5379362.46</v>
      </c>
      <c r="L12" s="16"/>
      <c r="M12" s="2"/>
    </row>
    <row r="13" spans="1:14" ht="15.75" x14ac:dyDescent="0.25">
      <c r="A13" s="42">
        <v>7</v>
      </c>
      <c r="B13" s="119"/>
      <c r="C13" s="119"/>
      <c r="D13" s="43">
        <v>24</v>
      </c>
      <c r="E13" s="122"/>
      <c r="F13" s="125"/>
      <c r="G13" s="44">
        <f t="shared" si="1"/>
        <v>4753430.16</v>
      </c>
      <c r="H13" s="44">
        <f>'24MLD New'!G37</f>
        <v>2006791</v>
      </c>
      <c r="I13" s="44">
        <f>'24MLD New'!V37</f>
        <v>1337860.69</v>
      </c>
      <c r="J13" s="44">
        <f>'24MLD New'!W37</f>
        <v>0</v>
      </c>
      <c r="K13" s="44">
        <f t="shared" si="0"/>
        <v>3344651.69</v>
      </c>
      <c r="L13" s="17"/>
      <c r="M13" s="2"/>
    </row>
    <row r="14" spans="1:14" ht="15.75" x14ac:dyDescent="0.25">
      <c r="A14" s="45"/>
      <c r="B14" s="45"/>
      <c r="C14" s="45"/>
      <c r="D14" s="46">
        <f>SUM(D7:D13)</f>
        <v>180.25</v>
      </c>
      <c r="E14" s="47">
        <f>SUM(E7)</f>
        <v>428402900</v>
      </c>
      <c r="F14" s="47">
        <f>SUM(F7)</f>
        <v>198059.59</v>
      </c>
      <c r="G14" s="47">
        <f>SUM(G7:G13)</f>
        <v>35700241.100000001</v>
      </c>
      <c r="H14" s="47">
        <f t="shared" ref="H14:J14" si="2">SUM(H7:H13)</f>
        <v>18501768.510000002</v>
      </c>
      <c r="I14" s="47">
        <f t="shared" si="2"/>
        <v>12334513.289999999</v>
      </c>
      <c r="J14" s="47">
        <f t="shared" si="2"/>
        <v>0</v>
      </c>
      <c r="K14" s="47">
        <f>SUM(K7:K13)</f>
        <v>30836281.800000001</v>
      </c>
      <c r="L14" s="4"/>
      <c r="M14" s="2"/>
      <c r="N14" s="2"/>
    </row>
    <row r="15" spans="1:14" ht="24" customHeight="1" x14ac:dyDescent="0.25">
      <c r="J15" s="3"/>
      <c r="L15" s="4"/>
    </row>
    <row r="16" spans="1:14" ht="14.25" customHeight="1" x14ac:dyDescent="0.25">
      <c r="B16" s="128" t="s">
        <v>53</v>
      </c>
      <c r="C16" s="129"/>
      <c r="D16" s="129"/>
      <c r="E16" s="129"/>
      <c r="F16" s="129"/>
      <c r="G16" s="129"/>
      <c r="H16" s="129"/>
      <c r="I16" s="129"/>
      <c r="J16" s="130"/>
      <c r="K16" s="126" t="s">
        <v>75</v>
      </c>
    </row>
    <row r="17" spans="2:13" ht="21" customHeight="1" x14ac:dyDescent="0.25">
      <c r="B17" s="131"/>
      <c r="C17" s="132"/>
      <c r="D17" s="132"/>
      <c r="E17" s="132"/>
      <c r="F17" s="132"/>
      <c r="G17" s="132"/>
      <c r="H17" s="132"/>
      <c r="I17" s="132"/>
      <c r="J17" s="133"/>
      <c r="K17" s="127"/>
    </row>
    <row r="18" spans="2:13" ht="24" customHeight="1" x14ac:dyDescent="0.25">
      <c r="B18" s="144">
        <v>1</v>
      </c>
      <c r="C18" s="144"/>
      <c r="D18" s="114" t="s">
        <v>54</v>
      </c>
      <c r="E18" s="114"/>
      <c r="F18" s="114"/>
      <c r="G18" s="114"/>
      <c r="H18" s="114"/>
      <c r="I18" s="114"/>
      <c r="J18" s="114"/>
      <c r="K18" s="9">
        <f>+K14</f>
        <v>30836281.800000001</v>
      </c>
      <c r="M18" s="2"/>
    </row>
    <row r="19" spans="2:13" ht="24" customHeight="1" x14ac:dyDescent="0.25">
      <c r="B19" s="144">
        <v>2</v>
      </c>
      <c r="C19" s="144"/>
      <c r="D19" s="114" t="s">
        <v>79</v>
      </c>
      <c r="E19" s="114"/>
      <c r="F19" s="114"/>
      <c r="G19" s="114"/>
      <c r="H19" s="114"/>
      <c r="I19" s="114"/>
      <c r="J19" s="114"/>
      <c r="K19" s="10">
        <f>ROUND(J14/1000,0)*1000</f>
        <v>0</v>
      </c>
      <c r="M19" s="2"/>
    </row>
    <row r="20" spans="2:13" ht="24" customHeight="1" x14ac:dyDescent="0.25">
      <c r="B20" s="144">
        <v>3</v>
      </c>
      <c r="C20" s="144"/>
      <c r="D20" s="114" t="s">
        <v>76</v>
      </c>
      <c r="E20" s="114"/>
      <c r="F20" s="114"/>
      <c r="G20" s="114"/>
      <c r="H20" s="114"/>
      <c r="I20" s="114"/>
      <c r="J20" s="114"/>
      <c r="K20" s="12">
        <v>842339.59</v>
      </c>
      <c r="M20" s="2"/>
    </row>
    <row r="21" spans="2:13" ht="24" customHeight="1" x14ac:dyDescent="0.25">
      <c r="B21" s="144">
        <v>4</v>
      </c>
      <c r="C21" s="144"/>
      <c r="D21" s="114" t="s">
        <v>55</v>
      </c>
      <c r="E21" s="114"/>
      <c r="F21" s="114"/>
      <c r="G21" s="114"/>
      <c r="H21" s="114"/>
      <c r="I21" s="114"/>
      <c r="J21" s="114"/>
      <c r="K21" s="10">
        <v>0</v>
      </c>
      <c r="M21" s="2"/>
    </row>
    <row r="22" spans="2:13" ht="24" customHeight="1" x14ac:dyDescent="0.25">
      <c r="B22" s="144" t="s">
        <v>56</v>
      </c>
      <c r="C22" s="144"/>
      <c r="D22" s="116" t="s">
        <v>57</v>
      </c>
      <c r="E22" s="116"/>
      <c r="F22" s="116"/>
      <c r="G22" s="116"/>
      <c r="H22" s="116"/>
      <c r="I22" s="116"/>
      <c r="J22" s="116"/>
      <c r="K22" s="10">
        <f>+K18-K19-K20-K21</f>
        <v>29993942.210000001</v>
      </c>
      <c r="M22" s="2"/>
    </row>
    <row r="23" spans="2:13" ht="24" customHeight="1" x14ac:dyDescent="0.25">
      <c r="B23" s="144" t="s">
        <v>58</v>
      </c>
      <c r="C23" s="144"/>
      <c r="D23" s="114" t="s">
        <v>59</v>
      </c>
      <c r="E23" s="114"/>
      <c r="F23" s="114"/>
      <c r="G23" s="114"/>
      <c r="H23" s="114"/>
      <c r="I23" s="114"/>
      <c r="J23" s="114"/>
      <c r="K23" s="10">
        <f>+K22*0.05</f>
        <v>1499697.11</v>
      </c>
      <c r="M23" s="2"/>
    </row>
    <row r="24" spans="2:13" ht="24" customHeight="1" x14ac:dyDescent="0.25">
      <c r="B24" s="144" t="s">
        <v>77</v>
      </c>
      <c r="C24" s="144"/>
      <c r="D24" s="114" t="s">
        <v>78</v>
      </c>
      <c r="E24" s="114"/>
      <c r="F24" s="114"/>
      <c r="G24" s="114"/>
      <c r="H24" s="114"/>
      <c r="I24" s="114"/>
      <c r="J24" s="114"/>
      <c r="K24" s="10">
        <f>(+K22+K23)*0.05</f>
        <v>1574681.97</v>
      </c>
      <c r="M24" s="2"/>
    </row>
    <row r="25" spans="2:13" ht="24" customHeight="1" x14ac:dyDescent="0.25">
      <c r="B25" s="144" t="s">
        <v>102</v>
      </c>
      <c r="C25" s="144"/>
      <c r="D25" s="114" t="s">
        <v>101</v>
      </c>
      <c r="E25" s="114"/>
      <c r="F25" s="114"/>
      <c r="G25" s="114"/>
      <c r="H25" s="114"/>
      <c r="I25" s="114"/>
      <c r="J25" s="114"/>
      <c r="K25" s="10">
        <f>(+K22+K23+K24)*0.05</f>
        <v>1653416.06</v>
      </c>
      <c r="M25" s="2"/>
    </row>
    <row r="26" spans="2:13" ht="24" customHeight="1" x14ac:dyDescent="0.25">
      <c r="B26" s="144" t="s">
        <v>103</v>
      </c>
      <c r="C26" s="144"/>
      <c r="D26" s="116" t="s">
        <v>60</v>
      </c>
      <c r="E26" s="116"/>
      <c r="F26" s="116"/>
      <c r="G26" s="116"/>
      <c r="H26" s="116"/>
      <c r="I26" s="116"/>
      <c r="J26" s="116"/>
      <c r="K26" s="9">
        <f>SUM(K22:K25)</f>
        <v>34721737.350000001</v>
      </c>
      <c r="M26" s="2"/>
    </row>
    <row r="27" spans="2:13" ht="24" customHeight="1" x14ac:dyDescent="0.25">
      <c r="B27" s="144">
        <v>10</v>
      </c>
      <c r="C27" s="144"/>
      <c r="D27" s="114" t="s">
        <v>80</v>
      </c>
      <c r="E27" s="114"/>
      <c r="F27" s="114"/>
      <c r="G27" s="114"/>
      <c r="H27" s="114"/>
      <c r="I27" s="114"/>
      <c r="J27" s="114"/>
      <c r="K27" s="11">
        <v>0</v>
      </c>
      <c r="M27" s="2"/>
    </row>
    <row r="28" spans="2:13" ht="24" customHeight="1" x14ac:dyDescent="0.25">
      <c r="B28" s="144" t="s">
        <v>104</v>
      </c>
      <c r="C28" s="144"/>
      <c r="D28" s="116" t="s">
        <v>61</v>
      </c>
      <c r="E28" s="116"/>
      <c r="F28" s="116"/>
      <c r="G28" s="116"/>
      <c r="H28" s="116"/>
      <c r="I28" s="116"/>
      <c r="J28" s="116"/>
      <c r="K28" s="111">
        <f>SUM(K26:K27)</f>
        <v>34721737.350000001</v>
      </c>
      <c r="M28" s="2"/>
    </row>
    <row r="29" spans="2:13" ht="24" customHeight="1" x14ac:dyDescent="0.25">
      <c r="B29" s="144" t="s">
        <v>105</v>
      </c>
      <c r="C29" s="144"/>
      <c r="D29" s="113" t="s">
        <v>99</v>
      </c>
      <c r="E29" s="113"/>
      <c r="F29" s="113"/>
      <c r="G29" s="113"/>
      <c r="H29" s="113"/>
      <c r="I29" s="113"/>
      <c r="J29" s="113"/>
      <c r="K29" s="10">
        <f>+K28*0.18</f>
        <v>6249912.7199999997</v>
      </c>
      <c r="M29" s="2"/>
    </row>
    <row r="30" spans="2:13" ht="24" customHeight="1" x14ac:dyDescent="0.25">
      <c r="B30" s="144" t="s">
        <v>106</v>
      </c>
      <c r="C30" s="144"/>
      <c r="D30" s="114" t="s">
        <v>13</v>
      </c>
      <c r="E30" s="114"/>
      <c r="F30" s="114"/>
      <c r="G30" s="114"/>
      <c r="H30" s="114"/>
      <c r="I30" s="114"/>
      <c r="J30" s="114"/>
      <c r="K30" s="10">
        <f>+K28*0.1</f>
        <v>3472173.74</v>
      </c>
      <c r="M30" s="2"/>
    </row>
    <row r="31" spans="2:13" ht="24" customHeight="1" x14ac:dyDescent="0.25">
      <c r="B31" s="144">
        <v>14</v>
      </c>
      <c r="C31" s="144"/>
      <c r="D31" s="114" t="s">
        <v>62</v>
      </c>
      <c r="E31" s="114"/>
      <c r="F31" s="114"/>
      <c r="G31" s="114"/>
      <c r="H31" s="114"/>
      <c r="I31" s="114"/>
      <c r="J31" s="114"/>
      <c r="K31" s="10">
        <v>570661.23</v>
      </c>
      <c r="M31" s="2"/>
    </row>
    <row r="32" spans="2:13" ht="24" customHeight="1" x14ac:dyDescent="0.25">
      <c r="B32" s="144" t="s">
        <v>108</v>
      </c>
      <c r="C32" s="144"/>
      <c r="D32" s="115" t="s">
        <v>63</v>
      </c>
      <c r="E32" s="115"/>
      <c r="F32" s="115"/>
      <c r="G32" s="115"/>
      <c r="H32" s="115"/>
      <c r="I32" s="115"/>
      <c r="J32" s="115"/>
      <c r="K32" s="112">
        <f>SUM(K28:K31)</f>
        <v>45014485.039999999</v>
      </c>
      <c r="M32" s="2"/>
    </row>
    <row r="33" spans="11:16" x14ac:dyDescent="0.25">
      <c r="K33" s="2"/>
    </row>
    <row r="34" spans="11:16" x14ac:dyDescent="0.25">
      <c r="K34" s="2"/>
    </row>
    <row r="36" spans="11:16" ht="15.75" x14ac:dyDescent="0.25">
      <c r="P36" s="13"/>
    </row>
    <row r="37" spans="11:16" ht="21.75" customHeight="1" x14ac:dyDescent="0.25">
      <c r="O37" s="14"/>
      <c r="P37" s="15"/>
    </row>
    <row r="38" spans="11:16" ht="21.75" customHeight="1" x14ac:dyDescent="0.25">
      <c r="O38" s="14"/>
      <c r="P38" s="15"/>
    </row>
    <row r="39" spans="11:16" ht="21.75" customHeight="1" x14ac:dyDescent="0.25">
      <c r="O39" s="14"/>
      <c r="P39" s="15"/>
    </row>
  </sheetData>
  <mergeCells count="43">
    <mergeCell ref="B29:C29"/>
    <mergeCell ref="B30:C30"/>
    <mergeCell ref="B31:C31"/>
    <mergeCell ref="B32:C32"/>
    <mergeCell ref="B23:C23"/>
    <mergeCell ref="B24:C24"/>
    <mergeCell ref="B26:C26"/>
    <mergeCell ref="B27:C27"/>
    <mergeCell ref="B28:C28"/>
    <mergeCell ref="B25:C25"/>
    <mergeCell ref="B18:C18"/>
    <mergeCell ref="B19:C19"/>
    <mergeCell ref="B20:C20"/>
    <mergeCell ref="B21:C21"/>
    <mergeCell ref="B22:C22"/>
    <mergeCell ref="A1:K1"/>
    <mergeCell ref="G3:I3"/>
    <mergeCell ref="J3:J5"/>
    <mergeCell ref="K3:K5"/>
    <mergeCell ref="G4:G5"/>
    <mergeCell ref="H4:I4"/>
    <mergeCell ref="A5:A6"/>
    <mergeCell ref="B7:B13"/>
    <mergeCell ref="C7:C13"/>
    <mergeCell ref="E7:E13"/>
    <mergeCell ref="F7:F13"/>
    <mergeCell ref="K16:K17"/>
    <mergeCell ref="B16:J17"/>
    <mergeCell ref="D18:J18"/>
    <mergeCell ref="D19:J19"/>
    <mergeCell ref="D20:J20"/>
    <mergeCell ref="D21:J21"/>
    <mergeCell ref="D22:J22"/>
    <mergeCell ref="D29:J29"/>
    <mergeCell ref="D30:J30"/>
    <mergeCell ref="D31:J31"/>
    <mergeCell ref="D32:J32"/>
    <mergeCell ref="D23:J23"/>
    <mergeCell ref="D24:J24"/>
    <mergeCell ref="D26:J26"/>
    <mergeCell ref="D27:J27"/>
    <mergeCell ref="D28:J28"/>
    <mergeCell ref="D25:J25"/>
  </mergeCells>
  <pageMargins left="0.39370078740157483" right="0.23622047244094491" top="0.39370078740157483" bottom="0.23622047244094491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42"/>
  <sheetViews>
    <sheetView topLeftCell="A17" zoomScaleNormal="100" workbookViewId="0">
      <pane xSplit="1" topLeftCell="H1" activePane="topRight" state="frozen"/>
      <selection activeCell="L6" sqref="L6"/>
      <selection pane="topRight" activeCell="V6" sqref="V6:W36"/>
    </sheetView>
  </sheetViews>
  <sheetFormatPr defaultRowHeight="15.75" x14ac:dyDescent="0.25"/>
  <cols>
    <col min="1" max="1" width="10.7109375" style="73" customWidth="1"/>
    <col min="2" max="2" width="12.28515625" style="73" customWidth="1"/>
    <col min="3" max="3" width="8.28515625" style="73" customWidth="1"/>
    <col min="4" max="4" width="9" style="73" customWidth="1"/>
    <col min="5" max="5" width="10.42578125" style="73" customWidth="1"/>
    <col min="6" max="6" width="11" style="73" customWidth="1"/>
    <col min="7" max="7" width="11.5703125" style="73" customWidth="1"/>
    <col min="8" max="8" width="11.85546875" style="73" bestFit="1" customWidth="1"/>
    <col min="9" max="9" width="12.7109375" style="73" bestFit="1" customWidth="1"/>
    <col min="10" max="10" width="9.140625" style="73" customWidth="1"/>
    <col min="11" max="11" width="11.85546875" style="73" bestFit="1" customWidth="1"/>
    <col min="12" max="13" width="9" style="73" customWidth="1"/>
    <col min="14" max="14" width="11.85546875" style="73" bestFit="1" customWidth="1"/>
    <col min="15" max="15" width="10.85546875" style="73" customWidth="1"/>
    <col min="16" max="16" width="9.28515625" style="73" customWidth="1"/>
    <col min="17" max="17" width="11.85546875" style="73" bestFit="1" customWidth="1"/>
    <col min="18" max="18" width="11.42578125" style="73" customWidth="1"/>
    <col min="19" max="19" width="9.140625" style="73" customWidth="1"/>
    <col min="20" max="20" width="8.85546875" style="73" customWidth="1"/>
    <col min="21" max="21" width="7.5703125" style="73" customWidth="1"/>
    <col min="22" max="22" width="13" style="73" bestFit="1" customWidth="1"/>
    <col min="24" max="24" width="11.42578125" style="55" bestFit="1" customWidth="1"/>
  </cols>
  <sheetData>
    <row r="1" spans="1:29" ht="18.75" x14ac:dyDescent="0.3">
      <c r="A1" s="146" t="str">
        <f>Summary!A1</f>
        <v>AGRA Payment for the month of JANUARY 2023 (As Per VoL -1, Section IV, Clause 39)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5"/>
      <c r="Y1" s="5"/>
      <c r="Z1" s="5"/>
      <c r="AA1" s="5"/>
      <c r="AB1" s="5"/>
      <c r="AC1" s="5"/>
    </row>
    <row r="2" spans="1:29" ht="18.75" x14ac:dyDescent="0.3">
      <c r="A2" s="54">
        <v>1</v>
      </c>
      <c r="B2" s="54">
        <v>2</v>
      </c>
      <c r="C2" s="54">
        <v>3</v>
      </c>
      <c r="D2" s="54">
        <v>4</v>
      </c>
      <c r="E2" s="5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  <c r="K2" s="54">
        <v>11</v>
      </c>
      <c r="L2" s="54">
        <v>12</v>
      </c>
      <c r="M2" s="54">
        <v>13</v>
      </c>
      <c r="N2" s="54">
        <v>14</v>
      </c>
      <c r="O2" s="54">
        <v>15</v>
      </c>
      <c r="P2" s="54">
        <v>16</v>
      </c>
      <c r="Q2" s="54">
        <v>17</v>
      </c>
      <c r="R2" s="54">
        <v>18</v>
      </c>
      <c r="S2" s="54">
        <v>19</v>
      </c>
      <c r="T2" s="54">
        <v>20</v>
      </c>
      <c r="U2" s="54">
        <v>21</v>
      </c>
      <c r="V2" s="54">
        <v>22</v>
      </c>
      <c r="W2" s="54">
        <v>23</v>
      </c>
      <c r="X2" s="56"/>
      <c r="Y2" s="57"/>
      <c r="Z2" s="57"/>
      <c r="AA2" s="57"/>
      <c r="AB2" s="57"/>
      <c r="AC2" s="57"/>
    </row>
    <row r="3" spans="1:29" x14ac:dyDescent="0.25">
      <c r="A3" s="58"/>
      <c r="B3" s="58"/>
      <c r="C3" s="147" t="s">
        <v>25</v>
      </c>
      <c r="D3" s="147"/>
      <c r="E3" s="58"/>
      <c r="F3" s="147" t="s">
        <v>28</v>
      </c>
      <c r="G3" s="147"/>
      <c r="H3" s="147" t="s">
        <v>29</v>
      </c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59"/>
    </row>
    <row r="4" spans="1:29" s="62" customFormat="1" ht="14.25" customHeight="1" x14ac:dyDescent="0.25">
      <c r="A4" s="145" t="s">
        <v>23</v>
      </c>
      <c r="B4" s="145" t="s">
        <v>40</v>
      </c>
      <c r="C4" s="145" t="s">
        <v>66</v>
      </c>
      <c r="D4" s="145" t="s">
        <v>37</v>
      </c>
      <c r="E4" s="145" t="s">
        <v>41</v>
      </c>
      <c r="F4" s="145" t="s">
        <v>26</v>
      </c>
      <c r="G4" s="145" t="s">
        <v>27</v>
      </c>
      <c r="H4" s="145" t="s">
        <v>32</v>
      </c>
      <c r="I4" s="145" t="s">
        <v>27</v>
      </c>
      <c r="J4" s="145" t="s">
        <v>67</v>
      </c>
      <c r="K4" s="145"/>
      <c r="L4" s="145"/>
      <c r="M4" s="145" t="s">
        <v>68</v>
      </c>
      <c r="N4" s="145"/>
      <c r="O4" s="145"/>
      <c r="P4" s="145" t="s">
        <v>69</v>
      </c>
      <c r="Q4" s="145"/>
      <c r="R4" s="145"/>
      <c r="S4" s="145" t="s">
        <v>22</v>
      </c>
      <c r="T4" s="145"/>
      <c r="U4" s="145"/>
      <c r="V4" s="145" t="s">
        <v>33</v>
      </c>
      <c r="W4" s="145" t="s">
        <v>43</v>
      </c>
      <c r="X4" s="61"/>
    </row>
    <row r="5" spans="1:29" s="62" customFormat="1" ht="46.5" customHeight="1" x14ac:dyDescent="0.25">
      <c r="A5" s="145"/>
      <c r="B5" s="145"/>
      <c r="C5" s="145"/>
      <c r="D5" s="145"/>
      <c r="E5" s="145"/>
      <c r="F5" s="145"/>
      <c r="G5" s="145"/>
      <c r="H5" s="145"/>
      <c r="I5" s="145"/>
      <c r="J5" s="60" t="s">
        <v>42</v>
      </c>
      <c r="K5" s="63">
        <v>0.5</v>
      </c>
      <c r="L5" s="63" t="s">
        <v>43</v>
      </c>
      <c r="M5" s="60" t="s">
        <v>42</v>
      </c>
      <c r="N5" s="63">
        <v>0.25</v>
      </c>
      <c r="O5" s="63" t="s">
        <v>43</v>
      </c>
      <c r="P5" s="60" t="s">
        <v>42</v>
      </c>
      <c r="Q5" s="63">
        <v>0.25</v>
      </c>
      <c r="R5" s="63" t="s">
        <v>43</v>
      </c>
      <c r="S5" s="60" t="s">
        <v>42</v>
      </c>
      <c r="T5" s="63">
        <v>0</v>
      </c>
      <c r="U5" s="63" t="s">
        <v>43</v>
      </c>
      <c r="V5" s="145"/>
      <c r="W5" s="145"/>
      <c r="X5" s="61"/>
    </row>
    <row r="6" spans="1:29" x14ac:dyDescent="0.25">
      <c r="A6" s="64">
        <v>44986</v>
      </c>
      <c r="B6" s="65">
        <f>Summary!$G$7/31</f>
        <v>498343.48</v>
      </c>
      <c r="C6" s="65">
        <v>78</v>
      </c>
      <c r="D6" s="66">
        <v>78.010000000000005</v>
      </c>
      <c r="E6" s="65">
        <f>MIN(D6,C6)</f>
        <v>78</v>
      </c>
      <c r="F6" s="65">
        <f>B6*60%</f>
        <v>299006.09000000003</v>
      </c>
      <c r="G6" s="65">
        <f>(F6*E6)/C6</f>
        <v>299006.09000000003</v>
      </c>
      <c r="H6" s="65">
        <f>B6*40%</f>
        <v>199337.39</v>
      </c>
      <c r="I6" s="65">
        <f>H6*E6/C6</f>
        <v>199337.39</v>
      </c>
      <c r="J6" s="66">
        <v>28.19</v>
      </c>
      <c r="K6" s="65">
        <f>I6*50%</f>
        <v>99668.7</v>
      </c>
      <c r="L6" s="65">
        <f t="shared" ref="L6" si="0">IF(J6&gt;30,(MAX($B$37*0.1/100,10000)),0)</f>
        <v>0</v>
      </c>
      <c r="M6" s="67">
        <v>156</v>
      </c>
      <c r="N6" s="65">
        <f t="shared" ref="N6" si="1">I6*25%</f>
        <v>49834.35</v>
      </c>
      <c r="O6" s="65">
        <f t="shared" ref="O6" si="2">IF(M6&gt;250,(MAX($B$37*0.1/100,10000)),0)</f>
        <v>0</v>
      </c>
      <c r="P6" s="66">
        <v>40.98</v>
      </c>
      <c r="Q6" s="65">
        <f t="shared" ref="Q6" si="3">I6*25%</f>
        <v>49834.35</v>
      </c>
      <c r="R6" s="65">
        <f t="shared" ref="R6" si="4">IF(P6&gt;50,(MAX($B$37*0.1/100,10000)),0)</f>
        <v>0</v>
      </c>
      <c r="S6" s="65"/>
      <c r="T6" s="65">
        <v>0</v>
      </c>
      <c r="U6" s="65"/>
      <c r="V6" s="65">
        <f>T6+Q6+N6+K6</f>
        <v>199337.4</v>
      </c>
      <c r="W6" s="68">
        <f>U6+R6+O6+L6</f>
        <v>0</v>
      </c>
    </row>
    <row r="7" spans="1:29" x14ac:dyDescent="0.25">
      <c r="A7" s="64">
        <v>44987</v>
      </c>
      <c r="B7" s="65">
        <f>Summary!$G$7/31</f>
        <v>498343.48</v>
      </c>
      <c r="C7" s="66">
        <v>78</v>
      </c>
      <c r="D7" s="66">
        <v>77.150000000000006</v>
      </c>
      <c r="E7" s="65">
        <f t="shared" ref="E7:E36" si="5">MIN(D7,C7)</f>
        <v>77.150000000000006</v>
      </c>
      <c r="F7" s="66">
        <f t="shared" ref="F7:F34" si="6">B7*60%</f>
        <v>299006.09000000003</v>
      </c>
      <c r="G7" s="65">
        <f t="shared" ref="G7:G36" si="7">(F7*E7)/C7</f>
        <v>295747.69</v>
      </c>
      <c r="H7" s="66">
        <f>B7*40%</f>
        <v>199337.39</v>
      </c>
      <c r="I7" s="65">
        <f t="shared" ref="I7:I36" si="8">H7*E7/C7</f>
        <v>197165.12</v>
      </c>
      <c r="J7" s="66">
        <v>26.95</v>
      </c>
      <c r="K7" s="65">
        <f t="shared" ref="K7:K36" si="9">I7*50%</f>
        <v>98582.56</v>
      </c>
      <c r="L7" s="65">
        <f t="shared" ref="L7:L36" si="10">IF(J7&gt;30,(MAX($B$37*0.1/100,10000)),0)</f>
        <v>0</v>
      </c>
      <c r="M7" s="67">
        <v>142</v>
      </c>
      <c r="N7" s="65">
        <f t="shared" ref="N7:N36" si="11">I7*25%</f>
        <v>49291.28</v>
      </c>
      <c r="O7" s="65">
        <f t="shared" ref="O7:O36" si="12">IF(M7&gt;250,(MAX($B$37*0.1/100,10000)),0)</f>
        <v>0</v>
      </c>
      <c r="P7" s="66">
        <v>37.25</v>
      </c>
      <c r="Q7" s="65">
        <f t="shared" ref="Q7:Q36" si="13">I7*25%</f>
        <v>49291.28</v>
      </c>
      <c r="R7" s="65">
        <f t="shared" ref="R7:R36" si="14">IF(P7&gt;50,(MAX($B$37*0.1/100,10000)),0)</f>
        <v>0</v>
      </c>
      <c r="S7" s="66"/>
      <c r="T7" s="65">
        <v>0</v>
      </c>
      <c r="U7" s="65"/>
      <c r="V7" s="65">
        <f t="shared" ref="V7:V36" si="15">T7+Q7+N7+K7</f>
        <v>197165.12</v>
      </c>
      <c r="W7" s="68">
        <f t="shared" ref="W7:W36" si="16">U7+R7+O7+L7</f>
        <v>0</v>
      </c>
    </row>
    <row r="8" spans="1:29" x14ac:dyDescent="0.25">
      <c r="A8" s="64">
        <v>44988</v>
      </c>
      <c r="B8" s="65">
        <f>Summary!$G$7/31</f>
        <v>498343.48</v>
      </c>
      <c r="C8" s="66">
        <v>78</v>
      </c>
      <c r="D8" s="66">
        <v>77.349999999999994</v>
      </c>
      <c r="E8" s="65">
        <f t="shared" si="5"/>
        <v>77.349999999999994</v>
      </c>
      <c r="F8" s="66">
        <f t="shared" si="6"/>
        <v>299006.09000000003</v>
      </c>
      <c r="G8" s="65">
        <f t="shared" si="7"/>
        <v>296514.37</v>
      </c>
      <c r="H8" s="66">
        <f t="shared" ref="H8:H34" si="17">B8*40%</f>
        <v>199337.39</v>
      </c>
      <c r="I8" s="65">
        <f t="shared" si="8"/>
        <v>197676.25</v>
      </c>
      <c r="J8" s="66">
        <v>26.7</v>
      </c>
      <c r="K8" s="65">
        <f t="shared" si="9"/>
        <v>98838.13</v>
      </c>
      <c r="L8" s="65">
        <f t="shared" si="10"/>
        <v>0</v>
      </c>
      <c r="M8" s="67">
        <v>138</v>
      </c>
      <c r="N8" s="65">
        <f t="shared" si="11"/>
        <v>49419.06</v>
      </c>
      <c r="O8" s="65">
        <f t="shared" si="12"/>
        <v>0</v>
      </c>
      <c r="P8" s="66">
        <v>36.520000000000003</v>
      </c>
      <c r="Q8" s="65">
        <f t="shared" si="13"/>
        <v>49419.06</v>
      </c>
      <c r="R8" s="65">
        <f t="shared" si="14"/>
        <v>0</v>
      </c>
      <c r="S8" s="66"/>
      <c r="T8" s="65">
        <v>0</v>
      </c>
      <c r="U8" s="65"/>
      <c r="V8" s="65">
        <f t="shared" si="15"/>
        <v>197676.25</v>
      </c>
      <c r="W8" s="68">
        <f t="shared" si="16"/>
        <v>0</v>
      </c>
    </row>
    <row r="9" spans="1:29" s="31" customFormat="1" x14ac:dyDescent="0.25">
      <c r="A9" s="26">
        <v>44989</v>
      </c>
      <c r="B9" s="27">
        <f>Summary!$G$7/31</f>
        <v>498343.48</v>
      </c>
      <c r="C9" s="28">
        <v>78</v>
      </c>
      <c r="D9" s="28">
        <v>77.48</v>
      </c>
      <c r="E9" s="65">
        <f t="shared" si="5"/>
        <v>77.48</v>
      </c>
      <c r="F9" s="28">
        <f t="shared" si="6"/>
        <v>299006.09000000003</v>
      </c>
      <c r="G9" s="65">
        <f t="shared" si="7"/>
        <v>297012.71999999997</v>
      </c>
      <c r="H9" s="28">
        <f t="shared" si="17"/>
        <v>199337.39</v>
      </c>
      <c r="I9" s="65">
        <f t="shared" si="8"/>
        <v>198008.47</v>
      </c>
      <c r="J9" s="28">
        <v>25</v>
      </c>
      <c r="K9" s="65">
        <f t="shared" si="9"/>
        <v>99004.24</v>
      </c>
      <c r="L9" s="65">
        <f t="shared" si="10"/>
        <v>0</v>
      </c>
      <c r="M9" s="29">
        <v>152</v>
      </c>
      <c r="N9" s="65">
        <f t="shared" si="11"/>
        <v>49502.12</v>
      </c>
      <c r="O9" s="65">
        <f t="shared" si="12"/>
        <v>0</v>
      </c>
      <c r="P9" s="28">
        <v>48</v>
      </c>
      <c r="Q9" s="65">
        <f t="shared" si="13"/>
        <v>49502.12</v>
      </c>
      <c r="R9" s="65">
        <f t="shared" si="14"/>
        <v>0</v>
      </c>
      <c r="S9" s="28"/>
      <c r="T9" s="27">
        <v>0</v>
      </c>
      <c r="U9" s="27"/>
      <c r="V9" s="65">
        <f t="shared" si="15"/>
        <v>198008.48</v>
      </c>
      <c r="W9" s="68">
        <f t="shared" si="16"/>
        <v>0</v>
      </c>
      <c r="X9" s="30" t="s">
        <v>97</v>
      </c>
    </row>
    <row r="10" spans="1:29" x14ac:dyDescent="0.25">
      <c r="A10" s="64">
        <v>44990</v>
      </c>
      <c r="B10" s="65">
        <f>Summary!$G$7/31</f>
        <v>498343.48</v>
      </c>
      <c r="C10" s="66">
        <v>78</v>
      </c>
      <c r="D10" s="66">
        <v>77.37</v>
      </c>
      <c r="E10" s="65">
        <f t="shared" si="5"/>
        <v>77.37</v>
      </c>
      <c r="F10" s="66">
        <f t="shared" si="6"/>
        <v>299006.09000000003</v>
      </c>
      <c r="G10" s="65">
        <f t="shared" si="7"/>
        <v>296591.03999999998</v>
      </c>
      <c r="H10" s="66">
        <f t="shared" si="17"/>
        <v>199337.39</v>
      </c>
      <c r="I10" s="65">
        <f t="shared" si="8"/>
        <v>197727.35999999999</v>
      </c>
      <c r="J10" s="69">
        <v>27.11</v>
      </c>
      <c r="K10" s="65">
        <f t="shared" si="9"/>
        <v>98863.679999999993</v>
      </c>
      <c r="L10" s="65">
        <f t="shared" si="10"/>
        <v>0</v>
      </c>
      <c r="M10" s="67">
        <v>136</v>
      </c>
      <c r="N10" s="65">
        <f t="shared" si="11"/>
        <v>49431.839999999997</v>
      </c>
      <c r="O10" s="65">
        <f t="shared" si="12"/>
        <v>0</v>
      </c>
      <c r="P10" s="66">
        <v>36.119999999999997</v>
      </c>
      <c r="Q10" s="65">
        <f t="shared" si="13"/>
        <v>49431.839999999997</v>
      </c>
      <c r="R10" s="65">
        <f t="shared" si="14"/>
        <v>0</v>
      </c>
      <c r="S10" s="66"/>
      <c r="T10" s="65">
        <v>0</v>
      </c>
      <c r="U10" s="65"/>
      <c r="V10" s="65">
        <f t="shared" si="15"/>
        <v>197727.35999999999</v>
      </c>
      <c r="W10" s="68">
        <f t="shared" si="16"/>
        <v>0</v>
      </c>
    </row>
    <row r="11" spans="1:29" x14ac:dyDescent="0.25">
      <c r="A11" s="64">
        <v>44991</v>
      </c>
      <c r="B11" s="65">
        <f>Summary!$G$7/31</f>
        <v>498343.48</v>
      </c>
      <c r="C11" s="66">
        <v>78</v>
      </c>
      <c r="D11" s="66">
        <v>77.75</v>
      </c>
      <c r="E11" s="65">
        <f t="shared" si="5"/>
        <v>77.75</v>
      </c>
      <c r="F11" s="66">
        <f t="shared" si="6"/>
        <v>299006.09000000003</v>
      </c>
      <c r="G11" s="65">
        <f t="shared" si="7"/>
        <v>298047.74</v>
      </c>
      <c r="H11" s="66">
        <f t="shared" si="17"/>
        <v>199337.39</v>
      </c>
      <c r="I11" s="65">
        <f t="shared" si="8"/>
        <v>198698.49</v>
      </c>
      <c r="J11" s="66">
        <v>28.19</v>
      </c>
      <c r="K11" s="65">
        <f t="shared" si="9"/>
        <v>99349.25</v>
      </c>
      <c r="L11" s="65">
        <f t="shared" si="10"/>
        <v>0</v>
      </c>
      <c r="M11" s="67">
        <v>148</v>
      </c>
      <c r="N11" s="65">
        <f t="shared" si="11"/>
        <v>49674.62</v>
      </c>
      <c r="O11" s="65">
        <f t="shared" si="12"/>
        <v>0</v>
      </c>
      <c r="P11" s="66">
        <v>39.92</v>
      </c>
      <c r="Q11" s="65">
        <f t="shared" si="13"/>
        <v>49674.62</v>
      </c>
      <c r="R11" s="65">
        <f t="shared" si="14"/>
        <v>0</v>
      </c>
      <c r="S11" s="66"/>
      <c r="T11" s="65">
        <v>0</v>
      </c>
      <c r="U11" s="65"/>
      <c r="V11" s="65">
        <f t="shared" si="15"/>
        <v>198698.49</v>
      </c>
      <c r="W11" s="68">
        <f t="shared" si="16"/>
        <v>0</v>
      </c>
    </row>
    <row r="12" spans="1:29" x14ac:dyDescent="0.25">
      <c r="A12" s="64">
        <v>44992</v>
      </c>
      <c r="B12" s="65">
        <f>Summary!$G$7/31</f>
        <v>498343.48</v>
      </c>
      <c r="C12" s="66">
        <v>78</v>
      </c>
      <c r="D12" s="66">
        <v>77.260000000000005</v>
      </c>
      <c r="E12" s="65">
        <f t="shared" si="5"/>
        <v>77.260000000000005</v>
      </c>
      <c r="F12" s="66">
        <f t="shared" si="6"/>
        <v>299006.09000000003</v>
      </c>
      <c r="G12" s="65">
        <f t="shared" si="7"/>
        <v>296169.37</v>
      </c>
      <c r="H12" s="66">
        <f t="shared" si="17"/>
        <v>199337.39</v>
      </c>
      <c r="I12" s="65">
        <f t="shared" si="8"/>
        <v>197446.24</v>
      </c>
      <c r="J12" s="66">
        <v>27.89</v>
      </c>
      <c r="K12" s="65">
        <f t="shared" si="9"/>
        <v>98723.12</v>
      </c>
      <c r="L12" s="65">
        <f t="shared" si="10"/>
        <v>0</v>
      </c>
      <c r="M12" s="67">
        <v>140</v>
      </c>
      <c r="N12" s="65">
        <f t="shared" si="11"/>
        <v>49361.56</v>
      </c>
      <c r="O12" s="65">
        <f t="shared" si="12"/>
        <v>0</v>
      </c>
      <c r="P12" s="66">
        <v>38.64</v>
      </c>
      <c r="Q12" s="65">
        <f t="shared" si="13"/>
        <v>49361.56</v>
      </c>
      <c r="R12" s="65">
        <f t="shared" si="14"/>
        <v>0</v>
      </c>
      <c r="S12" s="66"/>
      <c r="T12" s="65">
        <v>0</v>
      </c>
      <c r="U12" s="65"/>
      <c r="V12" s="65">
        <f t="shared" si="15"/>
        <v>197446.24</v>
      </c>
      <c r="W12" s="68">
        <f t="shared" si="16"/>
        <v>0</v>
      </c>
    </row>
    <row r="13" spans="1:29" x14ac:dyDescent="0.25">
      <c r="A13" s="64">
        <v>44993</v>
      </c>
      <c r="B13" s="65">
        <f>Summary!$G$7/31</f>
        <v>498343.48</v>
      </c>
      <c r="C13" s="66">
        <v>78</v>
      </c>
      <c r="D13" s="66">
        <v>77.41</v>
      </c>
      <c r="E13" s="65">
        <f t="shared" si="5"/>
        <v>77.41</v>
      </c>
      <c r="F13" s="66">
        <f t="shared" si="6"/>
        <v>299006.09000000003</v>
      </c>
      <c r="G13" s="65">
        <f t="shared" si="7"/>
        <v>296744.38</v>
      </c>
      <c r="H13" s="66">
        <f t="shared" si="17"/>
        <v>199337.39</v>
      </c>
      <c r="I13" s="65">
        <f t="shared" si="8"/>
        <v>197829.58</v>
      </c>
      <c r="J13" s="66">
        <v>26.83</v>
      </c>
      <c r="K13" s="65">
        <f t="shared" si="9"/>
        <v>98914.79</v>
      </c>
      <c r="L13" s="65">
        <f t="shared" si="10"/>
        <v>0</v>
      </c>
      <c r="M13" s="67">
        <v>136</v>
      </c>
      <c r="N13" s="65">
        <f t="shared" si="11"/>
        <v>49457.4</v>
      </c>
      <c r="O13" s="65">
        <f t="shared" si="12"/>
        <v>0</v>
      </c>
      <c r="P13" s="66">
        <v>36.51</v>
      </c>
      <c r="Q13" s="65">
        <f t="shared" si="13"/>
        <v>49457.4</v>
      </c>
      <c r="R13" s="65">
        <f t="shared" si="14"/>
        <v>0</v>
      </c>
      <c r="S13" s="66"/>
      <c r="T13" s="65">
        <v>0</v>
      </c>
      <c r="U13" s="65"/>
      <c r="V13" s="65">
        <f t="shared" si="15"/>
        <v>197829.59</v>
      </c>
      <c r="W13" s="68">
        <f t="shared" si="16"/>
        <v>0</v>
      </c>
    </row>
    <row r="14" spans="1:29" x14ac:dyDescent="0.25">
      <c r="A14" s="64">
        <v>44994</v>
      </c>
      <c r="B14" s="65">
        <f>Summary!$G$7/31</f>
        <v>498343.48</v>
      </c>
      <c r="C14" s="66">
        <v>78</v>
      </c>
      <c r="D14" s="66">
        <v>77.38</v>
      </c>
      <c r="E14" s="65">
        <f t="shared" si="5"/>
        <v>77.38</v>
      </c>
      <c r="F14" s="66">
        <f t="shared" si="6"/>
        <v>299006.09000000003</v>
      </c>
      <c r="G14" s="65">
        <f t="shared" si="7"/>
        <v>296629.37</v>
      </c>
      <c r="H14" s="66">
        <f t="shared" si="17"/>
        <v>199337.39</v>
      </c>
      <c r="I14" s="65">
        <f t="shared" si="8"/>
        <v>197752.91</v>
      </c>
      <c r="J14" s="66">
        <v>27.97</v>
      </c>
      <c r="K14" s="65">
        <f t="shared" si="9"/>
        <v>98876.46</v>
      </c>
      <c r="L14" s="65">
        <f t="shared" si="10"/>
        <v>0</v>
      </c>
      <c r="M14" s="67">
        <v>142</v>
      </c>
      <c r="N14" s="65">
        <f t="shared" si="11"/>
        <v>49438.23</v>
      </c>
      <c r="O14" s="65">
        <f t="shared" si="12"/>
        <v>0</v>
      </c>
      <c r="P14" s="66">
        <v>38.950000000000003</v>
      </c>
      <c r="Q14" s="65">
        <f t="shared" si="13"/>
        <v>49438.23</v>
      </c>
      <c r="R14" s="65">
        <f t="shared" si="14"/>
        <v>0</v>
      </c>
      <c r="S14" s="66"/>
      <c r="T14" s="65">
        <v>0</v>
      </c>
      <c r="U14" s="65"/>
      <c r="V14" s="65">
        <f t="shared" si="15"/>
        <v>197752.92</v>
      </c>
      <c r="W14" s="68">
        <f t="shared" si="16"/>
        <v>0</v>
      </c>
    </row>
    <row r="15" spans="1:29" s="31" customFormat="1" x14ac:dyDescent="0.25">
      <c r="A15" s="26">
        <v>44995</v>
      </c>
      <c r="B15" s="27">
        <f>Summary!$G$7/31</f>
        <v>498343.48</v>
      </c>
      <c r="C15" s="28">
        <v>78</v>
      </c>
      <c r="D15" s="28">
        <v>77.23</v>
      </c>
      <c r="E15" s="65">
        <f t="shared" si="5"/>
        <v>77.23</v>
      </c>
      <c r="F15" s="28">
        <f t="shared" si="6"/>
        <v>299006.09000000003</v>
      </c>
      <c r="G15" s="65">
        <f t="shared" si="7"/>
        <v>296054.36</v>
      </c>
      <c r="H15" s="28">
        <f t="shared" si="17"/>
        <v>199337.39</v>
      </c>
      <c r="I15" s="65">
        <f t="shared" si="8"/>
        <v>197369.57</v>
      </c>
      <c r="J15" s="28">
        <v>26</v>
      </c>
      <c r="K15" s="65">
        <f t="shared" si="9"/>
        <v>98684.79</v>
      </c>
      <c r="L15" s="65">
        <f t="shared" si="10"/>
        <v>0</v>
      </c>
      <c r="M15" s="29">
        <v>144</v>
      </c>
      <c r="N15" s="65">
        <f t="shared" si="11"/>
        <v>49342.39</v>
      </c>
      <c r="O15" s="65">
        <f t="shared" si="12"/>
        <v>0</v>
      </c>
      <c r="P15" s="28">
        <v>45</v>
      </c>
      <c r="Q15" s="65">
        <f t="shared" si="13"/>
        <v>49342.39</v>
      </c>
      <c r="R15" s="65">
        <f t="shared" si="14"/>
        <v>0</v>
      </c>
      <c r="S15" s="28"/>
      <c r="T15" s="27">
        <v>0</v>
      </c>
      <c r="U15" s="27"/>
      <c r="V15" s="65">
        <f t="shared" si="15"/>
        <v>197369.57</v>
      </c>
      <c r="W15" s="68">
        <f t="shared" si="16"/>
        <v>0</v>
      </c>
      <c r="X15" s="30" t="s">
        <v>97</v>
      </c>
    </row>
    <row r="16" spans="1:29" x14ac:dyDescent="0.25">
      <c r="A16" s="64">
        <v>44996</v>
      </c>
      <c r="B16" s="65">
        <f>Summary!$G$7/31</f>
        <v>498343.48</v>
      </c>
      <c r="C16" s="66">
        <v>78</v>
      </c>
      <c r="D16" s="66">
        <v>77.400000000000006</v>
      </c>
      <c r="E16" s="65">
        <f t="shared" si="5"/>
        <v>77.400000000000006</v>
      </c>
      <c r="F16" s="66">
        <f t="shared" si="6"/>
        <v>299006.09000000003</v>
      </c>
      <c r="G16" s="65">
        <f t="shared" si="7"/>
        <v>296706.03999999998</v>
      </c>
      <c r="H16" s="66">
        <f t="shared" si="17"/>
        <v>199337.39</v>
      </c>
      <c r="I16" s="65">
        <f t="shared" si="8"/>
        <v>197804.03</v>
      </c>
      <c r="J16" s="66">
        <v>25.95</v>
      </c>
      <c r="K16" s="65">
        <f t="shared" si="9"/>
        <v>98902.02</v>
      </c>
      <c r="L16" s="65">
        <f t="shared" si="10"/>
        <v>0</v>
      </c>
      <c r="M16" s="67">
        <v>124</v>
      </c>
      <c r="N16" s="65">
        <f t="shared" si="11"/>
        <v>49451.01</v>
      </c>
      <c r="O16" s="65">
        <f t="shared" si="12"/>
        <v>0</v>
      </c>
      <c r="P16" s="66">
        <v>32.11</v>
      </c>
      <c r="Q16" s="65">
        <f t="shared" si="13"/>
        <v>49451.01</v>
      </c>
      <c r="R16" s="65">
        <f t="shared" si="14"/>
        <v>0</v>
      </c>
      <c r="S16" s="66"/>
      <c r="T16" s="65">
        <v>0</v>
      </c>
      <c r="U16" s="65"/>
      <c r="V16" s="65">
        <f t="shared" si="15"/>
        <v>197804.04</v>
      </c>
      <c r="W16" s="68">
        <f t="shared" si="16"/>
        <v>0</v>
      </c>
    </row>
    <row r="17" spans="1:24" x14ac:dyDescent="0.25">
      <c r="A17" s="64">
        <v>44997</v>
      </c>
      <c r="B17" s="65">
        <f>Summary!$G$7/31</f>
        <v>498343.48</v>
      </c>
      <c r="C17" s="66">
        <v>78</v>
      </c>
      <c r="D17" s="66">
        <v>77.3</v>
      </c>
      <c r="E17" s="65">
        <f t="shared" si="5"/>
        <v>77.3</v>
      </c>
      <c r="F17" s="66">
        <f t="shared" si="6"/>
        <v>299006.09000000003</v>
      </c>
      <c r="G17" s="65">
        <f t="shared" si="7"/>
        <v>296322.7</v>
      </c>
      <c r="H17" s="66">
        <f t="shared" si="17"/>
        <v>199337.39</v>
      </c>
      <c r="I17" s="65">
        <f t="shared" si="8"/>
        <v>197548.46</v>
      </c>
      <c r="J17" s="66">
        <v>27.89</v>
      </c>
      <c r="K17" s="65">
        <f t="shared" si="9"/>
        <v>98774.23</v>
      </c>
      <c r="L17" s="65">
        <f t="shared" si="10"/>
        <v>0</v>
      </c>
      <c r="M17" s="67">
        <v>146</v>
      </c>
      <c r="N17" s="65">
        <f t="shared" si="11"/>
        <v>49387.12</v>
      </c>
      <c r="O17" s="65">
        <f t="shared" si="12"/>
        <v>0</v>
      </c>
      <c r="P17" s="66">
        <v>39.58</v>
      </c>
      <c r="Q17" s="65">
        <f t="shared" si="13"/>
        <v>49387.12</v>
      </c>
      <c r="R17" s="65">
        <f t="shared" si="14"/>
        <v>0</v>
      </c>
      <c r="S17" s="66"/>
      <c r="T17" s="65">
        <v>0</v>
      </c>
      <c r="U17" s="65"/>
      <c r="V17" s="65">
        <f t="shared" si="15"/>
        <v>197548.47</v>
      </c>
      <c r="W17" s="68">
        <f t="shared" si="16"/>
        <v>0</v>
      </c>
    </row>
    <row r="18" spans="1:24" x14ac:dyDescent="0.25">
      <c r="A18" s="64">
        <v>44998</v>
      </c>
      <c r="B18" s="65">
        <f>Summary!$G$7/31</f>
        <v>498343.48</v>
      </c>
      <c r="C18" s="66">
        <v>78</v>
      </c>
      <c r="D18" s="66">
        <v>77.34</v>
      </c>
      <c r="E18" s="65">
        <f t="shared" si="5"/>
        <v>77.34</v>
      </c>
      <c r="F18" s="66">
        <f t="shared" si="6"/>
        <v>299006.09000000003</v>
      </c>
      <c r="G18" s="65">
        <f t="shared" si="7"/>
        <v>296476.03999999998</v>
      </c>
      <c r="H18" s="66">
        <f t="shared" si="17"/>
        <v>199337.39</v>
      </c>
      <c r="I18" s="65">
        <f t="shared" si="8"/>
        <v>197650.69</v>
      </c>
      <c r="J18" s="66">
        <v>28.19</v>
      </c>
      <c r="K18" s="65">
        <f t="shared" si="9"/>
        <v>98825.35</v>
      </c>
      <c r="L18" s="65">
        <f t="shared" si="10"/>
        <v>0</v>
      </c>
      <c r="M18" s="67">
        <v>150</v>
      </c>
      <c r="N18" s="65">
        <f t="shared" si="11"/>
        <v>49412.67</v>
      </c>
      <c r="O18" s="65">
        <f t="shared" si="12"/>
        <v>0</v>
      </c>
      <c r="P18" s="66">
        <v>40.11</v>
      </c>
      <c r="Q18" s="65">
        <f t="shared" si="13"/>
        <v>49412.67</v>
      </c>
      <c r="R18" s="65">
        <f t="shared" si="14"/>
        <v>0</v>
      </c>
      <c r="S18" s="66"/>
      <c r="T18" s="65">
        <v>0</v>
      </c>
      <c r="U18" s="65"/>
      <c r="V18" s="65">
        <f t="shared" si="15"/>
        <v>197650.69</v>
      </c>
      <c r="W18" s="68">
        <f t="shared" si="16"/>
        <v>0</v>
      </c>
    </row>
    <row r="19" spans="1:24" x14ac:dyDescent="0.25">
      <c r="A19" s="64">
        <v>44999</v>
      </c>
      <c r="B19" s="65">
        <f>Summary!$G$7/31</f>
        <v>498343.48</v>
      </c>
      <c r="C19" s="66">
        <v>78</v>
      </c>
      <c r="D19" s="66">
        <v>77.430000000000007</v>
      </c>
      <c r="E19" s="65">
        <f t="shared" si="5"/>
        <v>77.430000000000007</v>
      </c>
      <c r="F19" s="66">
        <f t="shared" si="6"/>
        <v>299006.09000000003</v>
      </c>
      <c r="G19" s="65">
        <f t="shared" si="7"/>
        <v>296821.05</v>
      </c>
      <c r="H19" s="66">
        <f t="shared" si="17"/>
        <v>199337.39</v>
      </c>
      <c r="I19" s="65">
        <f t="shared" si="8"/>
        <v>197880.69</v>
      </c>
      <c r="J19" s="66">
        <v>28.97</v>
      </c>
      <c r="K19" s="65">
        <f t="shared" si="9"/>
        <v>98940.35</v>
      </c>
      <c r="L19" s="65">
        <f t="shared" si="10"/>
        <v>0</v>
      </c>
      <c r="M19" s="67">
        <v>156</v>
      </c>
      <c r="N19" s="65">
        <f t="shared" si="11"/>
        <v>49470.17</v>
      </c>
      <c r="O19" s="65">
        <f t="shared" si="12"/>
        <v>0</v>
      </c>
      <c r="P19" s="66">
        <v>42.56</v>
      </c>
      <c r="Q19" s="65">
        <f t="shared" si="13"/>
        <v>49470.17</v>
      </c>
      <c r="R19" s="65">
        <f t="shared" si="14"/>
        <v>0</v>
      </c>
      <c r="S19" s="66"/>
      <c r="T19" s="65">
        <v>0</v>
      </c>
      <c r="U19" s="65"/>
      <c r="V19" s="65">
        <f t="shared" si="15"/>
        <v>197880.69</v>
      </c>
      <c r="W19" s="68">
        <f t="shared" si="16"/>
        <v>0</v>
      </c>
    </row>
    <row r="20" spans="1:24" x14ac:dyDescent="0.25">
      <c r="A20" s="64">
        <v>45000</v>
      </c>
      <c r="B20" s="65">
        <f>Summary!$G$7/31</f>
        <v>498343.48</v>
      </c>
      <c r="C20" s="66">
        <v>78</v>
      </c>
      <c r="D20" s="66">
        <v>77.66</v>
      </c>
      <c r="E20" s="65">
        <f t="shared" si="5"/>
        <v>77.66</v>
      </c>
      <c r="F20" s="66">
        <f t="shared" si="6"/>
        <v>299006.09000000003</v>
      </c>
      <c r="G20" s="65">
        <f t="shared" si="7"/>
        <v>297702.73</v>
      </c>
      <c r="H20" s="66">
        <f t="shared" si="17"/>
        <v>199337.39</v>
      </c>
      <c r="I20" s="65">
        <f t="shared" si="8"/>
        <v>198468.48000000001</v>
      </c>
      <c r="J20" s="66">
        <v>29.11</v>
      </c>
      <c r="K20" s="65">
        <f t="shared" si="9"/>
        <v>99234.240000000005</v>
      </c>
      <c r="L20" s="65">
        <f t="shared" si="10"/>
        <v>0</v>
      </c>
      <c r="M20" s="67">
        <v>160</v>
      </c>
      <c r="N20" s="65">
        <f t="shared" si="11"/>
        <v>49617.120000000003</v>
      </c>
      <c r="O20" s="65">
        <f t="shared" si="12"/>
        <v>0</v>
      </c>
      <c r="P20" s="66">
        <v>45.98</v>
      </c>
      <c r="Q20" s="65">
        <f t="shared" si="13"/>
        <v>49617.120000000003</v>
      </c>
      <c r="R20" s="65">
        <f t="shared" si="14"/>
        <v>0</v>
      </c>
      <c r="S20" s="66"/>
      <c r="T20" s="65">
        <v>0</v>
      </c>
      <c r="U20" s="65"/>
      <c r="V20" s="65">
        <f t="shared" si="15"/>
        <v>198468.48000000001</v>
      </c>
      <c r="W20" s="68">
        <f t="shared" si="16"/>
        <v>0</v>
      </c>
    </row>
    <row r="21" spans="1:24" x14ac:dyDescent="0.25">
      <c r="A21" s="64">
        <v>45001</v>
      </c>
      <c r="B21" s="65">
        <f>Summary!$G$7/31</f>
        <v>498343.48</v>
      </c>
      <c r="C21" s="66">
        <v>78</v>
      </c>
      <c r="D21" s="66">
        <v>77</v>
      </c>
      <c r="E21" s="65">
        <f t="shared" si="5"/>
        <v>77</v>
      </c>
      <c r="F21" s="66">
        <f t="shared" si="6"/>
        <v>299006.09000000003</v>
      </c>
      <c r="G21" s="65">
        <f t="shared" si="7"/>
        <v>295172.68</v>
      </c>
      <c r="H21" s="66">
        <f t="shared" si="17"/>
        <v>199337.39</v>
      </c>
      <c r="I21" s="65">
        <f t="shared" si="8"/>
        <v>196781.78</v>
      </c>
      <c r="J21" s="66">
        <v>26.62</v>
      </c>
      <c r="K21" s="65">
        <f t="shared" si="9"/>
        <v>98390.89</v>
      </c>
      <c r="L21" s="65">
        <f t="shared" si="10"/>
        <v>0</v>
      </c>
      <c r="M21" s="67">
        <v>148</v>
      </c>
      <c r="N21" s="65">
        <f t="shared" si="11"/>
        <v>49195.45</v>
      </c>
      <c r="O21" s="65">
        <f t="shared" si="12"/>
        <v>0</v>
      </c>
      <c r="P21" s="66">
        <v>40.53</v>
      </c>
      <c r="Q21" s="65">
        <f t="shared" si="13"/>
        <v>49195.45</v>
      </c>
      <c r="R21" s="65">
        <f t="shared" si="14"/>
        <v>0</v>
      </c>
      <c r="S21" s="66"/>
      <c r="T21" s="65">
        <v>0</v>
      </c>
      <c r="U21" s="65"/>
      <c r="V21" s="65">
        <f t="shared" si="15"/>
        <v>196781.79</v>
      </c>
      <c r="W21" s="68">
        <f t="shared" si="16"/>
        <v>0</v>
      </c>
    </row>
    <row r="22" spans="1:24" s="31" customFormat="1" x14ac:dyDescent="0.25">
      <c r="A22" s="26">
        <v>45002</v>
      </c>
      <c r="B22" s="27">
        <f>Summary!$G$7/31</f>
        <v>498343.48</v>
      </c>
      <c r="C22" s="28">
        <v>78</v>
      </c>
      <c r="D22" s="28">
        <v>77.05</v>
      </c>
      <c r="E22" s="65">
        <f t="shared" si="5"/>
        <v>77.05</v>
      </c>
      <c r="F22" s="28">
        <f t="shared" si="6"/>
        <v>299006.09000000003</v>
      </c>
      <c r="G22" s="65">
        <f t="shared" si="7"/>
        <v>295364.34999999998</v>
      </c>
      <c r="H22" s="28">
        <f t="shared" si="17"/>
        <v>199337.39</v>
      </c>
      <c r="I22" s="65">
        <f t="shared" si="8"/>
        <v>196909.56</v>
      </c>
      <c r="J22" s="28">
        <v>27</v>
      </c>
      <c r="K22" s="65">
        <f t="shared" si="9"/>
        <v>98454.78</v>
      </c>
      <c r="L22" s="65">
        <f t="shared" si="10"/>
        <v>0</v>
      </c>
      <c r="M22" s="29">
        <v>152</v>
      </c>
      <c r="N22" s="65">
        <f t="shared" si="11"/>
        <v>49227.39</v>
      </c>
      <c r="O22" s="65">
        <f t="shared" si="12"/>
        <v>0</v>
      </c>
      <c r="P22" s="28">
        <v>48</v>
      </c>
      <c r="Q22" s="65">
        <f t="shared" si="13"/>
        <v>49227.39</v>
      </c>
      <c r="R22" s="65">
        <f t="shared" si="14"/>
        <v>0</v>
      </c>
      <c r="S22" s="28"/>
      <c r="T22" s="27">
        <v>0</v>
      </c>
      <c r="U22" s="27"/>
      <c r="V22" s="65">
        <f t="shared" si="15"/>
        <v>196909.56</v>
      </c>
      <c r="W22" s="68">
        <f t="shared" si="16"/>
        <v>0</v>
      </c>
      <c r="X22" s="30" t="s">
        <v>97</v>
      </c>
    </row>
    <row r="23" spans="1:24" x14ac:dyDescent="0.25">
      <c r="A23" s="64">
        <v>45003</v>
      </c>
      <c r="B23" s="65">
        <f>Summary!$G$7/31</f>
        <v>498343.48</v>
      </c>
      <c r="C23" s="66">
        <v>78</v>
      </c>
      <c r="D23" s="66">
        <v>77.2</v>
      </c>
      <c r="E23" s="65">
        <f t="shared" si="5"/>
        <v>77.2</v>
      </c>
      <c r="F23" s="66">
        <f t="shared" si="6"/>
        <v>299006.09000000003</v>
      </c>
      <c r="G23" s="65">
        <f t="shared" si="7"/>
        <v>295939.36</v>
      </c>
      <c r="H23" s="66">
        <f t="shared" si="17"/>
        <v>199337.39</v>
      </c>
      <c r="I23" s="65">
        <f t="shared" si="8"/>
        <v>197292.9</v>
      </c>
      <c r="J23" s="66">
        <v>27.49</v>
      </c>
      <c r="K23" s="65">
        <f t="shared" si="9"/>
        <v>98646.45</v>
      </c>
      <c r="L23" s="65">
        <f t="shared" si="10"/>
        <v>0</v>
      </c>
      <c r="M23" s="67">
        <v>160</v>
      </c>
      <c r="N23" s="65">
        <f t="shared" si="11"/>
        <v>49323.23</v>
      </c>
      <c r="O23" s="65">
        <f t="shared" si="12"/>
        <v>0</v>
      </c>
      <c r="P23" s="66">
        <v>42.65</v>
      </c>
      <c r="Q23" s="65">
        <f t="shared" si="13"/>
        <v>49323.23</v>
      </c>
      <c r="R23" s="65">
        <f t="shared" si="14"/>
        <v>0</v>
      </c>
      <c r="S23" s="66"/>
      <c r="T23" s="65">
        <v>0</v>
      </c>
      <c r="U23" s="65"/>
      <c r="V23" s="65">
        <f t="shared" si="15"/>
        <v>197292.91</v>
      </c>
      <c r="W23" s="68">
        <f t="shared" si="16"/>
        <v>0</v>
      </c>
    </row>
    <row r="24" spans="1:24" x14ac:dyDescent="0.25">
      <c r="A24" s="64">
        <v>45004</v>
      </c>
      <c r="B24" s="65">
        <f>Summary!$G$7/31</f>
        <v>498343.48</v>
      </c>
      <c r="C24" s="66">
        <v>78</v>
      </c>
      <c r="D24" s="66">
        <v>77.09</v>
      </c>
      <c r="E24" s="65">
        <f t="shared" si="5"/>
        <v>77.09</v>
      </c>
      <c r="F24" s="66">
        <f t="shared" si="6"/>
        <v>299006.09000000003</v>
      </c>
      <c r="G24" s="65">
        <f t="shared" si="7"/>
        <v>295517.69</v>
      </c>
      <c r="H24" s="66">
        <f t="shared" si="17"/>
        <v>199337.39</v>
      </c>
      <c r="I24" s="65">
        <f t="shared" si="8"/>
        <v>197011.79</v>
      </c>
      <c r="J24" s="66">
        <v>25.99</v>
      </c>
      <c r="K24" s="65">
        <f t="shared" si="9"/>
        <v>98505.9</v>
      </c>
      <c r="L24" s="65">
        <f t="shared" si="10"/>
        <v>0</v>
      </c>
      <c r="M24" s="67">
        <v>130</v>
      </c>
      <c r="N24" s="65">
        <f t="shared" si="11"/>
        <v>49252.95</v>
      </c>
      <c r="O24" s="65">
        <f t="shared" si="12"/>
        <v>0</v>
      </c>
      <c r="P24" s="66">
        <v>32.4</v>
      </c>
      <c r="Q24" s="65">
        <f t="shared" si="13"/>
        <v>49252.95</v>
      </c>
      <c r="R24" s="65">
        <f t="shared" si="14"/>
        <v>0</v>
      </c>
      <c r="S24" s="66"/>
      <c r="T24" s="65">
        <v>0</v>
      </c>
      <c r="U24" s="65"/>
      <c r="V24" s="65">
        <f t="shared" si="15"/>
        <v>197011.8</v>
      </c>
      <c r="W24" s="68">
        <f t="shared" si="16"/>
        <v>0</v>
      </c>
    </row>
    <row r="25" spans="1:24" x14ac:dyDescent="0.25">
      <c r="A25" s="64">
        <v>45005</v>
      </c>
      <c r="B25" s="65">
        <f>Summary!$G$7/31</f>
        <v>498343.48</v>
      </c>
      <c r="C25" s="66">
        <v>78</v>
      </c>
      <c r="D25" s="66">
        <v>77.05</v>
      </c>
      <c r="E25" s="65">
        <f t="shared" si="5"/>
        <v>77.05</v>
      </c>
      <c r="F25" s="66">
        <f t="shared" si="6"/>
        <v>299006.09000000003</v>
      </c>
      <c r="G25" s="65">
        <f t="shared" si="7"/>
        <v>295364.34999999998</v>
      </c>
      <c r="H25" s="66">
        <f t="shared" si="17"/>
        <v>199337.39</v>
      </c>
      <c r="I25" s="65">
        <f t="shared" si="8"/>
        <v>196909.56</v>
      </c>
      <c r="J25" s="66">
        <v>27.12</v>
      </c>
      <c r="K25" s="65">
        <f t="shared" si="9"/>
        <v>98454.78</v>
      </c>
      <c r="L25" s="65">
        <f t="shared" si="10"/>
        <v>0</v>
      </c>
      <c r="M25" s="67">
        <v>148</v>
      </c>
      <c r="N25" s="65">
        <f t="shared" si="11"/>
        <v>49227.39</v>
      </c>
      <c r="O25" s="65">
        <f t="shared" si="12"/>
        <v>0</v>
      </c>
      <c r="P25" s="66">
        <v>40.119999999999997</v>
      </c>
      <c r="Q25" s="65">
        <f t="shared" si="13"/>
        <v>49227.39</v>
      </c>
      <c r="R25" s="65">
        <f t="shared" si="14"/>
        <v>0</v>
      </c>
      <c r="S25" s="66"/>
      <c r="T25" s="65">
        <v>0</v>
      </c>
      <c r="U25" s="65"/>
      <c r="V25" s="65">
        <f t="shared" si="15"/>
        <v>196909.56</v>
      </c>
      <c r="W25" s="68">
        <f t="shared" si="16"/>
        <v>0</v>
      </c>
    </row>
    <row r="26" spans="1:24" x14ac:dyDescent="0.25">
      <c r="A26" s="64">
        <v>45006</v>
      </c>
      <c r="B26" s="65">
        <f>Summary!$G$7/31</f>
        <v>498343.48</v>
      </c>
      <c r="C26" s="66">
        <v>78</v>
      </c>
      <c r="D26" s="66">
        <v>77.05</v>
      </c>
      <c r="E26" s="65">
        <f t="shared" si="5"/>
        <v>77.05</v>
      </c>
      <c r="F26" s="66">
        <f t="shared" si="6"/>
        <v>299006.09000000003</v>
      </c>
      <c r="G26" s="65">
        <f t="shared" si="7"/>
        <v>295364.34999999998</v>
      </c>
      <c r="H26" s="66">
        <f t="shared" si="17"/>
        <v>199337.39</v>
      </c>
      <c r="I26" s="65">
        <f t="shared" si="8"/>
        <v>196909.56</v>
      </c>
      <c r="J26" s="66">
        <v>29.31</v>
      </c>
      <c r="K26" s="65">
        <f t="shared" si="9"/>
        <v>98454.78</v>
      </c>
      <c r="L26" s="65">
        <f t="shared" si="10"/>
        <v>0</v>
      </c>
      <c r="M26" s="67">
        <v>168</v>
      </c>
      <c r="N26" s="65">
        <f t="shared" si="11"/>
        <v>49227.39</v>
      </c>
      <c r="O26" s="65">
        <f t="shared" si="12"/>
        <v>0</v>
      </c>
      <c r="P26" s="66">
        <v>42.58</v>
      </c>
      <c r="Q26" s="65">
        <f t="shared" si="13"/>
        <v>49227.39</v>
      </c>
      <c r="R26" s="65">
        <f t="shared" si="14"/>
        <v>0</v>
      </c>
      <c r="S26" s="66"/>
      <c r="T26" s="65">
        <v>0</v>
      </c>
      <c r="U26" s="65"/>
      <c r="V26" s="65">
        <f t="shared" si="15"/>
        <v>196909.56</v>
      </c>
      <c r="W26" s="68">
        <f t="shared" si="16"/>
        <v>0</v>
      </c>
    </row>
    <row r="27" spans="1:24" x14ac:dyDescent="0.25">
      <c r="A27" s="64">
        <v>45007</v>
      </c>
      <c r="B27" s="65">
        <f>Summary!$G$7/31</f>
        <v>498343.48</v>
      </c>
      <c r="C27" s="66">
        <v>78</v>
      </c>
      <c r="D27" s="66">
        <v>77.819999999999993</v>
      </c>
      <c r="E27" s="65">
        <f t="shared" si="5"/>
        <v>77.819999999999993</v>
      </c>
      <c r="F27" s="66">
        <f t="shared" si="6"/>
        <v>299006.09000000003</v>
      </c>
      <c r="G27" s="65">
        <f t="shared" si="7"/>
        <v>298316.08</v>
      </c>
      <c r="H27" s="66">
        <f t="shared" si="17"/>
        <v>199337.39</v>
      </c>
      <c r="I27" s="65">
        <f t="shared" si="8"/>
        <v>198877.38</v>
      </c>
      <c r="J27" s="66">
        <v>26.45</v>
      </c>
      <c r="K27" s="65">
        <f t="shared" si="9"/>
        <v>99438.69</v>
      </c>
      <c r="L27" s="65">
        <f t="shared" si="10"/>
        <v>0</v>
      </c>
      <c r="M27" s="67">
        <v>142</v>
      </c>
      <c r="N27" s="65">
        <f t="shared" si="11"/>
        <v>49719.35</v>
      </c>
      <c r="O27" s="65">
        <f t="shared" si="12"/>
        <v>0</v>
      </c>
      <c r="P27" s="66">
        <v>39.619999999999997</v>
      </c>
      <c r="Q27" s="65">
        <f t="shared" si="13"/>
        <v>49719.35</v>
      </c>
      <c r="R27" s="65">
        <f t="shared" si="14"/>
        <v>0</v>
      </c>
      <c r="S27" s="66"/>
      <c r="T27" s="65">
        <v>0</v>
      </c>
      <c r="U27" s="65"/>
      <c r="V27" s="65">
        <f t="shared" si="15"/>
        <v>198877.39</v>
      </c>
      <c r="W27" s="68">
        <f t="shared" si="16"/>
        <v>0</v>
      </c>
    </row>
    <row r="28" spans="1:24" x14ac:dyDescent="0.25">
      <c r="A28" s="64">
        <v>45008</v>
      </c>
      <c r="B28" s="65">
        <f>Summary!$G$7/31</f>
        <v>498343.48</v>
      </c>
      <c r="C28" s="66">
        <v>78</v>
      </c>
      <c r="D28" s="66">
        <v>77.14</v>
      </c>
      <c r="E28" s="65">
        <f t="shared" si="5"/>
        <v>77.14</v>
      </c>
      <c r="F28" s="66">
        <f t="shared" si="6"/>
        <v>299006.09000000003</v>
      </c>
      <c r="G28" s="65">
        <f t="shared" si="7"/>
        <v>295709.36</v>
      </c>
      <c r="H28" s="66">
        <f t="shared" si="17"/>
        <v>199337.39</v>
      </c>
      <c r="I28" s="65">
        <f t="shared" si="8"/>
        <v>197139.57</v>
      </c>
      <c r="J28" s="66">
        <v>25.95</v>
      </c>
      <c r="K28" s="65">
        <f t="shared" si="9"/>
        <v>98569.79</v>
      </c>
      <c r="L28" s="65">
        <f t="shared" si="10"/>
        <v>0</v>
      </c>
      <c r="M28" s="67">
        <v>132</v>
      </c>
      <c r="N28" s="65">
        <f t="shared" si="11"/>
        <v>49284.89</v>
      </c>
      <c r="O28" s="65">
        <f t="shared" si="12"/>
        <v>0</v>
      </c>
      <c r="P28" s="66">
        <v>36.49</v>
      </c>
      <c r="Q28" s="65">
        <f t="shared" si="13"/>
        <v>49284.89</v>
      </c>
      <c r="R28" s="65">
        <f t="shared" si="14"/>
        <v>0</v>
      </c>
      <c r="S28" s="66"/>
      <c r="T28" s="65">
        <v>0</v>
      </c>
      <c r="U28" s="65"/>
      <c r="V28" s="65">
        <f t="shared" si="15"/>
        <v>197139.57</v>
      </c>
      <c r="W28" s="68">
        <f t="shared" si="16"/>
        <v>0</v>
      </c>
    </row>
    <row r="29" spans="1:24" x14ac:dyDescent="0.25">
      <c r="A29" s="64">
        <v>45009</v>
      </c>
      <c r="B29" s="65">
        <f>Summary!$G$7/31</f>
        <v>498343.48</v>
      </c>
      <c r="C29" s="66">
        <v>78</v>
      </c>
      <c r="D29" s="66">
        <v>77.09</v>
      </c>
      <c r="E29" s="65">
        <f t="shared" si="5"/>
        <v>77.09</v>
      </c>
      <c r="F29" s="66">
        <f t="shared" si="6"/>
        <v>299006.09000000003</v>
      </c>
      <c r="G29" s="65">
        <f t="shared" si="7"/>
        <v>295517.69</v>
      </c>
      <c r="H29" s="66">
        <f t="shared" si="17"/>
        <v>199337.39</v>
      </c>
      <c r="I29" s="65">
        <f t="shared" si="8"/>
        <v>197011.79</v>
      </c>
      <c r="J29" s="66">
        <v>25.08</v>
      </c>
      <c r="K29" s="65">
        <f t="shared" si="9"/>
        <v>98505.9</v>
      </c>
      <c r="L29" s="65">
        <f t="shared" si="10"/>
        <v>0</v>
      </c>
      <c r="M29" s="67">
        <v>128</v>
      </c>
      <c r="N29" s="65">
        <f t="shared" si="11"/>
        <v>49252.95</v>
      </c>
      <c r="O29" s="65">
        <f t="shared" si="12"/>
        <v>0</v>
      </c>
      <c r="P29" s="66">
        <v>35.11</v>
      </c>
      <c r="Q29" s="65">
        <f t="shared" si="13"/>
        <v>49252.95</v>
      </c>
      <c r="R29" s="65">
        <f t="shared" si="14"/>
        <v>0</v>
      </c>
      <c r="S29" s="66"/>
      <c r="T29" s="65">
        <v>0</v>
      </c>
      <c r="U29" s="65"/>
      <c r="V29" s="65">
        <f t="shared" si="15"/>
        <v>197011.8</v>
      </c>
      <c r="W29" s="68">
        <f t="shared" si="16"/>
        <v>0</v>
      </c>
    </row>
    <row r="30" spans="1:24" s="31" customFormat="1" x14ac:dyDescent="0.25">
      <c r="A30" s="26">
        <v>45010</v>
      </c>
      <c r="B30" s="27">
        <f>Summary!$G$7/31</f>
        <v>498343.48</v>
      </c>
      <c r="C30" s="28">
        <v>78</v>
      </c>
      <c r="D30" s="28">
        <v>77.17</v>
      </c>
      <c r="E30" s="65">
        <f t="shared" si="5"/>
        <v>77.17</v>
      </c>
      <c r="F30" s="28">
        <f t="shared" si="6"/>
        <v>299006.09000000003</v>
      </c>
      <c r="G30" s="65">
        <f t="shared" si="7"/>
        <v>295824.36</v>
      </c>
      <c r="H30" s="28">
        <f t="shared" si="17"/>
        <v>199337.39</v>
      </c>
      <c r="I30" s="65">
        <f t="shared" si="8"/>
        <v>197216.24</v>
      </c>
      <c r="J30" s="28">
        <v>27</v>
      </c>
      <c r="K30" s="65">
        <f t="shared" si="9"/>
        <v>98608.12</v>
      </c>
      <c r="L30" s="65">
        <f t="shared" si="10"/>
        <v>0</v>
      </c>
      <c r="M30" s="29">
        <v>152</v>
      </c>
      <c r="N30" s="65">
        <f t="shared" si="11"/>
        <v>49304.06</v>
      </c>
      <c r="O30" s="65">
        <f t="shared" si="12"/>
        <v>0</v>
      </c>
      <c r="P30" s="28">
        <v>48</v>
      </c>
      <c r="Q30" s="65">
        <f t="shared" si="13"/>
        <v>49304.06</v>
      </c>
      <c r="R30" s="65">
        <f t="shared" si="14"/>
        <v>0</v>
      </c>
      <c r="S30" s="28"/>
      <c r="T30" s="27">
        <v>0</v>
      </c>
      <c r="U30" s="27"/>
      <c r="V30" s="65">
        <f t="shared" si="15"/>
        <v>197216.24</v>
      </c>
      <c r="W30" s="68">
        <f t="shared" si="16"/>
        <v>0</v>
      </c>
      <c r="X30" s="30" t="s">
        <v>97</v>
      </c>
    </row>
    <row r="31" spans="1:24" x14ac:dyDescent="0.25">
      <c r="A31" s="64">
        <v>45011</v>
      </c>
      <c r="B31" s="65">
        <f>Summary!$G$7/31</f>
        <v>498343.48</v>
      </c>
      <c r="C31" s="66">
        <v>78</v>
      </c>
      <c r="D31" s="66">
        <v>77.44</v>
      </c>
      <c r="E31" s="65">
        <f t="shared" si="5"/>
        <v>77.44</v>
      </c>
      <c r="F31" s="66">
        <f t="shared" si="6"/>
        <v>299006.09000000003</v>
      </c>
      <c r="G31" s="65">
        <f t="shared" si="7"/>
        <v>296859.38</v>
      </c>
      <c r="H31" s="66">
        <f t="shared" si="17"/>
        <v>199337.39</v>
      </c>
      <c r="I31" s="65">
        <f t="shared" si="8"/>
        <v>197906.25</v>
      </c>
      <c r="J31" s="66">
        <v>27.73</v>
      </c>
      <c r="K31" s="65">
        <f t="shared" si="9"/>
        <v>98953.13</v>
      </c>
      <c r="L31" s="65">
        <f t="shared" si="10"/>
        <v>0</v>
      </c>
      <c r="M31" s="67">
        <v>144</v>
      </c>
      <c r="N31" s="65">
        <f t="shared" si="11"/>
        <v>49476.56</v>
      </c>
      <c r="O31" s="65">
        <f t="shared" si="12"/>
        <v>0</v>
      </c>
      <c r="P31" s="66">
        <v>37.26</v>
      </c>
      <c r="Q31" s="65">
        <f t="shared" si="13"/>
        <v>49476.56</v>
      </c>
      <c r="R31" s="65">
        <f t="shared" si="14"/>
        <v>0</v>
      </c>
      <c r="S31" s="66"/>
      <c r="T31" s="65">
        <v>0</v>
      </c>
      <c r="U31" s="65"/>
      <c r="V31" s="65">
        <f t="shared" si="15"/>
        <v>197906.25</v>
      </c>
      <c r="W31" s="68">
        <f t="shared" si="16"/>
        <v>0</v>
      </c>
    </row>
    <row r="32" spans="1:24" x14ac:dyDescent="0.25">
      <c r="A32" s="64">
        <v>45012</v>
      </c>
      <c r="B32" s="65">
        <f>Summary!$G$7/31</f>
        <v>498343.48</v>
      </c>
      <c r="C32" s="66">
        <v>78</v>
      </c>
      <c r="D32" s="66">
        <v>77.12</v>
      </c>
      <c r="E32" s="65">
        <f t="shared" si="5"/>
        <v>77.12</v>
      </c>
      <c r="F32" s="66">
        <f t="shared" si="6"/>
        <v>299006.09000000003</v>
      </c>
      <c r="G32" s="65">
        <f t="shared" si="7"/>
        <v>295632.69</v>
      </c>
      <c r="H32" s="66">
        <f t="shared" si="17"/>
        <v>199337.39</v>
      </c>
      <c r="I32" s="65">
        <f t="shared" si="8"/>
        <v>197088.46</v>
      </c>
      <c r="J32" s="66">
        <v>27.48</v>
      </c>
      <c r="K32" s="65">
        <f t="shared" si="9"/>
        <v>98544.23</v>
      </c>
      <c r="L32" s="65">
        <f t="shared" si="10"/>
        <v>0</v>
      </c>
      <c r="M32" s="67">
        <v>148</v>
      </c>
      <c r="N32" s="65">
        <f t="shared" si="11"/>
        <v>49272.12</v>
      </c>
      <c r="O32" s="65">
        <f t="shared" si="12"/>
        <v>0</v>
      </c>
      <c r="P32" s="66">
        <v>39.24</v>
      </c>
      <c r="Q32" s="65">
        <f t="shared" si="13"/>
        <v>49272.12</v>
      </c>
      <c r="R32" s="65">
        <f t="shared" si="14"/>
        <v>0</v>
      </c>
      <c r="S32" s="66"/>
      <c r="T32" s="65">
        <v>0</v>
      </c>
      <c r="U32" s="65"/>
      <c r="V32" s="65">
        <f t="shared" si="15"/>
        <v>197088.47</v>
      </c>
      <c r="W32" s="68">
        <f t="shared" si="16"/>
        <v>0</v>
      </c>
    </row>
    <row r="33" spans="1:24" x14ac:dyDescent="0.25">
      <c r="A33" s="64">
        <v>45013</v>
      </c>
      <c r="B33" s="65">
        <f>Summary!$G$7/31</f>
        <v>498343.48</v>
      </c>
      <c r="C33" s="66">
        <v>78</v>
      </c>
      <c r="D33" s="66">
        <v>77.41</v>
      </c>
      <c r="E33" s="65">
        <f t="shared" si="5"/>
        <v>77.41</v>
      </c>
      <c r="F33" s="66">
        <f t="shared" si="6"/>
        <v>299006.09000000003</v>
      </c>
      <c r="G33" s="65">
        <f t="shared" si="7"/>
        <v>296744.38</v>
      </c>
      <c r="H33" s="66">
        <f t="shared" si="17"/>
        <v>199337.39</v>
      </c>
      <c r="I33" s="65">
        <f t="shared" si="8"/>
        <v>197829.58</v>
      </c>
      <c r="J33" s="66">
        <v>26.72</v>
      </c>
      <c r="K33" s="65">
        <f t="shared" si="9"/>
        <v>98914.79</v>
      </c>
      <c r="L33" s="65">
        <f t="shared" si="10"/>
        <v>0</v>
      </c>
      <c r="M33" s="67">
        <v>136</v>
      </c>
      <c r="N33" s="65">
        <f t="shared" si="11"/>
        <v>49457.4</v>
      </c>
      <c r="O33" s="65">
        <f t="shared" si="12"/>
        <v>0</v>
      </c>
      <c r="P33" s="66">
        <v>35.86</v>
      </c>
      <c r="Q33" s="65">
        <f t="shared" si="13"/>
        <v>49457.4</v>
      </c>
      <c r="R33" s="65">
        <f t="shared" si="14"/>
        <v>0</v>
      </c>
      <c r="S33" s="66"/>
      <c r="T33" s="65">
        <v>0</v>
      </c>
      <c r="U33" s="65"/>
      <c r="V33" s="65">
        <f t="shared" si="15"/>
        <v>197829.59</v>
      </c>
      <c r="W33" s="68">
        <f t="shared" si="16"/>
        <v>0</v>
      </c>
      <c r="X33" s="70"/>
    </row>
    <row r="34" spans="1:24" x14ac:dyDescent="0.25">
      <c r="A34" s="64">
        <v>45014</v>
      </c>
      <c r="B34" s="65">
        <f>Summary!$G$7/31</f>
        <v>498343.48</v>
      </c>
      <c r="C34" s="66">
        <v>78</v>
      </c>
      <c r="D34" s="66">
        <v>77.150000000000006</v>
      </c>
      <c r="E34" s="65">
        <f t="shared" si="5"/>
        <v>77.150000000000006</v>
      </c>
      <c r="F34" s="66">
        <f t="shared" si="6"/>
        <v>299006.09000000003</v>
      </c>
      <c r="G34" s="65">
        <f t="shared" si="7"/>
        <v>295747.69</v>
      </c>
      <c r="H34" s="66">
        <f t="shared" si="17"/>
        <v>199337.39</v>
      </c>
      <c r="I34" s="65">
        <f t="shared" si="8"/>
        <v>197165.12</v>
      </c>
      <c r="J34" s="66">
        <v>26.26</v>
      </c>
      <c r="K34" s="65">
        <f t="shared" si="9"/>
        <v>98582.56</v>
      </c>
      <c r="L34" s="65">
        <f t="shared" si="10"/>
        <v>0</v>
      </c>
      <c r="M34" s="67">
        <v>130</v>
      </c>
      <c r="N34" s="65">
        <f t="shared" si="11"/>
        <v>49291.28</v>
      </c>
      <c r="O34" s="65">
        <f t="shared" si="12"/>
        <v>0</v>
      </c>
      <c r="P34" s="66">
        <v>32.25</v>
      </c>
      <c r="Q34" s="65">
        <f t="shared" si="13"/>
        <v>49291.28</v>
      </c>
      <c r="R34" s="65">
        <f t="shared" si="14"/>
        <v>0</v>
      </c>
      <c r="S34" s="66"/>
      <c r="T34" s="65">
        <v>0</v>
      </c>
      <c r="U34" s="65"/>
      <c r="V34" s="65">
        <f t="shared" si="15"/>
        <v>197165.12</v>
      </c>
      <c r="W34" s="68">
        <f t="shared" si="16"/>
        <v>0</v>
      </c>
    </row>
    <row r="35" spans="1:24" x14ac:dyDescent="0.25">
      <c r="A35" s="64">
        <v>45015</v>
      </c>
      <c r="B35" s="65">
        <f>Summary!$G$7/31</f>
        <v>498343.48</v>
      </c>
      <c r="C35" s="66">
        <v>78</v>
      </c>
      <c r="D35" s="66">
        <v>77.099999999999994</v>
      </c>
      <c r="E35" s="65">
        <f t="shared" si="5"/>
        <v>77.099999999999994</v>
      </c>
      <c r="F35" s="66">
        <f t="shared" ref="F35:F36" si="18">B35*60%</f>
        <v>299006.09000000003</v>
      </c>
      <c r="G35" s="65">
        <f t="shared" si="7"/>
        <v>295556.02</v>
      </c>
      <c r="H35" s="66">
        <f t="shared" ref="H35:H36" si="19">B35*40%</f>
        <v>199337.39</v>
      </c>
      <c r="I35" s="65">
        <f t="shared" si="8"/>
        <v>197037.34</v>
      </c>
      <c r="J35" s="66">
        <v>25.51</v>
      </c>
      <c r="K35" s="65">
        <f t="shared" si="9"/>
        <v>98518.67</v>
      </c>
      <c r="L35" s="65">
        <f t="shared" si="10"/>
        <v>0</v>
      </c>
      <c r="M35" s="67">
        <v>120</v>
      </c>
      <c r="N35" s="65">
        <f t="shared" si="11"/>
        <v>49259.34</v>
      </c>
      <c r="O35" s="65">
        <f t="shared" si="12"/>
        <v>0</v>
      </c>
      <c r="P35" s="66">
        <v>30.45</v>
      </c>
      <c r="Q35" s="65">
        <f t="shared" si="13"/>
        <v>49259.34</v>
      </c>
      <c r="R35" s="65">
        <f t="shared" si="14"/>
        <v>0</v>
      </c>
      <c r="S35" s="66"/>
      <c r="T35" s="65">
        <v>0</v>
      </c>
      <c r="U35" s="65"/>
      <c r="V35" s="65">
        <f t="shared" si="15"/>
        <v>197037.35</v>
      </c>
      <c r="W35" s="68">
        <f t="shared" si="16"/>
        <v>0</v>
      </c>
    </row>
    <row r="36" spans="1:24" x14ac:dyDescent="0.25">
      <c r="A36" s="64">
        <v>45016</v>
      </c>
      <c r="B36" s="65">
        <f>Summary!$G$7/31</f>
        <v>498343.48</v>
      </c>
      <c r="C36" s="66">
        <v>78</v>
      </c>
      <c r="D36" s="66">
        <v>77.900000000000006</v>
      </c>
      <c r="E36" s="65">
        <f t="shared" si="5"/>
        <v>77.900000000000006</v>
      </c>
      <c r="F36" s="66">
        <f t="shared" si="18"/>
        <v>299006.09000000003</v>
      </c>
      <c r="G36" s="65">
        <f t="shared" si="7"/>
        <v>298622.75</v>
      </c>
      <c r="H36" s="66">
        <f t="shared" si="19"/>
        <v>199337.39</v>
      </c>
      <c r="I36" s="65">
        <f t="shared" si="8"/>
        <v>199081.83</v>
      </c>
      <c r="J36" s="66">
        <v>25.08</v>
      </c>
      <c r="K36" s="65">
        <f t="shared" si="9"/>
        <v>99540.92</v>
      </c>
      <c r="L36" s="65">
        <f t="shared" si="10"/>
        <v>0</v>
      </c>
      <c r="M36" s="67">
        <v>116</v>
      </c>
      <c r="N36" s="65">
        <f t="shared" si="11"/>
        <v>49770.46</v>
      </c>
      <c r="O36" s="65">
        <f t="shared" si="12"/>
        <v>0</v>
      </c>
      <c r="P36" s="66">
        <v>30.05</v>
      </c>
      <c r="Q36" s="65">
        <f t="shared" si="13"/>
        <v>49770.46</v>
      </c>
      <c r="R36" s="65">
        <f t="shared" si="14"/>
        <v>0</v>
      </c>
      <c r="S36" s="66"/>
      <c r="T36" s="65">
        <v>0</v>
      </c>
      <c r="U36" s="65"/>
      <c r="V36" s="65">
        <f t="shared" si="15"/>
        <v>199081.84</v>
      </c>
      <c r="W36" s="68">
        <f t="shared" si="16"/>
        <v>0</v>
      </c>
    </row>
    <row r="37" spans="1:24" s="1" customFormat="1" x14ac:dyDescent="0.25">
      <c r="A37" s="58" t="s">
        <v>30</v>
      </c>
      <c r="B37" s="71">
        <f>SUM(B6:B36)</f>
        <v>15448647.880000001</v>
      </c>
      <c r="C37" s="71"/>
      <c r="D37" s="71">
        <f>AVERAGE(D6:D36)</f>
        <v>77.33</v>
      </c>
      <c r="E37" s="71"/>
      <c r="F37" s="71">
        <f t="shared" ref="F37:U37" si="20">SUM(F6:F36)</f>
        <v>9269188.7899999991</v>
      </c>
      <c r="G37" s="71">
        <f t="shared" si="20"/>
        <v>9189798.8699999992</v>
      </c>
      <c r="H37" s="71">
        <f t="shared" si="20"/>
        <v>6179459.0899999999</v>
      </c>
      <c r="I37" s="71">
        <f t="shared" si="20"/>
        <v>6126532.4400000004</v>
      </c>
      <c r="J37" s="71"/>
      <c r="K37" s="71">
        <f t="shared" si="20"/>
        <v>3063266.29</v>
      </c>
      <c r="L37" s="71">
        <f>SUM(L6:L36)</f>
        <v>0</v>
      </c>
      <c r="M37" s="71"/>
      <c r="N37" s="71">
        <f t="shared" si="20"/>
        <v>1531633.15</v>
      </c>
      <c r="O37" s="71">
        <f t="shared" si="20"/>
        <v>0</v>
      </c>
      <c r="P37" s="71"/>
      <c r="Q37" s="71">
        <f t="shared" si="20"/>
        <v>1531633.15</v>
      </c>
      <c r="R37" s="71">
        <f t="shared" si="20"/>
        <v>0</v>
      </c>
      <c r="S37" s="71"/>
      <c r="T37" s="71">
        <f t="shared" si="20"/>
        <v>0</v>
      </c>
      <c r="U37" s="71">
        <f t="shared" si="20"/>
        <v>0</v>
      </c>
      <c r="V37" s="71">
        <f>SUM(V6:V36)</f>
        <v>6126532.5899999999</v>
      </c>
      <c r="W37" s="71">
        <f>SUM(W6:W36)</f>
        <v>0</v>
      </c>
      <c r="X37" s="72"/>
    </row>
    <row r="38" spans="1:24" x14ac:dyDescent="0.25">
      <c r="A38" s="58"/>
      <c r="B38" s="58" t="s">
        <v>14</v>
      </c>
      <c r="C38" s="58"/>
      <c r="D38" s="58"/>
      <c r="E38" s="58"/>
      <c r="F38" s="66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71">
        <f>G37+V37</f>
        <v>15316331.460000001</v>
      </c>
      <c r="W38" s="59"/>
    </row>
    <row r="39" spans="1:24" x14ac:dyDescent="0.25">
      <c r="C39" s="74"/>
    </row>
    <row r="41" spans="1:24" x14ac:dyDescent="0.25">
      <c r="C41" s="74"/>
    </row>
    <row r="42" spans="1:24" x14ac:dyDescent="0.25">
      <c r="C42" s="74"/>
    </row>
  </sheetData>
  <mergeCells count="19">
    <mergeCell ref="A1:V1"/>
    <mergeCell ref="F3:G3"/>
    <mergeCell ref="A4:A5"/>
    <mergeCell ref="B4:B5"/>
    <mergeCell ref="D4:D5"/>
    <mergeCell ref="F4:F5"/>
    <mergeCell ref="G4:G5"/>
    <mergeCell ref="H4:H5"/>
    <mergeCell ref="V4:V5"/>
    <mergeCell ref="H3:V3"/>
    <mergeCell ref="C3:D3"/>
    <mergeCell ref="C4:C5"/>
    <mergeCell ref="I4:I5"/>
    <mergeCell ref="E4:E5"/>
    <mergeCell ref="J4:L4"/>
    <mergeCell ref="W4:W5"/>
    <mergeCell ref="M4:O4"/>
    <mergeCell ref="P4:R4"/>
    <mergeCell ref="S4:U4"/>
  </mergeCells>
  <pageMargins left="0.25" right="0.25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41"/>
  <sheetViews>
    <sheetView topLeftCell="G17" zoomScaleNormal="100" workbookViewId="0">
      <selection activeCell="V6" sqref="V6:W36"/>
    </sheetView>
  </sheetViews>
  <sheetFormatPr defaultColWidth="9.140625" defaultRowHeight="15.75" x14ac:dyDescent="0.25"/>
  <cols>
    <col min="1" max="1" width="10.28515625" style="87" customWidth="1"/>
    <col min="2" max="2" width="11.42578125" style="87" bestFit="1" customWidth="1"/>
    <col min="3" max="4" width="9.28515625" style="87" bestFit="1" customWidth="1"/>
    <col min="5" max="5" width="10.85546875" style="87" bestFit="1" customWidth="1"/>
    <col min="6" max="6" width="11.42578125" style="87" bestFit="1" customWidth="1"/>
    <col min="7" max="7" width="12.7109375" style="87" bestFit="1" customWidth="1"/>
    <col min="8" max="8" width="10.42578125" style="87" bestFit="1" customWidth="1"/>
    <col min="9" max="9" width="12.7109375" style="87" bestFit="1" customWidth="1"/>
    <col min="10" max="10" width="9.140625" style="87" customWidth="1"/>
    <col min="11" max="11" width="10.85546875" style="87" bestFit="1" customWidth="1"/>
    <col min="12" max="12" width="10.85546875" style="87" customWidth="1"/>
    <col min="13" max="13" width="9.28515625" style="87" customWidth="1"/>
    <col min="14" max="14" width="10.42578125" style="87" bestFit="1" customWidth="1"/>
    <col min="15" max="15" width="10.42578125" style="87" customWidth="1"/>
    <col min="16" max="16" width="9.42578125" style="87" customWidth="1"/>
    <col min="17" max="17" width="10.42578125" style="87" bestFit="1" customWidth="1"/>
    <col min="18" max="18" width="10.42578125" style="87" customWidth="1"/>
    <col min="19" max="19" width="9.28515625" style="87" customWidth="1"/>
    <col min="20" max="20" width="9.28515625" style="87" bestFit="1" customWidth="1"/>
    <col min="21" max="21" width="9.28515625" style="87" customWidth="1"/>
    <col min="22" max="22" width="12" style="87" bestFit="1" customWidth="1"/>
    <col min="23" max="23" width="12" bestFit="1" customWidth="1"/>
    <col min="24" max="24" width="9.140625" style="108"/>
  </cols>
  <sheetData>
    <row r="1" spans="1:30" ht="18.75" x14ac:dyDescent="0.3">
      <c r="A1" s="150" t="str">
        <f>Summary!A1</f>
        <v>AGRA Payment for the month of JANUARY 2023 (As Per VoL -1, Section IV, Clause 39)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5"/>
      <c r="Y1" s="5"/>
      <c r="Z1" s="5"/>
      <c r="AA1" s="5"/>
      <c r="AB1" s="5"/>
      <c r="AC1" s="5"/>
      <c r="AD1" s="5"/>
    </row>
    <row r="2" spans="1:30" ht="18.75" x14ac:dyDescent="0.3">
      <c r="A2" s="54">
        <v>1</v>
      </c>
      <c r="B2" s="54">
        <v>2</v>
      </c>
      <c r="C2" s="54">
        <v>3</v>
      </c>
      <c r="D2" s="54">
        <v>4</v>
      </c>
      <c r="E2" s="5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  <c r="K2" s="54">
        <v>11</v>
      </c>
      <c r="L2" s="54">
        <v>12</v>
      </c>
      <c r="M2" s="54">
        <v>13</v>
      </c>
      <c r="N2" s="54">
        <v>14</v>
      </c>
      <c r="O2" s="54">
        <v>15</v>
      </c>
      <c r="P2" s="54">
        <v>16</v>
      </c>
      <c r="Q2" s="54">
        <v>17</v>
      </c>
      <c r="R2" s="54">
        <v>18</v>
      </c>
      <c r="S2" s="54">
        <v>19</v>
      </c>
      <c r="T2" s="54">
        <v>20</v>
      </c>
      <c r="U2" s="54">
        <v>21</v>
      </c>
      <c r="V2" s="54">
        <v>22</v>
      </c>
      <c r="W2" s="54">
        <v>23</v>
      </c>
      <c r="Y2" s="57"/>
      <c r="Z2" s="57"/>
      <c r="AA2" s="57"/>
      <c r="AB2" s="57"/>
      <c r="AC2" s="57"/>
      <c r="AD2" s="57"/>
    </row>
    <row r="3" spans="1:30" x14ac:dyDescent="0.25">
      <c r="A3" s="75"/>
      <c r="B3" s="75"/>
      <c r="C3" s="149" t="s">
        <v>25</v>
      </c>
      <c r="D3" s="149"/>
      <c r="E3" s="75"/>
      <c r="F3" s="149" t="s">
        <v>73</v>
      </c>
      <c r="G3" s="149"/>
      <c r="H3" s="149" t="s">
        <v>72</v>
      </c>
      <c r="I3" s="149"/>
      <c r="J3" s="149"/>
      <c r="K3" s="149"/>
      <c r="L3" s="149"/>
      <c r="M3" s="149"/>
      <c r="N3" s="149"/>
      <c r="O3" s="149"/>
      <c r="P3" s="149"/>
      <c r="Q3" s="149"/>
      <c r="R3" s="83"/>
      <c r="S3" s="83"/>
      <c r="T3" s="83"/>
      <c r="U3" s="83"/>
      <c r="V3" s="83"/>
      <c r="W3" s="59"/>
    </row>
    <row r="4" spans="1:30" ht="14.25" customHeight="1" x14ac:dyDescent="0.25">
      <c r="A4" s="147" t="s">
        <v>23</v>
      </c>
      <c r="B4" s="148" t="s">
        <v>24</v>
      </c>
      <c r="C4" s="148" t="s">
        <v>35</v>
      </c>
      <c r="D4" s="148" t="s">
        <v>37</v>
      </c>
      <c r="E4" s="148" t="s">
        <v>74</v>
      </c>
      <c r="F4" s="147" t="s">
        <v>26</v>
      </c>
      <c r="G4" s="147" t="s">
        <v>27</v>
      </c>
      <c r="H4" s="147" t="s">
        <v>32</v>
      </c>
      <c r="I4" s="147" t="s">
        <v>27</v>
      </c>
      <c r="J4" s="147" t="s">
        <v>15</v>
      </c>
      <c r="K4" s="147"/>
      <c r="L4" s="147"/>
      <c r="M4" s="147" t="s">
        <v>17</v>
      </c>
      <c r="N4" s="147"/>
      <c r="O4" s="147"/>
      <c r="P4" s="147" t="s">
        <v>16</v>
      </c>
      <c r="Q4" s="147"/>
      <c r="R4" s="147"/>
      <c r="S4" s="147" t="s">
        <v>22</v>
      </c>
      <c r="T4" s="147"/>
      <c r="U4" s="147"/>
      <c r="V4" s="148" t="s">
        <v>33</v>
      </c>
      <c r="W4" s="147" t="s">
        <v>43</v>
      </c>
    </row>
    <row r="5" spans="1:30" ht="30" x14ac:dyDescent="0.25">
      <c r="A5" s="147"/>
      <c r="B5" s="148"/>
      <c r="C5" s="148"/>
      <c r="D5" s="147"/>
      <c r="E5" s="147"/>
      <c r="F5" s="147"/>
      <c r="G5" s="147"/>
      <c r="H5" s="147"/>
      <c r="I5" s="147"/>
      <c r="J5" s="77" t="s">
        <v>42</v>
      </c>
      <c r="K5" s="78">
        <v>0.5</v>
      </c>
      <c r="L5" s="78" t="s">
        <v>43</v>
      </c>
      <c r="M5" s="77" t="s">
        <v>42</v>
      </c>
      <c r="N5" s="78">
        <v>0.15</v>
      </c>
      <c r="O5" s="78" t="s">
        <v>43</v>
      </c>
      <c r="P5" s="77" t="s">
        <v>42</v>
      </c>
      <c r="Q5" s="78">
        <v>0.25</v>
      </c>
      <c r="R5" s="78" t="s">
        <v>43</v>
      </c>
      <c r="S5" s="77" t="s">
        <v>42</v>
      </c>
      <c r="T5" s="78">
        <v>0.1</v>
      </c>
      <c r="U5" s="78" t="s">
        <v>43</v>
      </c>
      <c r="V5" s="148"/>
      <c r="W5" s="147"/>
    </row>
    <row r="6" spans="1:30" x14ac:dyDescent="0.25">
      <c r="A6" s="80">
        <v>44986</v>
      </c>
      <c r="B6" s="81">
        <f>Summary!$G$11/31</f>
        <v>76668.23</v>
      </c>
      <c r="C6" s="81">
        <v>12</v>
      </c>
      <c r="D6" s="66">
        <v>8.15</v>
      </c>
      <c r="E6" s="81">
        <f>MIN(D6,C6)</f>
        <v>8.15</v>
      </c>
      <c r="F6" s="81">
        <f>B6*60%</f>
        <v>46000.94</v>
      </c>
      <c r="G6" s="81">
        <f>(F6*E6)/C6</f>
        <v>31242.31</v>
      </c>
      <c r="H6" s="81">
        <f>B6*40%</f>
        <v>30667.29</v>
      </c>
      <c r="I6" s="81">
        <f>(H6*E6)/C6</f>
        <v>20828.2</v>
      </c>
      <c r="J6" s="66">
        <v>24.12</v>
      </c>
      <c r="K6" s="66">
        <f>IF(J6&gt;30,0,I6*50%)</f>
        <v>10414.1</v>
      </c>
      <c r="L6" s="66">
        <f t="shared" ref="L6" si="0">IF(J6&gt;30,(MAX($B$37*0.1/100,10000)),0)</f>
        <v>0</v>
      </c>
      <c r="M6" s="67">
        <v>164</v>
      </c>
      <c r="N6" s="66">
        <f>IF(M6&gt;250,0,I6*15%)</f>
        <v>3124.23</v>
      </c>
      <c r="O6" s="66">
        <f t="shared" ref="O6" si="1">IF(M6&gt;250,(MAX($B$37*0.1/100,10000)),0)</f>
        <v>0</v>
      </c>
      <c r="P6" s="66">
        <v>36.119999999999997</v>
      </c>
      <c r="Q6" s="66">
        <f>IF(P6&gt;50,0,I6*25%)</f>
        <v>5207.05</v>
      </c>
      <c r="R6" s="66">
        <f t="shared" ref="R6" si="2">IF(P6&gt;50,(MAX($B$37*0.1/100,10000)),0)</f>
        <v>0</v>
      </c>
      <c r="S6" s="67">
        <v>560</v>
      </c>
      <c r="T6" s="66">
        <f>IF(S6&gt;1000,0,I6*10%)</f>
        <v>2082.8200000000002</v>
      </c>
      <c r="U6" s="66">
        <f>IF(S6&gt;1000,(MAX($B$37*0.1/100,10000)),0)</f>
        <v>0</v>
      </c>
      <c r="V6" s="66">
        <f>T6+Q6+N6+K6</f>
        <v>20828.2</v>
      </c>
      <c r="W6" s="81">
        <f>U6+R6+O6+L6</f>
        <v>0</v>
      </c>
      <c r="X6" s="109"/>
      <c r="Y6" s="2"/>
      <c r="Z6" s="2"/>
      <c r="AA6" s="2"/>
    </row>
    <row r="7" spans="1:30" x14ac:dyDescent="0.25">
      <c r="A7" s="80">
        <v>44987</v>
      </c>
      <c r="B7" s="81">
        <f>Summary!$G$11/31</f>
        <v>76668.23</v>
      </c>
      <c r="C7" s="81">
        <v>12</v>
      </c>
      <c r="D7" s="66">
        <v>6.75</v>
      </c>
      <c r="E7" s="81">
        <f t="shared" ref="E7:E36" si="3">MIN(D7,C7)</f>
        <v>6.75</v>
      </c>
      <c r="F7" s="81">
        <f t="shared" ref="F7:F34" si="4">B7*60%</f>
        <v>46000.94</v>
      </c>
      <c r="G7" s="81">
        <f t="shared" ref="G7:G36" si="5">(F7*E7)/C7</f>
        <v>25875.53</v>
      </c>
      <c r="H7" s="81">
        <f t="shared" ref="H7:H34" si="6">B7*40%</f>
        <v>30667.29</v>
      </c>
      <c r="I7" s="81">
        <f t="shared" ref="I7:I36" si="7">(H7*E7)/C7</f>
        <v>17250.349999999999</v>
      </c>
      <c r="J7" s="66">
        <v>26.48</v>
      </c>
      <c r="K7" s="66">
        <f t="shared" ref="K7:K36" si="8">IF(J7&gt;30,0,I7*50%)</f>
        <v>8625.18</v>
      </c>
      <c r="L7" s="66">
        <f t="shared" ref="L7:L36" si="9">IF(J7&gt;30,(MAX($B$37*0.1/100,10000)),0)</f>
        <v>0</v>
      </c>
      <c r="M7" s="67">
        <v>176</v>
      </c>
      <c r="N7" s="66">
        <f t="shared" ref="N7:N36" si="10">IF(M7&gt;250,0,I7*15%)</f>
        <v>2587.5500000000002</v>
      </c>
      <c r="O7" s="66">
        <f t="shared" ref="O7:O36" si="11">IF(M7&gt;250,(MAX($B$37*0.1/100,10000)),0)</f>
        <v>0</v>
      </c>
      <c r="P7" s="66">
        <v>38.36</v>
      </c>
      <c r="Q7" s="66">
        <f t="shared" ref="Q7:Q36" si="12">IF(P7&gt;50,0,I7*25%)</f>
        <v>4312.59</v>
      </c>
      <c r="R7" s="66">
        <f t="shared" ref="R7:R36" si="13">IF(P7&gt;50,(MAX($B$37*0.1/100,10000)),0)</f>
        <v>0</v>
      </c>
      <c r="S7" s="67">
        <v>690</v>
      </c>
      <c r="T7" s="66">
        <f t="shared" ref="T7:T36" si="14">IF(S7&gt;1000,0,I7*10%)</f>
        <v>1725.04</v>
      </c>
      <c r="U7" s="66">
        <f t="shared" ref="U7:U36" si="15">IF(S7&gt;1000,(MAX($B$37*0.1/100,10000)),0)</f>
        <v>0</v>
      </c>
      <c r="V7" s="66">
        <f t="shared" ref="V7:V36" si="16">T7+Q7+N7+K7</f>
        <v>17250.36</v>
      </c>
      <c r="W7" s="81">
        <f t="shared" ref="W7:W36" si="17">U7+R7+O7+L7</f>
        <v>0</v>
      </c>
      <c r="X7" s="109"/>
      <c r="Y7" s="2"/>
      <c r="Z7" s="2"/>
      <c r="AA7" s="2"/>
    </row>
    <row r="8" spans="1:30" x14ac:dyDescent="0.25">
      <c r="A8" s="80">
        <v>44988</v>
      </c>
      <c r="B8" s="81">
        <f>Summary!$G$11/31</f>
        <v>76668.23</v>
      </c>
      <c r="C8" s="81">
        <v>12</v>
      </c>
      <c r="D8" s="66">
        <v>6.3</v>
      </c>
      <c r="E8" s="81">
        <f t="shared" si="3"/>
        <v>6.3</v>
      </c>
      <c r="F8" s="81">
        <f t="shared" si="4"/>
        <v>46000.94</v>
      </c>
      <c r="G8" s="81">
        <f t="shared" si="5"/>
        <v>24150.49</v>
      </c>
      <c r="H8" s="81">
        <f t="shared" si="6"/>
        <v>30667.29</v>
      </c>
      <c r="I8" s="81">
        <f t="shared" si="7"/>
        <v>16100.33</v>
      </c>
      <c r="J8" s="66">
        <v>24.08</v>
      </c>
      <c r="K8" s="66">
        <f t="shared" si="8"/>
        <v>8050.17</v>
      </c>
      <c r="L8" s="66">
        <f t="shared" si="9"/>
        <v>0</v>
      </c>
      <c r="M8" s="67">
        <v>160</v>
      </c>
      <c r="N8" s="66">
        <f t="shared" si="10"/>
        <v>2415.0500000000002</v>
      </c>
      <c r="O8" s="66">
        <f t="shared" si="11"/>
        <v>0</v>
      </c>
      <c r="P8" s="66">
        <v>36.96</v>
      </c>
      <c r="Q8" s="66">
        <f t="shared" si="12"/>
        <v>4025.08</v>
      </c>
      <c r="R8" s="66">
        <f t="shared" si="13"/>
        <v>0</v>
      </c>
      <c r="S8" s="67">
        <v>530</v>
      </c>
      <c r="T8" s="66">
        <f t="shared" si="14"/>
        <v>1610.03</v>
      </c>
      <c r="U8" s="66">
        <f t="shared" si="15"/>
        <v>0</v>
      </c>
      <c r="V8" s="66">
        <f t="shared" si="16"/>
        <v>16100.33</v>
      </c>
      <c r="W8" s="81">
        <f t="shared" si="17"/>
        <v>0</v>
      </c>
      <c r="X8" s="109"/>
      <c r="Y8" s="2"/>
      <c r="Z8" s="2"/>
      <c r="AA8" s="2"/>
    </row>
    <row r="9" spans="1:30" s="31" customFormat="1" x14ac:dyDescent="0.25">
      <c r="A9" s="32">
        <v>44989</v>
      </c>
      <c r="B9" s="33">
        <f>Summary!$G$11/31</f>
        <v>76668.23</v>
      </c>
      <c r="C9" s="33">
        <v>12</v>
      </c>
      <c r="D9" s="28">
        <v>7.76</v>
      </c>
      <c r="E9" s="81">
        <f t="shared" si="3"/>
        <v>7.76</v>
      </c>
      <c r="F9" s="33">
        <f t="shared" si="4"/>
        <v>46000.94</v>
      </c>
      <c r="G9" s="81">
        <f t="shared" si="5"/>
        <v>29747.27</v>
      </c>
      <c r="H9" s="33">
        <f t="shared" si="6"/>
        <v>30667.29</v>
      </c>
      <c r="I9" s="81">
        <f t="shared" si="7"/>
        <v>19831.509999999998</v>
      </c>
      <c r="J9" s="110">
        <v>25</v>
      </c>
      <c r="K9" s="66">
        <f t="shared" si="8"/>
        <v>9915.76</v>
      </c>
      <c r="L9" s="66">
        <f t="shared" si="9"/>
        <v>0</v>
      </c>
      <c r="M9" s="29">
        <v>144</v>
      </c>
      <c r="N9" s="66">
        <f t="shared" si="10"/>
        <v>2974.73</v>
      </c>
      <c r="O9" s="66">
        <f t="shared" si="11"/>
        <v>0</v>
      </c>
      <c r="P9" s="28">
        <v>42</v>
      </c>
      <c r="Q9" s="66">
        <f t="shared" si="12"/>
        <v>4957.88</v>
      </c>
      <c r="R9" s="66">
        <f t="shared" si="13"/>
        <v>0</v>
      </c>
      <c r="S9" s="29">
        <v>930</v>
      </c>
      <c r="T9" s="66">
        <f t="shared" si="14"/>
        <v>1983.15</v>
      </c>
      <c r="U9" s="66">
        <f t="shared" si="15"/>
        <v>0</v>
      </c>
      <c r="V9" s="66">
        <f t="shared" si="16"/>
        <v>19831.52</v>
      </c>
      <c r="W9" s="81">
        <f t="shared" si="17"/>
        <v>0</v>
      </c>
      <c r="X9" s="48" t="s">
        <v>97</v>
      </c>
      <c r="Y9" s="34"/>
      <c r="Z9" s="34"/>
      <c r="AA9" s="34"/>
    </row>
    <row r="10" spans="1:30" x14ac:dyDescent="0.25">
      <c r="A10" s="80">
        <v>44990</v>
      </c>
      <c r="B10" s="81">
        <f>Summary!$G$11/31</f>
        <v>76668.23</v>
      </c>
      <c r="C10" s="81">
        <v>12</v>
      </c>
      <c r="D10" s="66">
        <v>5.6</v>
      </c>
      <c r="E10" s="81">
        <f t="shared" si="3"/>
        <v>5.6</v>
      </c>
      <c r="F10" s="81">
        <f t="shared" si="4"/>
        <v>46000.94</v>
      </c>
      <c r="G10" s="81">
        <f t="shared" si="5"/>
        <v>21467.11</v>
      </c>
      <c r="H10" s="81">
        <f t="shared" si="6"/>
        <v>30667.29</v>
      </c>
      <c r="I10" s="81">
        <f t="shared" si="7"/>
        <v>14311.4</v>
      </c>
      <c r="J10" s="66">
        <v>27.88</v>
      </c>
      <c r="K10" s="66">
        <f t="shared" si="8"/>
        <v>7155.7</v>
      </c>
      <c r="L10" s="66">
        <f t="shared" si="9"/>
        <v>0</v>
      </c>
      <c r="M10" s="67">
        <v>180</v>
      </c>
      <c r="N10" s="66">
        <f t="shared" si="10"/>
        <v>2146.71</v>
      </c>
      <c r="O10" s="66">
        <f t="shared" si="11"/>
        <v>0</v>
      </c>
      <c r="P10" s="66">
        <v>40.18</v>
      </c>
      <c r="Q10" s="66">
        <f t="shared" si="12"/>
        <v>3577.85</v>
      </c>
      <c r="R10" s="66">
        <f t="shared" si="13"/>
        <v>0</v>
      </c>
      <c r="S10" s="67">
        <v>750</v>
      </c>
      <c r="T10" s="66">
        <f t="shared" si="14"/>
        <v>1431.14</v>
      </c>
      <c r="U10" s="66">
        <f t="shared" si="15"/>
        <v>0</v>
      </c>
      <c r="V10" s="66">
        <f t="shared" si="16"/>
        <v>14311.4</v>
      </c>
      <c r="W10" s="81">
        <f t="shared" si="17"/>
        <v>0</v>
      </c>
      <c r="X10" s="109"/>
      <c r="Y10" s="2"/>
      <c r="Z10" s="2"/>
      <c r="AA10" s="2"/>
    </row>
    <row r="11" spans="1:30" x14ac:dyDescent="0.25">
      <c r="A11" s="80">
        <v>44991</v>
      </c>
      <c r="B11" s="81">
        <f>Summary!$G$11/31</f>
        <v>76668.23</v>
      </c>
      <c r="C11" s="81">
        <v>12</v>
      </c>
      <c r="D11" s="66">
        <v>8.56</v>
      </c>
      <c r="E11" s="81">
        <f t="shared" si="3"/>
        <v>8.56</v>
      </c>
      <c r="F11" s="81">
        <f t="shared" si="4"/>
        <v>46000.94</v>
      </c>
      <c r="G11" s="81">
        <f t="shared" si="5"/>
        <v>32814</v>
      </c>
      <c r="H11" s="81">
        <f t="shared" si="6"/>
        <v>30667.29</v>
      </c>
      <c r="I11" s="81">
        <f t="shared" si="7"/>
        <v>21876</v>
      </c>
      <c r="J11" s="66">
        <v>26.48</v>
      </c>
      <c r="K11" s="66">
        <f t="shared" si="8"/>
        <v>10938</v>
      </c>
      <c r="L11" s="66">
        <f t="shared" si="9"/>
        <v>0</v>
      </c>
      <c r="M11" s="67">
        <v>176</v>
      </c>
      <c r="N11" s="66">
        <f t="shared" si="10"/>
        <v>3281.4</v>
      </c>
      <c r="O11" s="66">
        <f t="shared" si="11"/>
        <v>0</v>
      </c>
      <c r="P11" s="66">
        <v>38.659999999999997</v>
      </c>
      <c r="Q11" s="66">
        <f t="shared" si="12"/>
        <v>5469</v>
      </c>
      <c r="R11" s="66">
        <f t="shared" si="13"/>
        <v>0</v>
      </c>
      <c r="S11" s="67">
        <v>710</v>
      </c>
      <c r="T11" s="66">
        <f t="shared" si="14"/>
        <v>2187.6</v>
      </c>
      <c r="U11" s="66">
        <f t="shared" si="15"/>
        <v>0</v>
      </c>
      <c r="V11" s="66">
        <f t="shared" si="16"/>
        <v>21876</v>
      </c>
      <c r="W11" s="81">
        <f t="shared" si="17"/>
        <v>0</v>
      </c>
      <c r="X11" s="109"/>
      <c r="Y11" s="2"/>
      <c r="Z11" s="2"/>
      <c r="AA11" s="2"/>
    </row>
    <row r="12" spans="1:30" x14ac:dyDescent="0.25">
      <c r="A12" s="80">
        <v>44992</v>
      </c>
      <c r="B12" s="81">
        <f>Summary!$G$11/31</f>
        <v>76668.23</v>
      </c>
      <c r="C12" s="81">
        <v>12</v>
      </c>
      <c r="D12" s="66">
        <v>8.48</v>
      </c>
      <c r="E12" s="81">
        <f t="shared" si="3"/>
        <v>8.48</v>
      </c>
      <c r="F12" s="81">
        <f t="shared" si="4"/>
        <v>46000.94</v>
      </c>
      <c r="G12" s="81">
        <f t="shared" si="5"/>
        <v>32507.33</v>
      </c>
      <c r="H12" s="81">
        <f t="shared" si="6"/>
        <v>30667.29</v>
      </c>
      <c r="I12" s="81">
        <f t="shared" si="7"/>
        <v>21671.55</v>
      </c>
      <c r="J12" s="66">
        <v>24.18</v>
      </c>
      <c r="K12" s="66">
        <f t="shared" si="8"/>
        <v>10835.78</v>
      </c>
      <c r="L12" s="66">
        <f t="shared" si="9"/>
        <v>0</v>
      </c>
      <c r="M12" s="67">
        <v>164</v>
      </c>
      <c r="N12" s="66">
        <f t="shared" si="10"/>
        <v>3250.73</v>
      </c>
      <c r="O12" s="66">
        <f t="shared" si="11"/>
        <v>0</v>
      </c>
      <c r="P12" s="66">
        <v>36.479999999999997</v>
      </c>
      <c r="Q12" s="66">
        <f t="shared" si="12"/>
        <v>5417.89</v>
      </c>
      <c r="R12" s="66">
        <f t="shared" si="13"/>
        <v>0</v>
      </c>
      <c r="S12" s="67">
        <v>610</v>
      </c>
      <c r="T12" s="66">
        <f t="shared" si="14"/>
        <v>2167.16</v>
      </c>
      <c r="U12" s="66">
        <f t="shared" si="15"/>
        <v>0</v>
      </c>
      <c r="V12" s="66">
        <f t="shared" si="16"/>
        <v>21671.56</v>
      </c>
      <c r="W12" s="81">
        <f t="shared" si="17"/>
        <v>0</v>
      </c>
      <c r="X12" s="109"/>
      <c r="Y12" s="2"/>
      <c r="Z12" s="2"/>
      <c r="AA12" s="2"/>
    </row>
    <row r="13" spans="1:30" x14ac:dyDescent="0.25">
      <c r="A13" s="80">
        <v>44993</v>
      </c>
      <c r="B13" s="81">
        <f>Summary!$G$11/31</f>
        <v>76668.23</v>
      </c>
      <c r="C13" s="81">
        <v>12</v>
      </c>
      <c r="D13" s="66">
        <v>8.32</v>
      </c>
      <c r="E13" s="81">
        <f t="shared" si="3"/>
        <v>8.32</v>
      </c>
      <c r="F13" s="81">
        <f t="shared" si="4"/>
        <v>46000.94</v>
      </c>
      <c r="G13" s="81">
        <f t="shared" si="5"/>
        <v>31893.99</v>
      </c>
      <c r="H13" s="81">
        <f t="shared" si="6"/>
        <v>30667.29</v>
      </c>
      <c r="I13" s="81">
        <f t="shared" si="7"/>
        <v>21262.65</v>
      </c>
      <c r="J13" s="66">
        <v>26.12</v>
      </c>
      <c r="K13" s="66">
        <f t="shared" si="8"/>
        <v>10631.33</v>
      </c>
      <c r="L13" s="66">
        <f t="shared" si="9"/>
        <v>0</v>
      </c>
      <c r="M13" s="67">
        <v>172</v>
      </c>
      <c r="N13" s="66">
        <f t="shared" si="10"/>
        <v>3189.4</v>
      </c>
      <c r="O13" s="66">
        <f t="shared" si="11"/>
        <v>0</v>
      </c>
      <c r="P13" s="66">
        <v>37.909999999999997</v>
      </c>
      <c r="Q13" s="66">
        <f t="shared" si="12"/>
        <v>5315.66</v>
      </c>
      <c r="R13" s="66">
        <f t="shared" si="13"/>
        <v>0</v>
      </c>
      <c r="S13" s="67">
        <v>660</v>
      </c>
      <c r="T13" s="66">
        <f t="shared" si="14"/>
        <v>2126.27</v>
      </c>
      <c r="U13" s="66">
        <f t="shared" si="15"/>
        <v>0</v>
      </c>
      <c r="V13" s="66">
        <f t="shared" si="16"/>
        <v>21262.66</v>
      </c>
      <c r="W13" s="81">
        <f t="shared" si="17"/>
        <v>0</v>
      </c>
      <c r="X13" s="109"/>
      <c r="Y13" s="2"/>
      <c r="Z13" s="2"/>
      <c r="AA13" s="2"/>
    </row>
    <row r="14" spans="1:30" x14ac:dyDescent="0.25">
      <c r="A14" s="80">
        <v>44994</v>
      </c>
      <c r="B14" s="81">
        <f>Summary!$G$11/31</f>
        <v>76668.23</v>
      </c>
      <c r="C14" s="81">
        <v>12</v>
      </c>
      <c r="D14" s="66">
        <v>9.0399999999999991</v>
      </c>
      <c r="E14" s="81">
        <f t="shared" si="3"/>
        <v>9.0399999999999991</v>
      </c>
      <c r="F14" s="81">
        <f t="shared" si="4"/>
        <v>46000.94</v>
      </c>
      <c r="G14" s="81">
        <f t="shared" si="5"/>
        <v>34654.04</v>
      </c>
      <c r="H14" s="81">
        <f t="shared" si="6"/>
        <v>30667.29</v>
      </c>
      <c r="I14" s="81">
        <f t="shared" si="7"/>
        <v>23102.69</v>
      </c>
      <c r="J14" s="66">
        <v>27.8</v>
      </c>
      <c r="K14" s="66">
        <f t="shared" si="8"/>
        <v>11551.35</v>
      </c>
      <c r="L14" s="66">
        <f t="shared" si="9"/>
        <v>0</v>
      </c>
      <c r="M14" s="67">
        <v>184</v>
      </c>
      <c r="N14" s="66">
        <f t="shared" si="10"/>
        <v>3465.4</v>
      </c>
      <c r="O14" s="66">
        <f t="shared" si="11"/>
        <v>0</v>
      </c>
      <c r="P14" s="66">
        <v>40.98</v>
      </c>
      <c r="Q14" s="66">
        <f t="shared" si="12"/>
        <v>5775.67</v>
      </c>
      <c r="R14" s="66">
        <f t="shared" si="13"/>
        <v>0</v>
      </c>
      <c r="S14" s="67">
        <v>760</v>
      </c>
      <c r="T14" s="66">
        <f t="shared" si="14"/>
        <v>2310.27</v>
      </c>
      <c r="U14" s="66">
        <f t="shared" si="15"/>
        <v>0</v>
      </c>
      <c r="V14" s="66">
        <f t="shared" si="16"/>
        <v>23102.69</v>
      </c>
      <c r="W14" s="81">
        <f t="shared" si="17"/>
        <v>0</v>
      </c>
      <c r="X14" s="109"/>
      <c r="Y14" s="2"/>
      <c r="Z14" s="2"/>
      <c r="AA14" s="2"/>
    </row>
    <row r="15" spans="1:30" s="31" customFormat="1" x14ac:dyDescent="0.25">
      <c r="A15" s="32">
        <v>44995</v>
      </c>
      <c r="B15" s="33">
        <f>Summary!$G$11/31</f>
        <v>76668.23</v>
      </c>
      <c r="C15" s="33">
        <v>12</v>
      </c>
      <c r="D15" s="28">
        <v>8.23</v>
      </c>
      <c r="E15" s="81">
        <f t="shared" si="3"/>
        <v>8.23</v>
      </c>
      <c r="F15" s="33">
        <f t="shared" si="4"/>
        <v>46000.94</v>
      </c>
      <c r="G15" s="81">
        <f t="shared" si="5"/>
        <v>31548.98</v>
      </c>
      <c r="H15" s="33">
        <f t="shared" si="6"/>
        <v>30667.29</v>
      </c>
      <c r="I15" s="81">
        <f t="shared" si="7"/>
        <v>21032.65</v>
      </c>
      <c r="J15" s="28">
        <v>26</v>
      </c>
      <c r="K15" s="66">
        <f t="shared" si="8"/>
        <v>10516.33</v>
      </c>
      <c r="L15" s="66">
        <f t="shared" si="9"/>
        <v>0</v>
      </c>
      <c r="M15" s="29">
        <v>136</v>
      </c>
      <c r="N15" s="66">
        <f t="shared" si="10"/>
        <v>3154.9</v>
      </c>
      <c r="O15" s="66">
        <f t="shared" si="11"/>
        <v>0</v>
      </c>
      <c r="P15" s="28">
        <v>40</v>
      </c>
      <c r="Q15" s="66">
        <f t="shared" si="12"/>
        <v>5258.16</v>
      </c>
      <c r="R15" s="66">
        <f t="shared" si="13"/>
        <v>0</v>
      </c>
      <c r="S15" s="29">
        <v>780</v>
      </c>
      <c r="T15" s="66">
        <f t="shared" si="14"/>
        <v>2103.27</v>
      </c>
      <c r="U15" s="66">
        <f t="shared" si="15"/>
        <v>0</v>
      </c>
      <c r="V15" s="66">
        <f t="shared" si="16"/>
        <v>21032.66</v>
      </c>
      <c r="W15" s="81">
        <f t="shared" si="17"/>
        <v>0</v>
      </c>
      <c r="X15" s="48" t="s">
        <v>97</v>
      </c>
      <c r="Y15" s="34"/>
      <c r="Z15" s="34"/>
      <c r="AA15" s="34"/>
    </row>
    <row r="16" spans="1:30" x14ac:dyDescent="0.25">
      <c r="A16" s="80">
        <v>44996</v>
      </c>
      <c r="B16" s="81">
        <f>Summary!$G$11/31</f>
        <v>76668.23</v>
      </c>
      <c r="C16" s="81">
        <v>12</v>
      </c>
      <c r="D16" s="66">
        <v>8.1300000000000008</v>
      </c>
      <c r="E16" s="81">
        <f t="shared" si="3"/>
        <v>8.1300000000000008</v>
      </c>
      <c r="F16" s="81">
        <f t="shared" si="4"/>
        <v>46000.94</v>
      </c>
      <c r="G16" s="81">
        <f t="shared" si="5"/>
        <v>31165.64</v>
      </c>
      <c r="H16" s="81">
        <f t="shared" si="6"/>
        <v>30667.29</v>
      </c>
      <c r="I16" s="81">
        <f t="shared" si="7"/>
        <v>20777.09</v>
      </c>
      <c r="J16" s="66">
        <v>26.52</v>
      </c>
      <c r="K16" s="66">
        <f t="shared" si="8"/>
        <v>10388.549999999999</v>
      </c>
      <c r="L16" s="66">
        <f t="shared" si="9"/>
        <v>0</v>
      </c>
      <c r="M16" s="67">
        <v>176</v>
      </c>
      <c r="N16" s="66">
        <f t="shared" si="10"/>
        <v>3116.56</v>
      </c>
      <c r="O16" s="66">
        <f t="shared" si="11"/>
        <v>0</v>
      </c>
      <c r="P16" s="66">
        <v>37.479999999999997</v>
      </c>
      <c r="Q16" s="66">
        <f t="shared" si="12"/>
        <v>5194.2700000000004</v>
      </c>
      <c r="R16" s="66">
        <f t="shared" si="13"/>
        <v>0</v>
      </c>
      <c r="S16" s="67">
        <v>700</v>
      </c>
      <c r="T16" s="66">
        <f t="shared" si="14"/>
        <v>2077.71</v>
      </c>
      <c r="U16" s="66">
        <f t="shared" si="15"/>
        <v>0</v>
      </c>
      <c r="V16" s="66">
        <f t="shared" si="16"/>
        <v>20777.09</v>
      </c>
      <c r="W16" s="81">
        <f t="shared" si="17"/>
        <v>0</v>
      </c>
      <c r="X16" s="109"/>
      <c r="Y16" s="2"/>
      <c r="Z16" s="2"/>
      <c r="AA16" s="2"/>
    </row>
    <row r="17" spans="1:27" x14ac:dyDescent="0.25">
      <c r="A17" s="80">
        <v>44997</v>
      </c>
      <c r="B17" s="81">
        <f>Summary!$G$11/31</f>
        <v>76668.23</v>
      </c>
      <c r="C17" s="81">
        <v>12</v>
      </c>
      <c r="D17" s="66">
        <v>8.15</v>
      </c>
      <c r="E17" s="81">
        <f t="shared" si="3"/>
        <v>8.15</v>
      </c>
      <c r="F17" s="81">
        <f t="shared" si="4"/>
        <v>46000.94</v>
      </c>
      <c r="G17" s="81">
        <f t="shared" si="5"/>
        <v>31242.31</v>
      </c>
      <c r="H17" s="81">
        <f t="shared" si="6"/>
        <v>30667.29</v>
      </c>
      <c r="I17" s="81">
        <f t="shared" si="7"/>
        <v>20828.2</v>
      </c>
      <c r="J17" s="66">
        <v>24.46</v>
      </c>
      <c r="K17" s="66">
        <f t="shared" si="8"/>
        <v>10414.1</v>
      </c>
      <c r="L17" s="66">
        <f t="shared" si="9"/>
        <v>0</v>
      </c>
      <c r="M17" s="67">
        <v>168</v>
      </c>
      <c r="N17" s="66">
        <f t="shared" si="10"/>
        <v>3124.23</v>
      </c>
      <c r="O17" s="66">
        <f t="shared" si="11"/>
        <v>0</v>
      </c>
      <c r="P17" s="66">
        <v>36.659999999999997</v>
      </c>
      <c r="Q17" s="66">
        <f t="shared" si="12"/>
        <v>5207.05</v>
      </c>
      <c r="R17" s="66">
        <f t="shared" si="13"/>
        <v>0</v>
      </c>
      <c r="S17" s="67">
        <v>630</v>
      </c>
      <c r="T17" s="66">
        <f t="shared" si="14"/>
        <v>2082.8200000000002</v>
      </c>
      <c r="U17" s="66">
        <f t="shared" si="15"/>
        <v>0</v>
      </c>
      <c r="V17" s="66">
        <f t="shared" si="16"/>
        <v>20828.2</v>
      </c>
      <c r="W17" s="81">
        <f t="shared" si="17"/>
        <v>0</v>
      </c>
      <c r="X17" s="109"/>
      <c r="Y17" s="2"/>
      <c r="Z17" s="2"/>
      <c r="AA17" s="2"/>
    </row>
    <row r="18" spans="1:27" x14ac:dyDescent="0.25">
      <c r="A18" s="80">
        <v>44998</v>
      </c>
      <c r="B18" s="81">
        <f>Summary!$G$11/31</f>
        <v>76668.23</v>
      </c>
      <c r="C18" s="81">
        <v>12</v>
      </c>
      <c r="D18" s="66">
        <v>8.0399999999999991</v>
      </c>
      <c r="E18" s="81">
        <f t="shared" si="3"/>
        <v>8.0399999999999991</v>
      </c>
      <c r="F18" s="81">
        <f t="shared" si="4"/>
        <v>46000.94</v>
      </c>
      <c r="G18" s="81">
        <f t="shared" si="5"/>
        <v>30820.63</v>
      </c>
      <c r="H18" s="81">
        <f t="shared" si="6"/>
        <v>30667.29</v>
      </c>
      <c r="I18" s="81">
        <f t="shared" si="7"/>
        <v>20547.080000000002</v>
      </c>
      <c r="J18" s="66">
        <v>27.75</v>
      </c>
      <c r="K18" s="66">
        <f t="shared" si="8"/>
        <v>10273.540000000001</v>
      </c>
      <c r="L18" s="66">
        <f t="shared" si="9"/>
        <v>0</v>
      </c>
      <c r="M18" s="67">
        <v>180</v>
      </c>
      <c r="N18" s="66">
        <f t="shared" si="10"/>
        <v>3082.06</v>
      </c>
      <c r="O18" s="66">
        <f t="shared" si="11"/>
        <v>0</v>
      </c>
      <c r="P18" s="66">
        <v>39.96</v>
      </c>
      <c r="Q18" s="66">
        <f t="shared" si="12"/>
        <v>5136.7700000000004</v>
      </c>
      <c r="R18" s="66">
        <f t="shared" si="13"/>
        <v>0</v>
      </c>
      <c r="S18" s="67">
        <v>740</v>
      </c>
      <c r="T18" s="66">
        <f t="shared" si="14"/>
        <v>2054.71</v>
      </c>
      <c r="U18" s="66">
        <f t="shared" si="15"/>
        <v>0</v>
      </c>
      <c r="V18" s="66">
        <f t="shared" si="16"/>
        <v>20547.080000000002</v>
      </c>
      <c r="W18" s="81">
        <f t="shared" si="17"/>
        <v>0</v>
      </c>
      <c r="X18" s="109"/>
      <c r="Y18" s="2"/>
      <c r="Z18" s="2"/>
      <c r="AA18" s="2"/>
    </row>
    <row r="19" spans="1:27" x14ac:dyDescent="0.25">
      <c r="A19" s="80">
        <v>44999</v>
      </c>
      <c r="B19" s="81">
        <f>Summary!$G$11/31</f>
        <v>76668.23</v>
      </c>
      <c r="C19" s="81">
        <v>12</v>
      </c>
      <c r="D19" s="66">
        <v>8.06</v>
      </c>
      <c r="E19" s="81">
        <f t="shared" si="3"/>
        <v>8.06</v>
      </c>
      <c r="F19" s="81">
        <f t="shared" si="4"/>
        <v>46000.94</v>
      </c>
      <c r="G19" s="81">
        <f t="shared" si="5"/>
        <v>30897.3</v>
      </c>
      <c r="H19" s="81">
        <f t="shared" si="6"/>
        <v>30667.29</v>
      </c>
      <c r="I19" s="81">
        <f t="shared" si="7"/>
        <v>20598.2</v>
      </c>
      <c r="J19" s="66">
        <v>26.33</v>
      </c>
      <c r="K19" s="66">
        <f t="shared" si="8"/>
        <v>10299.1</v>
      </c>
      <c r="L19" s="66">
        <f t="shared" si="9"/>
        <v>0</v>
      </c>
      <c r="M19" s="67">
        <v>172</v>
      </c>
      <c r="N19" s="66">
        <f t="shared" si="10"/>
        <v>3089.73</v>
      </c>
      <c r="O19" s="66">
        <f t="shared" si="11"/>
        <v>0</v>
      </c>
      <c r="P19" s="66">
        <v>35.54</v>
      </c>
      <c r="Q19" s="66">
        <f t="shared" si="12"/>
        <v>5149.55</v>
      </c>
      <c r="R19" s="66">
        <f t="shared" si="13"/>
        <v>0</v>
      </c>
      <c r="S19" s="67">
        <v>650</v>
      </c>
      <c r="T19" s="66">
        <f t="shared" si="14"/>
        <v>2059.8200000000002</v>
      </c>
      <c r="U19" s="66">
        <f t="shared" si="15"/>
        <v>0</v>
      </c>
      <c r="V19" s="66">
        <f t="shared" si="16"/>
        <v>20598.2</v>
      </c>
      <c r="W19" s="81">
        <f t="shared" si="17"/>
        <v>0</v>
      </c>
      <c r="X19" s="109"/>
      <c r="Y19" s="2"/>
      <c r="Z19" s="2"/>
      <c r="AA19" s="2"/>
    </row>
    <row r="20" spans="1:27" x14ac:dyDescent="0.25">
      <c r="A20" s="80">
        <v>45000</v>
      </c>
      <c r="B20" s="81">
        <f>Summary!$G$11/31</f>
        <v>76668.23</v>
      </c>
      <c r="C20" s="81">
        <v>12</v>
      </c>
      <c r="D20" s="66">
        <v>8.2100000000000009</v>
      </c>
      <c r="E20" s="81">
        <f t="shared" si="3"/>
        <v>8.2100000000000009</v>
      </c>
      <c r="F20" s="81">
        <f t="shared" si="4"/>
        <v>46000.94</v>
      </c>
      <c r="G20" s="81">
        <f t="shared" si="5"/>
        <v>31472.31</v>
      </c>
      <c r="H20" s="81">
        <f t="shared" si="6"/>
        <v>30667.29</v>
      </c>
      <c r="I20" s="81">
        <f t="shared" si="7"/>
        <v>20981.54</v>
      </c>
      <c r="J20" s="66">
        <v>24.62</v>
      </c>
      <c r="K20" s="66">
        <f t="shared" si="8"/>
        <v>10490.77</v>
      </c>
      <c r="L20" s="66">
        <f t="shared" si="9"/>
        <v>0</v>
      </c>
      <c r="M20" s="67">
        <v>164</v>
      </c>
      <c r="N20" s="66">
        <f t="shared" si="10"/>
        <v>3147.23</v>
      </c>
      <c r="O20" s="66">
        <f t="shared" si="11"/>
        <v>0</v>
      </c>
      <c r="P20" s="66">
        <v>33.28</v>
      </c>
      <c r="Q20" s="66">
        <f t="shared" si="12"/>
        <v>5245.39</v>
      </c>
      <c r="R20" s="66">
        <f t="shared" si="13"/>
        <v>0</v>
      </c>
      <c r="S20" s="67">
        <v>620</v>
      </c>
      <c r="T20" s="66">
        <f t="shared" si="14"/>
        <v>2098.15</v>
      </c>
      <c r="U20" s="66">
        <f t="shared" si="15"/>
        <v>0</v>
      </c>
      <c r="V20" s="66">
        <f t="shared" si="16"/>
        <v>20981.54</v>
      </c>
      <c r="W20" s="81">
        <f t="shared" si="17"/>
        <v>0</v>
      </c>
      <c r="X20" s="109"/>
      <c r="Y20" s="2"/>
      <c r="Z20" s="2"/>
      <c r="AA20" s="2"/>
    </row>
    <row r="21" spans="1:27" x14ac:dyDescent="0.25">
      <c r="A21" s="80">
        <v>45001</v>
      </c>
      <c r="B21" s="81">
        <f>Summary!$G$11/31</f>
        <v>76668.23</v>
      </c>
      <c r="C21" s="81">
        <v>12</v>
      </c>
      <c r="D21" s="66">
        <v>8.33</v>
      </c>
      <c r="E21" s="81">
        <f t="shared" si="3"/>
        <v>8.33</v>
      </c>
      <c r="F21" s="81">
        <f t="shared" si="4"/>
        <v>46000.94</v>
      </c>
      <c r="G21" s="81">
        <f t="shared" si="5"/>
        <v>31932.32</v>
      </c>
      <c r="H21" s="81">
        <f t="shared" si="6"/>
        <v>30667.29</v>
      </c>
      <c r="I21" s="81">
        <f t="shared" si="7"/>
        <v>21288.21</v>
      </c>
      <c r="J21" s="66">
        <v>23.46</v>
      </c>
      <c r="K21" s="66">
        <f t="shared" si="8"/>
        <v>10644.11</v>
      </c>
      <c r="L21" s="66">
        <f t="shared" si="9"/>
        <v>0</v>
      </c>
      <c r="M21" s="67">
        <v>152</v>
      </c>
      <c r="N21" s="66">
        <f t="shared" si="10"/>
        <v>3193.23</v>
      </c>
      <c r="O21" s="66">
        <f t="shared" si="11"/>
        <v>0</v>
      </c>
      <c r="P21" s="66">
        <v>37.18</v>
      </c>
      <c r="Q21" s="66">
        <f t="shared" si="12"/>
        <v>5322.05</v>
      </c>
      <c r="R21" s="66">
        <f t="shared" si="13"/>
        <v>0</v>
      </c>
      <c r="S21" s="67">
        <v>580</v>
      </c>
      <c r="T21" s="66">
        <f t="shared" si="14"/>
        <v>2128.8200000000002</v>
      </c>
      <c r="U21" s="66">
        <f t="shared" si="15"/>
        <v>0</v>
      </c>
      <c r="V21" s="66">
        <f t="shared" si="16"/>
        <v>21288.21</v>
      </c>
      <c r="W21" s="81">
        <f t="shared" si="17"/>
        <v>0</v>
      </c>
      <c r="X21" s="109"/>
      <c r="Y21" s="2"/>
      <c r="Z21" s="2"/>
      <c r="AA21" s="2"/>
    </row>
    <row r="22" spans="1:27" s="31" customFormat="1" x14ac:dyDescent="0.25">
      <c r="A22" s="32">
        <v>45002</v>
      </c>
      <c r="B22" s="33">
        <f>Summary!$G$11/31</f>
        <v>76668.23</v>
      </c>
      <c r="C22" s="33">
        <v>12</v>
      </c>
      <c r="D22" s="28">
        <v>8.1199999999999992</v>
      </c>
      <c r="E22" s="81">
        <f t="shared" si="3"/>
        <v>8.1199999999999992</v>
      </c>
      <c r="F22" s="33">
        <f t="shared" si="4"/>
        <v>46000.94</v>
      </c>
      <c r="G22" s="81">
        <f t="shared" si="5"/>
        <v>31127.3</v>
      </c>
      <c r="H22" s="33">
        <f t="shared" si="6"/>
        <v>30667.29</v>
      </c>
      <c r="I22" s="81">
        <f t="shared" si="7"/>
        <v>20751.53</v>
      </c>
      <c r="J22" s="28">
        <v>25</v>
      </c>
      <c r="K22" s="66">
        <f t="shared" si="8"/>
        <v>10375.77</v>
      </c>
      <c r="L22" s="66">
        <f t="shared" si="9"/>
        <v>0</v>
      </c>
      <c r="M22" s="29">
        <v>136</v>
      </c>
      <c r="N22" s="66">
        <f t="shared" si="10"/>
        <v>3112.73</v>
      </c>
      <c r="O22" s="66">
        <f t="shared" si="11"/>
        <v>0</v>
      </c>
      <c r="P22" s="28">
        <v>40</v>
      </c>
      <c r="Q22" s="66">
        <f t="shared" si="12"/>
        <v>5187.88</v>
      </c>
      <c r="R22" s="66">
        <f t="shared" si="13"/>
        <v>0</v>
      </c>
      <c r="S22" s="29">
        <v>910</v>
      </c>
      <c r="T22" s="66">
        <f t="shared" si="14"/>
        <v>2075.15</v>
      </c>
      <c r="U22" s="66">
        <f t="shared" si="15"/>
        <v>0</v>
      </c>
      <c r="V22" s="66">
        <f t="shared" si="16"/>
        <v>20751.53</v>
      </c>
      <c r="W22" s="81">
        <f t="shared" si="17"/>
        <v>0</v>
      </c>
      <c r="X22" s="48" t="s">
        <v>97</v>
      </c>
      <c r="Y22" s="34"/>
      <c r="Z22" s="34"/>
      <c r="AA22" s="34"/>
    </row>
    <row r="23" spans="1:27" x14ac:dyDescent="0.25">
      <c r="A23" s="80">
        <v>45003</v>
      </c>
      <c r="B23" s="81">
        <f>Summary!$G$11/31</f>
        <v>76668.23</v>
      </c>
      <c r="C23" s="81">
        <v>12</v>
      </c>
      <c r="D23" s="66">
        <v>9.0399999999999991</v>
      </c>
      <c r="E23" s="81">
        <f t="shared" si="3"/>
        <v>9.0399999999999991</v>
      </c>
      <c r="F23" s="81">
        <f t="shared" si="4"/>
        <v>46000.94</v>
      </c>
      <c r="G23" s="81">
        <f t="shared" si="5"/>
        <v>34654.04</v>
      </c>
      <c r="H23" s="81">
        <f t="shared" si="6"/>
        <v>30667.29</v>
      </c>
      <c r="I23" s="81">
        <f t="shared" si="7"/>
        <v>23102.69</v>
      </c>
      <c r="J23" s="66">
        <v>24.36</v>
      </c>
      <c r="K23" s="66">
        <f t="shared" si="8"/>
        <v>11551.35</v>
      </c>
      <c r="L23" s="66">
        <f t="shared" si="9"/>
        <v>0</v>
      </c>
      <c r="M23" s="67">
        <v>160</v>
      </c>
      <c r="N23" s="66">
        <f t="shared" si="10"/>
        <v>3465.4</v>
      </c>
      <c r="O23" s="66">
        <f t="shared" si="11"/>
        <v>0</v>
      </c>
      <c r="P23" s="66">
        <v>33.28</v>
      </c>
      <c r="Q23" s="66">
        <f t="shared" si="12"/>
        <v>5775.67</v>
      </c>
      <c r="R23" s="66">
        <f t="shared" si="13"/>
        <v>0</v>
      </c>
      <c r="S23" s="67">
        <v>630</v>
      </c>
      <c r="T23" s="66">
        <f t="shared" si="14"/>
        <v>2310.27</v>
      </c>
      <c r="U23" s="66">
        <f t="shared" si="15"/>
        <v>0</v>
      </c>
      <c r="V23" s="66">
        <f t="shared" si="16"/>
        <v>23102.69</v>
      </c>
      <c r="W23" s="81">
        <f t="shared" si="17"/>
        <v>0</v>
      </c>
      <c r="X23" s="109"/>
      <c r="Y23" s="2"/>
      <c r="Z23" s="2"/>
      <c r="AA23" s="2"/>
    </row>
    <row r="24" spans="1:27" x14ac:dyDescent="0.25">
      <c r="A24" s="80">
        <v>45004</v>
      </c>
      <c r="B24" s="81">
        <f>Summary!$G$11/31</f>
        <v>76668.23</v>
      </c>
      <c r="C24" s="81">
        <v>12</v>
      </c>
      <c r="D24" s="66">
        <v>9.1300000000000008</v>
      </c>
      <c r="E24" s="81">
        <f t="shared" si="3"/>
        <v>9.1300000000000008</v>
      </c>
      <c r="F24" s="81">
        <f t="shared" si="4"/>
        <v>46000.94</v>
      </c>
      <c r="G24" s="81">
        <f t="shared" si="5"/>
        <v>34999.050000000003</v>
      </c>
      <c r="H24" s="81">
        <f t="shared" si="6"/>
        <v>30667.29</v>
      </c>
      <c r="I24" s="81">
        <f t="shared" si="7"/>
        <v>23332.7</v>
      </c>
      <c r="J24" s="66">
        <v>23.72</v>
      </c>
      <c r="K24" s="66">
        <f t="shared" si="8"/>
        <v>11666.35</v>
      </c>
      <c r="L24" s="66">
        <f t="shared" si="9"/>
        <v>0</v>
      </c>
      <c r="M24" s="67">
        <v>156</v>
      </c>
      <c r="N24" s="66">
        <f t="shared" si="10"/>
        <v>3499.91</v>
      </c>
      <c r="O24" s="66">
        <f t="shared" si="11"/>
        <v>0</v>
      </c>
      <c r="P24" s="66">
        <v>39.950000000000003</v>
      </c>
      <c r="Q24" s="66">
        <f t="shared" si="12"/>
        <v>5833.18</v>
      </c>
      <c r="R24" s="66">
        <f t="shared" si="13"/>
        <v>0</v>
      </c>
      <c r="S24" s="67">
        <v>560</v>
      </c>
      <c r="T24" s="66">
        <f t="shared" si="14"/>
        <v>2333.27</v>
      </c>
      <c r="U24" s="66">
        <f t="shared" si="15"/>
        <v>0</v>
      </c>
      <c r="V24" s="66">
        <f t="shared" si="16"/>
        <v>23332.71</v>
      </c>
      <c r="W24" s="81">
        <f t="shared" si="17"/>
        <v>0</v>
      </c>
      <c r="X24" s="109"/>
      <c r="Y24" s="2"/>
      <c r="Z24" s="2"/>
      <c r="AA24" s="2"/>
    </row>
    <row r="25" spans="1:27" x14ac:dyDescent="0.25">
      <c r="A25" s="80">
        <v>45005</v>
      </c>
      <c r="B25" s="81">
        <f>Summary!$G$11/31</f>
        <v>76668.23</v>
      </c>
      <c r="C25" s="81">
        <v>12</v>
      </c>
      <c r="D25" s="66">
        <v>7.88</v>
      </c>
      <c r="E25" s="81">
        <f t="shared" si="3"/>
        <v>7.88</v>
      </c>
      <c r="F25" s="81">
        <f t="shared" si="4"/>
        <v>46000.94</v>
      </c>
      <c r="G25" s="81">
        <f t="shared" si="5"/>
        <v>30207.279999999999</v>
      </c>
      <c r="H25" s="81">
        <f t="shared" si="6"/>
        <v>30667.29</v>
      </c>
      <c r="I25" s="81">
        <f t="shared" si="7"/>
        <v>20138.189999999999</v>
      </c>
      <c r="J25" s="66">
        <v>27.96</v>
      </c>
      <c r="K25" s="66">
        <f t="shared" si="8"/>
        <v>10069.1</v>
      </c>
      <c r="L25" s="66">
        <f t="shared" si="9"/>
        <v>0</v>
      </c>
      <c r="M25" s="67">
        <v>184</v>
      </c>
      <c r="N25" s="66">
        <f t="shared" si="10"/>
        <v>3020.73</v>
      </c>
      <c r="O25" s="66">
        <f t="shared" si="11"/>
        <v>0</v>
      </c>
      <c r="P25" s="66">
        <v>41.09</v>
      </c>
      <c r="Q25" s="66">
        <f t="shared" si="12"/>
        <v>5034.55</v>
      </c>
      <c r="R25" s="66">
        <f t="shared" si="13"/>
        <v>0</v>
      </c>
      <c r="S25" s="67">
        <v>770</v>
      </c>
      <c r="T25" s="66">
        <f t="shared" si="14"/>
        <v>2013.82</v>
      </c>
      <c r="U25" s="66">
        <f t="shared" si="15"/>
        <v>0</v>
      </c>
      <c r="V25" s="66">
        <f t="shared" si="16"/>
        <v>20138.2</v>
      </c>
      <c r="W25" s="81">
        <f t="shared" si="17"/>
        <v>0</v>
      </c>
      <c r="X25" s="109"/>
      <c r="Y25" s="2"/>
      <c r="Z25" s="2"/>
      <c r="AA25" s="2"/>
    </row>
    <row r="26" spans="1:27" x14ac:dyDescent="0.25">
      <c r="A26" s="80">
        <v>45006</v>
      </c>
      <c r="B26" s="81">
        <f>Summary!$G$11/31</f>
        <v>76668.23</v>
      </c>
      <c r="C26" s="81">
        <v>12</v>
      </c>
      <c r="D26" s="66">
        <v>8</v>
      </c>
      <c r="E26" s="81">
        <f t="shared" si="3"/>
        <v>8</v>
      </c>
      <c r="F26" s="81">
        <f t="shared" si="4"/>
        <v>46000.94</v>
      </c>
      <c r="G26" s="81">
        <f t="shared" si="5"/>
        <v>30667.29</v>
      </c>
      <c r="H26" s="81">
        <f t="shared" si="6"/>
        <v>30667.29</v>
      </c>
      <c r="I26" s="81">
        <f t="shared" si="7"/>
        <v>20444.86</v>
      </c>
      <c r="J26" s="66">
        <v>28.09</v>
      </c>
      <c r="K26" s="66">
        <f t="shared" si="8"/>
        <v>10222.43</v>
      </c>
      <c r="L26" s="66">
        <f t="shared" si="9"/>
        <v>0</v>
      </c>
      <c r="M26" s="67">
        <v>192</v>
      </c>
      <c r="N26" s="66">
        <f t="shared" si="10"/>
        <v>3066.73</v>
      </c>
      <c r="O26" s="66">
        <f t="shared" si="11"/>
        <v>0</v>
      </c>
      <c r="P26" s="66">
        <v>37.71</v>
      </c>
      <c r="Q26" s="66">
        <f t="shared" si="12"/>
        <v>5111.22</v>
      </c>
      <c r="R26" s="66">
        <f t="shared" si="13"/>
        <v>0</v>
      </c>
      <c r="S26" s="67">
        <v>790</v>
      </c>
      <c r="T26" s="66">
        <f t="shared" si="14"/>
        <v>2044.49</v>
      </c>
      <c r="U26" s="66">
        <f t="shared" si="15"/>
        <v>0</v>
      </c>
      <c r="V26" s="66">
        <f t="shared" si="16"/>
        <v>20444.87</v>
      </c>
      <c r="W26" s="81">
        <f t="shared" si="17"/>
        <v>0</v>
      </c>
      <c r="X26" s="109"/>
      <c r="Y26" s="2"/>
      <c r="Z26" s="2"/>
      <c r="AA26" s="2"/>
    </row>
    <row r="27" spans="1:27" x14ac:dyDescent="0.25">
      <c r="A27" s="80">
        <v>45007</v>
      </c>
      <c r="B27" s="81">
        <f>Summary!$G$11/31</f>
        <v>76668.23</v>
      </c>
      <c r="C27" s="81">
        <v>12</v>
      </c>
      <c r="D27" s="66">
        <v>8.48</v>
      </c>
      <c r="E27" s="81">
        <f t="shared" si="3"/>
        <v>8.48</v>
      </c>
      <c r="F27" s="81">
        <f t="shared" si="4"/>
        <v>46000.94</v>
      </c>
      <c r="G27" s="81">
        <f t="shared" si="5"/>
        <v>32507.33</v>
      </c>
      <c r="H27" s="81">
        <f t="shared" si="6"/>
        <v>30667.29</v>
      </c>
      <c r="I27" s="81">
        <f t="shared" si="7"/>
        <v>21671.55</v>
      </c>
      <c r="J27" s="66">
        <v>25.1</v>
      </c>
      <c r="K27" s="66">
        <f t="shared" si="8"/>
        <v>10835.78</v>
      </c>
      <c r="L27" s="66">
        <f t="shared" si="9"/>
        <v>0</v>
      </c>
      <c r="M27" s="67">
        <v>168</v>
      </c>
      <c r="N27" s="66">
        <f t="shared" si="10"/>
        <v>3250.73</v>
      </c>
      <c r="O27" s="66">
        <f t="shared" si="11"/>
        <v>0</v>
      </c>
      <c r="P27" s="66">
        <v>42.09</v>
      </c>
      <c r="Q27" s="66">
        <f t="shared" si="12"/>
        <v>5417.89</v>
      </c>
      <c r="R27" s="66">
        <f t="shared" si="13"/>
        <v>0</v>
      </c>
      <c r="S27" s="67">
        <v>510</v>
      </c>
      <c r="T27" s="66">
        <f t="shared" si="14"/>
        <v>2167.16</v>
      </c>
      <c r="U27" s="66">
        <f t="shared" si="15"/>
        <v>0</v>
      </c>
      <c r="V27" s="66">
        <f t="shared" si="16"/>
        <v>21671.56</v>
      </c>
      <c r="W27" s="81">
        <f t="shared" si="17"/>
        <v>0</v>
      </c>
      <c r="X27" s="109"/>
      <c r="Y27" s="2"/>
      <c r="Z27" s="2"/>
      <c r="AA27" s="2"/>
    </row>
    <row r="28" spans="1:27" x14ac:dyDescent="0.25">
      <c r="A28" s="80">
        <v>45008</v>
      </c>
      <c r="B28" s="81">
        <f>Summary!$G$11/31</f>
        <v>76668.23</v>
      </c>
      <c r="C28" s="81">
        <v>12</v>
      </c>
      <c r="D28" s="66">
        <v>8.7100000000000009</v>
      </c>
      <c r="E28" s="81">
        <f t="shared" si="3"/>
        <v>8.7100000000000009</v>
      </c>
      <c r="F28" s="81">
        <f t="shared" si="4"/>
        <v>46000.94</v>
      </c>
      <c r="G28" s="81">
        <f t="shared" si="5"/>
        <v>33389.019999999997</v>
      </c>
      <c r="H28" s="81">
        <f t="shared" si="6"/>
        <v>30667.29</v>
      </c>
      <c r="I28" s="81">
        <f t="shared" si="7"/>
        <v>22259.34</v>
      </c>
      <c r="J28" s="66">
        <v>28.04</v>
      </c>
      <c r="K28" s="66">
        <f t="shared" si="8"/>
        <v>11129.67</v>
      </c>
      <c r="L28" s="66">
        <f t="shared" si="9"/>
        <v>0</v>
      </c>
      <c r="M28" s="67">
        <v>192</v>
      </c>
      <c r="N28" s="66">
        <f t="shared" si="10"/>
        <v>3338.9</v>
      </c>
      <c r="O28" s="66">
        <f t="shared" si="11"/>
        <v>0</v>
      </c>
      <c r="P28" s="66">
        <v>39.68</v>
      </c>
      <c r="Q28" s="66">
        <f t="shared" si="12"/>
        <v>5564.84</v>
      </c>
      <c r="R28" s="66">
        <f t="shared" si="13"/>
        <v>0</v>
      </c>
      <c r="S28" s="67">
        <v>800</v>
      </c>
      <c r="T28" s="66">
        <f t="shared" si="14"/>
        <v>2225.9299999999998</v>
      </c>
      <c r="U28" s="66">
        <f t="shared" si="15"/>
        <v>0</v>
      </c>
      <c r="V28" s="66">
        <f t="shared" si="16"/>
        <v>22259.34</v>
      </c>
      <c r="W28" s="81">
        <f t="shared" si="17"/>
        <v>0</v>
      </c>
      <c r="X28" s="109"/>
      <c r="Y28" s="2"/>
      <c r="Z28" s="2"/>
      <c r="AA28" s="2"/>
    </row>
    <row r="29" spans="1:27" x14ac:dyDescent="0.25">
      <c r="A29" s="80">
        <v>45009</v>
      </c>
      <c r="B29" s="81">
        <f>Summary!$G$11/31</f>
        <v>76668.23</v>
      </c>
      <c r="C29" s="81">
        <v>12</v>
      </c>
      <c r="D29" s="66">
        <v>8.4600000000000009</v>
      </c>
      <c r="E29" s="81">
        <f t="shared" si="3"/>
        <v>8.4600000000000009</v>
      </c>
      <c r="F29" s="81">
        <f t="shared" si="4"/>
        <v>46000.94</v>
      </c>
      <c r="G29" s="81">
        <f t="shared" si="5"/>
        <v>32430.66</v>
      </c>
      <c r="H29" s="81">
        <f t="shared" si="6"/>
        <v>30667.29</v>
      </c>
      <c r="I29" s="81">
        <f t="shared" si="7"/>
        <v>21620.44</v>
      </c>
      <c r="J29" s="66">
        <v>27.33</v>
      </c>
      <c r="K29" s="66">
        <f t="shared" si="8"/>
        <v>10810.22</v>
      </c>
      <c r="L29" s="66">
        <f t="shared" si="9"/>
        <v>0</v>
      </c>
      <c r="M29" s="67">
        <v>180</v>
      </c>
      <c r="N29" s="66">
        <f t="shared" si="10"/>
        <v>3243.07</v>
      </c>
      <c r="O29" s="66">
        <f t="shared" si="11"/>
        <v>0</v>
      </c>
      <c r="P29" s="66">
        <v>36.46</v>
      </c>
      <c r="Q29" s="66">
        <f t="shared" si="12"/>
        <v>5405.11</v>
      </c>
      <c r="R29" s="66">
        <f t="shared" si="13"/>
        <v>0</v>
      </c>
      <c r="S29" s="67">
        <v>720</v>
      </c>
      <c r="T29" s="66">
        <f t="shared" si="14"/>
        <v>2162.04</v>
      </c>
      <c r="U29" s="66">
        <f t="shared" si="15"/>
        <v>0</v>
      </c>
      <c r="V29" s="66">
        <f t="shared" si="16"/>
        <v>21620.44</v>
      </c>
      <c r="W29" s="81">
        <f t="shared" si="17"/>
        <v>0</v>
      </c>
      <c r="X29" s="109"/>
      <c r="Y29" s="2"/>
      <c r="Z29" s="2"/>
      <c r="AA29" s="2"/>
    </row>
    <row r="30" spans="1:27" s="31" customFormat="1" x14ac:dyDescent="0.25">
      <c r="A30" s="32">
        <v>45010</v>
      </c>
      <c r="B30" s="33">
        <f>Summary!$G$11/31</f>
        <v>76668.23</v>
      </c>
      <c r="C30" s="33">
        <v>12</v>
      </c>
      <c r="D30" s="28">
        <v>8.26</v>
      </c>
      <c r="E30" s="81">
        <f t="shared" si="3"/>
        <v>8.26</v>
      </c>
      <c r="F30" s="33">
        <f t="shared" si="4"/>
        <v>46000.94</v>
      </c>
      <c r="G30" s="81">
        <f t="shared" si="5"/>
        <v>31663.98</v>
      </c>
      <c r="H30" s="33">
        <f t="shared" si="6"/>
        <v>30667.29</v>
      </c>
      <c r="I30" s="81">
        <f t="shared" si="7"/>
        <v>21109.32</v>
      </c>
      <c r="J30" s="28">
        <v>25</v>
      </c>
      <c r="K30" s="66">
        <f t="shared" si="8"/>
        <v>10554.66</v>
      </c>
      <c r="L30" s="66">
        <f t="shared" si="9"/>
        <v>0</v>
      </c>
      <c r="M30" s="29">
        <v>136</v>
      </c>
      <c r="N30" s="66">
        <f t="shared" si="10"/>
        <v>3166.4</v>
      </c>
      <c r="O30" s="66">
        <f t="shared" si="11"/>
        <v>0</v>
      </c>
      <c r="P30" s="28">
        <v>40</v>
      </c>
      <c r="Q30" s="66">
        <f t="shared" si="12"/>
        <v>5277.33</v>
      </c>
      <c r="R30" s="66">
        <f t="shared" si="13"/>
        <v>0</v>
      </c>
      <c r="S30" s="29">
        <v>910</v>
      </c>
      <c r="T30" s="66">
        <f t="shared" si="14"/>
        <v>2110.9299999999998</v>
      </c>
      <c r="U30" s="66">
        <f t="shared" si="15"/>
        <v>0</v>
      </c>
      <c r="V30" s="66">
        <f t="shared" si="16"/>
        <v>21109.32</v>
      </c>
      <c r="W30" s="81">
        <f t="shared" si="17"/>
        <v>0</v>
      </c>
      <c r="X30" s="48" t="s">
        <v>97</v>
      </c>
      <c r="Y30" s="34"/>
      <c r="Z30" s="34"/>
      <c r="AA30" s="34"/>
    </row>
    <row r="31" spans="1:27" x14ac:dyDescent="0.25">
      <c r="A31" s="80">
        <v>45011</v>
      </c>
      <c r="B31" s="81">
        <f>Summary!$G$11/31</f>
        <v>76668.23</v>
      </c>
      <c r="C31" s="81">
        <v>12</v>
      </c>
      <c r="D31" s="66">
        <v>8.09</v>
      </c>
      <c r="E31" s="81">
        <f t="shared" si="3"/>
        <v>8.09</v>
      </c>
      <c r="F31" s="81">
        <f t="shared" si="4"/>
        <v>46000.94</v>
      </c>
      <c r="G31" s="81">
        <f t="shared" si="5"/>
        <v>31012.3</v>
      </c>
      <c r="H31" s="81">
        <f t="shared" si="6"/>
        <v>30667.29</v>
      </c>
      <c r="I31" s="81">
        <f t="shared" si="7"/>
        <v>20674.86</v>
      </c>
      <c r="J31" s="66">
        <v>26.48</v>
      </c>
      <c r="K31" s="66">
        <f t="shared" si="8"/>
        <v>10337.43</v>
      </c>
      <c r="L31" s="66">
        <f t="shared" si="9"/>
        <v>0</v>
      </c>
      <c r="M31" s="67">
        <v>172</v>
      </c>
      <c r="N31" s="66">
        <f t="shared" si="10"/>
        <v>3101.23</v>
      </c>
      <c r="O31" s="66">
        <f t="shared" si="11"/>
        <v>0</v>
      </c>
      <c r="P31" s="66">
        <v>34.619999999999997</v>
      </c>
      <c r="Q31" s="66">
        <f t="shared" si="12"/>
        <v>5168.72</v>
      </c>
      <c r="R31" s="66">
        <f t="shared" si="13"/>
        <v>0</v>
      </c>
      <c r="S31" s="67">
        <v>660</v>
      </c>
      <c r="T31" s="66">
        <f t="shared" si="14"/>
        <v>2067.4899999999998</v>
      </c>
      <c r="U31" s="66">
        <f t="shared" si="15"/>
        <v>0</v>
      </c>
      <c r="V31" s="66">
        <f t="shared" si="16"/>
        <v>20674.87</v>
      </c>
      <c r="W31" s="81">
        <f t="shared" si="17"/>
        <v>0</v>
      </c>
      <c r="X31" s="109"/>
      <c r="Y31" s="2"/>
      <c r="Z31" s="2"/>
      <c r="AA31" s="2"/>
    </row>
    <row r="32" spans="1:27" x14ac:dyDescent="0.25">
      <c r="A32" s="80">
        <v>45012</v>
      </c>
      <c r="B32" s="81">
        <f>Summary!$G$11/31</f>
        <v>76668.23</v>
      </c>
      <c r="C32" s="81">
        <v>12</v>
      </c>
      <c r="D32" s="66">
        <v>7.94</v>
      </c>
      <c r="E32" s="81">
        <f t="shared" si="3"/>
        <v>7.94</v>
      </c>
      <c r="F32" s="81">
        <f t="shared" si="4"/>
        <v>46000.94</v>
      </c>
      <c r="G32" s="81">
        <f t="shared" si="5"/>
        <v>30437.29</v>
      </c>
      <c r="H32" s="81">
        <f t="shared" si="6"/>
        <v>30667.29</v>
      </c>
      <c r="I32" s="81">
        <f t="shared" si="7"/>
        <v>20291.52</v>
      </c>
      <c r="J32" s="66">
        <v>25.04</v>
      </c>
      <c r="K32" s="66">
        <f t="shared" si="8"/>
        <v>10145.76</v>
      </c>
      <c r="L32" s="66">
        <f t="shared" si="9"/>
        <v>0</v>
      </c>
      <c r="M32" s="67">
        <v>164</v>
      </c>
      <c r="N32" s="66">
        <f t="shared" si="10"/>
        <v>3043.73</v>
      </c>
      <c r="O32" s="66">
        <f t="shared" si="11"/>
        <v>0</v>
      </c>
      <c r="P32" s="66">
        <v>39.880000000000003</v>
      </c>
      <c r="Q32" s="66">
        <f t="shared" si="12"/>
        <v>5072.88</v>
      </c>
      <c r="R32" s="66">
        <f t="shared" si="13"/>
        <v>0</v>
      </c>
      <c r="S32" s="67">
        <v>618</v>
      </c>
      <c r="T32" s="66">
        <f t="shared" si="14"/>
        <v>2029.15</v>
      </c>
      <c r="U32" s="66">
        <f t="shared" si="15"/>
        <v>0</v>
      </c>
      <c r="V32" s="66">
        <f t="shared" si="16"/>
        <v>20291.52</v>
      </c>
      <c r="W32" s="81">
        <f t="shared" si="17"/>
        <v>0</v>
      </c>
      <c r="X32" s="109"/>
      <c r="Y32" s="2"/>
      <c r="Z32" s="2"/>
      <c r="AA32" s="2"/>
    </row>
    <row r="33" spans="1:27" x14ac:dyDescent="0.25">
      <c r="A33" s="80">
        <v>45013</v>
      </c>
      <c r="B33" s="81">
        <f>Summary!$G$11/31</f>
        <v>76668.23</v>
      </c>
      <c r="C33" s="81">
        <v>12</v>
      </c>
      <c r="D33" s="66">
        <v>7.97</v>
      </c>
      <c r="E33" s="81">
        <f t="shared" si="3"/>
        <v>7.97</v>
      </c>
      <c r="F33" s="81">
        <f t="shared" si="4"/>
        <v>46000.94</v>
      </c>
      <c r="G33" s="81">
        <f t="shared" si="5"/>
        <v>30552.29</v>
      </c>
      <c r="H33" s="81">
        <f t="shared" si="6"/>
        <v>30667.29</v>
      </c>
      <c r="I33" s="81">
        <f t="shared" si="7"/>
        <v>20368.189999999999</v>
      </c>
      <c r="J33" s="66">
        <v>27.88</v>
      </c>
      <c r="K33" s="66">
        <f t="shared" si="8"/>
        <v>10184.1</v>
      </c>
      <c r="L33" s="66">
        <f t="shared" si="9"/>
        <v>0</v>
      </c>
      <c r="M33" s="67">
        <v>184</v>
      </c>
      <c r="N33" s="66">
        <f t="shared" si="10"/>
        <v>3055.23</v>
      </c>
      <c r="O33" s="66">
        <f t="shared" si="11"/>
        <v>0</v>
      </c>
      <c r="P33" s="66">
        <v>37.24</v>
      </c>
      <c r="Q33" s="66">
        <f t="shared" si="12"/>
        <v>5092.05</v>
      </c>
      <c r="R33" s="66">
        <f t="shared" si="13"/>
        <v>0</v>
      </c>
      <c r="S33" s="67">
        <v>740</v>
      </c>
      <c r="T33" s="66">
        <f t="shared" si="14"/>
        <v>2036.82</v>
      </c>
      <c r="U33" s="66">
        <f t="shared" si="15"/>
        <v>0</v>
      </c>
      <c r="V33" s="66">
        <f t="shared" si="16"/>
        <v>20368.2</v>
      </c>
      <c r="W33" s="81">
        <f t="shared" si="17"/>
        <v>0</v>
      </c>
      <c r="X33" s="109"/>
      <c r="Y33" s="2"/>
      <c r="Z33" s="2"/>
      <c r="AA33" s="2"/>
    </row>
    <row r="34" spans="1:27" x14ac:dyDescent="0.25">
      <c r="A34" s="80">
        <v>45014</v>
      </c>
      <c r="B34" s="81">
        <f>Summary!$G$11/31</f>
        <v>76668.23</v>
      </c>
      <c r="C34" s="81">
        <v>12</v>
      </c>
      <c r="D34" s="66">
        <v>7.93</v>
      </c>
      <c r="E34" s="81">
        <f t="shared" si="3"/>
        <v>7.93</v>
      </c>
      <c r="F34" s="81">
        <f t="shared" si="4"/>
        <v>46000.94</v>
      </c>
      <c r="G34" s="81">
        <f t="shared" si="5"/>
        <v>30398.95</v>
      </c>
      <c r="H34" s="81">
        <f t="shared" si="6"/>
        <v>30667.29</v>
      </c>
      <c r="I34" s="81">
        <f t="shared" si="7"/>
        <v>20265.97</v>
      </c>
      <c r="J34" s="66">
        <v>26.86</v>
      </c>
      <c r="K34" s="66">
        <f t="shared" si="8"/>
        <v>10132.99</v>
      </c>
      <c r="L34" s="66">
        <f t="shared" si="9"/>
        <v>0</v>
      </c>
      <c r="M34" s="67">
        <v>168</v>
      </c>
      <c r="N34" s="66">
        <f t="shared" si="10"/>
        <v>3039.9</v>
      </c>
      <c r="O34" s="66">
        <f t="shared" si="11"/>
        <v>0</v>
      </c>
      <c r="P34" s="66">
        <v>38.72</v>
      </c>
      <c r="Q34" s="66">
        <f t="shared" si="12"/>
        <v>5066.49</v>
      </c>
      <c r="R34" s="66">
        <f t="shared" si="13"/>
        <v>0</v>
      </c>
      <c r="S34" s="67">
        <v>620</v>
      </c>
      <c r="T34" s="66">
        <f t="shared" si="14"/>
        <v>2026.6</v>
      </c>
      <c r="U34" s="66">
        <f t="shared" si="15"/>
        <v>0</v>
      </c>
      <c r="V34" s="66">
        <f t="shared" si="16"/>
        <v>20265.98</v>
      </c>
      <c r="W34" s="81">
        <f t="shared" si="17"/>
        <v>0</v>
      </c>
      <c r="X34" s="109"/>
      <c r="Y34" s="2"/>
      <c r="Z34" s="2"/>
      <c r="AA34" s="2"/>
    </row>
    <row r="35" spans="1:27" x14ac:dyDescent="0.25">
      <c r="A35" s="80">
        <v>45015</v>
      </c>
      <c r="B35" s="81">
        <f>Summary!$G$11/31</f>
        <v>76668.23</v>
      </c>
      <c r="C35" s="81">
        <v>12</v>
      </c>
      <c r="D35" s="66">
        <v>7.76</v>
      </c>
      <c r="E35" s="81">
        <f t="shared" si="3"/>
        <v>7.76</v>
      </c>
      <c r="F35" s="81">
        <f t="shared" ref="F35:F36" si="18">B35*60%</f>
        <v>46000.94</v>
      </c>
      <c r="G35" s="81">
        <f t="shared" si="5"/>
        <v>29747.27</v>
      </c>
      <c r="H35" s="81">
        <f t="shared" ref="H35:H36" si="19">B35*40%</f>
        <v>30667.29</v>
      </c>
      <c r="I35" s="81">
        <f t="shared" si="7"/>
        <v>19831.509999999998</v>
      </c>
      <c r="J35" s="66">
        <v>27.01</v>
      </c>
      <c r="K35" s="66">
        <f t="shared" si="8"/>
        <v>9915.76</v>
      </c>
      <c r="L35" s="66">
        <f t="shared" si="9"/>
        <v>0</v>
      </c>
      <c r="M35" s="67">
        <v>176</v>
      </c>
      <c r="N35" s="66">
        <f t="shared" si="10"/>
        <v>2974.73</v>
      </c>
      <c r="O35" s="66">
        <f t="shared" si="11"/>
        <v>0</v>
      </c>
      <c r="P35" s="66">
        <v>34.56</v>
      </c>
      <c r="Q35" s="66">
        <f t="shared" si="12"/>
        <v>4957.88</v>
      </c>
      <c r="R35" s="66">
        <f t="shared" si="13"/>
        <v>0</v>
      </c>
      <c r="S35" s="67">
        <v>670</v>
      </c>
      <c r="T35" s="66">
        <f t="shared" si="14"/>
        <v>1983.15</v>
      </c>
      <c r="U35" s="66">
        <f t="shared" si="15"/>
        <v>0</v>
      </c>
      <c r="V35" s="66">
        <f t="shared" si="16"/>
        <v>19831.52</v>
      </c>
      <c r="W35" s="81">
        <f t="shared" si="17"/>
        <v>0</v>
      </c>
      <c r="X35" s="109"/>
      <c r="Y35" s="2"/>
      <c r="Z35" s="2"/>
      <c r="AA35" s="2"/>
    </row>
    <row r="36" spans="1:27" x14ac:dyDescent="0.25">
      <c r="A36" s="80">
        <v>45016</v>
      </c>
      <c r="B36" s="81">
        <f>Summary!$G$11/31</f>
        <v>76668.23</v>
      </c>
      <c r="C36" s="81">
        <v>12</v>
      </c>
      <c r="D36" s="66">
        <v>8.57</v>
      </c>
      <c r="E36" s="81">
        <f t="shared" si="3"/>
        <v>8.57</v>
      </c>
      <c r="F36" s="81">
        <f t="shared" si="18"/>
        <v>46000.94</v>
      </c>
      <c r="G36" s="81">
        <f t="shared" si="5"/>
        <v>32852.339999999997</v>
      </c>
      <c r="H36" s="81">
        <f t="shared" si="19"/>
        <v>30667.29</v>
      </c>
      <c r="I36" s="81">
        <f t="shared" si="7"/>
        <v>21901.56</v>
      </c>
      <c r="J36" s="66">
        <v>24.88</v>
      </c>
      <c r="K36" s="66">
        <f t="shared" si="8"/>
        <v>10950.78</v>
      </c>
      <c r="L36" s="66">
        <f t="shared" si="9"/>
        <v>0</v>
      </c>
      <c r="M36" s="67">
        <v>160</v>
      </c>
      <c r="N36" s="66">
        <f t="shared" si="10"/>
        <v>3285.23</v>
      </c>
      <c r="O36" s="66">
        <f t="shared" si="11"/>
        <v>0</v>
      </c>
      <c r="P36" s="66"/>
      <c r="Q36" s="66">
        <f t="shared" si="12"/>
        <v>5475.39</v>
      </c>
      <c r="R36" s="66">
        <f t="shared" si="13"/>
        <v>0</v>
      </c>
      <c r="S36" s="67">
        <v>590</v>
      </c>
      <c r="T36" s="66">
        <f t="shared" si="14"/>
        <v>2190.16</v>
      </c>
      <c r="U36" s="66">
        <f t="shared" si="15"/>
        <v>0</v>
      </c>
      <c r="V36" s="66">
        <f t="shared" si="16"/>
        <v>21901.56</v>
      </c>
      <c r="W36" s="81">
        <f t="shared" si="17"/>
        <v>0</v>
      </c>
      <c r="X36" s="109"/>
      <c r="Y36" s="2"/>
      <c r="Z36" s="2"/>
      <c r="AA36" s="2"/>
    </row>
    <row r="37" spans="1:27" x14ac:dyDescent="0.25">
      <c r="A37" s="75" t="s">
        <v>30</v>
      </c>
      <c r="B37" s="82">
        <f>SUM(B6:B36)</f>
        <v>2376715.13</v>
      </c>
      <c r="C37" s="82"/>
      <c r="D37" s="82"/>
      <c r="E37" s="82">
        <f>AVERAGE(E6:E36)</f>
        <v>8.08</v>
      </c>
      <c r="F37" s="82">
        <f>SUM(F6:F36)</f>
        <v>1426029.14</v>
      </c>
      <c r="G37" s="82">
        <f>SUM(G6:G36)</f>
        <v>960077.95</v>
      </c>
      <c r="H37" s="82">
        <f>SUM(H6:H36)</f>
        <v>950685.99</v>
      </c>
      <c r="I37" s="82">
        <f>SUM(I6:I36)</f>
        <v>640051.88</v>
      </c>
      <c r="J37" s="82"/>
      <c r="K37" s="82">
        <f>SUM(K6:K36)</f>
        <v>320026.02</v>
      </c>
      <c r="L37" s="82">
        <f>SUM(L6:L36)</f>
        <v>0</v>
      </c>
      <c r="M37" s="82"/>
      <c r="N37" s="82">
        <f>SUM(N6:N36)</f>
        <v>96007.79</v>
      </c>
      <c r="O37" s="82">
        <f>SUM(O6:O36)</f>
        <v>0</v>
      </c>
      <c r="P37" s="82"/>
      <c r="Q37" s="82">
        <f>SUM(Q6:Q36)</f>
        <v>160012.99</v>
      </c>
      <c r="R37" s="82">
        <f>SUM(R6:R36)</f>
        <v>0</v>
      </c>
      <c r="S37" s="82"/>
      <c r="T37" s="82">
        <f>SUM(T6:T36)</f>
        <v>64005.21</v>
      </c>
      <c r="U37" s="82">
        <f>SUM(U6:U36)</f>
        <v>0</v>
      </c>
      <c r="V37" s="82">
        <f>SUM(V6:V36)</f>
        <v>640052.01</v>
      </c>
      <c r="W37" s="82">
        <f>SUM(W6:W36)</f>
        <v>0</v>
      </c>
      <c r="X37" s="109"/>
      <c r="Y37" s="2"/>
      <c r="Z37" s="2"/>
      <c r="AA37" s="2"/>
    </row>
    <row r="38" spans="1:27" x14ac:dyDescent="0.25">
      <c r="A38" s="83"/>
      <c r="B38" s="75" t="s">
        <v>64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82">
        <f>G37+V37</f>
        <v>1600129.96</v>
      </c>
      <c r="W38" s="59"/>
    </row>
    <row r="39" spans="1:27" x14ac:dyDescent="0.25">
      <c r="K39" s="88"/>
      <c r="L39" s="88"/>
      <c r="M39" s="88"/>
    </row>
    <row r="40" spans="1:27" x14ac:dyDescent="0.25">
      <c r="C40" s="88"/>
      <c r="N40" s="88"/>
      <c r="O40" s="88"/>
      <c r="P40" s="88"/>
    </row>
    <row r="41" spans="1:27" x14ac:dyDescent="0.25">
      <c r="C41" s="88"/>
    </row>
  </sheetData>
  <mergeCells count="19">
    <mergeCell ref="A1:V1"/>
    <mergeCell ref="V4:V5"/>
    <mergeCell ref="H4:H5"/>
    <mergeCell ref="A4:A5"/>
    <mergeCell ref="B4:B5"/>
    <mergeCell ref="F4:F5"/>
    <mergeCell ref="G4:G5"/>
    <mergeCell ref="C3:D3"/>
    <mergeCell ref="C4:C5"/>
    <mergeCell ref="I4:I5"/>
    <mergeCell ref="E4:E5"/>
    <mergeCell ref="J4:L4"/>
    <mergeCell ref="M4:O4"/>
    <mergeCell ref="P4:R4"/>
    <mergeCell ref="W4:W5"/>
    <mergeCell ref="S4:U4"/>
    <mergeCell ref="D4:D5"/>
    <mergeCell ref="F3:G3"/>
    <mergeCell ref="H3:Q3"/>
  </mergeCells>
  <pageMargins left="0.25" right="0.25" top="0.75" bottom="0.75" header="0.3" footer="0.3"/>
  <pageSetup paperSize="9" scale="56" orientation="landscape" r:id="rId1"/>
  <ignoredErrors>
    <ignoredError sqref="R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42"/>
  <sheetViews>
    <sheetView topLeftCell="A19" zoomScaleNormal="100" workbookViewId="0">
      <pane xSplit="1" topLeftCell="G1" activePane="topRight" state="frozen"/>
      <selection activeCell="A6" sqref="A6:A36"/>
      <selection pane="topRight" activeCell="V6" sqref="V6:W36"/>
    </sheetView>
  </sheetViews>
  <sheetFormatPr defaultColWidth="9.140625" defaultRowHeight="15.75" x14ac:dyDescent="0.25"/>
  <cols>
    <col min="1" max="1" width="10.42578125" style="87" customWidth="1"/>
    <col min="2" max="2" width="13.5703125" style="87" customWidth="1"/>
    <col min="3" max="3" width="10.5703125" style="87" bestFit="1" customWidth="1"/>
    <col min="4" max="4" width="9.28515625" style="87" bestFit="1" customWidth="1"/>
    <col min="5" max="5" width="11" style="87" bestFit="1" customWidth="1"/>
    <col min="6" max="6" width="11.7109375" style="87" bestFit="1" customWidth="1"/>
    <col min="7" max="7" width="12.7109375" style="87" bestFit="1" customWidth="1"/>
    <col min="8" max="8" width="11.7109375" style="87" bestFit="1" customWidth="1"/>
    <col min="9" max="9" width="12.7109375" style="87" bestFit="1" customWidth="1"/>
    <col min="10" max="10" width="9.140625" style="87" customWidth="1"/>
    <col min="11" max="11" width="10.7109375" style="87" bestFit="1" customWidth="1"/>
    <col min="12" max="12" width="10.28515625" style="87" customWidth="1"/>
    <col min="13" max="13" width="9.28515625" style="87" customWidth="1"/>
    <col min="14" max="14" width="10.7109375" style="87" customWidth="1"/>
    <col min="15" max="15" width="8.42578125" style="87" customWidth="1"/>
    <col min="16" max="16" width="9.5703125" style="87" customWidth="1"/>
    <col min="17" max="17" width="10.7109375" style="87" bestFit="1" customWidth="1"/>
    <col min="18" max="18" width="10.7109375" style="87" customWidth="1"/>
    <col min="19" max="19" width="9.140625" style="87" customWidth="1"/>
    <col min="20" max="20" width="10.7109375" style="87" bestFit="1" customWidth="1"/>
    <col min="21" max="21" width="10.7109375" style="87" customWidth="1"/>
    <col min="22" max="22" width="12.85546875" style="87" bestFit="1" customWidth="1"/>
    <col min="23" max="23" width="12" bestFit="1" customWidth="1"/>
    <col min="24" max="24" width="9.28515625" style="61" bestFit="1" customWidth="1"/>
    <col min="25" max="26" width="9.28515625" bestFit="1" customWidth="1"/>
    <col min="27" max="27" width="10.5703125" bestFit="1" customWidth="1"/>
  </cols>
  <sheetData>
    <row r="1" spans="1:27" ht="18.75" customHeight="1" x14ac:dyDescent="0.3">
      <c r="A1" s="146" t="str">
        <f>Summary!A1</f>
        <v>AGRA Payment for the month of JANUARY 2023 (As Per VoL -1, Section IV, Clause 39)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5"/>
      <c r="Y1" s="5"/>
      <c r="Z1" s="5"/>
      <c r="AA1" s="5"/>
    </row>
    <row r="2" spans="1:27" ht="15" customHeight="1" x14ac:dyDescent="0.3">
      <c r="A2" s="54">
        <v>1</v>
      </c>
      <c r="B2" s="54">
        <v>2</v>
      </c>
      <c r="C2" s="54">
        <v>3</v>
      </c>
      <c r="D2" s="54">
        <v>4</v>
      </c>
      <c r="E2" s="5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  <c r="K2" s="54">
        <v>11</v>
      </c>
      <c r="L2" s="54">
        <v>12</v>
      </c>
      <c r="M2" s="54">
        <v>13</v>
      </c>
      <c r="N2" s="54">
        <v>14</v>
      </c>
      <c r="O2" s="54">
        <v>15</v>
      </c>
      <c r="P2" s="54">
        <v>16</v>
      </c>
      <c r="Q2" s="54">
        <v>17</v>
      </c>
      <c r="R2" s="54">
        <v>18</v>
      </c>
      <c r="S2" s="54">
        <v>19</v>
      </c>
      <c r="T2" s="54">
        <v>20</v>
      </c>
      <c r="U2" s="54">
        <v>21</v>
      </c>
      <c r="V2" s="54">
        <v>22</v>
      </c>
      <c r="W2" s="54">
        <v>23</v>
      </c>
      <c r="X2" s="13"/>
      <c r="Y2" s="5"/>
      <c r="Z2" s="5"/>
      <c r="AA2" s="5"/>
    </row>
    <row r="3" spans="1:27" ht="15.75" customHeight="1" x14ac:dyDescent="0.3">
      <c r="A3" s="58"/>
      <c r="B3" s="58"/>
      <c r="C3" s="147" t="s">
        <v>25</v>
      </c>
      <c r="D3" s="147"/>
      <c r="E3" s="58"/>
      <c r="F3" s="147" t="s">
        <v>73</v>
      </c>
      <c r="G3" s="147"/>
      <c r="H3" s="147" t="s">
        <v>72</v>
      </c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76"/>
      <c r="Y3" s="5"/>
      <c r="Z3" s="5"/>
      <c r="AA3" s="5"/>
    </row>
    <row r="4" spans="1:27" ht="14.25" customHeight="1" x14ac:dyDescent="0.3">
      <c r="A4" s="147" t="s">
        <v>23</v>
      </c>
      <c r="B4" s="148" t="s">
        <v>44</v>
      </c>
      <c r="C4" s="148" t="s">
        <v>35</v>
      </c>
      <c r="D4" s="148" t="s">
        <v>37</v>
      </c>
      <c r="E4" s="148" t="s">
        <v>36</v>
      </c>
      <c r="F4" s="147" t="s">
        <v>26</v>
      </c>
      <c r="G4" s="147" t="s">
        <v>27</v>
      </c>
      <c r="H4" s="147" t="s">
        <v>32</v>
      </c>
      <c r="I4" s="147" t="s">
        <v>27</v>
      </c>
      <c r="J4" s="151" t="s">
        <v>15</v>
      </c>
      <c r="K4" s="152"/>
      <c r="L4" s="153"/>
      <c r="M4" s="58"/>
      <c r="N4" s="58" t="s">
        <v>17</v>
      </c>
      <c r="O4" s="58"/>
      <c r="P4" s="58"/>
      <c r="Q4" s="58" t="s">
        <v>16</v>
      </c>
      <c r="R4" s="58"/>
      <c r="S4" s="58"/>
      <c r="T4" s="58" t="s">
        <v>22</v>
      </c>
      <c r="U4" s="58"/>
      <c r="V4" s="148" t="s">
        <v>33</v>
      </c>
      <c r="W4" s="154" t="s">
        <v>65</v>
      </c>
      <c r="Y4" s="5"/>
      <c r="Z4" s="5"/>
      <c r="AA4" s="5"/>
    </row>
    <row r="5" spans="1:27" ht="30" x14ac:dyDescent="0.3">
      <c r="A5" s="147"/>
      <c r="B5" s="148"/>
      <c r="C5" s="148"/>
      <c r="D5" s="147"/>
      <c r="E5" s="147"/>
      <c r="F5" s="147"/>
      <c r="G5" s="147"/>
      <c r="H5" s="147"/>
      <c r="I5" s="147"/>
      <c r="J5" s="77" t="s">
        <v>42</v>
      </c>
      <c r="K5" s="78">
        <v>0.5</v>
      </c>
      <c r="L5" s="78" t="s">
        <v>43</v>
      </c>
      <c r="M5" s="77" t="s">
        <v>42</v>
      </c>
      <c r="N5" s="78">
        <v>0.15</v>
      </c>
      <c r="O5" s="78" t="s">
        <v>43</v>
      </c>
      <c r="P5" s="77" t="s">
        <v>42</v>
      </c>
      <c r="Q5" s="78">
        <v>0.25</v>
      </c>
      <c r="R5" s="78" t="s">
        <v>43</v>
      </c>
      <c r="S5" s="77" t="s">
        <v>42</v>
      </c>
      <c r="T5" s="78">
        <v>0.1</v>
      </c>
      <c r="U5" s="78" t="s">
        <v>43</v>
      </c>
      <c r="V5" s="148"/>
      <c r="W5" s="155"/>
      <c r="Y5" s="5"/>
      <c r="Z5" s="5"/>
      <c r="AA5" s="5"/>
    </row>
    <row r="6" spans="1:27" ht="16.5" customHeight="1" x14ac:dyDescent="0.3">
      <c r="A6" s="91">
        <v>44986</v>
      </c>
      <c r="B6" s="66">
        <f>Summary!$G$13/31</f>
        <v>153336.46</v>
      </c>
      <c r="C6" s="66">
        <v>24</v>
      </c>
      <c r="D6" s="66">
        <v>15.47</v>
      </c>
      <c r="E6" s="66">
        <f t="shared" ref="E6:E36" si="0">MIN(D6,C6)</f>
        <v>15.47</v>
      </c>
      <c r="F6" s="66">
        <f>B6*60%</f>
        <v>92001.88</v>
      </c>
      <c r="G6" s="66">
        <f>(F6*E6)/C6</f>
        <v>59302.879999999997</v>
      </c>
      <c r="H6" s="66">
        <f t="shared" ref="H6:H34" si="1">B6*40%</f>
        <v>61334.58</v>
      </c>
      <c r="I6" s="66">
        <f>(H6*E6)/C6</f>
        <v>39535.25</v>
      </c>
      <c r="J6" s="66">
        <v>26.26</v>
      </c>
      <c r="K6" s="66">
        <f t="shared" ref="K6" si="2">I6*0.5</f>
        <v>19767.63</v>
      </c>
      <c r="L6" s="66">
        <f t="shared" ref="L6" si="3">IF(J6&gt;30,(MAX($B$37*0.1/100,10000)),0)</f>
        <v>0</v>
      </c>
      <c r="M6" s="67">
        <v>134</v>
      </c>
      <c r="N6" s="66">
        <f t="shared" ref="N6" si="4">IF(O6&lt;&gt;0,0,I6*15%)</f>
        <v>5930.29</v>
      </c>
      <c r="O6" s="66">
        <f t="shared" ref="O6" si="5">IF(M6&gt;250,(MAX($B$37*0.1/100,10000)),0)</f>
        <v>0</v>
      </c>
      <c r="P6" s="66">
        <v>35.11</v>
      </c>
      <c r="Q6" s="66">
        <f t="shared" ref="Q6" si="6">I6*25%</f>
        <v>9883.81</v>
      </c>
      <c r="R6" s="66">
        <f t="shared" ref="R6" si="7">IF(P6&gt;50,(MAX($B$37*0.1/100,10000)),0)</f>
        <v>0</v>
      </c>
      <c r="S6" s="67">
        <v>750</v>
      </c>
      <c r="T6" s="66">
        <f t="shared" ref="T6" si="8">I6*10%</f>
        <v>3953.53</v>
      </c>
      <c r="U6" s="66">
        <f t="shared" ref="U6" si="9">IF(S6&gt;1000,(MAX($B$37*0.1/100,10000)),0)</f>
        <v>0</v>
      </c>
      <c r="V6" s="66">
        <f>T6+Q6+N6+K6</f>
        <v>39535.26</v>
      </c>
      <c r="W6" s="66">
        <f>U6+R6+O6+L6</f>
        <v>0</v>
      </c>
      <c r="Y6" s="5"/>
      <c r="Z6" s="5"/>
      <c r="AA6" s="5"/>
    </row>
    <row r="7" spans="1:27" ht="16.5" customHeight="1" x14ac:dyDescent="0.3">
      <c r="A7" s="91">
        <v>44987</v>
      </c>
      <c r="B7" s="66">
        <f>Summary!$G$13/31</f>
        <v>153336.46</v>
      </c>
      <c r="C7" s="66">
        <v>24</v>
      </c>
      <c r="D7" s="66">
        <v>17.45</v>
      </c>
      <c r="E7" s="66">
        <f t="shared" si="0"/>
        <v>17.45</v>
      </c>
      <c r="F7" s="66">
        <f t="shared" ref="F7:F34" si="10">B7*60%</f>
        <v>92001.88</v>
      </c>
      <c r="G7" s="66">
        <f t="shared" ref="G7:G36" si="11">(F7*E7)/C7</f>
        <v>66893.03</v>
      </c>
      <c r="H7" s="66">
        <f t="shared" si="1"/>
        <v>61334.58</v>
      </c>
      <c r="I7" s="66">
        <f t="shared" ref="I7:I36" si="12">(H7*E7)/C7</f>
        <v>44595.35</v>
      </c>
      <c r="J7" s="66">
        <v>27.73</v>
      </c>
      <c r="K7" s="66">
        <f t="shared" ref="K7:K36" si="13">I7*0.5</f>
        <v>22297.68</v>
      </c>
      <c r="L7" s="66">
        <f t="shared" ref="L7:L36" si="14">IF(J7&gt;30,(MAX($B$37*0.1/100,10000)),0)</f>
        <v>0</v>
      </c>
      <c r="M7" s="67">
        <v>140</v>
      </c>
      <c r="N7" s="66">
        <f t="shared" ref="N7:N36" si="15">IF(O7&lt;&gt;0,0,I7*15%)</f>
        <v>6689.3</v>
      </c>
      <c r="O7" s="66">
        <f t="shared" ref="O7:O36" si="16">IF(M7&gt;250,(MAX($B$37*0.1/100,10000)),0)</f>
        <v>0</v>
      </c>
      <c r="P7" s="66">
        <v>37.06</v>
      </c>
      <c r="Q7" s="66">
        <f t="shared" ref="Q7:Q36" si="17">I7*25%</f>
        <v>11148.84</v>
      </c>
      <c r="R7" s="66">
        <f t="shared" ref="R7:R36" si="18">IF(P7&gt;50,(MAX($B$37*0.1/100,10000)),0)</f>
        <v>0</v>
      </c>
      <c r="S7" s="67">
        <v>760</v>
      </c>
      <c r="T7" s="66">
        <f t="shared" ref="T7:T36" si="19">I7*10%</f>
        <v>4459.54</v>
      </c>
      <c r="U7" s="66">
        <f t="shared" ref="U7:U36" si="20">IF(S7&gt;1000,(MAX($B$37*0.1/100,10000)),0)</f>
        <v>0</v>
      </c>
      <c r="V7" s="66">
        <f t="shared" ref="V7:V36" si="21">T7+Q7+N7+K7</f>
        <v>44595.360000000001</v>
      </c>
      <c r="W7" s="66">
        <f t="shared" ref="W7:W36" si="22">U7+R7+O7+L7</f>
        <v>0</v>
      </c>
      <c r="Y7" s="5"/>
      <c r="Z7" s="5"/>
      <c r="AA7" s="5"/>
    </row>
    <row r="8" spans="1:27" ht="16.5" customHeight="1" x14ac:dyDescent="0.3">
      <c r="A8" s="91">
        <v>44988</v>
      </c>
      <c r="B8" s="66">
        <f>Summary!$G$13/31</f>
        <v>153336.46</v>
      </c>
      <c r="C8" s="66">
        <v>24</v>
      </c>
      <c r="D8" s="66">
        <v>17.47</v>
      </c>
      <c r="E8" s="66">
        <f t="shared" si="0"/>
        <v>17.47</v>
      </c>
      <c r="F8" s="66">
        <f t="shared" si="10"/>
        <v>92001.88</v>
      </c>
      <c r="G8" s="66">
        <f t="shared" si="11"/>
        <v>66969.7</v>
      </c>
      <c r="H8" s="66">
        <f t="shared" si="1"/>
        <v>61334.58</v>
      </c>
      <c r="I8" s="66">
        <f t="shared" si="12"/>
        <v>44646.46</v>
      </c>
      <c r="J8" s="66">
        <v>25.99</v>
      </c>
      <c r="K8" s="66">
        <f t="shared" si="13"/>
        <v>22323.23</v>
      </c>
      <c r="L8" s="66">
        <f t="shared" si="14"/>
        <v>0</v>
      </c>
      <c r="M8" s="67">
        <v>126</v>
      </c>
      <c r="N8" s="66">
        <f t="shared" si="15"/>
        <v>6696.97</v>
      </c>
      <c r="O8" s="66">
        <f t="shared" si="16"/>
        <v>0</v>
      </c>
      <c r="P8" s="66">
        <v>33.090000000000003</v>
      </c>
      <c r="Q8" s="66">
        <f t="shared" si="17"/>
        <v>11161.62</v>
      </c>
      <c r="R8" s="66">
        <f t="shared" si="18"/>
        <v>0</v>
      </c>
      <c r="S8" s="67">
        <v>730</v>
      </c>
      <c r="T8" s="66">
        <f t="shared" si="19"/>
        <v>4464.6499999999996</v>
      </c>
      <c r="U8" s="66">
        <f t="shared" si="20"/>
        <v>0</v>
      </c>
      <c r="V8" s="66">
        <f t="shared" si="21"/>
        <v>44646.47</v>
      </c>
      <c r="W8" s="66">
        <f t="shared" si="22"/>
        <v>0</v>
      </c>
      <c r="Y8" s="5"/>
      <c r="Z8" s="5"/>
      <c r="AA8" s="5"/>
    </row>
    <row r="9" spans="1:27" s="31" customFormat="1" ht="16.5" customHeight="1" x14ac:dyDescent="0.3">
      <c r="A9" s="35">
        <v>44989</v>
      </c>
      <c r="B9" s="28">
        <f>Summary!$G$13/31</f>
        <v>153336.46</v>
      </c>
      <c r="C9" s="28">
        <v>24</v>
      </c>
      <c r="D9" s="28">
        <v>17.78</v>
      </c>
      <c r="E9" s="66">
        <f t="shared" si="0"/>
        <v>17.78</v>
      </c>
      <c r="F9" s="28">
        <f t="shared" si="10"/>
        <v>92001.88</v>
      </c>
      <c r="G9" s="66">
        <f t="shared" si="11"/>
        <v>68158.06</v>
      </c>
      <c r="H9" s="28">
        <f t="shared" si="1"/>
        <v>61334.58</v>
      </c>
      <c r="I9" s="66">
        <f t="shared" si="12"/>
        <v>45438.7</v>
      </c>
      <c r="J9" s="110">
        <v>26</v>
      </c>
      <c r="K9" s="66">
        <f t="shared" si="13"/>
        <v>22719.35</v>
      </c>
      <c r="L9" s="66">
        <f t="shared" si="14"/>
        <v>0</v>
      </c>
      <c r="M9" s="29">
        <v>128</v>
      </c>
      <c r="N9" s="66">
        <f t="shared" si="15"/>
        <v>6815.81</v>
      </c>
      <c r="O9" s="66">
        <f t="shared" si="16"/>
        <v>0</v>
      </c>
      <c r="P9" s="28">
        <v>38</v>
      </c>
      <c r="Q9" s="66">
        <f t="shared" si="17"/>
        <v>11359.68</v>
      </c>
      <c r="R9" s="66">
        <f t="shared" si="18"/>
        <v>0</v>
      </c>
      <c r="S9" s="29">
        <v>910</v>
      </c>
      <c r="T9" s="66">
        <f t="shared" si="19"/>
        <v>4543.87</v>
      </c>
      <c r="U9" s="66">
        <f t="shared" si="20"/>
        <v>0</v>
      </c>
      <c r="V9" s="66">
        <f t="shared" si="21"/>
        <v>45438.71</v>
      </c>
      <c r="W9" s="66">
        <f t="shared" si="22"/>
        <v>0</v>
      </c>
      <c r="X9" s="36" t="s">
        <v>97</v>
      </c>
      <c r="Y9" s="37"/>
      <c r="Z9" s="37"/>
      <c r="AA9" s="37"/>
    </row>
    <row r="10" spans="1:27" ht="16.5" customHeight="1" x14ac:dyDescent="0.3">
      <c r="A10" s="91">
        <v>44990</v>
      </c>
      <c r="B10" s="66">
        <f>Summary!$G$13/31</f>
        <v>153336.46</v>
      </c>
      <c r="C10" s="66">
        <v>24</v>
      </c>
      <c r="D10" s="66">
        <v>17.2</v>
      </c>
      <c r="E10" s="66">
        <f t="shared" si="0"/>
        <v>17.2</v>
      </c>
      <c r="F10" s="66">
        <f t="shared" si="10"/>
        <v>92001.88</v>
      </c>
      <c r="G10" s="66">
        <f t="shared" si="11"/>
        <v>65934.679999999993</v>
      </c>
      <c r="H10" s="66">
        <f t="shared" si="1"/>
        <v>61334.58</v>
      </c>
      <c r="I10" s="66">
        <f t="shared" si="12"/>
        <v>43956.45</v>
      </c>
      <c r="J10" s="66">
        <v>26.34</v>
      </c>
      <c r="K10" s="66">
        <f t="shared" si="13"/>
        <v>21978.23</v>
      </c>
      <c r="L10" s="66">
        <f t="shared" si="14"/>
        <v>0</v>
      </c>
      <c r="M10" s="67">
        <v>130</v>
      </c>
      <c r="N10" s="66">
        <f t="shared" si="15"/>
        <v>6593.47</v>
      </c>
      <c r="O10" s="66">
        <f t="shared" si="16"/>
        <v>0</v>
      </c>
      <c r="P10" s="66">
        <v>34.85</v>
      </c>
      <c r="Q10" s="66">
        <f t="shared" si="17"/>
        <v>10989.11</v>
      </c>
      <c r="R10" s="66">
        <f t="shared" si="18"/>
        <v>0</v>
      </c>
      <c r="S10" s="67">
        <v>730</v>
      </c>
      <c r="T10" s="66">
        <f t="shared" si="19"/>
        <v>4395.6499999999996</v>
      </c>
      <c r="U10" s="66">
        <f t="shared" si="20"/>
        <v>0</v>
      </c>
      <c r="V10" s="66">
        <f t="shared" si="21"/>
        <v>43956.46</v>
      </c>
      <c r="W10" s="66">
        <f t="shared" si="22"/>
        <v>0</v>
      </c>
      <c r="Y10" s="5"/>
      <c r="Z10" s="5"/>
      <c r="AA10" s="5"/>
    </row>
    <row r="11" spans="1:27" ht="16.5" customHeight="1" x14ac:dyDescent="0.3">
      <c r="A11" s="91">
        <v>44991</v>
      </c>
      <c r="B11" s="66">
        <f>Summary!$G$13/31</f>
        <v>153336.46</v>
      </c>
      <c r="C11" s="66">
        <v>24</v>
      </c>
      <c r="D11" s="66">
        <v>15.36</v>
      </c>
      <c r="E11" s="66">
        <f t="shared" si="0"/>
        <v>15.36</v>
      </c>
      <c r="F11" s="66">
        <f t="shared" si="10"/>
        <v>92001.88</v>
      </c>
      <c r="G11" s="66">
        <f t="shared" si="11"/>
        <v>58881.2</v>
      </c>
      <c r="H11" s="66">
        <f t="shared" si="1"/>
        <v>61334.58</v>
      </c>
      <c r="I11" s="66">
        <f t="shared" si="12"/>
        <v>39254.129999999997</v>
      </c>
      <c r="J11" s="66">
        <v>26.16</v>
      </c>
      <c r="K11" s="66">
        <f t="shared" si="13"/>
        <v>19627.07</v>
      </c>
      <c r="L11" s="66">
        <f t="shared" si="14"/>
        <v>0</v>
      </c>
      <c r="M11" s="67">
        <v>128</v>
      </c>
      <c r="N11" s="66">
        <f t="shared" si="15"/>
        <v>5888.12</v>
      </c>
      <c r="O11" s="66">
        <f t="shared" si="16"/>
        <v>0</v>
      </c>
      <c r="P11" s="66">
        <v>31.58</v>
      </c>
      <c r="Q11" s="66">
        <f t="shared" si="17"/>
        <v>9813.5300000000007</v>
      </c>
      <c r="R11" s="66">
        <f t="shared" si="18"/>
        <v>0</v>
      </c>
      <c r="S11" s="67">
        <v>700</v>
      </c>
      <c r="T11" s="66">
        <f t="shared" si="19"/>
        <v>3925.41</v>
      </c>
      <c r="U11" s="66">
        <f t="shared" si="20"/>
        <v>0</v>
      </c>
      <c r="V11" s="66">
        <f t="shared" si="21"/>
        <v>39254.129999999997</v>
      </c>
      <c r="W11" s="66">
        <f t="shared" si="22"/>
        <v>0</v>
      </c>
      <c r="Y11" s="5"/>
      <c r="Z11" s="5"/>
      <c r="AA11" s="5"/>
    </row>
    <row r="12" spans="1:27" ht="16.5" customHeight="1" x14ac:dyDescent="0.3">
      <c r="A12" s="91">
        <v>44992</v>
      </c>
      <c r="B12" s="66">
        <f>Summary!$G$13/31</f>
        <v>153336.46</v>
      </c>
      <c r="C12" s="66">
        <v>24</v>
      </c>
      <c r="D12" s="66">
        <v>15.45</v>
      </c>
      <c r="E12" s="66">
        <f t="shared" si="0"/>
        <v>15.45</v>
      </c>
      <c r="F12" s="66">
        <f t="shared" si="10"/>
        <v>92001.88</v>
      </c>
      <c r="G12" s="66">
        <f t="shared" si="11"/>
        <v>59226.21</v>
      </c>
      <c r="H12" s="66">
        <f t="shared" si="1"/>
        <v>61334.58</v>
      </c>
      <c r="I12" s="66">
        <f t="shared" si="12"/>
        <v>39484.14</v>
      </c>
      <c r="J12" s="66">
        <v>25.99</v>
      </c>
      <c r="K12" s="66">
        <f t="shared" si="13"/>
        <v>19742.07</v>
      </c>
      <c r="L12" s="66">
        <f t="shared" si="14"/>
        <v>0</v>
      </c>
      <c r="M12" s="67">
        <v>124</v>
      </c>
      <c r="N12" s="66">
        <f t="shared" si="15"/>
        <v>5922.62</v>
      </c>
      <c r="O12" s="66">
        <f t="shared" si="16"/>
        <v>0</v>
      </c>
      <c r="P12" s="66">
        <v>30.96</v>
      </c>
      <c r="Q12" s="66">
        <f t="shared" si="17"/>
        <v>9871.0400000000009</v>
      </c>
      <c r="R12" s="66">
        <f t="shared" si="18"/>
        <v>0</v>
      </c>
      <c r="S12" s="67">
        <v>680</v>
      </c>
      <c r="T12" s="66">
        <f t="shared" si="19"/>
        <v>3948.41</v>
      </c>
      <c r="U12" s="66">
        <f t="shared" si="20"/>
        <v>0</v>
      </c>
      <c r="V12" s="66">
        <f t="shared" si="21"/>
        <v>39484.14</v>
      </c>
      <c r="W12" s="66">
        <f t="shared" si="22"/>
        <v>0</v>
      </c>
      <c r="Y12" s="5"/>
      <c r="Z12" s="5"/>
      <c r="AA12" s="5"/>
    </row>
    <row r="13" spans="1:27" ht="16.5" customHeight="1" x14ac:dyDescent="0.3">
      <c r="A13" s="91">
        <v>44993</v>
      </c>
      <c r="B13" s="66">
        <f>Summary!$G$13/31</f>
        <v>153336.46</v>
      </c>
      <c r="C13" s="66">
        <v>24</v>
      </c>
      <c r="D13" s="66">
        <v>16.16</v>
      </c>
      <c r="E13" s="66">
        <f t="shared" si="0"/>
        <v>16.16</v>
      </c>
      <c r="F13" s="66">
        <f t="shared" si="10"/>
        <v>92001.88</v>
      </c>
      <c r="G13" s="66">
        <f t="shared" si="11"/>
        <v>61947.93</v>
      </c>
      <c r="H13" s="66">
        <f t="shared" si="1"/>
        <v>61334.58</v>
      </c>
      <c r="I13" s="66">
        <f t="shared" si="12"/>
        <v>41298.620000000003</v>
      </c>
      <c r="J13" s="66">
        <v>26.83</v>
      </c>
      <c r="K13" s="66">
        <f t="shared" si="13"/>
        <v>20649.310000000001</v>
      </c>
      <c r="L13" s="66">
        <f t="shared" si="14"/>
        <v>0</v>
      </c>
      <c r="M13" s="67">
        <v>134</v>
      </c>
      <c r="N13" s="66">
        <f t="shared" si="15"/>
        <v>6194.79</v>
      </c>
      <c r="O13" s="66">
        <f t="shared" si="16"/>
        <v>0</v>
      </c>
      <c r="P13" s="66">
        <v>34.14</v>
      </c>
      <c r="Q13" s="66">
        <f t="shared" si="17"/>
        <v>10324.66</v>
      </c>
      <c r="R13" s="66">
        <f t="shared" si="18"/>
        <v>0</v>
      </c>
      <c r="S13" s="67">
        <v>740</v>
      </c>
      <c r="T13" s="66">
        <f t="shared" si="19"/>
        <v>4129.8599999999997</v>
      </c>
      <c r="U13" s="66">
        <f t="shared" si="20"/>
        <v>0</v>
      </c>
      <c r="V13" s="66">
        <f t="shared" si="21"/>
        <v>41298.620000000003</v>
      </c>
      <c r="W13" s="66">
        <f t="shared" si="22"/>
        <v>0</v>
      </c>
      <c r="Y13" s="5"/>
      <c r="Z13" s="5"/>
      <c r="AA13" s="5"/>
    </row>
    <row r="14" spans="1:27" ht="16.5" customHeight="1" x14ac:dyDescent="0.3">
      <c r="A14" s="91">
        <v>44994</v>
      </c>
      <c r="B14" s="66">
        <f>Summary!$G$13/31</f>
        <v>153336.46</v>
      </c>
      <c r="C14" s="66">
        <v>24</v>
      </c>
      <c r="D14" s="66">
        <v>16.16</v>
      </c>
      <c r="E14" s="66">
        <f t="shared" si="0"/>
        <v>16.16</v>
      </c>
      <c r="F14" s="66">
        <f t="shared" si="10"/>
        <v>92001.88</v>
      </c>
      <c r="G14" s="66">
        <f t="shared" si="11"/>
        <v>61947.93</v>
      </c>
      <c r="H14" s="66">
        <f t="shared" si="1"/>
        <v>61334.58</v>
      </c>
      <c r="I14" s="66">
        <f t="shared" si="12"/>
        <v>41298.620000000003</v>
      </c>
      <c r="J14" s="66">
        <v>27.12</v>
      </c>
      <c r="K14" s="66">
        <f t="shared" si="13"/>
        <v>20649.310000000001</v>
      </c>
      <c r="L14" s="66">
        <f t="shared" si="14"/>
        <v>0</v>
      </c>
      <c r="M14" s="67">
        <v>136</v>
      </c>
      <c r="N14" s="66">
        <f t="shared" si="15"/>
        <v>6194.79</v>
      </c>
      <c r="O14" s="66">
        <f t="shared" si="16"/>
        <v>0</v>
      </c>
      <c r="P14" s="66">
        <v>35.81</v>
      </c>
      <c r="Q14" s="66">
        <f t="shared" si="17"/>
        <v>10324.66</v>
      </c>
      <c r="R14" s="66">
        <f t="shared" si="18"/>
        <v>0</v>
      </c>
      <c r="S14" s="67">
        <v>770</v>
      </c>
      <c r="T14" s="66">
        <f t="shared" si="19"/>
        <v>4129.8599999999997</v>
      </c>
      <c r="U14" s="66">
        <f t="shared" si="20"/>
        <v>0</v>
      </c>
      <c r="V14" s="66">
        <f t="shared" si="21"/>
        <v>41298.620000000003</v>
      </c>
      <c r="W14" s="66">
        <f t="shared" si="22"/>
        <v>0</v>
      </c>
      <c r="Y14" s="5"/>
      <c r="Z14" s="5"/>
      <c r="AA14" s="5"/>
    </row>
    <row r="15" spans="1:27" s="31" customFormat="1" ht="16.5" customHeight="1" x14ac:dyDescent="0.3">
      <c r="A15" s="35">
        <v>44995</v>
      </c>
      <c r="B15" s="28">
        <f>Summary!$G$13/31</f>
        <v>153336.46</v>
      </c>
      <c r="C15" s="28">
        <v>24</v>
      </c>
      <c r="D15" s="28">
        <v>16.010000000000002</v>
      </c>
      <c r="E15" s="66">
        <f t="shared" si="0"/>
        <v>16.010000000000002</v>
      </c>
      <c r="F15" s="28">
        <f t="shared" si="10"/>
        <v>92001.88</v>
      </c>
      <c r="G15" s="66">
        <f t="shared" si="11"/>
        <v>61372.92</v>
      </c>
      <c r="H15" s="28">
        <f t="shared" si="1"/>
        <v>61334.58</v>
      </c>
      <c r="I15" s="66">
        <f t="shared" si="12"/>
        <v>40915.279999999999</v>
      </c>
      <c r="J15" s="28">
        <v>27</v>
      </c>
      <c r="K15" s="66">
        <f t="shared" si="13"/>
        <v>20457.64</v>
      </c>
      <c r="L15" s="66">
        <f t="shared" si="14"/>
        <v>0</v>
      </c>
      <c r="M15" s="29">
        <v>136</v>
      </c>
      <c r="N15" s="66">
        <f t="shared" si="15"/>
        <v>6137.29</v>
      </c>
      <c r="O15" s="66">
        <f t="shared" si="16"/>
        <v>0</v>
      </c>
      <c r="P15" s="28">
        <v>40</v>
      </c>
      <c r="Q15" s="66">
        <f t="shared" si="17"/>
        <v>10228.82</v>
      </c>
      <c r="R15" s="66">
        <f t="shared" si="18"/>
        <v>0</v>
      </c>
      <c r="S15" s="29">
        <v>820</v>
      </c>
      <c r="T15" s="66">
        <f t="shared" si="19"/>
        <v>4091.53</v>
      </c>
      <c r="U15" s="66">
        <f t="shared" si="20"/>
        <v>0</v>
      </c>
      <c r="V15" s="66">
        <f t="shared" si="21"/>
        <v>40915.279999999999</v>
      </c>
      <c r="W15" s="66">
        <f t="shared" si="22"/>
        <v>0</v>
      </c>
      <c r="X15" s="36" t="s">
        <v>97</v>
      </c>
      <c r="Y15" s="37"/>
      <c r="Z15" s="37"/>
      <c r="AA15" s="37"/>
    </row>
    <row r="16" spans="1:27" ht="16.5" customHeight="1" x14ac:dyDescent="0.3">
      <c r="A16" s="91">
        <v>44996</v>
      </c>
      <c r="B16" s="66">
        <f>Summary!$G$13/31</f>
        <v>153336.46</v>
      </c>
      <c r="C16" s="66">
        <v>24</v>
      </c>
      <c r="D16" s="66">
        <v>17.47</v>
      </c>
      <c r="E16" s="66">
        <f t="shared" si="0"/>
        <v>17.47</v>
      </c>
      <c r="F16" s="66">
        <f t="shared" si="10"/>
        <v>92001.88</v>
      </c>
      <c r="G16" s="66">
        <f t="shared" si="11"/>
        <v>66969.7</v>
      </c>
      <c r="H16" s="66">
        <f t="shared" si="1"/>
        <v>61334.58</v>
      </c>
      <c r="I16" s="66">
        <f t="shared" si="12"/>
        <v>44646.46</v>
      </c>
      <c r="J16" s="66">
        <v>26.62</v>
      </c>
      <c r="K16" s="66">
        <f t="shared" si="13"/>
        <v>22323.23</v>
      </c>
      <c r="L16" s="66">
        <f t="shared" si="14"/>
        <v>0</v>
      </c>
      <c r="M16" s="67">
        <v>130</v>
      </c>
      <c r="N16" s="66">
        <f t="shared" si="15"/>
        <v>6696.97</v>
      </c>
      <c r="O16" s="66">
        <f t="shared" si="16"/>
        <v>0</v>
      </c>
      <c r="P16" s="66">
        <v>31.92</v>
      </c>
      <c r="Q16" s="66">
        <f t="shared" si="17"/>
        <v>11161.62</v>
      </c>
      <c r="R16" s="66">
        <f t="shared" si="18"/>
        <v>0</v>
      </c>
      <c r="S16" s="67">
        <v>730</v>
      </c>
      <c r="T16" s="66">
        <f t="shared" si="19"/>
        <v>4464.6499999999996</v>
      </c>
      <c r="U16" s="66">
        <f t="shared" si="20"/>
        <v>0</v>
      </c>
      <c r="V16" s="66">
        <f t="shared" si="21"/>
        <v>44646.47</v>
      </c>
      <c r="W16" s="66">
        <f t="shared" si="22"/>
        <v>0</v>
      </c>
      <c r="Y16" s="5"/>
      <c r="Z16" s="5"/>
      <c r="AA16" s="5"/>
    </row>
    <row r="17" spans="1:24" ht="16.5" customHeight="1" x14ac:dyDescent="0.25">
      <c r="A17" s="91">
        <v>44997</v>
      </c>
      <c r="B17" s="66">
        <f>Summary!$G$13/31</f>
        <v>153336.46</v>
      </c>
      <c r="C17" s="66">
        <v>24</v>
      </c>
      <c r="D17" s="66">
        <v>17.510000000000002</v>
      </c>
      <c r="E17" s="66">
        <f t="shared" si="0"/>
        <v>17.510000000000002</v>
      </c>
      <c r="F17" s="66">
        <f t="shared" si="10"/>
        <v>92001.88</v>
      </c>
      <c r="G17" s="66">
        <f t="shared" si="11"/>
        <v>67123.039999999994</v>
      </c>
      <c r="H17" s="66">
        <f t="shared" si="1"/>
        <v>61334.58</v>
      </c>
      <c r="I17" s="66">
        <f t="shared" si="12"/>
        <v>44748.69</v>
      </c>
      <c r="J17" s="66">
        <v>28.12</v>
      </c>
      <c r="K17" s="66">
        <f t="shared" si="13"/>
        <v>22374.35</v>
      </c>
      <c r="L17" s="66">
        <f t="shared" si="14"/>
        <v>0</v>
      </c>
      <c r="M17" s="67">
        <v>148</v>
      </c>
      <c r="N17" s="66">
        <f t="shared" si="15"/>
        <v>6712.3</v>
      </c>
      <c r="O17" s="66">
        <f t="shared" si="16"/>
        <v>0</v>
      </c>
      <c r="P17" s="66">
        <v>34.840000000000003</v>
      </c>
      <c r="Q17" s="66">
        <f t="shared" si="17"/>
        <v>11187.17</v>
      </c>
      <c r="R17" s="66">
        <f t="shared" si="18"/>
        <v>0</v>
      </c>
      <c r="S17" s="67">
        <v>810</v>
      </c>
      <c r="T17" s="66">
        <f t="shared" si="19"/>
        <v>4474.87</v>
      </c>
      <c r="U17" s="66">
        <f t="shared" si="20"/>
        <v>0</v>
      </c>
      <c r="V17" s="66">
        <f t="shared" si="21"/>
        <v>44748.69</v>
      </c>
      <c r="W17" s="66">
        <f t="shared" si="22"/>
        <v>0</v>
      </c>
    </row>
    <row r="18" spans="1:24" ht="16.5" customHeight="1" x14ac:dyDescent="0.25">
      <c r="A18" s="91">
        <v>44998</v>
      </c>
      <c r="B18" s="66">
        <f>Summary!$G$13/31</f>
        <v>153336.46</v>
      </c>
      <c r="C18" s="66">
        <v>24</v>
      </c>
      <c r="D18" s="66">
        <v>16.54</v>
      </c>
      <c r="E18" s="66">
        <f t="shared" si="0"/>
        <v>16.54</v>
      </c>
      <c r="F18" s="66">
        <f t="shared" si="10"/>
        <v>92001.88</v>
      </c>
      <c r="G18" s="66">
        <f t="shared" si="11"/>
        <v>63404.63</v>
      </c>
      <c r="H18" s="66">
        <f t="shared" si="1"/>
        <v>61334.58</v>
      </c>
      <c r="I18" s="66">
        <f t="shared" si="12"/>
        <v>42269.75</v>
      </c>
      <c r="J18" s="66">
        <v>28.97</v>
      </c>
      <c r="K18" s="66">
        <f t="shared" si="13"/>
        <v>21134.880000000001</v>
      </c>
      <c r="L18" s="66">
        <f t="shared" si="14"/>
        <v>0</v>
      </c>
      <c r="M18" s="67">
        <v>152</v>
      </c>
      <c r="N18" s="66">
        <f t="shared" si="15"/>
        <v>6340.46</v>
      </c>
      <c r="O18" s="66">
        <f t="shared" si="16"/>
        <v>0</v>
      </c>
      <c r="P18" s="66">
        <v>36.07</v>
      </c>
      <c r="Q18" s="66">
        <f t="shared" si="17"/>
        <v>10567.44</v>
      </c>
      <c r="R18" s="66">
        <f t="shared" si="18"/>
        <v>0</v>
      </c>
      <c r="S18" s="67">
        <v>830</v>
      </c>
      <c r="T18" s="66">
        <f t="shared" si="19"/>
        <v>4226.9799999999996</v>
      </c>
      <c r="U18" s="66">
        <f t="shared" si="20"/>
        <v>0</v>
      </c>
      <c r="V18" s="66">
        <f t="shared" si="21"/>
        <v>42269.760000000002</v>
      </c>
      <c r="W18" s="66">
        <f t="shared" si="22"/>
        <v>0</v>
      </c>
    </row>
    <row r="19" spans="1:24" ht="16.5" customHeight="1" x14ac:dyDescent="0.25">
      <c r="A19" s="91">
        <v>44999</v>
      </c>
      <c r="B19" s="66">
        <f>Summary!$G$13/31</f>
        <v>153336.46</v>
      </c>
      <c r="C19" s="66">
        <v>24</v>
      </c>
      <c r="D19" s="66">
        <v>15.31</v>
      </c>
      <c r="E19" s="66">
        <f t="shared" si="0"/>
        <v>15.31</v>
      </c>
      <c r="F19" s="66">
        <f t="shared" si="10"/>
        <v>92001.88</v>
      </c>
      <c r="G19" s="66">
        <f t="shared" si="11"/>
        <v>58689.53</v>
      </c>
      <c r="H19" s="66">
        <f t="shared" si="1"/>
        <v>61334.58</v>
      </c>
      <c r="I19" s="66">
        <f t="shared" si="12"/>
        <v>39126.35</v>
      </c>
      <c r="J19" s="66">
        <v>29.11</v>
      </c>
      <c r="K19" s="66">
        <f t="shared" si="13"/>
        <v>19563.18</v>
      </c>
      <c r="L19" s="66">
        <f t="shared" si="14"/>
        <v>0</v>
      </c>
      <c r="M19" s="67">
        <v>158</v>
      </c>
      <c r="N19" s="66">
        <f t="shared" si="15"/>
        <v>5868.95</v>
      </c>
      <c r="O19" s="66">
        <f t="shared" si="16"/>
        <v>0</v>
      </c>
      <c r="P19" s="66">
        <v>39.409999999999997</v>
      </c>
      <c r="Q19" s="66">
        <f t="shared" si="17"/>
        <v>9781.59</v>
      </c>
      <c r="R19" s="66">
        <f t="shared" si="18"/>
        <v>0</v>
      </c>
      <c r="S19" s="67">
        <v>850</v>
      </c>
      <c r="T19" s="66">
        <f t="shared" si="19"/>
        <v>3912.64</v>
      </c>
      <c r="U19" s="66">
        <f t="shared" si="20"/>
        <v>0</v>
      </c>
      <c r="V19" s="66">
        <f t="shared" si="21"/>
        <v>39126.36</v>
      </c>
      <c r="W19" s="66">
        <f t="shared" si="22"/>
        <v>0</v>
      </c>
    </row>
    <row r="20" spans="1:24" ht="16.5" customHeight="1" x14ac:dyDescent="0.25">
      <c r="A20" s="91">
        <v>45000</v>
      </c>
      <c r="B20" s="66">
        <f>Summary!$G$13/31</f>
        <v>153336.46</v>
      </c>
      <c r="C20" s="66">
        <v>24</v>
      </c>
      <c r="D20" s="66">
        <v>16.64</v>
      </c>
      <c r="E20" s="66">
        <f t="shared" si="0"/>
        <v>16.64</v>
      </c>
      <c r="F20" s="66">
        <f t="shared" si="10"/>
        <v>92001.88</v>
      </c>
      <c r="G20" s="66">
        <f t="shared" si="11"/>
        <v>63787.97</v>
      </c>
      <c r="H20" s="66">
        <f t="shared" si="1"/>
        <v>61334.58</v>
      </c>
      <c r="I20" s="66">
        <f t="shared" si="12"/>
        <v>42525.31</v>
      </c>
      <c r="J20" s="66">
        <v>27.41</v>
      </c>
      <c r="K20" s="66">
        <f t="shared" si="13"/>
        <v>21262.66</v>
      </c>
      <c r="L20" s="66">
        <f t="shared" si="14"/>
        <v>0</v>
      </c>
      <c r="M20" s="67">
        <v>150</v>
      </c>
      <c r="N20" s="66">
        <f t="shared" si="15"/>
        <v>6378.8</v>
      </c>
      <c r="O20" s="66">
        <f t="shared" si="16"/>
        <v>0</v>
      </c>
      <c r="P20" s="66">
        <v>38</v>
      </c>
      <c r="Q20" s="66">
        <f t="shared" si="17"/>
        <v>10631.33</v>
      </c>
      <c r="R20" s="66">
        <f t="shared" si="18"/>
        <v>0</v>
      </c>
      <c r="S20" s="67">
        <v>810</v>
      </c>
      <c r="T20" s="66">
        <f t="shared" si="19"/>
        <v>4252.53</v>
      </c>
      <c r="U20" s="66">
        <f t="shared" si="20"/>
        <v>0</v>
      </c>
      <c r="V20" s="66">
        <f t="shared" si="21"/>
        <v>42525.32</v>
      </c>
      <c r="W20" s="66">
        <f t="shared" si="22"/>
        <v>0</v>
      </c>
    </row>
    <row r="21" spans="1:24" ht="16.5" customHeight="1" x14ac:dyDescent="0.25">
      <c r="A21" s="91">
        <v>45001</v>
      </c>
      <c r="B21" s="66">
        <f>Summary!$G$13/31</f>
        <v>153336.46</v>
      </c>
      <c r="C21" s="66">
        <v>24</v>
      </c>
      <c r="D21" s="66">
        <v>18.010000000000002</v>
      </c>
      <c r="E21" s="66">
        <f t="shared" si="0"/>
        <v>18.010000000000002</v>
      </c>
      <c r="F21" s="66">
        <f t="shared" si="10"/>
        <v>92001.88</v>
      </c>
      <c r="G21" s="66">
        <f t="shared" si="11"/>
        <v>69039.740000000005</v>
      </c>
      <c r="H21" s="66">
        <f t="shared" si="1"/>
        <v>61334.58</v>
      </c>
      <c r="I21" s="66">
        <f t="shared" si="12"/>
        <v>46026.49</v>
      </c>
      <c r="J21" s="66">
        <v>28.24</v>
      </c>
      <c r="K21" s="66">
        <f t="shared" si="13"/>
        <v>23013.25</v>
      </c>
      <c r="L21" s="66">
        <f t="shared" si="14"/>
        <v>0</v>
      </c>
      <c r="M21" s="67">
        <v>156</v>
      </c>
      <c r="N21" s="66">
        <f t="shared" si="15"/>
        <v>6903.97</v>
      </c>
      <c r="O21" s="66">
        <f t="shared" si="16"/>
        <v>0</v>
      </c>
      <c r="P21" s="66">
        <v>40.56</v>
      </c>
      <c r="Q21" s="66">
        <f t="shared" si="17"/>
        <v>11506.62</v>
      </c>
      <c r="R21" s="66">
        <f t="shared" si="18"/>
        <v>0</v>
      </c>
      <c r="S21" s="67">
        <v>820</v>
      </c>
      <c r="T21" s="66">
        <f t="shared" si="19"/>
        <v>4602.6499999999996</v>
      </c>
      <c r="U21" s="66">
        <f t="shared" si="20"/>
        <v>0</v>
      </c>
      <c r="V21" s="66">
        <f t="shared" si="21"/>
        <v>46026.49</v>
      </c>
      <c r="W21" s="66">
        <f t="shared" si="22"/>
        <v>0</v>
      </c>
    </row>
    <row r="22" spans="1:24" s="31" customFormat="1" ht="16.5" customHeight="1" x14ac:dyDescent="0.25">
      <c r="A22" s="35">
        <v>45002</v>
      </c>
      <c r="B22" s="28">
        <f>Summary!$G$13/31</f>
        <v>153336.46</v>
      </c>
      <c r="C22" s="28">
        <v>24</v>
      </c>
      <c r="D22" s="28">
        <v>15.64</v>
      </c>
      <c r="E22" s="66">
        <f t="shared" si="0"/>
        <v>15.64</v>
      </c>
      <c r="F22" s="28">
        <f t="shared" si="10"/>
        <v>92001.88</v>
      </c>
      <c r="G22" s="66">
        <f t="shared" si="11"/>
        <v>59954.559999999998</v>
      </c>
      <c r="H22" s="28">
        <f t="shared" si="1"/>
        <v>61334.58</v>
      </c>
      <c r="I22" s="66">
        <f t="shared" si="12"/>
        <v>39969.699999999997</v>
      </c>
      <c r="J22" s="28">
        <v>23</v>
      </c>
      <c r="K22" s="66">
        <f t="shared" si="13"/>
        <v>19984.849999999999</v>
      </c>
      <c r="L22" s="66">
        <f t="shared" si="14"/>
        <v>0</v>
      </c>
      <c r="M22" s="29">
        <v>128</v>
      </c>
      <c r="N22" s="66">
        <f t="shared" si="15"/>
        <v>5995.46</v>
      </c>
      <c r="O22" s="66">
        <f t="shared" si="16"/>
        <v>0</v>
      </c>
      <c r="P22" s="28">
        <v>42</v>
      </c>
      <c r="Q22" s="66">
        <f t="shared" si="17"/>
        <v>9992.43</v>
      </c>
      <c r="R22" s="66">
        <f t="shared" si="18"/>
        <v>0</v>
      </c>
      <c r="S22" s="29">
        <v>610</v>
      </c>
      <c r="T22" s="66">
        <f t="shared" si="19"/>
        <v>3996.97</v>
      </c>
      <c r="U22" s="66">
        <f t="shared" si="20"/>
        <v>0</v>
      </c>
      <c r="V22" s="66">
        <f t="shared" si="21"/>
        <v>39969.71</v>
      </c>
      <c r="W22" s="66">
        <f t="shared" si="22"/>
        <v>0</v>
      </c>
      <c r="X22" s="36" t="s">
        <v>97</v>
      </c>
    </row>
    <row r="23" spans="1:24" ht="16.5" customHeight="1" x14ac:dyDescent="0.25">
      <c r="A23" s="91">
        <v>45003</v>
      </c>
      <c r="B23" s="66">
        <f>Summary!$G$13/31</f>
        <v>153336.46</v>
      </c>
      <c r="C23" s="66">
        <v>24</v>
      </c>
      <c r="D23" s="66">
        <v>16.48</v>
      </c>
      <c r="E23" s="66">
        <f t="shared" si="0"/>
        <v>16.48</v>
      </c>
      <c r="F23" s="66">
        <f t="shared" si="10"/>
        <v>92001.88</v>
      </c>
      <c r="G23" s="66">
        <f t="shared" si="11"/>
        <v>63174.62</v>
      </c>
      <c r="H23" s="66">
        <f t="shared" si="1"/>
        <v>61334.58</v>
      </c>
      <c r="I23" s="66">
        <f t="shared" si="12"/>
        <v>42116.41</v>
      </c>
      <c r="J23" s="66">
        <v>26.77</v>
      </c>
      <c r="K23" s="66">
        <f t="shared" si="13"/>
        <v>21058.21</v>
      </c>
      <c r="L23" s="66">
        <f t="shared" si="14"/>
        <v>0</v>
      </c>
      <c r="M23" s="67">
        <v>146</v>
      </c>
      <c r="N23" s="66">
        <f t="shared" si="15"/>
        <v>6317.46</v>
      </c>
      <c r="O23" s="66">
        <f t="shared" si="16"/>
        <v>0</v>
      </c>
      <c r="P23" s="66">
        <v>40.07</v>
      </c>
      <c r="Q23" s="66">
        <f t="shared" si="17"/>
        <v>10529.1</v>
      </c>
      <c r="R23" s="66">
        <f t="shared" si="18"/>
        <v>0</v>
      </c>
      <c r="S23" s="67">
        <v>790</v>
      </c>
      <c r="T23" s="66">
        <f t="shared" si="19"/>
        <v>4211.6400000000003</v>
      </c>
      <c r="U23" s="66">
        <f t="shared" si="20"/>
        <v>0</v>
      </c>
      <c r="V23" s="66">
        <f t="shared" si="21"/>
        <v>42116.41</v>
      </c>
      <c r="W23" s="66">
        <f t="shared" si="22"/>
        <v>0</v>
      </c>
    </row>
    <row r="24" spans="1:24" ht="16.5" customHeight="1" x14ac:dyDescent="0.25">
      <c r="A24" s="91">
        <v>45004</v>
      </c>
      <c r="B24" s="66">
        <f>Summary!$G$13/31</f>
        <v>153336.46</v>
      </c>
      <c r="C24" s="66">
        <v>24</v>
      </c>
      <c r="D24" s="66">
        <v>16.22</v>
      </c>
      <c r="E24" s="66">
        <f t="shared" si="0"/>
        <v>16.22</v>
      </c>
      <c r="F24" s="66">
        <f t="shared" si="10"/>
        <v>92001.88</v>
      </c>
      <c r="G24" s="66">
        <f t="shared" si="11"/>
        <v>62177.94</v>
      </c>
      <c r="H24" s="66">
        <f t="shared" si="1"/>
        <v>61334.58</v>
      </c>
      <c r="I24" s="66">
        <f t="shared" si="12"/>
        <v>41451.949999999997</v>
      </c>
      <c r="J24" s="66">
        <v>25.82</v>
      </c>
      <c r="K24" s="66">
        <f t="shared" si="13"/>
        <v>20725.98</v>
      </c>
      <c r="L24" s="66">
        <f t="shared" si="14"/>
        <v>0</v>
      </c>
      <c r="M24" s="67">
        <v>128</v>
      </c>
      <c r="N24" s="66">
        <f t="shared" si="15"/>
        <v>6217.79</v>
      </c>
      <c r="O24" s="66">
        <f t="shared" si="16"/>
        <v>0</v>
      </c>
      <c r="P24" s="66">
        <v>30.98</v>
      </c>
      <c r="Q24" s="66">
        <f t="shared" si="17"/>
        <v>10362.99</v>
      </c>
      <c r="R24" s="66">
        <f t="shared" si="18"/>
        <v>0</v>
      </c>
      <c r="S24" s="67">
        <v>740</v>
      </c>
      <c r="T24" s="66">
        <f t="shared" si="19"/>
        <v>4145.2</v>
      </c>
      <c r="U24" s="66">
        <f t="shared" si="20"/>
        <v>0</v>
      </c>
      <c r="V24" s="66">
        <f t="shared" si="21"/>
        <v>41451.96</v>
      </c>
      <c r="W24" s="66">
        <f t="shared" si="22"/>
        <v>0</v>
      </c>
    </row>
    <row r="25" spans="1:24" ht="16.5" customHeight="1" x14ac:dyDescent="0.25">
      <c r="A25" s="91">
        <v>45005</v>
      </c>
      <c r="B25" s="66">
        <f>Summary!$G$13/31</f>
        <v>153336.46</v>
      </c>
      <c r="C25" s="66">
        <v>24</v>
      </c>
      <c r="D25" s="66">
        <v>17.45</v>
      </c>
      <c r="E25" s="66">
        <f t="shared" si="0"/>
        <v>17.45</v>
      </c>
      <c r="F25" s="66">
        <f t="shared" si="10"/>
        <v>92001.88</v>
      </c>
      <c r="G25" s="66">
        <f t="shared" si="11"/>
        <v>66893.03</v>
      </c>
      <c r="H25" s="66">
        <f t="shared" si="1"/>
        <v>61334.58</v>
      </c>
      <c r="I25" s="66">
        <f t="shared" si="12"/>
        <v>44595.35</v>
      </c>
      <c r="J25" s="66">
        <v>24.9</v>
      </c>
      <c r="K25" s="66">
        <f t="shared" si="13"/>
        <v>22297.68</v>
      </c>
      <c r="L25" s="66">
        <f t="shared" si="14"/>
        <v>0</v>
      </c>
      <c r="M25" s="67">
        <v>110</v>
      </c>
      <c r="N25" s="66">
        <f t="shared" si="15"/>
        <v>6689.3</v>
      </c>
      <c r="O25" s="66">
        <f t="shared" si="16"/>
        <v>0</v>
      </c>
      <c r="P25" s="66">
        <v>26.74</v>
      </c>
      <c r="Q25" s="66">
        <f t="shared" si="17"/>
        <v>11148.84</v>
      </c>
      <c r="R25" s="66">
        <f t="shared" si="18"/>
        <v>0</v>
      </c>
      <c r="S25" s="67">
        <v>710</v>
      </c>
      <c r="T25" s="66">
        <f t="shared" si="19"/>
        <v>4459.54</v>
      </c>
      <c r="U25" s="66">
        <f t="shared" si="20"/>
        <v>0</v>
      </c>
      <c r="V25" s="66">
        <f t="shared" si="21"/>
        <v>44595.360000000001</v>
      </c>
      <c r="W25" s="66">
        <f t="shared" si="22"/>
        <v>0</v>
      </c>
    </row>
    <row r="26" spans="1:24" ht="16.5" customHeight="1" x14ac:dyDescent="0.25">
      <c r="A26" s="91">
        <v>45006</v>
      </c>
      <c r="B26" s="66">
        <f>Summary!$G$13/31</f>
        <v>153336.46</v>
      </c>
      <c r="C26" s="66">
        <v>24</v>
      </c>
      <c r="D26" s="66">
        <v>18.07</v>
      </c>
      <c r="E26" s="66">
        <f t="shared" si="0"/>
        <v>18.07</v>
      </c>
      <c r="F26" s="66">
        <f t="shared" si="10"/>
        <v>92001.88</v>
      </c>
      <c r="G26" s="66">
        <f t="shared" si="11"/>
        <v>69269.75</v>
      </c>
      <c r="H26" s="66">
        <f t="shared" si="1"/>
        <v>61334.58</v>
      </c>
      <c r="I26" s="66">
        <f t="shared" si="12"/>
        <v>46179.83</v>
      </c>
      <c r="J26" s="66">
        <v>25.99</v>
      </c>
      <c r="K26" s="66">
        <f t="shared" si="13"/>
        <v>23089.919999999998</v>
      </c>
      <c r="L26" s="66">
        <f t="shared" si="14"/>
        <v>0</v>
      </c>
      <c r="M26" s="67">
        <v>132</v>
      </c>
      <c r="N26" s="66">
        <f t="shared" si="15"/>
        <v>6926.97</v>
      </c>
      <c r="O26" s="66">
        <f t="shared" si="16"/>
        <v>0</v>
      </c>
      <c r="P26" s="66">
        <v>27.94</v>
      </c>
      <c r="Q26" s="66">
        <f t="shared" si="17"/>
        <v>11544.96</v>
      </c>
      <c r="R26" s="66">
        <f t="shared" si="18"/>
        <v>0</v>
      </c>
      <c r="S26" s="67">
        <v>770</v>
      </c>
      <c r="T26" s="66">
        <f t="shared" si="19"/>
        <v>4617.9799999999996</v>
      </c>
      <c r="U26" s="66">
        <f t="shared" si="20"/>
        <v>0</v>
      </c>
      <c r="V26" s="66">
        <f t="shared" si="21"/>
        <v>46179.83</v>
      </c>
      <c r="W26" s="66">
        <f t="shared" si="22"/>
        <v>0</v>
      </c>
    </row>
    <row r="27" spans="1:24" ht="16.5" customHeight="1" x14ac:dyDescent="0.25">
      <c r="A27" s="91">
        <v>45007</v>
      </c>
      <c r="B27" s="66">
        <f>Summary!$G$13/31</f>
        <v>153336.46</v>
      </c>
      <c r="C27" s="66">
        <v>24</v>
      </c>
      <c r="D27" s="66">
        <v>18.5</v>
      </c>
      <c r="E27" s="66">
        <f t="shared" si="0"/>
        <v>18.5</v>
      </c>
      <c r="F27" s="66">
        <f t="shared" si="10"/>
        <v>92001.88</v>
      </c>
      <c r="G27" s="66">
        <f t="shared" si="11"/>
        <v>70918.12</v>
      </c>
      <c r="H27" s="66">
        <f t="shared" si="1"/>
        <v>61334.58</v>
      </c>
      <c r="I27" s="66">
        <f t="shared" si="12"/>
        <v>47278.74</v>
      </c>
      <c r="J27" s="66">
        <v>24.5</v>
      </c>
      <c r="K27" s="66">
        <f t="shared" si="13"/>
        <v>23639.37</v>
      </c>
      <c r="L27" s="66">
        <f t="shared" si="14"/>
        <v>0</v>
      </c>
      <c r="M27" s="67">
        <v>120</v>
      </c>
      <c r="N27" s="66">
        <f t="shared" si="15"/>
        <v>7091.81</v>
      </c>
      <c r="O27" s="66">
        <f t="shared" si="16"/>
        <v>0</v>
      </c>
      <c r="P27" s="66">
        <v>26.06</v>
      </c>
      <c r="Q27" s="66">
        <f t="shared" si="17"/>
        <v>11819.69</v>
      </c>
      <c r="R27" s="66">
        <f t="shared" si="18"/>
        <v>0</v>
      </c>
      <c r="S27" s="67">
        <v>740</v>
      </c>
      <c r="T27" s="66">
        <f t="shared" si="19"/>
        <v>4727.87</v>
      </c>
      <c r="U27" s="66">
        <f t="shared" si="20"/>
        <v>0</v>
      </c>
      <c r="V27" s="66">
        <f t="shared" si="21"/>
        <v>47278.74</v>
      </c>
      <c r="W27" s="66">
        <f t="shared" si="22"/>
        <v>0</v>
      </c>
    </row>
    <row r="28" spans="1:24" ht="16.5" customHeight="1" x14ac:dyDescent="0.25">
      <c r="A28" s="91">
        <v>45008</v>
      </c>
      <c r="B28" s="66">
        <f>Summary!$G$13/31</f>
        <v>153336.46</v>
      </c>
      <c r="C28" s="66">
        <v>24</v>
      </c>
      <c r="D28" s="66">
        <v>15.45</v>
      </c>
      <c r="E28" s="66">
        <f t="shared" si="0"/>
        <v>15.45</v>
      </c>
      <c r="F28" s="66">
        <f t="shared" si="10"/>
        <v>92001.88</v>
      </c>
      <c r="G28" s="66">
        <f t="shared" si="11"/>
        <v>59226.21</v>
      </c>
      <c r="H28" s="66">
        <f t="shared" si="1"/>
        <v>61334.58</v>
      </c>
      <c r="I28" s="66">
        <f t="shared" si="12"/>
        <v>39484.14</v>
      </c>
      <c r="J28" s="66">
        <v>26.3</v>
      </c>
      <c r="K28" s="66">
        <f t="shared" si="13"/>
        <v>19742.07</v>
      </c>
      <c r="L28" s="66">
        <f t="shared" si="14"/>
        <v>0</v>
      </c>
      <c r="M28" s="67">
        <v>136</v>
      </c>
      <c r="N28" s="66">
        <f t="shared" si="15"/>
        <v>5922.62</v>
      </c>
      <c r="O28" s="66">
        <f t="shared" si="16"/>
        <v>0</v>
      </c>
      <c r="P28" s="66">
        <v>28.67</v>
      </c>
      <c r="Q28" s="66">
        <f t="shared" si="17"/>
        <v>9871.0400000000009</v>
      </c>
      <c r="R28" s="66">
        <f t="shared" si="18"/>
        <v>0</v>
      </c>
      <c r="S28" s="67">
        <v>790</v>
      </c>
      <c r="T28" s="66">
        <f t="shared" si="19"/>
        <v>3948.41</v>
      </c>
      <c r="U28" s="66">
        <f t="shared" si="20"/>
        <v>0</v>
      </c>
      <c r="V28" s="66">
        <f t="shared" si="21"/>
        <v>39484.14</v>
      </c>
      <c r="W28" s="66">
        <f t="shared" si="22"/>
        <v>0</v>
      </c>
    </row>
    <row r="29" spans="1:24" ht="16.5" customHeight="1" x14ac:dyDescent="0.25">
      <c r="A29" s="91">
        <v>45009</v>
      </c>
      <c r="B29" s="66">
        <f>Summary!$G$13/31</f>
        <v>153336.46</v>
      </c>
      <c r="C29" s="66">
        <v>24</v>
      </c>
      <c r="D29" s="66">
        <v>18.260000000000002</v>
      </c>
      <c r="E29" s="66">
        <f t="shared" si="0"/>
        <v>18.260000000000002</v>
      </c>
      <c r="F29" s="66">
        <f t="shared" si="10"/>
        <v>92001.88</v>
      </c>
      <c r="G29" s="66">
        <f t="shared" si="11"/>
        <v>69998.100000000006</v>
      </c>
      <c r="H29" s="66">
        <f t="shared" si="1"/>
        <v>61334.58</v>
      </c>
      <c r="I29" s="66">
        <f t="shared" si="12"/>
        <v>46665.39</v>
      </c>
      <c r="J29" s="66">
        <v>25.86</v>
      </c>
      <c r="K29" s="66">
        <f t="shared" si="13"/>
        <v>23332.7</v>
      </c>
      <c r="L29" s="66">
        <f t="shared" si="14"/>
        <v>0</v>
      </c>
      <c r="M29" s="67">
        <v>132</v>
      </c>
      <c r="N29" s="66">
        <f t="shared" si="15"/>
        <v>6999.81</v>
      </c>
      <c r="O29" s="66">
        <f t="shared" si="16"/>
        <v>0</v>
      </c>
      <c r="P29" s="66">
        <v>27.9</v>
      </c>
      <c r="Q29" s="66">
        <f t="shared" si="17"/>
        <v>11666.35</v>
      </c>
      <c r="R29" s="66">
        <f t="shared" si="18"/>
        <v>0</v>
      </c>
      <c r="S29" s="67">
        <v>760</v>
      </c>
      <c r="T29" s="66">
        <f t="shared" si="19"/>
        <v>4666.54</v>
      </c>
      <c r="U29" s="66">
        <f t="shared" si="20"/>
        <v>0</v>
      </c>
      <c r="V29" s="66">
        <f t="shared" si="21"/>
        <v>46665.4</v>
      </c>
      <c r="W29" s="66">
        <f t="shared" si="22"/>
        <v>0</v>
      </c>
    </row>
    <row r="30" spans="1:24" s="31" customFormat="1" ht="16.5" customHeight="1" x14ac:dyDescent="0.25">
      <c r="A30" s="35">
        <v>45010</v>
      </c>
      <c r="B30" s="28">
        <f>Summary!$G$13/31</f>
        <v>153336.46</v>
      </c>
      <c r="C30" s="28">
        <v>24</v>
      </c>
      <c r="D30" s="28">
        <v>17.559999999999999</v>
      </c>
      <c r="E30" s="66">
        <f t="shared" si="0"/>
        <v>17.559999999999999</v>
      </c>
      <c r="F30" s="28">
        <f t="shared" si="10"/>
        <v>92001.88</v>
      </c>
      <c r="G30" s="66">
        <f t="shared" si="11"/>
        <v>67314.710000000006</v>
      </c>
      <c r="H30" s="28">
        <f t="shared" si="1"/>
        <v>61334.58</v>
      </c>
      <c r="I30" s="66">
        <f t="shared" si="12"/>
        <v>44876.47</v>
      </c>
      <c r="J30" s="28">
        <v>23</v>
      </c>
      <c r="K30" s="66">
        <f t="shared" si="13"/>
        <v>22438.240000000002</v>
      </c>
      <c r="L30" s="66">
        <f t="shared" si="14"/>
        <v>0</v>
      </c>
      <c r="M30" s="29">
        <v>128</v>
      </c>
      <c r="N30" s="66">
        <f t="shared" si="15"/>
        <v>6731.47</v>
      </c>
      <c r="O30" s="66">
        <f t="shared" si="16"/>
        <v>0</v>
      </c>
      <c r="P30" s="28">
        <v>42</v>
      </c>
      <c r="Q30" s="66">
        <f t="shared" si="17"/>
        <v>11219.12</v>
      </c>
      <c r="R30" s="66">
        <f t="shared" si="18"/>
        <v>0</v>
      </c>
      <c r="S30" s="29">
        <v>610</v>
      </c>
      <c r="T30" s="66">
        <f t="shared" si="19"/>
        <v>4487.6499999999996</v>
      </c>
      <c r="U30" s="66">
        <f t="shared" si="20"/>
        <v>0</v>
      </c>
      <c r="V30" s="66">
        <f t="shared" si="21"/>
        <v>44876.480000000003</v>
      </c>
      <c r="W30" s="66">
        <f t="shared" si="22"/>
        <v>0</v>
      </c>
      <c r="X30" s="36" t="s">
        <v>97</v>
      </c>
    </row>
    <row r="31" spans="1:24" ht="16.5" customHeight="1" x14ac:dyDescent="0.25">
      <c r="A31" s="91">
        <v>45011</v>
      </c>
      <c r="B31" s="66">
        <f>Summary!$G$13/31</f>
        <v>153336.46</v>
      </c>
      <c r="C31" s="66">
        <v>24</v>
      </c>
      <c r="D31" s="66">
        <v>17.39</v>
      </c>
      <c r="E31" s="66">
        <f t="shared" si="0"/>
        <v>17.39</v>
      </c>
      <c r="F31" s="66">
        <f t="shared" si="10"/>
        <v>92001.88</v>
      </c>
      <c r="G31" s="66">
        <f t="shared" si="11"/>
        <v>66663.03</v>
      </c>
      <c r="H31" s="66">
        <f t="shared" si="1"/>
        <v>61334.58</v>
      </c>
      <c r="I31" s="66">
        <f t="shared" si="12"/>
        <v>44442.01</v>
      </c>
      <c r="J31" s="66">
        <v>28.04</v>
      </c>
      <c r="K31" s="66">
        <f t="shared" si="13"/>
        <v>22221.01</v>
      </c>
      <c r="L31" s="66">
        <f t="shared" si="14"/>
        <v>0</v>
      </c>
      <c r="M31" s="67">
        <v>152</v>
      </c>
      <c r="N31" s="66">
        <f t="shared" si="15"/>
        <v>6666.3</v>
      </c>
      <c r="O31" s="66">
        <f t="shared" si="16"/>
        <v>0</v>
      </c>
      <c r="P31" s="66">
        <v>32.4</v>
      </c>
      <c r="Q31" s="66">
        <f t="shared" si="17"/>
        <v>11110.5</v>
      </c>
      <c r="R31" s="66">
        <f t="shared" si="18"/>
        <v>0</v>
      </c>
      <c r="S31" s="67">
        <v>840</v>
      </c>
      <c r="T31" s="66">
        <f t="shared" si="19"/>
        <v>4444.2</v>
      </c>
      <c r="U31" s="66">
        <f t="shared" si="20"/>
        <v>0</v>
      </c>
      <c r="V31" s="66">
        <f t="shared" si="21"/>
        <v>44442.01</v>
      </c>
      <c r="W31" s="66">
        <f t="shared" si="22"/>
        <v>0</v>
      </c>
    </row>
    <row r="32" spans="1:24" ht="16.5" customHeight="1" x14ac:dyDescent="0.25">
      <c r="A32" s="91">
        <v>45012</v>
      </c>
      <c r="B32" s="66">
        <f>Summary!$G$13/31</f>
        <v>153336.46</v>
      </c>
      <c r="C32" s="66">
        <v>24</v>
      </c>
      <c r="D32" s="66">
        <v>16.579999999999998</v>
      </c>
      <c r="E32" s="66">
        <f t="shared" si="0"/>
        <v>16.579999999999998</v>
      </c>
      <c r="F32" s="66">
        <f t="shared" si="10"/>
        <v>92001.88</v>
      </c>
      <c r="G32" s="66">
        <f t="shared" si="11"/>
        <v>63557.97</v>
      </c>
      <c r="H32" s="66">
        <f t="shared" si="1"/>
        <v>61334.58</v>
      </c>
      <c r="I32" s="66">
        <f t="shared" si="12"/>
        <v>42371.97</v>
      </c>
      <c r="J32" s="66">
        <v>27.56</v>
      </c>
      <c r="K32" s="66">
        <f t="shared" si="13"/>
        <v>21185.99</v>
      </c>
      <c r="L32" s="66">
        <f t="shared" si="14"/>
        <v>0</v>
      </c>
      <c r="M32" s="67">
        <v>145</v>
      </c>
      <c r="N32" s="66">
        <f t="shared" si="15"/>
        <v>6355.8</v>
      </c>
      <c r="O32" s="66">
        <f t="shared" si="16"/>
        <v>0</v>
      </c>
      <c r="P32" s="66">
        <v>31.76</v>
      </c>
      <c r="Q32" s="66">
        <f t="shared" si="17"/>
        <v>10592.99</v>
      </c>
      <c r="R32" s="66">
        <f t="shared" si="18"/>
        <v>0</v>
      </c>
      <c r="S32" s="67">
        <v>800</v>
      </c>
      <c r="T32" s="66">
        <f t="shared" si="19"/>
        <v>4237.2</v>
      </c>
      <c r="U32" s="66">
        <f t="shared" si="20"/>
        <v>0</v>
      </c>
      <c r="V32" s="66">
        <f t="shared" si="21"/>
        <v>42371.98</v>
      </c>
      <c r="W32" s="66">
        <f t="shared" si="22"/>
        <v>0</v>
      </c>
    </row>
    <row r="33" spans="1:24" ht="16.5" customHeight="1" x14ac:dyDescent="0.25">
      <c r="A33" s="91">
        <v>45013</v>
      </c>
      <c r="B33" s="66">
        <f>Summary!$G$13/31</f>
        <v>153336.46</v>
      </c>
      <c r="C33" s="66">
        <v>24</v>
      </c>
      <c r="D33" s="66">
        <v>17.14</v>
      </c>
      <c r="E33" s="66">
        <f t="shared" si="0"/>
        <v>17.14</v>
      </c>
      <c r="F33" s="66">
        <f t="shared" si="10"/>
        <v>92001.88</v>
      </c>
      <c r="G33" s="66">
        <f t="shared" si="11"/>
        <v>65704.679999999993</v>
      </c>
      <c r="H33" s="66">
        <f t="shared" si="1"/>
        <v>61334.58</v>
      </c>
      <c r="I33" s="66">
        <f t="shared" si="12"/>
        <v>43803.11</v>
      </c>
      <c r="J33" s="66">
        <v>26.72</v>
      </c>
      <c r="K33" s="66">
        <f t="shared" si="13"/>
        <v>21901.56</v>
      </c>
      <c r="L33" s="66">
        <f t="shared" si="14"/>
        <v>0</v>
      </c>
      <c r="M33" s="67">
        <v>136</v>
      </c>
      <c r="N33" s="66">
        <f t="shared" si="15"/>
        <v>6570.47</v>
      </c>
      <c r="O33" s="66">
        <f t="shared" si="16"/>
        <v>0</v>
      </c>
      <c r="P33" s="66">
        <v>29.06</v>
      </c>
      <c r="Q33" s="66">
        <f t="shared" si="17"/>
        <v>10950.78</v>
      </c>
      <c r="R33" s="66">
        <f t="shared" si="18"/>
        <v>0</v>
      </c>
      <c r="S33" s="67">
        <v>770</v>
      </c>
      <c r="T33" s="66">
        <f t="shared" si="19"/>
        <v>4380.3100000000004</v>
      </c>
      <c r="U33" s="66">
        <f t="shared" si="20"/>
        <v>0</v>
      </c>
      <c r="V33" s="66">
        <f t="shared" si="21"/>
        <v>43803.12</v>
      </c>
      <c r="W33" s="66">
        <f t="shared" si="22"/>
        <v>0</v>
      </c>
    </row>
    <row r="34" spans="1:24" ht="16.5" customHeight="1" x14ac:dyDescent="0.25">
      <c r="A34" s="91">
        <v>45014</v>
      </c>
      <c r="B34" s="66">
        <f>Summary!$G$13/31</f>
        <v>153336.46</v>
      </c>
      <c r="C34" s="66">
        <v>24</v>
      </c>
      <c r="D34" s="66">
        <v>18.18</v>
      </c>
      <c r="E34" s="66">
        <f t="shared" si="0"/>
        <v>18.18</v>
      </c>
      <c r="F34" s="66">
        <f t="shared" si="10"/>
        <v>92001.88</v>
      </c>
      <c r="G34" s="66">
        <f t="shared" si="11"/>
        <v>69691.42</v>
      </c>
      <c r="H34" s="66">
        <f t="shared" si="1"/>
        <v>61334.58</v>
      </c>
      <c r="I34" s="66">
        <f t="shared" si="12"/>
        <v>46460.94</v>
      </c>
      <c r="J34" s="66">
        <v>25.99</v>
      </c>
      <c r="K34" s="66">
        <f t="shared" si="13"/>
        <v>23230.47</v>
      </c>
      <c r="L34" s="66">
        <f t="shared" si="14"/>
        <v>0</v>
      </c>
      <c r="M34" s="106">
        <v>130</v>
      </c>
      <c r="N34" s="66">
        <f t="shared" si="15"/>
        <v>6969.14</v>
      </c>
      <c r="O34" s="66">
        <f t="shared" si="16"/>
        <v>0</v>
      </c>
      <c r="P34" s="66">
        <v>28.11</v>
      </c>
      <c r="Q34" s="66">
        <f t="shared" si="17"/>
        <v>11615.24</v>
      </c>
      <c r="R34" s="66">
        <f t="shared" si="18"/>
        <v>0</v>
      </c>
      <c r="S34" s="67">
        <v>740</v>
      </c>
      <c r="T34" s="66">
        <f t="shared" si="19"/>
        <v>4646.09</v>
      </c>
      <c r="U34" s="66">
        <f t="shared" si="20"/>
        <v>0</v>
      </c>
      <c r="V34" s="66">
        <f t="shared" si="21"/>
        <v>46460.94</v>
      </c>
      <c r="W34" s="66">
        <f t="shared" si="22"/>
        <v>0</v>
      </c>
    </row>
    <row r="35" spans="1:24" ht="16.5" customHeight="1" x14ac:dyDescent="0.25">
      <c r="A35" s="91">
        <v>45015</v>
      </c>
      <c r="B35" s="66">
        <f>Summary!$G$13/31</f>
        <v>153336.46</v>
      </c>
      <c r="C35" s="66">
        <v>24</v>
      </c>
      <c r="D35" s="66">
        <v>17.3</v>
      </c>
      <c r="E35" s="66">
        <f t="shared" si="0"/>
        <v>17.3</v>
      </c>
      <c r="F35" s="66">
        <f t="shared" ref="F35:F36" si="23">B35*60%</f>
        <v>92001.88</v>
      </c>
      <c r="G35" s="66">
        <f t="shared" si="11"/>
        <v>66318.02</v>
      </c>
      <c r="H35" s="66">
        <f t="shared" ref="H35:H36" si="24">B35*40%</f>
        <v>61334.58</v>
      </c>
      <c r="I35" s="66">
        <f t="shared" si="12"/>
        <v>44212.01</v>
      </c>
      <c r="J35" s="66">
        <v>27</v>
      </c>
      <c r="K35" s="66">
        <f t="shared" si="13"/>
        <v>22106.01</v>
      </c>
      <c r="L35" s="66">
        <f t="shared" si="14"/>
        <v>0</v>
      </c>
      <c r="M35" s="67">
        <v>140</v>
      </c>
      <c r="N35" s="66">
        <f t="shared" si="15"/>
        <v>6631.8</v>
      </c>
      <c r="O35" s="66">
        <f t="shared" si="16"/>
        <v>0</v>
      </c>
      <c r="P35" s="66">
        <v>30.48</v>
      </c>
      <c r="Q35" s="66">
        <f t="shared" si="17"/>
        <v>11053</v>
      </c>
      <c r="R35" s="66">
        <f t="shared" si="18"/>
        <v>0</v>
      </c>
      <c r="S35" s="67">
        <v>780</v>
      </c>
      <c r="T35" s="66">
        <f t="shared" si="19"/>
        <v>4421.2</v>
      </c>
      <c r="U35" s="66">
        <f t="shared" si="20"/>
        <v>0</v>
      </c>
      <c r="V35" s="66">
        <f t="shared" si="21"/>
        <v>44212.01</v>
      </c>
      <c r="W35" s="66">
        <f t="shared" si="22"/>
        <v>0</v>
      </c>
    </row>
    <row r="36" spans="1:24" ht="16.5" customHeight="1" x14ac:dyDescent="0.25">
      <c r="A36" s="91">
        <v>45016</v>
      </c>
      <c r="B36" s="66">
        <f>Summary!$G$13/31</f>
        <v>153336.46</v>
      </c>
      <c r="C36" s="66">
        <v>24</v>
      </c>
      <c r="D36" s="66">
        <v>17.29</v>
      </c>
      <c r="E36" s="66">
        <f t="shared" si="0"/>
        <v>17.29</v>
      </c>
      <c r="F36" s="66">
        <f t="shared" si="23"/>
        <v>92001.88</v>
      </c>
      <c r="G36" s="66">
        <f t="shared" si="11"/>
        <v>66279.69</v>
      </c>
      <c r="H36" s="66">
        <f t="shared" si="24"/>
        <v>61334.58</v>
      </c>
      <c r="I36" s="66">
        <f t="shared" si="12"/>
        <v>44186.45</v>
      </c>
      <c r="J36" s="66">
        <v>26.62</v>
      </c>
      <c r="K36" s="66">
        <f t="shared" si="13"/>
        <v>22093.23</v>
      </c>
      <c r="L36" s="66">
        <f t="shared" si="14"/>
        <v>0</v>
      </c>
      <c r="M36" s="67">
        <v>132</v>
      </c>
      <c r="N36" s="66">
        <f t="shared" si="15"/>
        <v>6627.97</v>
      </c>
      <c r="O36" s="66">
        <f t="shared" si="16"/>
        <v>0</v>
      </c>
      <c r="P36" s="66">
        <v>28.95</v>
      </c>
      <c r="Q36" s="66">
        <f t="shared" si="17"/>
        <v>11046.61</v>
      </c>
      <c r="R36" s="66">
        <f t="shared" si="18"/>
        <v>0</v>
      </c>
      <c r="S36" s="67">
        <v>760</v>
      </c>
      <c r="T36" s="66">
        <f t="shared" si="19"/>
        <v>4418.6499999999996</v>
      </c>
      <c r="U36" s="66">
        <f t="shared" si="20"/>
        <v>0</v>
      </c>
      <c r="V36" s="66">
        <f t="shared" si="21"/>
        <v>44186.46</v>
      </c>
      <c r="W36" s="66">
        <f t="shared" si="22"/>
        <v>0</v>
      </c>
    </row>
    <row r="37" spans="1:24" s="1" customFormat="1" x14ac:dyDescent="0.25">
      <c r="A37" s="58" t="s">
        <v>30</v>
      </c>
      <c r="B37" s="71">
        <f>SUM(B6:B36)</f>
        <v>4753430.26</v>
      </c>
      <c r="C37" s="71"/>
      <c r="D37" s="71">
        <f>AVERAGE(D6:D36)</f>
        <v>16.89</v>
      </c>
      <c r="E37" s="71"/>
      <c r="F37" s="71">
        <f t="shared" ref="F37:W37" si="25">SUM(F6:F36)</f>
        <v>2852058.28</v>
      </c>
      <c r="G37" s="71">
        <f>SUM(G6:G36)</f>
        <v>2006791</v>
      </c>
      <c r="H37" s="71">
        <f t="shared" si="25"/>
        <v>1901371.98</v>
      </c>
      <c r="I37" s="71">
        <f t="shared" si="25"/>
        <v>1337860.52</v>
      </c>
      <c r="J37" s="71"/>
      <c r="K37" s="71">
        <f t="shared" si="25"/>
        <v>668930.36</v>
      </c>
      <c r="L37" s="71">
        <f t="shared" si="25"/>
        <v>0</v>
      </c>
      <c r="M37" s="71"/>
      <c r="N37" s="71">
        <f t="shared" si="25"/>
        <v>200679.07</v>
      </c>
      <c r="O37" s="71">
        <f t="shared" si="25"/>
        <v>0</v>
      </c>
      <c r="P37" s="71"/>
      <c r="Q37" s="71">
        <f t="shared" si="25"/>
        <v>334465.18</v>
      </c>
      <c r="R37" s="71">
        <f t="shared" si="25"/>
        <v>0</v>
      </c>
      <c r="S37" s="71"/>
      <c r="T37" s="71">
        <f t="shared" si="25"/>
        <v>133786.07999999999</v>
      </c>
      <c r="U37" s="71">
        <f t="shared" si="25"/>
        <v>0</v>
      </c>
      <c r="V37" s="71">
        <f t="shared" si="25"/>
        <v>1337860.69</v>
      </c>
      <c r="W37" s="71">
        <f t="shared" si="25"/>
        <v>0</v>
      </c>
      <c r="X37" s="61"/>
    </row>
    <row r="38" spans="1:24" x14ac:dyDescent="0.25">
      <c r="A38" s="58"/>
      <c r="B38" s="86" t="s">
        <v>71</v>
      </c>
      <c r="C38" s="66"/>
      <c r="D38" s="58"/>
      <c r="E38" s="58"/>
      <c r="F38" s="66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107">
        <f>G37+V37</f>
        <v>3344651.69</v>
      </c>
      <c r="W38" s="59"/>
    </row>
    <row r="39" spans="1:24" x14ac:dyDescent="0.25">
      <c r="V39" s="88"/>
    </row>
    <row r="40" spans="1:24" x14ac:dyDescent="0.25">
      <c r="C40" s="88"/>
    </row>
    <row r="41" spans="1:24" x14ac:dyDescent="0.25">
      <c r="U41" s="88"/>
    </row>
    <row r="42" spans="1:24" x14ac:dyDescent="0.25">
      <c r="C42" s="88">
        <f>B37/31</f>
        <v>153336.46</v>
      </c>
    </row>
  </sheetData>
  <mergeCells count="16">
    <mergeCell ref="J4:L4"/>
    <mergeCell ref="W4:W5"/>
    <mergeCell ref="D4:D5"/>
    <mergeCell ref="V4:V5"/>
    <mergeCell ref="A1:V1"/>
    <mergeCell ref="F3:G3"/>
    <mergeCell ref="H3:V3"/>
    <mergeCell ref="B4:B5"/>
    <mergeCell ref="A4:A5"/>
    <mergeCell ref="F4:F5"/>
    <mergeCell ref="G4:G5"/>
    <mergeCell ref="H4:H5"/>
    <mergeCell ref="C3:D3"/>
    <mergeCell ref="C4:C5"/>
    <mergeCell ref="I4:I5"/>
    <mergeCell ref="E4:E5"/>
  </mergeCells>
  <pageMargins left="0.25" right="0.25" top="0.75" bottom="0.75" header="0.3" footer="0.3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C40"/>
  <sheetViews>
    <sheetView topLeftCell="A17" zoomScaleNormal="100" workbookViewId="0">
      <pane xSplit="1" topLeftCell="H1" activePane="topRight" state="frozen"/>
      <selection activeCell="A6" sqref="A6:A36"/>
      <selection pane="topRight" activeCell="V6" sqref="V6:W36"/>
    </sheetView>
  </sheetViews>
  <sheetFormatPr defaultColWidth="9.140625" defaultRowHeight="15.75" x14ac:dyDescent="0.25"/>
  <cols>
    <col min="1" max="1" width="10.140625" style="73" customWidth="1"/>
    <col min="2" max="2" width="15.140625" style="73" customWidth="1"/>
    <col min="3" max="3" width="8.5703125" style="73" customWidth="1"/>
    <col min="4" max="4" width="9.28515625" style="73" bestFit="1" customWidth="1"/>
    <col min="5" max="5" width="11" style="73" bestFit="1" customWidth="1"/>
    <col min="6" max="6" width="13.140625" style="73" customWidth="1"/>
    <col min="7" max="7" width="12.7109375" style="73" bestFit="1" customWidth="1"/>
    <col min="8" max="8" width="11.85546875" style="73" bestFit="1" customWidth="1"/>
    <col min="9" max="9" width="12.7109375" style="73" bestFit="1" customWidth="1"/>
    <col min="10" max="10" width="9.28515625" style="73" customWidth="1"/>
    <col min="11" max="11" width="11.85546875" style="73" bestFit="1" customWidth="1"/>
    <col min="12" max="12" width="11.85546875" style="73" customWidth="1"/>
    <col min="13" max="13" width="9.28515625" style="73" customWidth="1"/>
    <col min="14" max="14" width="10.7109375" style="73" bestFit="1" customWidth="1"/>
    <col min="15" max="15" width="10.7109375" style="73" customWidth="1"/>
    <col min="16" max="16" width="9.140625" style="73" customWidth="1"/>
    <col min="17" max="17" width="10.7109375" style="73" bestFit="1" customWidth="1"/>
    <col min="18" max="18" width="10.7109375" style="73" customWidth="1"/>
    <col min="19" max="19" width="9" style="73" customWidth="1"/>
    <col min="20" max="20" width="9.5703125" style="73" customWidth="1"/>
    <col min="21" max="21" width="10.7109375" style="73" customWidth="1"/>
    <col min="22" max="22" width="12.85546875" style="73" bestFit="1" customWidth="1"/>
    <col min="23" max="23" width="12" bestFit="1" customWidth="1"/>
    <col min="24" max="24" width="9.140625" style="55"/>
  </cols>
  <sheetData>
    <row r="1" spans="1:29" ht="18.75" x14ac:dyDescent="0.3">
      <c r="A1" s="146" t="str">
        <f>Summary!A1</f>
        <v>AGRA Payment for the month of JANUARY 2023 (As Per VoL -1, Section IV, Clause 39)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5"/>
      <c r="Y1" s="5"/>
      <c r="Z1" s="5"/>
      <c r="AA1" s="5"/>
      <c r="AB1" s="5"/>
      <c r="AC1" s="5"/>
    </row>
    <row r="2" spans="1:29" ht="18.75" x14ac:dyDescent="0.3">
      <c r="A2" s="54">
        <v>1</v>
      </c>
      <c r="B2" s="54">
        <v>2</v>
      </c>
      <c r="C2" s="54">
        <v>3</v>
      </c>
      <c r="D2" s="54">
        <v>4</v>
      </c>
      <c r="E2" s="5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  <c r="K2" s="54">
        <v>11</v>
      </c>
      <c r="L2" s="54">
        <v>12</v>
      </c>
      <c r="M2" s="54">
        <v>13</v>
      </c>
      <c r="N2" s="54">
        <v>14</v>
      </c>
      <c r="O2" s="54">
        <v>15</v>
      </c>
      <c r="P2" s="54">
        <v>16</v>
      </c>
      <c r="Q2" s="54">
        <v>17</v>
      </c>
      <c r="R2" s="54">
        <v>18</v>
      </c>
      <c r="S2" s="54">
        <v>19</v>
      </c>
      <c r="T2" s="54">
        <v>20</v>
      </c>
      <c r="U2" s="54">
        <v>21</v>
      </c>
      <c r="V2" s="54">
        <v>22</v>
      </c>
      <c r="W2" s="54">
        <v>23</v>
      </c>
      <c r="X2" s="56"/>
      <c r="Y2" s="57"/>
      <c r="Z2" s="57"/>
      <c r="AA2" s="57"/>
      <c r="AB2" s="57"/>
      <c r="AC2" s="57"/>
    </row>
    <row r="3" spans="1:29" x14ac:dyDescent="0.25">
      <c r="A3" s="58"/>
      <c r="B3" s="58"/>
      <c r="C3" s="147" t="s">
        <v>25</v>
      </c>
      <c r="D3" s="147"/>
      <c r="E3" s="58"/>
      <c r="F3" s="147" t="s">
        <v>73</v>
      </c>
      <c r="G3" s="147"/>
      <c r="H3" s="147" t="s">
        <v>29</v>
      </c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58"/>
      <c r="V3" s="58"/>
      <c r="W3" s="59"/>
    </row>
    <row r="4" spans="1:29" s="62" customFormat="1" ht="14.25" customHeight="1" x14ac:dyDescent="0.25">
      <c r="A4" s="147" t="s">
        <v>23</v>
      </c>
      <c r="B4" s="148" t="s">
        <v>31</v>
      </c>
      <c r="C4" s="148" t="s">
        <v>35</v>
      </c>
      <c r="D4" s="148" t="s">
        <v>37</v>
      </c>
      <c r="E4" s="148" t="s">
        <v>36</v>
      </c>
      <c r="F4" s="147" t="s">
        <v>26</v>
      </c>
      <c r="G4" s="147" t="s">
        <v>27</v>
      </c>
      <c r="H4" s="147" t="s">
        <v>32</v>
      </c>
      <c r="I4" s="147" t="s">
        <v>27</v>
      </c>
      <c r="J4" s="147" t="s">
        <v>15</v>
      </c>
      <c r="K4" s="147"/>
      <c r="L4" s="147"/>
      <c r="M4" s="147" t="s">
        <v>17</v>
      </c>
      <c r="N4" s="147"/>
      <c r="O4" s="147"/>
      <c r="P4" s="147" t="s">
        <v>16</v>
      </c>
      <c r="Q4" s="147"/>
      <c r="R4" s="147"/>
      <c r="S4" s="147" t="s">
        <v>22</v>
      </c>
      <c r="T4" s="147"/>
      <c r="U4" s="147"/>
      <c r="V4" s="148" t="s">
        <v>33</v>
      </c>
      <c r="W4" s="147" t="s">
        <v>43</v>
      </c>
      <c r="X4" s="61"/>
    </row>
    <row r="5" spans="1:29" s="104" customFormat="1" ht="30" x14ac:dyDescent="0.25">
      <c r="A5" s="147"/>
      <c r="B5" s="148"/>
      <c r="C5" s="148"/>
      <c r="D5" s="147"/>
      <c r="E5" s="147"/>
      <c r="F5" s="147"/>
      <c r="G5" s="147"/>
      <c r="H5" s="147"/>
      <c r="I5" s="147"/>
      <c r="J5" s="77" t="s">
        <v>42</v>
      </c>
      <c r="K5" s="95">
        <v>0.5</v>
      </c>
      <c r="L5" s="95" t="s">
        <v>43</v>
      </c>
      <c r="M5" s="77" t="s">
        <v>42</v>
      </c>
      <c r="N5" s="95">
        <v>0.15</v>
      </c>
      <c r="O5" s="95" t="s">
        <v>43</v>
      </c>
      <c r="P5" s="77" t="s">
        <v>42</v>
      </c>
      <c r="Q5" s="95">
        <v>0.25</v>
      </c>
      <c r="R5" s="95" t="s">
        <v>43</v>
      </c>
      <c r="S5" s="77" t="s">
        <v>42</v>
      </c>
      <c r="T5" s="95">
        <v>0.1</v>
      </c>
      <c r="U5" s="95" t="s">
        <v>43</v>
      </c>
      <c r="V5" s="148"/>
      <c r="W5" s="147"/>
      <c r="X5" s="103"/>
    </row>
    <row r="6" spans="1:29" x14ac:dyDescent="0.25">
      <c r="A6" s="91">
        <v>44986</v>
      </c>
      <c r="B6" s="66">
        <f>Summary!$G$12/31</f>
        <v>255560.76</v>
      </c>
      <c r="C6" s="66">
        <v>40</v>
      </c>
      <c r="D6" s="66">
        <v>27.26</v>
      </c>
      <c r="E6" s="66">
        <f>MIN(D6,C6)</f>
        <v>27.26</v>
      </c>
      <c r="F6" s="66">
        <f>B6*60%</f>
        <v>153336.46</v>
      </c>
      <c r="G6" s="66">
        <f>(F6*E6)/C6</f>
        <v>104498.8</v>
      </c>
      <c r="H6" s="66">
        <f>B6*40%</f>
        <v>102224.3</v>
      </c>
      <c r="I6" s="66">
        <f>(H6*E6)/C6</f>
        <v>69665.86</v>
      </c>
      <c r="J6" s="66">
        <v>26.64</v>
      </c>
      <c r="K6" s="66">
        <f>I6*50%</f>
        <v>34832.93</v>
      </c>
      <c r="L6" s="66">
        <f t="shared" ref="L6" si="0">IF(J6&gt;30,(MAX($B$37*0.1/100,10000)),0)</f>
        <v>0</v>
      </c>
      <c r="M6" s="67">
        <v>176</v>
      </c>
      <c r="N6" s="66">
        <f t="shared" ref="N6" si="1">I6*15%</f>
        <v>10449.879999999999</v>
      </c>
      <c r="O6" s="66">
        <f t="shared" ref="O6" si="2">IF(M6&gt;250,(MAX($B$37*0.1/100,10000)),0)</f>
        <v>0</v>
      </c>
      <c r="P6" s="66">
        <v>37.44</v>
      </c>
      <c r="Q6" s="66">
        <f t="shared" ref="Q6" si="3">I6*25%</f>
        <v>17416.47</v>
      </c>
      <c r="R6" s="66">
        <f t="shared" ref="R6" si="4">IF(P6&gt;50,(MAX($B$37*0.1/100,10000)),0)</f>
        <v>0</v>
      </c>
      <c r="S6" s="67">
        <v>630</v>
      </c>
      <c r="T6" s="66">
        <f>I6*10%</f>
        <v>6966.59</v>
      </c>
      <c r="U6" s="66">
        <f t="shared" ref="U6" si="5">IF(S6&gt;1000,(MAX($B$37*0.1/100,10000)),0)</f>
        <v>0</v>
      </c>
      <c r="V6" s="66">
        <f>T6+Q6+N6+K6</f>
        <v>69665.87</v>
      </c>
      <c r="W6" s="66">
        <f>U6+R6+O6+L6</f>
        <v>0</v>
      </c>
    </row>
    <row r="7" spans="1:29" x14ac:dyDescent="0.25">
      <c r="A7" s="91">
        <v>44987</v>
      </c>
      <c r="B7" s="66">
        <f>Summary!$G$12/31</f>
        <v>255560.76</v>
      </c>
      <c r="C7" s="66">
        <v>40</v>
      </c>
      <c r="D7" s="66">
        <v>26.87</v>
      </c>
      <c r="E7" s="66">
        <f t="shared" ref="E7:E36" si="6">MIN(D7,C7)</f>
        <v>26.87</v>
      </c>
      <c r="F7" s="66">
        <f t="shared" ref="F7:F34" si="7">B7*60%</f>
        <v>153336.46</v>
      </c>
      <c r="G7" s="66">
        <f t="shared" ref="G7:G36" si="8">(F7*E7)/C7</f>
        <v>103003.77</v>
      </c>
      <c r="H7" s="66">
        <f t="shared" ref="H7:H34" si="9">B7*40%</f>
        <v>102224.3</v>
      </c>
      <c r="I7" s="66">
        <f t="shared" ref="I7:I36" si="10">(H7*E7)/C7</f>
        <v>68669.17</v>
      </c>
      <c r="J7" s="66">
        <v>26.2</v>
      </c>
      <c r="K7" s="66">
        <f t="shared" ref="K7:K36" si="11">I7*50%</f>
        <v>34334.589999999997</v>
      </c>
      <c r="L7" s="66">
        <f t="shared" ref="L7:L36" si="12">IF(J7&gt;30,(MAX($B$37*0.1/100,10000)),0)</f>
        <v>0</v>
      </c>
      <c r="M7" s="67">
        <v>178</v>
      </c>
      <c r="N7" s="66">
        <f t="shared" ref="N7:N35" si="13">I7*15%</f>
        <v>10300.379999999999</v>
      </c>
      <c r="O7" s="66">
        <f t="shared" ref="O7:O35" si="14">IF(M7&gt;250,(MAX($B$37*0.1/100,10000)),0)</f>
        <v>0</v>
      </c>
      <c r="P7" s="66">
        <v>36.1</v>
      </c>
      <c r="Q7" s="66">
        <f t="shared" ref="Q7:Q36" si="15">I7*25%</f>
        <v>17167.29</v>
      </c>
      <c r="R7" s="66">
        <f t="shared" ref="R7:R36" si="16">IF(P7&gt;50,(MAX($B$37*0.1/100,10000)),0)</f>
        <v>0</v>
      </c>
      <c r="S7" s="67">
        <v>650</v>
      </c>
      <c r="T7" s="66">
        <f t="shared" ref="T7:T36" si="17">I7*10%</f>
        <v>6866.92</v>
      </c>
      <c r="U7" s="66">
        <f t="shared" ref="U7:U36" si="18">IF(S7&gt;1000,(MAX($B$37*0.1/100,10000)),0)</f>
        <v>0</v>
      </c>
      <c r="V7" s="66">
        <f t="shared" ref="V7:V36" si="19">T7+Q7+N7+K7</f>
        <v>68669.179999999993</v>
      </c>
      <c r="W7" s="66">
        <f t="shared" ref="W7:W36" si="20">U7+R7+O7+L7</f>
        <v>0</v>
      </c>
    </row>
    <row r="8" spans="1:29" x14ac:dyDescent="0.25">
      <c r="A8" s="91">
        <v>44988</v>
      </c>
      <c r="B8" s="66">
        <f>Summary!$G$12/31</f>
        <v>255560.76</v>
      </c>
      <c r="C8" s="66">
        <v>40</v>
      </c>
      <c r="D8" s="66">
        <v>26.09</v>
      </c>
      <c r="E8" s="66">
        <f t="shared" si="6"/>
        <v>26.09</v>
      </c>
      <c r="F8" s="66">
        <f t="shared" si="7"/>
        <v>153336.46</v>
      </c>
      <c r="G8" s="66">
        <f t="shared" si="8"/>
        <v>100013.71</v>
      </c>
      <c r="H8" s="66">
        <f t="shared" si="9"/>
        <v>102224.3</v>
      </c>
      <c r="I8" s="66">
        <f t="shared" si="10"/>
        <v>66675.8</v>
      </c>
      <c r="J8" s="66">
        <v>26.4</v>
      </c>
      <c r="K8" s="66">
        <f t="shared" si="11"/>
        <v>33337.9</v>
      </c>
      <c r="L8" s="66">
        <f t="shared" si="12"/>
        <v>0</v>
      </c>
      <c r="M8" s="67">
        <v>180</v>
      </c>
      <c r="N8" s="66">
        <f t="shared" si="13"/>
        <v>10001.370000000001</v>
      </c>
      <c r="O8" s="66">
        <f t="shared" si="14"/>
        <v>0</v>
      </c>
      <c r="P8" s="66">
        <v>37.42</v>
      </c>
      <c r="Q8" s="66">
        <f t="shared" si="15"/>
        <v>16668.95</v>
      </c>
      <c r="R8" s="66">
        <f t="shared" si="16"/>
        <v>0</v>
      </c>
      <c r="S8" s="67">
        <v>640</v>
      </c>
      <c r="T8" s="66">
        <f t="shared" si="17"/>
        <v>6667.58</v>
      </c>
      <c r="U8" s="66">
        <f t="shared" si="18"/>
        <v>0</v>
      </c>
      <c r="V8" s="66">
        <f t="shared" si="19"/>
        <v>66675.8</v>
      </c>
      <c r="W8" s="66">
        <f t="shared" si="20"/>
        <v>0</v>
      </c>
    </row>
    <row r="9" spans="1:29" s="31" customFormat="1" x14ac:dyDescent="0.25">
      <c r="A9" s="35">
        <v>44989</v>
      </c>
      <c r="B9" s="28">
        <f>Summary!$G$12/31</f>
        <v>255560.76</v>
      </c>
      <c r="C9" s="28">
        <v>40</v>
      </c>
      <c r="D9" s="28">
        <v>27.17</v>
      </c>
      <c r="E9" s="66">
        <f t="shared" si="6"/>
        <v>27.17</v>
      </c>
      <c r="F9" s="28">
        <f t="shared" si="7"/>
        <v>153336.46</v>
      </c>
      <c r="G9" s="66">
        <f t="shared" si="8"/>
        <v>104153.79</v>
      </c>
      <c r="H9" s="28">
        <f t="shared" si="9"/>
        <v>102224.3</v>
      </c>
      <c r="I9" s="66">
        <f t="shared" si="10"/>
        <v>69435.86</v>
      </c>
      <c r="J9" s="110">
        <v>23</v>
      </c>
      <c r="K9" s="66">
        <f t="shared" si="11"/>
        <v>34717.93</v>
      </c>
      <c r="L9" s="66">
        <f t="shared" si="12"/>
        <v>0</v>
      </c>
      <c r="M9" s="29">
        <v>136</v>
      </c>
      <c r="N9" s="66">
        <f t="shared" si="13"/>
        <v>10415.379999999999</v>
      </c>
      <c r="O9" s="66">
        <f t="shared" si="14"/>
        <v>0</v>
      </c>
      <c r="P9" s="28">
        <v>38</v>
      </c>
      <c r="Q9" s="66">
        <f t="shared" si="15"/>
        <v>17358.97</v>
      </c>
      <c r="R9" s="66">
        <f t="shared" si="16"/>
        <v>0</v>
      </c>
      <c r="S9" s="29">
        <v>820</v>
      </c>
      <c r="T9" s="66">
        <f t="shared" si="17"/>
        <v>6943.59</v>
      </c>
      <c r="U9" s="66">
        <f t="shared" si="18"/>
        <v>0</v>
      </c>
      <c r="V9" s="66">
        <f t="shared" si="19"/>
        <v>69435.87</v>
      </c>
      <c r="W9" s="66">
        <f t="shared" si="20"/>
        <v>0</v>
      </c>
      <c r="X9" s="30" t="s">
        <v>97</v>
      </c>
    </row>
    <row r="10" spans="1:29" x14ac:dyDescent="0.25">
      <c r="A10" s="91">
        <v>44990</v>
      </c>
      <c r="B10" s="66">
        <f>Summary!$G$12/31</f>
        <v>255560.76</v>
      </c>
      <c r="C10" s="66">
        <v>40</v>
      </c>
      <c r="D10" s="66">
        <v>27.3</v>
      </c>
      <c r="E10" s="66">
        <f t="shared" si="6"/>
        <v>27.3</v>
      </c>
      <c r="F10" s="66">
        <f t="shared" si="7"/>
        <v>153336.46</v>
      </c>
      <c r="G10" s="66">
        <f t="shared" si="8"/>
        <v>104652.13</v>
      </c>
      <c r="H10" s="66">
        <f t="shared" si="9"/>
        <v>102224.3</v>
      </c>
      <c r="I10" s="66">
        <f t="shared" si="10"/>
        <v>69768.08</v>
      </c>
      <c r="J10" s="66">
        <v>24.6</v>
      </c>
      <c r="K10" s="66">
        <f t="shared" si="11"/>
        <v>34884.04</v>
      </c>
      <c r="L10" s="66">
        <f t="shared" si="12"/>
        <v>0</v>
      </c>
      <c r="M10" s="67">
        <v>168</v>
      </c>
      <c r="N10" s="66">
        <f t="shared" si="13"/>
        <v>10465.209999999999</v>
      </c>
      <c r="O10" s="66">
        <f t="shared" si="14"/>
        <v>0</v>
      </c>
      <c r="P10" s="66">
        <v>36.04</v>
      </c>
      <c r="Q10" s="66">
        <f t="shared" si="15"/>
        <v>17442.02</v>
      </c>
      <c r="R10" s="66">
        <f t="shared" si="16"/>
        <v>0</v>
      </c>
      <c r="S10" s="67">
        <v>660</v>
      </c>
      <c r="T10" s="66">
        <f t="shared" si="17"/>
        <v>6976.81</v>
      </c>
      <c r="U10" s="66">
        <f t="shared" si="18"/>
        <v>0</v>
      </c>
      <c r="V10" s="66">
        <f t="shared" si="19"/>
        <v>69768.08</v>
      </c>
      <c r="W10" s="66">
        <f t="shared" si="20"/>
        <v>0</v>
      </c>
      <c r="X10" s="61"/>
    </row>
    <row r="11" spans="1:29" x14ac:dyDescent="0.25">
      <c r="A11" s="91">
        <v>44991</v>
      </c>
      <c r="B11" s="66">
        <f>Summary!$G$12/31</f>
        <v>255560.76</v>
      </c>
      <c r="C11" s="66">
        <v>40</v>
      </c>
      <c r="D11" s="66">
        <v>27.17</v>
      </c>
      <c r="E11" s="66">
        <f t="shared" si="6"/>
        <v>27.17</v>
      </c>
      <c r="F11" s="66">
        <f t="shared" si="7"/>
        <v>153336.46</v>
      </c>
      <c r="G11" s="66">
        <f t="shared" si="8"/>
        <v>104153.79</v>
      </c>
      <c r="H11" s="66">
        <f t="shared" si="9"/>
        <v>102224.3</v>
      </c>
      <c r="I11" s="66">
        <f t="shared" si="10"/>
        <v>69435.86</v>
      </c>
      <c r="J11" s="66">
        <v>24.72</v>
      </c>
      <c r="K11" s="66">
        <f t="shared" si="11"/>
        <v>34717.93</v>
      </c>
      <c r="L11" s="66">
        <f t="shared" si="12"/>
        <v>0</v>
      </c>
      <c r="M11" s="67">
        <v>162</v>
      </c>
      <c r="N11" s="66">
        <f t="shared" si="13"/>
        <v>10415.379999999999</v>
      </c>
      <c r="O11" s="66">
        <f t="shared" si="14"/>
        <v>0</v>
      </c>
      <c r="P11" s="66">
        <v>35.36</v>
      </c>
      <c r="Q11" s="66">
        <f t="shared" si="15"/>
        <v>17358.97</v>
      </c>
      <c r="R11" s="66">
        <f t="shared" si="16"/>
        <v>0</v>
      </c>
      <c r="S11" s="67">
        <v>640</v>
      </c>
      <c r="T11" s="66">
        <f t="shared" si="17"/>
        <v>6943.59</v>
      </c>
      <c r="U11" s="66">
        <f t="shared" si="18"/>
        <v>0</v>
      </c>
      <c r="V11" s="66">
        <f t="shared" si="19"/>
        <v>69435.87</v>
      </c>
      <c r="W11" s="66">
        <f t="shared" si="20"/>
        <v>0</v>
      </c>
    </row>
    <row r="12" spans="1:29" x14ac:dyDescent="0.25">
      <c r="A12" s="91">
        <v>44992</v>
      </c>
      <c r="B12" s="66">
        <f>Summary!$G$12/31</f>
        <v>255560.76</v>
      </c>
      <c r="C12" s="66">
        <v>40</v>
      </c>
      <c r="D12" s="66">
        <v>27.56</v>
      </c>
      <c r="E12" s="66">
        <f t="shared" si="6"/>
        <v>27.56</v>
      </c>
      <c r="F12" s="66">
        <f t="shared" si="7"/>
        <v>153336.46</v>
      </c>
      <c r="G12" s="66">
        <f t="shared" si="8"/>
        <v>105648.82</v>
      </c>
      <c r="H12" s="66">
        <f t="shared" si="9"/>
        <v>102224.3</v>
      </c>
      <c r="I12" s="66">
        <f t="shared" si="10"/>
        <v>70432.539999999994</v>
      </c>
      <c r="J12" s="66">
        <v>24.75</v>
      </c>
      <c r="K12" s="66">
        <f t="shared" si="11"/>
        <v>35216.269999999997</v>
      </c>
      <c r="L12" s="66">
        <f t="shared" si="12"/>
        <v>0</v>
      </c>
      <c r="M12" s="67">
        <v>172</v>
      </c>
      <c r="N12" s="66">
        <f t="shared" si="13"/>
        <v>10564.88</v>
      </c>
      <c r="O12" s="66">
        <f t="shared" si="14"/>
        <v>0</v>
      </c>
      <c r="P12" s="66">
        <v>36.26</v>
      </c>
      <c r="Q12" s="66">
        <f t="shared" si="15"/>
        <v>17608.14</v>
      </c>
      <c r="R12" s="66">
        <f t="shared" si="16"/>
        <v>0</v>
      </c>
      <c r="S12" s="67">
        <v>660</v>
      </c>
      <c r="T12" s="66">
        <f t="shared" si="17"/>
        <v>7043.25</v>
      </c>
      <c r="U12" s="66">
        <f t="shared" si="18"/>
        <v>0</v>
      </c>
      <c r="V12" s="66">
        <f t="shared" si="19"/>
        <v>70432.539999999994</v>
      </c>
      <c r="W12" s="66">
        <f t="shared" si="20"/>
        <v>0</v>
      </c>
    </row>
    <row r="13" spans="1:29" x14ac:dyDescent="0.25">
      <c r="A13" s="91">
        <v>44993</v>
      </c>
      <c r="B13" s="66">
        <f>Summary!$G$12/31</f>
        <v>255560.76</v>
      </c>
      <c r="C13" s="66">
        <v>40</v>
      </c>
      <c r="D13" s="66">
        <v>27.95</v>
      </c>
      <c r="E13" s="66">
        <f t="shared" si="6"/>
        <v>27.95</v>
      </c>
      <c r="F13" s="66">
        <f t="shared" si="7"/>
        <v>153336.46</v>
      </c>
      <c r="G13" s="66">
        <f t="shared" si="8"/>
        <v>107143.85</v>
      </c>
      <c r="H13" s="66">
        <f t="shared" si="9"/>
        <v>102224.3</v>
      </c>
      <c r="I13" s="66">
        <f t="shared" si="10"/>
        <v>71429.23</v>
      </c>
      <c r="J13" s="66">
        <v>24.48</v>
      </c>
      <c r="K13" s="66">
        <f t="shared" si="11"/>
        <v>35714.620000000003</v>
      </c>
      <c r="L13" s="66">
        <f t="shared" si="12"/>
        <v>0</v>
      </c>
      <c r="M13" s="67">
        <v>164</v>
      </c>
      <c r="N13" s="66">
        <f t="shared" si="13"/>
        <v>10714.38</v>
      </c>
      <c r="O13" s="66">
        <f t="shared" si="14"/>
        <v>0</v>
      </c>
      <c r="P13" s="66">
        <v>34.96</v>
      </c>
      <c r="Q13" s="66">
        <f t="shared" si="15"/>
        <v>17857.310000000001</v>
      </c>
      <c r="R13" s="66">
        <f t="shared" si="16"/>
        <v>0</v>
      </c>
      <c r="S13" s="67">
        <v>650</v>
      </c>
      <c r="T13" s="66">
        <f t="shared" si="17"/>
        <v>7142.92</v>
      </c>
      <c r="U13" s="66">
        <f t="shared" si="18"/>
        <v>0</v>
      </c>
      <c r="V13" s="66">
        <f t="shared" si="19"/>
        <v>71429.23</v>
      </c>
      <c r="W13" s="66">
        <f t="shared" si="20"/>
        <v>0</v>
      </c>
    </row>
    <row r="14" spans="1:29" x14ac:dyDescent="0.25">
      <c r="A14" s="91">
        <v>44994</v>
      </c>
      <c r="B14" s="66">
        <f>Summary!$G$12/31</f>
        <v>255560.76</v>
      </c>
      <c r="C14" s="66">
        <v>40</v>
      </c>
      <c r="D14" s="66">
        <v>26.09</v>
      </c>
      <c r="E14" s="66">
        <f t="shared" si="6"/>
        <v>26.09</v>
      </c>
      <c r="F14" s="66">
        <f t="shared" si="7"/>
        <v>153336.46</v>
      </c>
      <c r="G14" s="66">
        <f t="shared" si="8"/>
        <v>100013.71</v>
      </c>
      <c r="H14" s="66">
        <f t="shared" si="9"/>
        <v>102224.3</v>
      </c>
      <c r="I14" s="66">
        <f t="shared" si="10"/>
        <v>66675.8</v>
      </c>
      <c r="J14" s="66">
        <v>26.86</v>
      </c>
      <c r="K14" s="66">
        <f t="shared" si="11"/>
        <v>33337.9</v>
      </c>
      <c r="L14" s="66">
        <f t="shared" si="12"/>
        <v>0</v>
      </c>
      <c r="M14" s="67">
        <v>176</v>
      </c>
      <c r="N14" s="66">
        <f t="shared" si="13"/>
        <v>10001.370000000001</v>
      </c>
      <c r="O14" s="66">
        <f t="shared" si="14"/>
        <v>0</v>
      </c>
      <c r="P14" s="66">
        <v>36.659999999999997</v>
      </c>
      <c r="Q14" s="66">
        <f t="shared" si="15"/>
        <v>16668.95</v>
      </c>
      <c r="R14" s="66">
        <f t="shared" si="16"/>
        <v>0</v>
      </c>
      <c r="S14" s="67">
        <v>630</v>
      </c>
      <c r="T14" s="66">
        <f t="shared" si="17"/>
        <v>6667.58</v>
      </c>
      <c r="U14" s="66">
        <f t="shared" si="18"/>
        <v>0</v>
      </c>
      <c r="V14" s="66">
        <f t="shared" si="19"/>
        <v>66675.8</v>
      </c>
      <c r="W14" s="66">
        <f t="shared" si="20"/>
        <v>0</v>
      </c>
    </row>
    <row r="15" spans="1:29" s="31" customFormat="1" x14ac:dyDescent="0.25">
      <c r="A15" s="35">
        <v>44995</v>
      </c>
      <c r="B15" s="28">
        <f>Summary!$G$12/31</f>
        <v>255560.76</v>
      </c>
      <c r="C15" s="28">
        <v>40</v>
      </c>
      <c r="D15" s="28">
        <v>27</v>
      </c>
      <c r="E15" s="66">
        <f t="shared" si="6"/>
        <v>27</v>
      </c>
      <c r="F15" s="28">
        <f t="shared" si="7"/>
        <v>153336.46</v>
      </c>
      <c r="G15" s="66">
        <f t="shared" si="8"/>
        <v>103502.11</v>
      </c>
      <c r="H15" s="28">
        <f t="shared" si="9"/>
        <v>102224.3</v>
      </c>
      <c r="I15" s="66">
        <f t="shared" si="10"/>
        <v>69001.399999999994</v>
      </c>
      <c r="J15" s="28">
        <v>24</v>
      </c>
      <c r="K15" s="66">
        <f t="shared" si="11"/>
        <v>34500.699999999997</v>
      </c>
      <c r="L15" s="66">
        <f t="shared" si="12"/>
        <v>0</v>
      </c>
      <c r="M15" s="29">
        <v>152</v>
      </c>
      <c r="N15" s="66">
        <f t="shared" si="13"/>
        <v>10350.209999999999</v>
      </c>
      <c r="O15" s="66">
        <f t="shared" si="14"/>
        <v>0</v>
      </c>
      <c r="P15" s="28">
        <v>42</v>
      </c>
      <c r="Q15" s="66">
        <f t="shared" si="15"/>
        <v>17250.349999999999</v>
      </c>
      <c r="R15" s="66">
        <f t="shared" si="16"/>
        <v>0</v>
      </c>
      <c r="S15" s="29">
        <v>930</v>
      </c>
      <c r="T15" s="66">
        <f t="shared" si="17"/>
        <v>6900.14</v>
      </c>
      <c r="U15" s="66">
        <f t="shared" si="18"/>
        <v>0</v>
      </c>
      <c r="V15" s="66">
        <f t="shared" si="19"/>
        <v>69001.399999999994</v>
      </c>
      <c r="W15" s="66">
        <f t="shared" si="20"/>
        <v>0</v>
      </c>
      <c r="X15" s="30" t="s">
        <v>97</v>
      </c>
    </row>
    <row r="16" spans="1:29" x14ac:dyDescent="0.25">
      <c r="A16" s="91">
        <v>44996</v>
      </c>
      <c r="B16" s="66">
        <f>Summary!$G$12/31</f>
        <v>255560.76</v>
      </c>
      <c r="C16" s="66">
        <v>40</v>
      </c>
      <c r="D16" s="66">
        <v>27.26</v>
      </c>
      <c r="E16" s="66">
        <f t="shared" si="6"/>
        <v>27.26</v>
      </c>
      <c r="F16" s="66">
        <f t="shared" si="7"/>
        <v>153336.46</v>
      </c>
      <c r="G16" s="66">
        <f t="shared" si="8"/>
        <v>104498.8</v>
      </c>
      <c r="H16" s="66">
        <f t="shared" si="9"/>
        <v>102224.3</v>
      </c>
      <c r="I16" s="66">
        <f t="shared" si="10"/>
        <v>69665.86</v>
      </c>
      <c r="J16" s="66">
        <v>25.4</v>
      </c>
      <c r="K16" s="66">
        <f t="shared" si="11"/>
        <v>34832.93</v>
      </c>
      <c r="L16" s="66">
        <f t="shared" si="12"/>
        <v>0</v>
      </c>
      <c r="M16" s="67">
        <v>172</v>
      </c>
      <c r="N16" s="66">
        <f t="shared" si="13"/>
        <v>10449.879999999999</v>
      </c>
      <c r="O16" s="66">
        <f t="shared" si="14"/>
        <v>0</v>
      </c>
      <c r="P16" s="66">
        <v>36.380000000000003</v>
      </c>
      <c r="Q16" s="66">
        <f t="shared" si="15"/>
        <v>17416.47</v>
      </c>
      <c r="R16" s="66">
        <f t="shared" si="16"/>
        <v>0</v>
      </c>
      <c r="S16" s="67">
        <v>640</v>
      </c>
      <c r="T16" s="66">
        <f t="shared" si="17"/>
        <v>6966.59</v>
      </c>
      <c r="U16" s="66">
        <f t="shared" si="18"/>
        <v>0</v>
      </c>
      <c r="V16" s="66">
        <f t="shared" si="19"/>
        <v>69665.87</v>
      </c>
      <c r="W16" s="66">
        <f t="shared" si="20"/>
        <v>0</v>
      </c>
    </row>
    <row r="17" spans="1:24" x14ac:dyDescent="0.25">
      <c r="A17" s="91">
        <v>44997</v>
      </c>
      <c r="B17" s="66">
        <f>Summary!$G$12/31</f>
        <v>255560.76</v>
      </c>
      <c r="C17" s="66">
        <v>40</v>
      </c>
      <c r="D17" s="66">
        <v>26.91</v>
      </c>
      <c r="E17" s="66">
        <f t="shared" si="6"/>
        <v>26.91</v>
      </c>
      <c r="F17" s="66">
        <f t="shared" si="7"/>
        <v>153336.46</v>
      </c>
      <c r="G17" s="66">
        <f t="shared" si="8"/>
        <v>103157.1</v>
      </c>
      <c r="H17" s="66">
        <f t="shared" si="9"/>
        <v>102224.3</v>
      </c>
      <c r="I17" s="66">
        <f t="shared" si="10"/>
        <v>68771.399999999994</v>
      </c>
      <c r="J17" s="66">
        <v>26.14</v>
      </c>
      <c r="K17" s="66">
        <f t="shared" si="11"/>
        <v>34385.699999999997</v>
      </c>
      <c r="L17" s="66">
        <f t="shared" si="12"/>
        <v>0</v>
      </c>
      <c r="M17" s="67">
        <v>175</v>
      </c>
      <c r="N17" s="66">
        <f t="shared" si="13"/>
        <v>10315.709999999999</v>
      </c>
      <c r="O17" s="66">
        <f t="shared" si="14"/>
        <v>0</v>
      </c>
      <c r="P17" s="66">
        <v>38.04</v>
      </c>
      <c r="Q17" s="66">
        <f t="shared" si="15"/>
        <v>17192.849999999999</v>
      </c>
      <c r="R17" s="66">
        <f t="shared" si="16"/>
        <v>0</v>
      </c>
      <c r="S17" s="67">
        <v>630</v>
      </c>
      <c r="T17" s="66">
        <f t="shared" si="17"/>
        <v>6877.14</v>
      </c>
      <c r="U17" s="66">
        <f t="shared" si="18"/>
        <v>0</v>
      </c>
      <c r="V17" s="66">
        <f t="shared" si="19"/>
        <v>68771.399999999994</v>
      </c>
      <c r="W17" s="66">
        <f t="shared" si="20"/>
        <v>0</v>
      </c>
    </row>
    <row r="18" spans="1:24" x14ac:dyDescent="0.25">
      <c r="A18" s="91">
        <v>44998</v>
      </c>
      <c r="B18" s="66">
        <f>Summary!$G$12/31</f>
        <v>255560.76</v>
      </c>
      <c r="C18" s="66">
        <v>40</v>
      </c>
      <c r="D18" s="66">
        <v>27.17</v>
      </c>
      <c r="E18" s="66">
        <f t="shared" si="6"/>
        <v>27.17</v>
      </c>
      <c r="F18" s="66">
        <f t="shared" si="7"/>
        <v>153336.46</v>
      </c>
      <c r="G18" s="66">
        <f t="shared" si="8"/>
        <v>104153.79</v>
      </c>
      <c r="H18" s="66">
        <f t="shared" si="9"/>
        <v>102224.3</v>
      </c>
      <c r="I18" s="66">
        <f t="shared" si="10"/>
        <v>69435.86</v>
      </c>
      <c r="J18" s="66">
        <v>25.02</v>
      </c>
      <c r="K18" s="66">
        <f t="shared" si="11"/>
        <v>34717.93</v>
      </c>
      <c r="L18" s="66">
        <f t="shared" si="12"/>
        <v>0</v>
      </c>
      <c r="M18" s="67">
        <v>170</v>
      </c>
      <c r="N18" s="66">
        <f t="shared" si="13"/>
        <v>10415.379999999999</v>
      </c>
      <c r="O18" s="66">
        <f t="shared" si="14"/>
        <v>0</v>
      </c>
      <c r="P18" s="66">
        <v>38.72</v>
      </c>
      <c r="Q18" s="66">
        <f t="shared" si="15"/>
        <v>17358.97</v>
      </c>
      <c r="R18" s="66">
        <f t="shared" si="16"/>
        <v>0</v>
      </c>
      <c r="S18" s="67">
        <v>660</v>
      </c>
      <c r="T18" s="66">
        <f t="shared" si="17"/>
        <v>6943.59</v>
      </c>
      <c r="U18" s="66">
        <f t="shared" si="18"/>
        <v>0</v>
      </c>
      <c r="V18" s="66">
        <f t="shared" si="19"/>
        <v>69435.87</v>
      </c>
      <c r="W18" s="66">
        <f t="shared" si="20"/>
        <v>0</v>
      </c>
    </row>
    <row r="19" spans="1:24" x14ac:dyDescent="0.25">
      <c r="A19" s="91">
        <v>44999</v>
      </c>
      <c r="B19" s="66">
        <f>Summary!$G$12/31</f>
        <v>255560.76</v>
      </c>
      <c r="C19" s="66">
        <v>40</v>
      </c>
      <c r="D19" s="66">
        <v>26.74</v>
      </c>
      <c r="E19" s="66">
        <f t="shared" si="6"/>
        <v>26.74</v>
      </c>
      <c r="F19" s="66">
        <f t="shared" si="7"/>
        <v>153336.46</v>
      </c>
      <c r="G19" s="66">
        <f t="shared" si="8"/>
        <v>102505.42</v>
      </c>
      <c r="H19" s="66">
        <f t="shared" si="9"/>
        <v>102224.3</v>
      </c>
      <c r="I19" s="66">
        <f t="shared" si="10"/>
        <v>68336.94</v>
      </c>
      <c r="J19" s="66">
        <v>25.12</v>
      </c>
      <c r="K19" s="66">
        <f t="shared" si="11"/>
        <v>34168.47</v>
      </c>
      <c r="L19" s="66">
        <f t="shared" si="12"/>
        <v>0</v>
      </c>
      <c r="M19" s="67">
        <v>174</v>
      </c>
      <c r="N19" s="66">
        <f t="shared" si="13"/>
        <v>10250.540000000001</v>
      </c>
      <c r="O19" s="66">
        <f t="shared" si="14"/>
        <v>0</v>
      </c>
      <c r="P19" s="66">
        <v>37.979999999999997</v>
      </c>
      <c r="Q19" s="66">
        <f t="shared" si="15"/>
        <v>17084.240000000002</v>
      </c>
      <c r="R19" s="66">
        <f t="shared" si="16"/>
        <v>0</v>
      </c>
      <c r="S19" s="67">
        <v>640</v>
      </c>
      <c r="T19" s="66">
        <f t="shared" si="17"/>
        <v>6833.69</v>
      </c>
      <c r="U19" s="66">
        <f t="shared" si="18"/>
        <v>0</v>
      </c>
      <c r="V19" s="66">
        <f t="shared" si="19"/>
        <v>68336.94</v>
      </c>
      <c r="W19" s="66">
        <f t="shared" si="20"/>
        <v>0</v>
      </c>
    </row>
    <row r="20" spans="1:24" x14ac:dyDescent="0.25">
      <c r="A20" s="91">
        <v>45000</v>
      </c>
      <c r="B20" s="66">
        <f>Summary!$G$12/31</f>
        <v>255560.76</v>
      </c>
      <c r="C20" s="66">
        <v>40</v>
      </c>
      <c r="D20" s="66">
        <v>26.87</v>
      </c>
      <c r="E20" s="66">
        <f t="shared" si="6"/>
        <v>26.87</v>
      </c>
      <c r="F20" s="66">
        <f t="shared" si="7"/>
        <v>153336.46</v>
      </c>
      <c r="G20" s="66">
        <f t="shared" si="8"/>
        <v>103003.77</v>
      </c>
      <c r="H20" s="66">
        <f t="shared" si="9"/>
        <v>102224.3</v>
      </c>
      <c r="I20" s="66">
        <f t="shared" si="10"/>
        <v>68669.17</v>
      </c>
      <c r="J20" s="66">
        <v>26.08</v>
      </c>
      <c r="K20" s="66">
        <f t="shared" si="11"/>
        <v>34334.589999999997</v>
      </c>
      <c r="L20" s="66">
        <f t="shared" si="12"/>
        <v>0</v>
      </c>
      <c r="M20" s="67">
        <v>172</v>
      </c>
      <c r="N20" s="66">
        <f t="shared" si="13"/>
        <v>10300.379999999999</v>
      </c>
      <c r="O20" s="66">
        <f t="shared" si="14"/>
        <v>0</v>
      </c>
      <c r="P20" s="66">
        <v>35.64</v>
      </c>
      <c r="Q20" s="66">
        <f t="shared" si="15"/>
        <v>17167.29</v>
      </c>
      <c r="R20" s="66">
        <f t="shared" si="16"/>
        <v>0</v>
      </c>
      <c r="S20" s="67">
        <v>650</v>
      </c>
      <c r="T20" s="66">
        <f t="shared" si="17"/>
        <v>6866.92</v>
      </c>
      <c r="U20" s="66">
        <f t="shared" si="18"/>
        <v>0</v>
      </c>
      <c r="V20" s="66">
        <f t="shared" si="19"/>
        <v>68669.179999999993</v>
      </c>
      <c r="W20" s="66">
        <f t="shared" si="20"/>
        <v>0</v>
      </c>
    </row>
    <row r="21" spans="1:24" x14ac:dyDescent="0.25">
      <c r="A21" s="91">
        <v>45001</v>
      </c>
      <c r="B21" s="66">
        <f>Summary!$G$12/31</f>
        <v>255560.76</v>
      </c>
      <c r="C21" s="66">
        <v>40</v>
      </c>
      <c r="D21" s="66">
        <v>27.04</v>
      </c>
      <c r="E21" s="66">
        <f t="shared" si="6"/>
        <v>27.04</v>
      </c>
      <c r="F21" s="66">
        <f t="shared" si="7"/>
        <v>153336.46</v>
      </c>
      <c r="G21" s="66">
        <f t="shared" si="8"/>
        <v>103655.45</v>
      </c>
      <c r="H21" s="66">
        <f t="shared" si="9"/>
        <v>102224.3</v>
      </c>
      <c r="I21" s="66">
        <f t="shared" si="10"/>
        <v>69103.63</v>
      </c>
      <c r="J21" s="66">
        <v>26.34</v>
      </c>
      <c r="K21" s="66">
        <f t="shared" si="11"/>
        <v>34551.82</v>
      </c>
      <c r="L21" s="66">
        <f t="shared" si="12"/>
        <v>0</v>
      </c>
      <c r="M21" s="67">
        <v>178</v>
      </c>
      <c r="N21" s="66">
        <f t="shared" si="13"/>
        <v>10365.540000000001</v>
      </c>
      <c r="O21" s="66">
        <f t="shared" si="14"/>
        <v>0</v>
      </c>
      <c r="P21" s="66">
        <v>37.979999999999997</v>
      </c>
      <c r="Q21" s="66">
        <f t="shared" si="15"/>
        <v>17275.91</v>
      </c>
      <c r="R21" s="66">
        <f t="shared" si="16"/>
        <v>0</v>
      </c>
      <c r="S21" s="67">
        <v>670</v>
      </c>
      <c r="T21" s="66">
        <f t="shared" si="17"/>
        <v>6910.36</v>
      </c>
      <c r="U21" s="66">
        <f t="shared" si="18"/>
        <v>0</v>
      </c>
      <c r="V21" s="66">
        <f t="shared" si="19"/>
        <v>69103.63</v>
      </c>
      <c r="W21" s="66">
        <f t="shared" si="20"/>
        <v>0</v>
      </c>
    </row>
    <row r="22" spans="1:24" s="31" customFormat="1" x14ac:dyDescent="0.25">
      <c r="A22" s="35">
        <v>45002</v>
      </c>
      <c r="B22" s="28">
        <f>Summary!$G$12/31</f>
        <v>255560.76</v>
      </c>
      <c r="C22" s="28">
        <v>40</v>
      </c>
      <c r="D22" s="28">
        <v>26.65</v>
      </c>
      <c r="E22" s="66">
        <f t="shared" si="6"/>
        <v>26.65</v>
      </c>
      <c r="F22" s="28">
        <f t="shared" si="7"/>
        <v>153336.46</v>
      </c>
      <c r="G22" s="66">
        <f t="shared" si="8"/>
        <v>102160.42</v>
      </c>
      <c r="H22" s="28">
        <f t="shared" si="9"/>
        <v>102224.3</v>
      </c>
      <c r="I22" s="66">
        <f t="shared" si="10"/>
        <v>68106.94</v>
      </c>
      <c r="J22" s="28">
        <v>25</v>
      </c>
      <c r="K22" s="66">
        <f t="shared" si="11"/>
        <v>34053.47</v>
      </c>
      <c r="L22" s="66">
        <f t="shared" si="12"/>
        <v>0</v>
      </c>
      <c r="M22" s="29">
        <v>136</v>
      </c>
      <c r="N22" s="66">
        <f t="shared" si="13"/>
        <v>10216.040000000001</v>
      </c>
      <c r="O22" s="66">
        <f t="shared" si="14"/>
        <v>0</v>
      </c>
      <c r="P22" s="28">
        <v>42</v>
      </c>
      <c r="Q22" s="66">
        <f t="shared" si="15"/>
        <v>17026.740000000002</v>
      </c>
      <c r="R22" s="66">
        <f t="shared" si="16"/>
        <v>0</v>
      </c>
      <c r="S22" s="29">
        <v>920</v>
      </c>
      <c r="T22" s="66">
        <f t="shared" si="17"/>
        <v>6810.69</v>
      </c>
      <c r="U22" s="66">
        <f t="shared" si="18"/>
        <v>0</v>
      </c>
      <c r="V22" s="66">
        <f t="shared" si="19"/>
        <v>68106.94</v>
      </c>
      <c r="W22" s="66">
        <f t="shared" si="20"/>
        <v>0</v>
      </c>
      <c r="X22" s="30" t="s">
        <v>97</v>
      </c>
    </row>
    <row r="23" spans="1:24" x14ac:dyDescent="0.25">
      <c r="A23" s="91">
        <v>45003</v>
      </c>
      <c r="B23" s="66">
        <f>Summary!$G$12/31</f>
        <v>255560.76</v>
      </c>
      <c r="C23" s="66">
        <v>40</v>
      </c>
      <c r="D23" s="66">
        <v>27.17</v>
      </c>
      <c r="E23" s="66">
        <f t="shared" si="6"/>
        <v>27.17</v>
      </c>
      <c r="F23" s="66">
        <f t="shared" si="7"/>
        <v>153336.46</v>
      </c>
      <c r="G23" s="66">
        <f t="shared" si="8"/>
        <v>104153.79</v>
      </c>
      <c r="H23" s="66">
        <f t="shared" si="9"/>
        <v>102224.3</v>
      </c>
      <c r="I23" s="66">
        <f t="shared" si="10"/>
        <v>69435.86</v>
      </c>
      <c r="J23" s="66">
        <v>25.44</v>
      </c>
      <c r="K23" s="66">
        <f t="shared" si="11"/>
        <v>34717.93</v>
      </c>
      <c r="L23" s="66">
        <f t="shared" si="12"/>
        <v>0</v>
      </c>
      <c r="M23" s="67">
        <v>172</v>
      </c>
      <c r="N23" s="66">
        <f t="shared" si="13"/>
        <v>10415.379999999999</v>
      </c>
      <c r="O23" s="66">
        <f t="shared" si="14"/>
        <v>0</v>
      </c>
      <c r="P23" s="66">
        <v>37.22</v>
      </c>
      <c r="Q23" s="66">
        <f t="shared" si="15"/>
        <v>17358.97</v>
      </c>
      <c r="R23" s="66">
        <f t="shared" si="16"/>
        <v>0</v>
      </c>
      <c r="S23" s="67">
        <v>630</v>
      </c>
      <c r="T23" s="66">
        <f t="shared" si="17"/>
        <v>6943.59</v>
      </c>
      <c r="U23" s="66">
        <f t="shared" si="18"/>
        <v>0</v>
      </c>
      <c r="V23" s="66">
        <f t="shared" si="19"/>
        <v>69435.87</v>
      </c>
      <c r="W23" s="66">
        <f t="shared" si="20"/>
        <v>0</v>
      </c>
    </row>
    <row r="24" spans="1:24" x14ac:dyDescent="0.25">
      <c r="A24" s="91">
        <v>45004</v>
      </c>
      <c r="B24" s="66">
        <f>Summary!$G$12/31</f>
        <v>255560.76</v>
      </c>
      <c r="C24" s="66">
        <v>40</v>
      </c>
      <c r="D24" s="66">
        <v>28.94</v>
      </c>
      <c r="E24" s="66">
        <f t="shared" si="6"/>
        <v>28.94</v>
      </c>
      <c r="F24" s="66">
        <f t="shared" si="7"/>
        <v>153336.46</v>
      </c>
      <c r="G24" s="66">
        <f t="shared" si="8"/>
        <v>110938.93</v>
      </c>
      <c r="H24" s="66">
        <f t="shared" si="9"/>
        <v>102224.3</v>
      </c>
      <c r="I24" s="66">
        <f t="shared" si="10"/>
        <v>73959.28</v>
      </c>
      <c r="J24" s="66">
        <v>24.98</v>
      </c>
      <c r="K24" s="66">
        <f t="shared" si="11"/>
        <v>36979.64</v>
      </c>
      <c r="L24" s="66">
        <f t="shared" si="12"/>
        <v>0</v>
      </c>
      <c r="M24" s="67">
        <v>174</v>
      </c>
      <c r="N24" s="66">
        <f t="shared" si="13"/>
        <v>11093.89</v>
      </c>
      <c r="O24" s="66">
        <f t="shared" si="14"/>
        <v>0</v>
      </c>
      <c r="P24" s="66">
        <v>37.76</v>
      </c>
      <c r="Q24" s="66">
        <f t="shared" si="15"/>
        <v>18489.82</v>
      </c>
      <c r="R24" s="66">
        <f t="shared" si="16"/>
        <v>0</v>
      </c>
      <c r="S24" s="67">
        <v>650</v>
      </c>
      <c r="T24" s="66">
        <f t="shared" si="17"/>
        <v>7395.93</v>
      </c>
      <c r="U24" s="66">
        <f t="shared" si="18"/>
        <v>0</v>
      </c>
      <c r="V24" s="66">
        <f t="shared" si="19"/>
        <v>73959.28</v>
      </c>
      <c r="W24" s="66">
        <f t="shared" si="20"/>
        <v>0</v>
      </c>
    </row>
    <row r="25" spans="1:24" x14ac:dyDescent="0.25">
      <c r="A25" s="91">
        <v>45005</v>
      </c>
      <c r="B25" s="66">
        <f>Summary!$G$12/31</f>
        <v>255560.76</v>
      </c>
      <c r="C25" s="66">
        <v>40</v>
      </c>
      <c r="D25" s="66">
        <v>25.88</v>
      </c>
      <c r="E25" s="66">
        <f t="shared" si="6"/>
        <v>25.88</v>
      </c>
      <c r="F25" s="66">
        <f t="shared" si="7"/>
        <v>153336.46</v>
      </c>
      <c r="G25" s="66">
        <f t="shared" si="8"/>
        <v>99208.69</v>
      </c>
      <c r="H25" s="66">
        <f t="shared" si="9"/>
        <v>102224.3</v>
      </c>
      <c r="I25" s="66">
        <f t="shared" si="10"/>
        <v>66139.12</v>
      </c>
      <c r="J25" s="66">
        <v>24.68</v>
      </c>
      <c r="K25" s="66">
        <f t="shared" si="11"/>
        <v>33069.56</v>
      </c>
      <c r="L25" s="66">
        <f t="shared" si="12"/>
        <v>0</v>
      </c>
      <c r="M25" s="67">
        <v>165</v>
      </c>
      <c r="N25" s="66">
        <f t="shared" si="13"/>
        <v>9920.8700000000008</v>
      </c>
      <c r="O25" s="66">
        <f t="shared" si="14"/>
        <v>0</v>
      </c>
      <c r="P25" s="66">
        <v>35.68</v>
      </c>
      <c r="Q25" s="66">
        <f t="shared" si="15"/>
        <v>16534.78</v>
      </c>
      <c r="R25" s="66">
        <f t="shared" si="16"/>
        <v>0</v>
      </c>
      <c r="S25" s="67">
        <v>640</v>
      </c>
      <c r="T25" s="66">
        <f t="shared" si="17"/>
        <v>6613.91</v>
      </c>
      <c r="U25" s="66">
        <f t="shared" si="18"/>
        <v>0</v>
      </c>
      <c r="V25" s="66">
        <f t="shared" si="19"/>
        <v>66139.12</v>
      </c>
      <c r="W25" s="66">
        <f t="shared" si="20"/>
        <v>0</v>
      </c>
    </row>
    <row r="26" spans="1:24" x14ac:dyDescent="0.25">
      <c r="A26" s="91">
        <v>45006</v>
      </c>
      <c r="B26" s="66">
        <f>Summary!$G$12/31</f>
        <v>255560.76</v>
      </c>
      <c r="C26" s="66">
        <v>40</v>
      </c>
      <c r="D26" s="66">
        <v>27.22</v>
      </c>
      <c r="E26" s="66">
        <f t="shared" si="6"/>
        <v>27.22</v>
      </c>
      <c r="F26" s="66">
        <f t="shared" si="7"/>
        <v>153336.46</v>
      </c>
      <c r="G26" s="66">
        <f t="shared" si="8"/>
        <v>104345.46</v>
      </c>
      <c r="H26" s="66">
        <f t="shared" si="9"/>
        <v>102224.3</v>
      </c>
      <c r="I26" s="66">
        <f t="shared" si="10"/>
        <v>69563.64</v>
      </c>
      <c r="J26" s="66">
        <v>24.5</v>
      </c>
      <c r="K26" s="66">
        <f t="shared" si="11"/>
        <v>34781.82</v>
      </c>
      <c r="L26" s="66">
        <f t="shared" si="12"/>
        <v>0</v>
      </c>
      <c r="M26" s="67">
        <v>167</v>
      </c>
      <c r="N26" s="66">
        <f t="shared" si="13"/>
        <v>10434.549999999999</v>
      </c>
      <c r="O26" s="66">
        <f t="shared" si="14"/>
        <v>0</v>
      </c>
      <c r="P26" s="66">
        <v>35.380000000000003</v>
      </c>
      <c r="Q26" s="66">
        <f t="shared" si="15"/>
        <v>17390.91</v>
      </c>
      <c r="R26" s="66">
        <f t="shared" si="16"/>
        <v>0</v>
      </c>
      <c r="S26" s="67">
        <v>650</v>
      </c>
      <c r="T26" s="66">
        <f t="shared" si="17"/>
        <v>6956.36</v>
      </c>
      <c r="U26" s="66">
        <f t="shared" si="18"/>
        <v>0</v>
      </c>
      <c r="V26" s="66">
        <f t="shared" si="19"/>
        <v>69563.64</v>
      </c>
      <c r="W26" s="66">
        <f t="shared" si="20"/>
        <v>0</v>
      </c>
    </row>
    <row r="27" spans="1:24" x14ac:dyDescent="0.25">
      <c r="A27" s="91">
        <v>45007</v>
      </c>
      <c r="B27" s="66">
        <f>Summary!$G$12/31</f>
        <v>255560.76</v>
      </c>
      <c r="C27" s="66">
        <v>40</v>
      </c>
      <c r="D27" s="66">
        <v>27.69</v>
      </c>
      <c r="E27" s="66">
        <f t="shared" si="6"/>
        <v>27.69</v>
      </c>
      <c r="F27" s="66">
        <f t="shared" si="7"/>
        <v>153336.46</v>
      </c>
      <c r="G27" s="66">
        <f t="shared" si="8"/>
        <v>106147.16</v>
      </c>
      <c r="H27" s="66">
        <f t="shared" si="9"/>
        <v>102224.3</v>
      </c>
      <c r="I27" s="66">
        <f t="shared" si="10"/>
        <v>70764.77</v>
      </c>
      <c r="J27" s="66">
        <v>24.05</v>
      </c>
      <c r="K27" s="66">
        <f t="shared" si="11"/>
        <v>35382.39</v>
      </c>
      <c r="L27" s="66">
        <f t="shared" si="12"/>
        <v>0</v>
      </c>
      <c r="M27" s="67">
        <v>167</v>
      </c>
      <c r="N27" s="66">
        <f t="shared" si="13"/>
        <v>10614.72</v>
      </c>
      <c r="O27" s="66">
        <f t="shared" si="14"/>
        <v>0</v>
      </c>
      <c r="P27" s="66">
        <v>36.479999999999997</v>
      </c>
      <c r="Q27" s="66">
        <f t="shared" si="15"/>
        <v>17691.189999999999</v>
      </c>
      <c r="R27" s="66">
        <f t="shared" si="16"/>
        <v>0</v>
      </c>
      <c r="S27" s="67">
        <v>630</v>
      </c>
      <c r="T27" s="66">
        <f t="shared" si="17"/>
        <v>7076.48</v>
      </c>
      <c r="U27" s="66">
        <f t="shared" si="18"/>
        <v>0</v>
      </c>
      <c r="V27" s="66">
        <f t="shared" si="19"/>
        <v>70764.78</v>
      </c>
      <c r="W27" s="66">
        <f t="shared" si="20"/>
        <v>0</v>
      </c>
    </row>
    <row r="28" spans="1:24" x14ac:dyDescent="0.25">
      <c r="A28" s="91">
        <v>45008</v>
      </c>
      <c r="B28" s="66">
        <f>Summary!$G$12/31</f>
        <v>255560.76</v>
      </c>
      <c r="C28" s="66">
        <v>40</v>
      </c>
      <c r="D28" s="66">
        <v>27.22</v>
      </c>
      <c r="E28" s="66">
        <f t="shared" si="6"/>
        <v>27.22</v>
      </c>
      <c r="F28" s="66">
        <f t="shared" si="7"/>
        <v>153336.46</v>
      </c>
      <c r="G28" s="66">
        <f t="shared" si="8"/>
        <v>104345.46</v>
      </c>
      <c r="H28" s="66">
        <f t="shared" si="9"/>
        <v>102224.3</v>
      </c>
      <c r="I28" s="66">
        <f t="shared" si="10"/>
        <v>69563.64</v>
      </c>
      <c r="J28" s="66">
        <v>24.26</v>
      </c>
      <c r="K28" s="66">
        <f t="shared" si="11"/>
        <v>34781.82</v>
      </c>
      <c r="L28" s="66">
        <f t="shared" si="12"/>
        <v>0</v>
      </c>
      <c r="M28" s="67">
        <v>166</v>
      </c>
      <c r="N28" s="66">
        <f t="shared" si="13"/>
        <v>10434.549999999999</v>
      </c>
      <c r="O28" s="66">
        <f t="shared" si="14"/>
        <v>0</v>
      </c>
      <c r="P28" s="66">
        <v>34.979999999999997</v>
      </c>
      <c r="Q28" s="66">
        <f t="shared" si="15"/>
        <v>17390.91</v>
      </c>
      <c r="R28" s="66">
        <f t="shared" si="16"/>
        <v>0</v>
      </c>
      <c r="S28" s="67">
        <v>660</v>
      </c>
      <c r="T28" s="66">
        <f t="shared" si="17"/>
        <v>6956.36</v>
      </c>
      <c r="U28" s="66">
        <f t="shared" si="18"/>
        <v>0</v>
      </c>
      <c r="V28" s="66">
        <f t="shared" si="19"/>
        <v>69563.64</v>
      </c>
      <c r="W28" s="66">
        <f t="shared" si="20"/>
        <v>0</v>
      </c>
    </row>
    <row r="29" spans="1:24" x14ac:dyDescent="0.25">
      <c r="A29" s="91">
        <v>45009</v>
      </c>
      <c r="B29" s="66">
        <f>Summary!$G$12/31</f>
        <v>255560.76</v>
      </c>
      <c r="C29" s="66">
        <v>40</v>
      </c>
      <c r="D29" s="66">
        <v>27</v>
      </c>
      <c r="E29" s="66">
        <f t="shared" si="6"/>
        <v>27</v>
      </c>
      <c r="F29" s="66">
        <f t="shared" si="7"/>
        <v>153336.46</v>
      </c>
      <c r="G29" s="66">
        <f t="shared" si="8"/>
        <v>103502.11</v>
      </c>
      <c r="H29" s="66">
        <f t="shared" si="9"/>
        <v>102224.3</v>
      </c>
      <c r="I29" s="66">
        <f t="shared" si="10"/>
        <v>69001.399999999994</v>
      </c>
      <c r="J29" s="66">
        <v>24</v>
      </c>
      <c r="K29" s="66">
        <f t="shared" si="11"/>
        <v>34500.699999999997</v>
      </c>
      <c r="L29" s="66">
        <f t="shared" si="12"/>
        <v>0</v>
      </c>
      <c r="M29" s="67">
        <v>162</v>
      </c>
      <c r="N29" s="66">
        <f t="shared" si="13"/>
        <v>10350.209999999999</v>
      </c>
      <c r="O29" s="66">
        <f t="shared" si="14"/>
        <v>0</v>
      </c>
      <c r="P29" s="66">
        <v>35.979999999999997</v>
      </c>
      <c r="Q29" s="66">
        <f t="shared" si="15"/>
        <v>17250.349999999999</v>
      </c>
      <c r="R29" s="66">
        <f t="shared" si="16"/>
        <v>0</v>
      </c>
      <c r="S29" s="67">
        <v>640</v>
      </c>
      <c r="T29" s="66">
        <f t="shared" si="17"/>
        <v>6900.14</v>
      </c>
      <c r="U29" s="66">
        <f t="shared" si="18"/>
        <v>0</v>
      </c>
      <c r="V29" s="66">
        <f t="shared" si="19"/>
        <v>69001.399999999994</v>
      </c>
      <c r="W29" s="66">
        <f t="shared" si="20"/>
        <v>0</v>
      </c>
    </row>
    <row r="30" spans="1:24" s="31" customFormat="1" x14ac:dyDescent="0.25">
      <c r="A30" s="35">
        <v>45010</v>
      </c>
      <c r="B30" s="28">
        <f>Summary!$G$12/31</f>
        <v>255560.76</v>
      </c>
      <c r="C30" s="28">
        <v>40</v>
      </c>
      <c r="D30" s="28">
        <v>25.96</v>
      </c>
      <c r="E30" s="66">
        <f t="shared" si="6"/>
        <v>25.96</v>
      </c>
      <c r="F30" s="28">
        <f t="shared" si="7"/>
        <v>153336.46</v>
      </c>
      <c r="G30" s="66">
        <f t="shared" si="8"/>
        <v>99515.36</v>
      </c>
      <c r="H30" s="28">
        <f t="shared" si="9"/>
        <v>102224.3</v>
      </c>
      <c r="I30" s="66">
        <f t="shared" si="10"/>
        <v>66343.570000000007</v>
      </c>
      <c r="J30" s="28">
        <v>25</v>
      </c>
      <c r="K30" s="66">
        <f t="shared" si="11"/>
        <v>33171.79</v>
      </c>
      <c r="L30" s="66">
        <f t="shared" si="12"/>
        <v>0</v>
      </c>
      <c r="M30" s="29">
        <v>136</v>
      </c>
      <c r="N30" s="66">
        <f t="shared" si="13"/>
        <v>9951.5400000000009</v>
      </c>
      <c r="O30" s="66">
        <f t="shared" si="14"/>
        <v>0</v>
      </c>
      <c r="P30" s="28">
        <v>42</v>
      </c>
      <c r="Q30" s="66">
        <f t="shared" si="15"/>
        <v>16585.89</v>
      </c>
      <c r="R30" s="66">
        <f t="shared" si="16"/>
        <v>0</v>
      </c>
      <c r="S30" s="29">
        <v>920</v>
      </c>
      <c r="T30" s="66">
        <f t="shared" si="17"/>
        <v>6634.36</v>
      </c>
      <c r="U30" s="66">
        <f t="shared" si="18"/>
        <v>0</v>
      </c>
      <c r="V30" s="66">
        <f t="shared" si="19"/>
        <v>66343.58</v>
      </c>
      <c r="W30" s="66">
        <f t="shared" si="20"/>
        <v>0</v>
      </c>
      <c r="X30" s="30" t="s">
        <v>97</v>
      </c>
    </row>
    <row r="31" spans="1:24" x14ac:dyDescent="0.25">
      <c r="A31" s="91">
        <v>45011</v>
      </c>
      <c r="B31" s="66">
        <f>Summary!$G$12/31</f>
        <v>255560.76</v>
      </c>
      <c r="C31" s="66">
        <v>40</v>
      </c>
      <c r="D31" s="66">
        <v>26.52</v>
      </c>
      <c r="E31" s="66">
        <f t="shared" si="6"/>
        <v>26.52</v>
      </c>
      <c r="F31" s="66">
        <f t="shared" si="7"/>
        <v>153336.46</v>
      </c>
      <c r="G31" s="66">
        <f t="shared" si="8"/>
        <v>101662.07</v>
      </c>
      <c r="H31" s="66">
        <f t="shared" si="9"/>
        <v>102224.3</v>
      </c>
      <c r="I31" s="66">
        <f t="shared" si="10"/>
        <v>67774.710000000006</v>
      </c>
      <c r="J31" s="66">
        <v>25.28</v>
      </c>
      <c r="K31" s="66">
        <f t="shared" si="11"/>
        <v>33887.360000000001</v>
      </c>
      <c r="L31" s="66">
        <f t="shared" si="12"/>
        <v>0</v>
      </c>
      <c r="M31" s="67">
        <v>173</v>
      </c>
      <c r="N31" s="66">
        <f t="shared" si="13"/>
        <v>10166.209999999999</v>
      </c>
      <c r="O31" s="66">
        <f t="shared" si="14"/>
        <v>0</v>
      </c>
      <c r="P31" s="66">
        <v>36.32</v>
      </c>
      <c r="Q31" s="66">
        <f t="shared" si="15"/>
        <v>16943.68</v>
      </c>
      <c r="R31" s="66">
        <f t="shared" si="16"/>
        <v>0</v>
      </c>
      <c r="S31" s="67">
        <v>670</v>
      </c>
      <c r="T31" s="66">
        <f t="shared" si="17"/>
        <v>6777.47</v>
      </c>
      <c r="U31" s="66">
        <f t="shared" si="18"/>
        <v>0</v>
      </c>
      <c r="V31" s="66">
        <f t="shared" si="19"/>
        <v>67774.720000000001</v>
      </c>
      <c r="W31" s="66">
        <f t="shared" si="20"/>
        <v>0</v>
      </c>
    </row>
    <row r="32" spans="1:24" x14ac:dyDescent="0.25">
      <c r="A32" s="91">
        <v>45012</v>
      </c>
      <c r="B32" s="66">
        <f>Summary!$G$12/31</f>
        <v>255560.76</v>
      </c>
      <c r="C32" s="66">
        <v>40</v>
      </c>
      <c r="D32" s="66">
        <v>27.17</v>
      </c>
      <c r="E32" s="66">
        <f t="shared" si="6"/>
        <v>27.17</v>
      </c>
      <c r="F32" s="66">
        <f t="shared" si="7"/>
        <v>153336.46</v>
      </c>
      <c r="G32" s="66">
        <f t="shared" si="8"/>
        <v>104153.79</v>
      </c>
      <c r="H32" s="66">
        <f t="shared" si="9"/>
        <v>102224.3</v>
      </c>
      <c r="I32" s="66">
        <f t="shared" si="10"/>
        <v>69435.86</v>
      </c>
      <c r="J32" s="66">
        <v>24.7</v>
      </c>
      <c r="K32" s="66">
        <f t="shared" si="11"/>
        <v>34717.93</v>
      </c>
      <c r="L32" s="66">
        <f t="shared" si="12"/>
        <v>0</v>
      </c>
      <c r="M32" s="67">
        <v>168</v>
      </c>
      <c r="N32" s="66">
        <f t="shared" si="13"/>
        <v>10415.379999999999</v>
      </c>
      <c r="O32" s="66">
        <f t="shared" si="14"/>
        <v>0</v>
      </c>
      <c r="P32" s="66">
        <v>33.28</v>
      </c>
      <c r="Q32" s="66">
        <f t="shared" si="15"/>
        <v>17358.97</v>
      </c>
      <c r="R32" s="66">
        <f t="shared" si="16"/>
        <v>0</v>
      </c>
      <c r="S32" s="67">
        <v>630</v>
      </c>
      <c r="T32" s="66">
        <f t="shared" si="17"/>
        <v>6943.59</v>
      </c>
      <c r="U32" s="66">
        <f t="shared" si="18"/>
        <v>0</v>
      </c>
      <c r="V32" s="66">
        <f t="shared" si="19"/>
        <v>69435.87</v>
      </c>
      <c r="W32" s="66">
        <f t="shared" si="20"/>
        <v>0</v>
      </c>
    </row>
    <row r="33" spans="1:23" x14ac:dyDescent="0.25">
      <c r="A33" s="91">
        <v>45013</v>
      </c>
      <c r="B33" s="66">
        <f>Summary!$G$12/31</f>
        <v>255560.76</v>
      </c>
      <c r="C33" s="66">
        <v>40</v>
      </c>
      <c r="D33" s="66">
        <v>27.99</v>
      </c>
      <c r="E33" s="66">
        <f t="shared" si="6"/>
        <v>27.99</v>
      </c>
      <c r="F33" s="66">
        <f t="shared" si="7"/>
        <v>153336.46</v>
      </c>
      <c r="G33" s="66">
        <f t="shared" si="8"/>
        <v>107297.19</v>
      </c>
      <c r="H33" s="66">
        <f t="shared" si="9"/>
        <v>102224.3</v>
      </c>
      <c r="I33" s="66">
        <f t="shared" si="10"/>
        <v>71531.45</v>
      </c>
      <c r="J33" s="66">
        <v>27.9</v>
      </c>
      <c r="K33" s="66">
        <f t="shared" si="11"/>
        <v>35765.730000000003</v>
      </c>
      <c r="L33" s="66">
        <f t="shared" si="12"/>
        <v>0</v>
      </c>
      <c r="M33" s="67">
        <v>162</v>
      </c>
      <c r="N33" s="66">
        <f t="shared" si="13"/>
        <v>10729.72</v>
      </c>
      <c r="O33" s="66">
        <f t="shared" si="14"/>
        <v>0</v>
      </c>
      <c r="P33" s="66">
        <v>35.86</v>
      </c>
      <c r="Q33" s="66">
        <f t="shared" si="15"/>
        <v>17882.86</v>
      </c>
      <c r="R33" s="66">
        <f t="shared" si="16"/>
        <v>0</v>
      </c>
      <c r="S33" s="67">
        <v>650</v>
      </c>
      <c r="T33" s="66">
        <f t="shared" si="17"/>
        <v>7153.15</v>
      </c>
      <c r="U33" s="66">
        <f t="shared" si="18"/>
        <v>0</v>
      </c>
      <c r="V33" s="66">
        <f t="shared" si="19"/>
        <v>71531.460000000006</v>
      </c>
      <c r="W33" s="66">
        <f t="shared" si="20"/>
        <v>0</v>
      </c>
    </row>
    <row r="34" spans="1:23" x14ac:dyDescent="0.25">
      <c r="A34" s="91">
        <v>45014</v>
      </c>
      <c r="B34" s="66">
        <f>Summary!$G$12/31</f>
        <v>255560.76</v>
      </c>
      <c r="C34" s="66">
        <v>40</v>
      </c>
      <c r="D34" s="66">
        <v>27.56</v>
      </c>
      <c r="E34" s="66">
        <f t="shared" si="6"/>
        <v>27.56</v>
      </c>
      <c r="F34" s="66">
        <f t="shared" si="7"/>
        <v>153336.46</v>
      </c>
      <c r="G34" s="66">
        <f t="shared" si="8"/>
        <v>105648.82</v>
      </c>
      <c r="H34" s="66">
        <f t="shared" si="9"/>
        <v>102224.3</v>
      </c>
      <c r="I34" s="66">
        <f t="shared" si="10"/>
        <v>70432.539999999994</v>
      </c>
      <c r="J34" s="66">
        <v>24.46</v>
      </c>
      <c r="K34" s="66">
        <f t="shared" si="11"/>
        <v>35216.269999999997</v>
      </c>
      <c r="L34" s="66">
        <f t="shared" si="12"/>
        <v>0</v>
      </c>
      <c r="M34" s="67">
        <v>169</v>
      </c>
      <c r="N34" s="66">
        <f t="shared" si="13"/>
        <v>10564.88</v>
      </c>
      <c r="O34" s="66">
        <f t="shared" si="14"/>
        <v>0</v>
      </c>
      <c r="P34" s="66">
        <v>36.44</v>
      </c>
      <c r="Q34" s="66">
        <f t="shared" si="15"/>
        <v>17608.14</v>
      </c>
      <c r="R34" s="66">
        <f t="shared" si="16"/>
        <v>0</v>
      </c>
      <c r="S34" s="67">
        <v>630</v>
      </c>
      <c r="T34" s="66">
        <f t="shared" si="17"/>
        <v>7043.25</v>
      </c>
      <c r="U34" s="66">
        <f t="shared" si="18"/>
        <v>0</v>
      </c>
      <c r="V34" s="66">
        <f t="shared" si="19"/>
        <v>70432.539999999994</v>
      </c>
      <c r="W34" s="66">
        <f t="shared" si="20"/>
        <v>0</v>
      </c>
    </row>
    <row r="35" spans="1:23" x14ac:dyDescent="0.25">
      <c r="A35" s="91">
        <v>45015</v>
      </c>
      <c r="B35" s="66">
        <f>Summary!$G$12/31</f>
        <v>255560.76</v>
      </c>
      <c r="C35" s="66">
        <v>40</v>
      </c>
      <c r="D35" s="66">
        <v>27.69</v>
      </c>
      <c r="E35" s="66">
        <f t="shared" si="6"/>
        <v>27.69</v>
      </c>
      <c r="F35" s="66">
        <f t="shared" ref="F35:F36" si="21">B35*60%</f>
        <v>153336.46</v>
      </c>
      <c r="G35" s="66">
        <f t="shared" si="8"/>
        <v>106147.16</v>
      </c>
      <c r="H35" s="66">
        <f t="shared" ref="H35:H36" si="22">B35*40%</f>
        <v>102224.3</v>
      </c>
      <c r="I35" s="66">
        <f t="shared" si="10"/>
        <v>70764.77</v>
      </c>
      <c r="J35" s="66">
        <v>23.92</v>
      </c>
      <c r="K35" s="66">
        <f t="shared" si="11"/>
        <v>35382.39</v>
      </c>
      <c r="L35" s="66">
        <f t="shared" si="12"/>
        <v>0</v>
      </c>
      <c r="M35" s="67">
        <v>160</v>
      </c>
      <c r="N35" s="66">
        <f t="shared" si="13"/>
        <v>10614.72</v>
      </c>
      <c r="O35" s="66">
        <f t="shared" si="14"/>
        <v>0</v>
      </c>
      <c r="P35" s="66">
        <v>36.04</v>
      </c>
      <c r="Q35" s="66">
        <f t="shared" si="15"/>
        <v>17691.189999999999</v>
      </c>
      <c r="R35" s="66">
        <f t="shared" si="16"/>
        <v>0</v>
      </c>
      <c r="S35" s="67">
        <v>610</v>
      </c>
      <c r="T35" s="66">
        <f t="shared" si="17"/>
        <v>7076.48</v>
      </c>
      <c r="U35" s="66">
        <f t="shared" si="18"/>
        <v>0</v>
      </c>
      <c r="V35" s="66">
        <f t="shared" si="19"/>
        <v>70764.78</v>
      </c>
      <c r="W35" s="66">
        <f t="shared" si="20"/>
        <v>0</v>
      </c>
    </row>
    <row r="36" spans="1:23" x14ac:dyDescent="0.25">
      <c r="A36" s="91">
        <v>45016</v>
      </c>
      <c r="B36" s="66">
        <f>Summary!$G$12/31</f>
        <v>255560.76</v>
      </c>
      <c r="C36" s="66">
        <v>40</v>
      </c>
      <c r="D36" s="66">
        <v>28.86</v>
      </c>
      <c r="E36" s="66">
        <f t="shared" si="6"/>
        <v>28.86</v>
      </c>
      <c r="F36" s="66">
        <f t="shared" si="21"/>
        <v>153336.46</v>
      </c>
      <c r="G36" s="66">
        <f t="shared" si="8"/>
        <v>110632.26</v>
      </c>
      <c r="H36" s="66">
        <f t="shared" si="22"/>
        <v>102224.3</v>
      </c>
      <c r="I36" s="66">
        <f t="shared" si="10"/>
        <v>73754.83</v>
      </c>
      <c r="J36" s="66">
        <v>24.4</v>
      </c>
      <c r="K36" s="66">
        <f t="shared" si="11"/>
        <v>36877.42</v>
      </c>
      <c r="L36" s="66">
        <f t="shared" si="12"/>
        <v>0</v>
      </c>
      <c r="M36" s="67">
        <v>165</v>
      </c>
      <c r="N36" s="66">
        <f t="shared" ref="N7:N36" si="23">I36*15%</f>
        <v>11063.22</v>
      </c>
      <c r="O36" s="66">
        <f t="shared" ref="O7:O36" si="24">IF(M36&gt;250,(MAX($B$37*0.1/100,10000)),0)</f>
        <v>0</v>
      </c>
      <c r="P36" s="66">
        <v>37.020000000000003</v>
      </c>
      <c r="Q36" s="66">
        <f t="shared" si="15"/>
        <v>18438.71</v>
      </c>
      <c r="R36" s="66">
        <f t="shared" si="16"/>
        <v>0</v>
      </c>
      <c r="S36" s="67">
        <v>640</v>
      </c>
      <c r="T36" s="66">
        <f t="shared" si="17"/>
        <v>7375.48</v>
      </c>
      <c r="U36" s="66">
        <f t="shared" si="18"/>
        <v>0</v>
      </c>
      <c r="V36" s="66">
        <f t="shared" si="19"/>
        <v>73754.83</v>
      </c>
      <c r="W36" s="66">
        <f t="shared" si="20"/>
        <v>0</v>
      </c>
    </row>
    <row r="37" spans="1:23" x14ac:dyDescent="0.25">
      <c r="A37" s="58" t="s">
        <v>30</v>
      </c>
      <c r="B37" s="71">
        <f>SUM(B6:B36)</f>
        <v>7922383.5599999996</v>
      </c>
      <c r="C37" s="71"/>
      <c r="D37" s="71">
        <f>+AVERAGE(D6:D36)</f>
        <v>27.16</v>
      </c>
      <c r="E37" s="71"/>
      <c r="F37" s="71">
        <f>SUM(F6:F36)</f>
        <v>4753430.26</v>
      </c>
      <c r="G37" s="71">
        <f>SUM(G6:G36)</f>
        <v>3227617.48</v>
      </c>
      <c r="H37" s="71">
        <f>SUM(H6:H36)</f>
        <v>3168953.3</v>
      </c>
      <c r="I37" s="71">
        <f>SUM(I6:I36)</f>
        <v>2151744.84</v>
      </c>
      <c r="J37" s="71"/>
      <c r="K37" s="71">
        <f>SUM(K6:K36)</f>
        <v>1075872.47</v>
      </c>
      <c r="L37" s="71">
        <f>SUM(L6:L36)</f>
        <v>0</v>
      </c>
      <c r="M37" s="71"/>
      <c r="N37" s="71">
        <f>SUM(N6:N36)</f>
        <v>322761.75</v>
      </c>
      <c r="O37" s="71">
        <f>SUM(O6:O36)</f>
        <v>0</v>
      </c>
      <c r="P37" s="71"/>
      <c r="Q37" s="71">
        <f>SUM(Q6:Q36)</f>
        <v>537936.26</v>
      </c>
      <c r="R37" s="71">
        <f>SUM(R6:R36)</f>
        <v>0</v>
      </c>
      <c r="S37" s="71"/>
      <c r="T37" s="66">
        <f t="shared" ref="T37" si="25">I37*10%</f>
        <v>215174.48</v>
      </c>
      <c r="U37" s="71">
        <f>SUM(U6:U36)</f>
        <v>0</v>
      </c>
      <c r="V37" s="71">
        <f>SUM(V6:V36)</f>
        <v>2151744.98</v>
      </c>
      <c r="W37" s="71">
        <f>SUM(W6:W36)</f>
        <v>0</v>
      </c>
    </row>
    <row r="38" spans="1:23" x14ac:dyDescent="0.25">
      <c r="A38" s="58"/>
      <c r="B38" s="58"/>
      <c r="C38" s="58"/>
      <c r="D38" s="58"/>
      <c r="E38" s="58"/>
      <c r="F38" s="58" t="s">
        <v>71</v>
      </c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71">
        <f>G37+V37</f>
        <v>5379362.46</v>
      </c>
      <c r="W38" s="59"/>
    </row>
    <row r="39" spans="1:23" x14ac:dyDescent="0.25">
      <c r="V39" s="105"/>
    </row>
    <row r="40" spans="1:23" x14ac:dyDescent="0.25">
      <c r="C40" s="74">
        <f>B37/30</f>
        <v>264079.45</v>
      </c>
    </row>
  </sheetData>
  <mergeCells count="19">
    <mergeCell ref="A1:V1"/>
    <mergeCell ref="F3:G3"/>
    <mergeCell ref="H3:T3"/>
    <mergeCell ref="A4:A5"/>
    <mergeCell ref="B4:B5"/>
    <mergeCell ref="F4:F5"/>
    <mergeCell ref="C3:D3"/>
    <mergeCell ref="C4:C5"/>
    <mergeCell ref="I4:I5"/>
    <mergeCell ref="E4:E5"/>
    <mergeCell ref="J4:L4"/>
    <mergeCell ref="M4:O4"/>
    <mergeCell ref="P4:R4"/>
    <mergeCell ref="S4:U4"/>
    <mergeCell ref="D4:D5"/>
    <mergeCell ref="W4:W5"/>
    <mergeCell ref="G4:G5"/>
    <mergeCell ref="H4:H5"/>
    <mergeCell ref="V4:V5"/>
  </mergeCells>
  <pageMargins left="0.25" right="0.25" top="0.75" bottom="0.75" header="0.3" footer="0.3"/>
  <pageSetup paperSize="9"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40"/>
  <sheetViews>
    <sheetView topLeftCell="F1" zoomScaleNormal="100" workbookViewId="0">
      <pane ySplit="5" topLeftCell="A24" activePane="bottomLeft" state="frozen"/>
      <selection activeCell="A6" sqref="A6:A36"/>
      <selection pane="bottomLeft" activeCell="V6" sqref="V6:W36"/>
    </sheetView>
  </sheetViews>
  <sheetFormatPr defaultColWidth="9.140625" defaultRowHeight="15.75" x14ac:dyDescent="0.25"/>
  <cols>
    <col min="1" max="1" width="10.7109375" style="87" customWidth="1"/>
    <col min="2" max="2" width="14.7109375" style="87" customWidth="1"/>
    <col min="3" max="3" width="8.42578125" style="87" bestFit="1" customWidth="1"/>
    <col min="4" max="4" width="9.140625" style="87" customWidth="1"/>
    <col min="5" max="5" width="10.140625" style="87" customWidth="1"/>
    <col min="6" max="6" width="11.5703125" style="87" customWidth="1"/>
    <col min="7" max="7" width="12.140625" style="87" customWidth="1"/>
    <col min="8" max="8" width="10.5703125" style="87" bestFit="1" customWidth="1"/>
    <col min="9" max="9" width="12.7109375" style="87" bestFit="1" customWidth="1"/>
    <col min="10" max="10" width="9.140625" style="87" customWidth="1"/>
    <col min="11" max="11" width="11.140625" style="87" customWidth="1"/>
    <col min="12" max="12" width="10" style="87" customWidth="1"/>
    <col min="13" max="13" width="9.42578125" style="87" customWidth="1"/>
    <col min="14" max="14" width="10.7109375" style="87" bestFit="1" customWidth="1"/>
    <col min="15" max="15" width="10.7109375" style="87" customWidth="1"/>
    <col min="16" max="16" width="9.85546875" style="87" customWidth="1"/>
    <col min="17" max="17" width="10.7109375" style="87" bestFit="1" customWidth="1"/>
    <col min="18" max="19" width="10.7109375" style="87" customWidth="1"/>
    <col min="20" max="20" width="9.5703125" style="87" bestFit="1" customWidth="1"/>
    <col min="21" max="21" width="9.5703125" style="87" customWidth="1"/>
    <col min="22" max="22" width="12.85546875" style="87" bestFit="1" customWidth="1"/>
    <col min="23" max="23" width="11.42578125" customWidth="1"/>
    <col min="24" max="24" width="9.28515625" style="55" bestFit="1" customWidth="1"/>
    <col min="25" max="25" width="10.5703125" bestFit="1" customWidth="1"/>
    <col min="26" max="29" width="9.28515625" bestFit="1" customWidth="1"/>
    <col min="30" max="30" width="10.5703125" bestFit="1" customWidth="1"/>
  </cols>
  <sheetData>
    <row r="1" spans="1:30" ht="18.75" customHeight="1" x14ac:dyDescent="0.3">
      <c r="A1" s="146" t="str">
        <f>Summary!A1</f>
        <v>AGRA Payment for the month of JANUARY 2023 (As Per VoL -1, Section IV, Clause 39)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5"/>
      <c r="Y1" s="5"/>
      <c r="Z1" s="5"/>
      <c r="AA1" s="5"/>
      <c r="AB1" s="5"/>
      <c r="AC1" s="5"/>
      <c r="AD1" s="5"/>
    </row>
    <row r="2" spans="1:30" ht="15" customHeight="1" x14ac:dyDescent="0.3">
      <c r="A2" s="54">
        <v>1</v>
      </c>
      <c r="B2" s="54">
        <v>2</v>
      </c>
      <c r="C2" s="54">
        <v>3</v>
      </c>
      <c r="D2" s="54">
        <v>4</v>
      </c>
      <c r="E2" s="5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  <c r="K2" s="54">
        <v>11</v>
      </c>
      <c r="L2" s="54">
        <v>12</v>
      </c>
      <c r="M2" s="54">
        <v>13</v>
      </c>
      <c r="N2" s="54">
        <v>14</v>
      </c>
      <c r="O2" s="54">
        <v>15</v>
      </c>
      <c r="P2" s="54">
        <v>16</v>
      </c>
      <c r="Q2" s="54">
        <v>17</v>
      </c>
      <c r="R2" s="54">
        <v>18</v>
      </c>
      <c r="S2" s="54">
        <v>19</v>
      </c>
      <c r="T2" s="54">
        <v>20</v>
      </c>
      <c r="U2" s="54">
        <v>21</v>
      </c>
      <c r="V2" s="54">
        <v>22</v>
      </c>
      <c r="W2" s="54">
        <v>23</v>
      </c>
      <c r="Y2" s="5"/>
      <c r="Z2" s="5"/>
      <c r="AA2" s="5"/>
      <c r="AB2" s="5"/>
      <c r="AC2" s="5"/>
      <c r="AD2" s="5"/>
    </row>
    <row r="3" spans="1:30" ht="15.75" customHeight="1" x14ac:dyDescent="0.3">
      <c r="A3" s="58"/>
      <c r="B3" s="58"/>
      <c r="C3" s="147" t="s">
        <v>25</v>
      </c>
      <c r="D3" s="147"/>
      <c r="E3" s="58"/>
      <c r="F3" s="147" t="s">
        <v>28</v>
      </c>
      <c r="G3" s="147"/>
      <c r="H3" s="147" t="s">
        <v>29</v>
      </c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5"/>
      <c r="Y3" s="5"/>
      <c r="Z3" s="5"/>
      <c r="AA3" s="5"/>
      <c r="AB3" s="5"/>
      <c r="AC3" s="5"/>
      <c r="AD3" s="5"/>
    </row>
    <row r="4" spans="1:30" s="94" customFormat="1" ht="15" customHeight="1" x14ac:dyDescent="0.3">
      <c r="A4" s="148" t="s">
        <v>23</v>
      </c>
      <c r="B4" s="148" t="s">
        <v>46</v>
      </c>
      <c r="C4" s="148" t="s">
        <v>66</v>
      </c>
      <c r="D4" s="148" t="s">
        <v>37</v>
      </c>
      <c r="E4" s="148" t="s">
        <v>70</v>
      </c>
      <c r="F4" s="148" t="s">
        <v>26</v>
      </c>
      <c r="G4" s="148" t="s">
        <v>27</v>
      </c>
      <c r="H4" s="148" t="s">
        <v>32</v>
      </c>
      <c r="I4" s="148" t="s">
        <v>27</v>
      </c>
      <c r="J4" s="148" t="s">
        <v>15</v>
      </c>
      <c r="K4" s="148"/>
      <c r="L4" s="148"/>
      <c r="M4" s="148" t="s">
        <v>17</v>
      </c>
      <c r="N4" s="148"/>
      <c r="O4" s="148"/>
      <c r="P4" s="157" t="s">
        <v>16</v>
      </c>
      <c r="Q4" s="157"/>
      <c r="R4" s="158"/>
      <c r="S4" s="148" t="s">
        <v>22</v>
      </c>
      <c r="T4" s="148"/>
      <c r="U4" s="148"/>
      <c r="V4" s="148" t="s">
        <v>33</v>
      </c>
      <c r="W4" s="156" t="s">
        <v>43</v>
      </c>
      <c r="X4" s="92"/>
      <c r="Y4" s="93"/>
      <c r="Z4" s="93"/>
      <c r="AA4" s="93"/>
      <c r="AB4" s="93"/>
      <c r="AC4" s="93"/>
      <c r="AD4" s="93"/>
    </row>
    <row r="5" spans="1:30" s="94" customFormat="1" ht="30" x14ac:dyDescent="0.3">
      <c r="A5" s="148"/>
      <c r="B5" s="148"/>
      <c r="C5" s="148"/>
      <c r="D5" s="148"/>
      <c r="E5" s="148"/>
      <c r="F5" s="148"/>
      <c r="G5" s="148"/>
      <c r="H5" s="148"/>
      <c r="I5" s="148"/>
      <c r="J5" s="77" t="s">
        <v>42</v>
      </c>
      <c r="K5" s="95">
        <v>0.5</v>
      </c>
      <c r="L5" s="95" t="s">
        <v>43</v>
      </c>
      <c r="M5" s="77" t="s">
        <v>42</v>
      </c>
      <c r="N5" s="95">
        <v>0.25</v>
      </c>
      <c r="O5" s="95" t="s">
        <v>43</v>
      </c>
      <c r="P5" s="77" t="s">
        <v>42</v>
      </c>
      <c r="Q5" s="95">
        <v>0.25</v>
      </c>
      <c r="R5" s="95" t="s">
        <v>43</v>
      </c>
      <c r="S5" s="77" t="s">
        <v>42</v>
      </c>
      <c r="T5" s="96">
        <v>0</v>
      </c>
      <c r="U5" s="95" t="s">
        <v>43</v>
      </c>
      <c r="V5" s="148"/>
      <c r="W5" s="156"/>
      <c r="X5" s="92"/>
      <c r="Y5" s="93"/>
      <c r="Z5" s="93"/>
      <c r="AA5" s="93"/>
      <c r="AB5" s="93"/>
      <c r="AC5" s="93"/>
      <c r="AD5" s="93"/>
    </row>
    <row r="6" spans="1:30" s="98" customFormat="1" ht="16.5" customHeight="1" x14ac:dyDescent="0.25">
      <c r="A6" s="91">
        <v>44986</v>
      </c>
      <c r="B6" s="66">
        <f>Summary!$G$8/31</f>
        <v>63890.19</v>
      </c>
      <c r="C6" s="66">
        <v>10</v>
      </c>
      <c r="D6" s="66">
        <v>10.08</v>
      </c>
      <c r="E6" s="66">
        <f>MIN(D6,C6)</f>
        <v>10</v>
      </c>
      <c r="F6" s="66">
        <f>B6*60%</f>
        <v>38334.11</v>
      </c>
      <c r="G6" s="66">
        <f>F6*E6/C6</f>
        <v>38334.11</v>
      </c>
      <c r="H6" s="66">
        <f>B6*40%</f>
        <v>25556.080000000002</v>
      </c>
      <c r="I6" s="66">
        <f>(H6*E6)/C6</f>
        <v>25556.080000000002</v>
      </c>
      <c r="J6" s="66">
        <v>26.65</v>
      </c>
      <c r="K6" s="66">
        <f>I6*50%</f>
        <v>12778.04</v>
      </c>
      <c r="L6" s="66">
        <f t="shared" ref="L6" si="0">IF(J6&gt;30,(MAX($B$37*0.1/100,10000)),0)</f>
        <v>0</v>
      </c>
      <c r="M6" s="67">
        <v>114</v>
      </c>
      <c r="N6" s="66">
        <f t="shared" ref="N6" si="1">I6*25%</f>
        <v>6389.02</v>
      </c>
      <c r="O6" s="66">
        <f t="shared" ref="O6" si="2">IF(M6&gt;250,(MAX($B$37*0.1/100,10000)),0)</f>
        <v>0</v>
      </c>
      <c r="P6" s="66">
        <v>27.97</v>
      </c>
      <c r="Q6" s="66">
        <f>I6*25%</f>
        <v>6389.02</v>
      </c>
      <c r="R6" s="66">
        <f t="shared" ref="R6" si="3">IF(P6&gt;50,(MAX($B$37*0.1/100,10000)),0)</f>
        <v>0</v>
      </c>
      <c r="S6" s="66"/>
      <c r="T6" s="66"/>
      <c r="U6" s="66"/>
      <c r="V6" s="66">
        <f>T6+Q6+N6+K6</f>
        <v>25556.080000000002</v>
      </c>
      <c r="W6" s="66">
        <f>U6+R6+O6+L6</f>
        <v>0</v>
      </c>
      <c r="X6" s="61"/>
      <c r="Y6" s="97"/>
      <c r="Z6" s="97"/>
      <c r="AA6" s="97"/>
      <c r="AB6" s="97"/>
      <c r="AC6" s="97"/>
      <c r="AD6" s="97"/>
    </row>
    <row r="7" spans="1:30" s="98" customFormat="1" ht="16.5" customHeight="1" x14ac:dyDescent="0.25">
      <c r="A7" s="91">
        <v>44987</v>
      </c>
      <c r="B7" s="66">
        <f>Summary!$G$8/31</f>
        <v>63890.19</v>
      </c>
      <c r="C7" s="66">
        <v>10</v>
      </c>
      <c r="D7" s="66">
        <v>10.06</v>
      </c>
      <c r="E7" s="66">
        <f t="shared" ref="E7:E36" si="4">MIN(D7,C7)</f>
        <v>10</v>
      </c>
      <c r="F7" s="66">
        <f t="shared" ref="F7:F34" si="5">B7*60%</f>
        <v>38334.11</v>
      </c>
      <c r="G7" s="66">
        <f t="shared" ref="G7:G36" si="6">F7*E7/C7</f>
        <v>38334.11</v>
      </c>
      <c r="H7" s="66">
        <f t="shared" ref="H7:H34" si="7">B7*40%</f>
        <v>25556.080000000002</v>
      </c>
      <c r="I7" s="66">
        <f t="shared" ref="I7:I36" si="8">(H7*E7)/C7</f>
        <v>25556.080000000002</v>
      </c>
      <c r="J7" s="66">
        <v>25.08</v>
      </c>
      <c r="K7" s="66">
        <f t="shared" ref="K7:K36" si="9">I7*50%</f>
        <v>12778.04</v>
      </c>
      <c r="L7" s="66">
        <f t="shared" ref="L7:L36" si="10">IF(J7&gt;30,(MAX($B$37*0.1/100,10000)),0)</f>
        <v>0</v>
      </c>
      <c r="M7" s="67">
        <v>98</v>
      </c>
      <c r="N7" s="66">
        <f t="shared" ref="N7:N36" si="11">I7*25%</f>
        <v>6389.02</v>
      </c>
      <c r="O7" s="66">
        <f t="shared" ref="O7:O36" si="12">IF(M7&gt;250,(MAX($B$37*0.1/100,10000)),0)</f>
        <v>0</v>
      </c>
      <c r="P7" s="66">
        <v>23.1</v>
      </c>
      <c r="Q7" s="66">
        <f t="shared" ref="Q7:Q36" si="13">I7*25%</f>
        <v>6389.02</v>
      </c>
      <c r="R7" s="66">
        <f t="shared" ref="R7:R36" si="14">IF(P7&gt;50,(MAX($B$37*0.1/100,10000)),0)</f>
        <v>0</v>
      </c>
      <c r="S7" s="66"/>
      <c r="T7" s="66"/>
      <c r="U7" s="66"/>
      <c r="V7" s="66">
        <f t="shared" ref="V7:V36" si="15">T7+Q7+N7+K7</f>
        <v>25556.080000000002</v>
      </c>
      <c r="W7" s="66">
        <f t="shared" ref="W7:W36" si="16">U7+R7+O7+L7</f>
        <v>0</v>
      </c>
      <c r="X7" s="61"/>
      <c r="Y7" s="99"/>
      <c r="Z7" s="97"/>
      <c r="AA7" s="97"/>
      <c r="AB7" s="97"/>
      <c r="AC7" s="97"/>
      <c r="AD7" s="97"/>
    </row>
    <row r="8" spans="1:30" s="98" customFormat="1" ht="16.5" customHeight="1" x14ac:dyDescent="0.25">
      <c r="A8" s="91">
        <v>44988</v>
      </c>
      <c r="B8" s="66">
        <f>Summary!$G$8/31</f>
        <v>63890.19</v>
      </c>
      <c r="C8" s="66">
        <v>10</v>
      </c>
      <c r="D8" s="66">
        <v>10.050000000000001</v>
      </c>
      <c r="E8" s="66">
        <f t="shared" si="4"/>
        <v>10</v>
      </c>
      <c r="F8" s="66">
        <f t="shared" si="5"/>
        <v>38334.11</v>
      </c>
      <c r="G8" s="66">
        <f t="shared" si="6"/>
        <v>38334.11</v>
      </c>
      <c r="H8" s="66">
        <f t="shared" si="7"/>
        <v>25556.080000000002</v>
      </c>
      <c r="I8" s="66">
        <f t="shared" si="8"/>
        <v>25556.080000000002</v>
      </c>
      <c r="J8" s="66">
        <v>27.12</v>
      </c>
      <c r="K8" s="66">
        <f t="shared" si="9"/>
        <v>12778.04</v>
      </c>
      <c r="L8" s="66">
        <f t="shared" si="10"/>
        <v>0</v>
      </c>
      <c r="M8" s="67">
        <v>120</v>
      </c>
      <c r="N8" s="66">
        <f t="shared" si="11"/>
        <v>6389.02</v>
      </c>
      <c r="O8" s="66">
        <f t="shared" si="12"/>
        <v>0</v>
      </c>
      <c r="P8" s="66">
        <v>31.95</v>
      </c>
      <c r="Q8" s="66">
        <f t="shared" si="13"/>
        <v>6389.02</v>
      </c>
      <c r="R8" s="66">
        <f t="shared" si="14"/>
        <v>0</v>
      </c>
      <c r="S8" s="66"/>
      <c r="T8" s="66"/>
      <c r="U8" s="66"/>
      <c r="V8" s="66">
        <f t="shared" si="15"/>
        <v>25556.080000000002</v>
      </c>
      <c r="W8" s="66">
        <f t="shared" si="16"/>
        <v>0</v>
      </c>
      <c r="X8" s="61"/>
      <c r="Y8" s="97"/>
      <c r="Z8" s="97"/>
      <c r="AA8" s="97"/>
      <c r="AB8" s="97"/>
      <c r="AC8" s="97"/>
      <c r="AD8" s="97"/>
    </row>
    <row r="9" spans="1:30" s="50" customFormat="1" ht="16.5" customHeight="1" x14ac:dyDescent="0.25">
      <c r="A9" s="35">
        <v>44989</v>
      </c>
      <c r="B9" s="28">
        <f>Summary!$G$8/31</f>
        <v>63890.19</v>
      </c>
      <c r="C9" s="28">
        <v>10</v>
      </c>
      <c r="D9" s="28">
        <v>10.06</v>
      </c>
      <c r="E9" s="66">
        <f t="shared" si="4"/>
        <v>10</v>
      </c>
      <c r="F9" s="28">
        <f t="shared" si="5"/>
        <v>38334.11</v>
      </c>
      <c r="G9" s="66">
        <f t="shared" si="6"/>
        <v>38334.11</v>
      </c>
      <c r="H9" s="28">
        <f t="shared" si="7"/>
        <v>25556.080000000002</v>
      </c>
      <c r="I9" s="66">
        <f t="shared" si="8"/>
        <v>25556.080000000002</v>
      </c>
      <c r="J9" s="110">
        <v>28</v>
      </c>
      <c r="K9" s="66">
        <f t="shared" si="9"/>
        <v>12778.04</v>
      </c>
      <c r="L9" s="66">
        <f t="shared" si="10"/>
        <v>0</v>
      </c>
      <c r="M9" s="29">
        <v>160</v>
      </c>
      <c r="N9" s="66">
        <f t="shared" si="11"/>
        <v>6389.02</v>
      </c>
      <c r="O9" s="66">
        <f t="shared" si="12"/>
        <v>0</v>
      </c>
      <c r="P9" s="28">
        <v>45</v>
      </c>
      <c r="Q9" s="66">
        <f t="shared" si="13"/>
        <v>6389.02</v>
      </c>
      <c r="R9" s="66">
        <f t="shared" si="14"/>
        <v>0</v>
      </c>
      <c r="S9" s="28"/>
      <c r="T9" s="28"/>
      <c r="U9" s="28"/>
      <c r="V9" s="66">
        <f t="shared" si="15"/>
        <v>25556.080000000002</v>
      </c>
      <c r="W9" s="66">
        <f t="shared" si="16"/>
        <v>0</v>
      </c>
      <c r="X9" s="36" t="s">
        <v>97</v>
      </c>
      <c r="Y9" s="49"/>
      <c r="Z9" s="49"/>
      <c r="AA9" s="49"/>
      <c r="AB9" s="49"/>
      <c r="AC9" s="49"/>
      <c r="AD9" s="49"/>
    </row>
    <row r="10" spans="1:30" s="98" customFormat="1" ht="16.5" customHeight="1" x14ac:dyDescent="0.25">
      <c r="A10" s="91">
        <v>44990</v>
      </c>
      <c r="B10" s="66">
        <f>Summary!$G$8/31</f>
        <v>63890.19</v>
      </c>
      <c r="C10" s="66">
        <v>10</v>
      </c>
      <c r="D10" s="66">
        <v>10.09</v>
      </c>
      <c r="E10" s="66">
        <f t="shared" si="4"/>
        <v>10</v>
      </c>
      <c r="F10" s="66">
        <f t="shared" si="5"/>
        <v>38334.11</v>
      </c>
      <c r="G10" s="66">
        <f t="shared" si="6"/>
        <v>38334.11</v>
      </c>
      <c r="H10" s="66">
        <f t="shared" si="7"/>
        <v>25556.080000000002</v>
      </c>
      <c r="I10" s="66">
        <f t="shared" si="8"/>
        <v>25556.080000000002</v>
      </c>
      <c r="J10" s="66">
        <v>26.25</v>
      </c>
      <c r="K10" s="66">
        <f t="shared" si="9"/>
        <v>12778.04</v>
      </c>
      <c r="L10" s="66">
        <f t="shared" si="10"/>
        <v>0</v>
      </c>
      <c r="M10" s="67">
        <v>102</v>
      </c>
      <c r="N10" s="66">
        <f t="shared" si="11"/>
        <v>6389.02</v>
      </c>
      <c r="O10" s="66">
        <f t="shared" si="12"/>
        <v>0</v>
      </c>
      <c r="P10" s="66">
        <v>27.58</v>
      </c>
      <c r="Q10" s="66">
        <f t="shared" si="13"/>
        <v>6389.02</v>
      </c>
      <c r="R10" s="66">
        <f t="shared" si="14"/>
        <v>0</v>
      </c>
      <c r="S10" s="66"/>
      <c r="T10" s="66"/>
      <c r="U10" s="66"/>
      <c r="V10" s="66">
        <f t="shared" si="15"/>
        <v>25556.080000000002</v>
      </c>
      <c r="W10" s="66">
        <f t="shared" si="16"/>
        <v>0</v>
      </c>
      <c r="X10" s="61"/>
      <c r="Y10" s="97"/>
      <c r="Z10" s="97"/>
      <c r="AA10" s="97"/>
      <c r="AB10" s="97"/>
      <c r="AC10" s="97"/>
      <c r="AD10" s="97"/>
    </row>
    <row r="11" spans="1:30" s="98" customFormat="1" ht="16.5" customHeight="1" x14ac:dyDescent="0.25">
      <c r="A11" s="91">
        <v>44991</v>
      </c>
      <c r="B11" s="66">
        <f>Summary!$G$8/31</f>
        <v>63890.19</v>
      </c>
      <c r="C11" s="66">
        <v>10</v>
      </c>
      <c r="D11" s="66">
        <v>10.039999999999999</v>
      </c>
      <c r="E11" s="66">
        <f t="shared" si="4"/>
        <v>10</v>
      </c>
      <c r="F11" s="66">
        <f t="shared" si="5"/>
        <v>38334.11</v>
      </c>
      <c r="G11" s="66">
        <f t="shared" si="6"/>
        <v>38334.11</v>
      </c>
      <c r="H11" s="66">
        <f t="shared" si="7"/>
        <v>25556.080000000002</v>
      </c>
      <c r="I11" s="66">
        <f t="shared" si="8"/>
        <v>25556.080000000002</v>
      </c>
      <c r="J11" s="66">
        <v>26.63</v>
      </c>
      <c r="K11" s="66">
        <f t="shared" si="9"/>
        <v>12778.04</v>
      </c>
      <c r="L11" s="66">
        <f t="shared" si="10"/>
        <v>0</v>
      </c>
      <c r="M11" s="67">
        <v>110</v>
      </c>
      <c r="N11" s="66">
        <f t="shared" si="11"/>
        <v>6389.02</v>
      </c>
      <c r="O11" s="66">
        <f t="shared" si="12"/>
        <v>0</v>
      </c>
      <c r="P11" s="66">
        <v>29.35</v>
      </c>
      <c r="Q11" s="66">
        <f t="shared" si="13"/>
        <v>6389.02</v>
      </c>
      <c r="R11" s="66">
        <f t="shared" si="14"/>
        <v>0</v>
      </c>
      <c r="S11" s="66"/>
      <c r="T11" s="66"/>
      <c r="U11" s="66"/>
      <c r="V11" s="66">
        <f t="shared" si="15"/>
        <v>25556.080000000002</v>
      </c>
      <c r="W11" s="66">
        <f t="shared" si="16"/>
        <v>0</v>
      </c>
      <c r="X11" s="61"/>
      <c r="Y11" s="97"/>
      <c r="Z11" s="97"/>
      <c r="AA11" s="97"/>
      <c r="AB11" s="97"/>
      <c r="AC11" s="97"/>
      <c r="AD11" s="97"/>
    </row>
    <row r="12" spans="1:30" s="98" customFormat="1" ht="16.5" customHeight="1" x14ac:dyDescent="0.25">
      <c r="A12" s="91">
        <v>44992</v>
      </c>
      <c r="B12" s="66">
        <f>Summary!$G$8/31</f>
        <v>63890.19</v>
      </c>
      <c r="C12" s="66">
        <v>10</v>
      </c>
      <c r="D12" s="66">
        <v>10.06</v>
      </c>
      <c r="E12" s="66">
        <f t="shared" si="4"/>
        <v>10</v>
      </c>
      <c r="F12" s="66">
        <f t="shared" si="5"/>
        <v>38334.11</v>
      </c>
      <c r="G12" s="66">
        <f t="shared" si="6"/>
        <v>38334.11</v>
      </c>
      <c r="H12" s="66">
        <f t="shared" si="7"/>
        <v>25556.080000000002</v>
      </c>
      <c r="I12" s="66">
        <f t="shared" si="8"/>
        <v>25556.080000000002</v>
      </c>
      <c r="J12" s="66">
        <v>24.81</v>
      </c>
      <c r="K12" s="66">
        <f t="shared" si="9"/>
        <v>12778.04</v>
      </c>
      <c r="L12" s="66">
        <f t="shared" si="10"/>
        <v>0</v>
      </c>
      <c r="M12" s="67">
        <v>96</v>
      </c>
      <c r="N12" s="66">
        <f t="shared" si="11"/>
        <v>6389.02</v>
      </c>
      <c r="O12" s="66">
        <f t="shared" si="12"/>
        <v>0</v>
      </c>
      <c r="P12" s="66">
        <v>23.98</v>
      </c>
      <c r="Q12" s="66">
        <f t="shared" si="13"/>
        <v>6389.02</v>
      </c>
      <c r="R12" s="66">
        <f t="shared" si="14"/>
        <v>0</v>
      </c>
      <c r="S12" s="66"/>
      <c r="T12" s="66"/>
      <c r="U12" s="66"/>
      <c r="V12" s="66">
        <f t="shared" si="15"/>
        <v>25556.080000000002</v>
      </c>
      <c r="W12" s="66">
        <f t="shared" si="16"/>
        <v>0</v>
      </c>
      <c r="X12" s="61"/>
      <c r="Y12" s="97"/>
      <c r="Z12" s="97"/>
      <c r="AA12" s="97"/>
      <c r="AB12" s="97"/>
      <c r="AC12" s="97"/>
      <c r="AD12" s="97"/>
    </row>
    <row r="13" spans="1:30" s="98" customFormat="1" ht="16.5" customHeight="1" x14ac:dyDescent="0.25">
      <c r="A13" s="91">
        <v>44993</v>
      </c>
      <c r="B13" s="66">
        <f>Summary!$G$8/31</f>
        <v>63890.19</v>
      </c>
      <c r="C13" s="66">
        <v>10</v>
      </c>
      <c r="D13" s="66">
        <v>10.02</v>
      </c>
      <c r="E13" s="66">
        <f t="shared" si="4"/>
        <v>10</v>
      </c>
      <c r="F13" s="66">
        <f t="shared" si="5"/>
        <v>38334.11</v>
      </c>
      <c r="G13" s="66">
        <f t="shared" si="6"/>
        <v>38334.11</v>
      </c>
      <c r="H13" s="66">
        <f t="shared" si="7"/>
        <v>25556.080000000002</v>
      </c>
      <c r="I13" s="66">
        <f t="shared" si="8"/>
        <v>25556.080000000002</v>
      </c>
      <c r="J13" s="66">
        <v>25.31</v>
      </c>
      <c r="K13" s="66">
        <f t="shared" si="9"/>
        <v>12778.04</v>
      </c>
      <c r="L13" s="66">
        <f t="shared" si="10"/>
        <v>0</v>
      </c>
      <c r="M13" s="67">
        <v>104</v>
      </c>
      <c r="N13" s="66">
        <f t="shared" si="11"/>
        <v>6389.02</v>
      </c>
      <c r="O13" s="66">
        <f t="shared" si="12"/>
        <v>0</v>
      </c>
      <c r="P13" s="66">
        <v>25.81</v>
      </c>
      <c r="Q13" s="66">
        <f t="shared" si="13"/>
        <v>6389.02</v>
      </c>
      <c r="R13" s="66">
        <f t="shared" si="14"/>
        <v>0</v>
      </c>
      <c r="S13" s="66"/>
      <c r="T13" s="66"/>
      <c r="U13" s="66"/>
      <c r="V13" s="66">
        <f t="shared" si="15"/>
        <v>25556.080000000002</v>
      </c>
      <c r="W13" s="66">
        <f t="shared" si="16"/>
        <v>0</v>
      </c>
      <c r="X13" s="61"/>
      <c r="Y13" s="97"/>
      <c r="Z13" s="97"/>
      <c r="AA13" s="97"/>
      <c r="AB13" s="97"/>
      <c r="AC13" s="97"/>
      <c r="AD13" s="97"/>
    </row>
    <row r="14" spans="1:30" s="98" customFormat="1" ht="16.5" customHeight="1" x14ac:dyDescent="0.25">
      <c r="A14" s="91">
        <v>44994</v>
      </c>
      <c r="B14" s="66">
        <f>Summary!$G$8/31</f>
        <v>63890.19</v>
      </c>
      <c r="C14" s="66">
        <v>10</v>
      </c>
      <c r="D14" s="66">
        <v>10.02</v>
      </c>
      <c r="E14" s="66">
        <f t="shared" si="4"/>
        <v>10</v>
      </c>
      <c r="F14" s="66">
        <f t="shared" si="5"/>
        <v>38334.11</v>
      </c>
      <c r="G14" s="66">
        <f t="shared" si="6"/>
        <v>38334.11</v>
      </c>
      <c r="H14" s="66">
        <f t="shared" si="7"/>
        <v>25556.080000000002</v>
      </c>
      <c r="I14" s="66">
        <f t="shared" si="8"/>
        <v>25556.080000000002</v>
      </c>
      <c r="J14" s="66">
        <v>24.28</v>
      </c>
      <c r="K14" s="66">
        <f t="shared" si="9"/>
        <v>12778.04</v>
      </c>
      <c r="L14" s="66">
        <f t="shared" si="10"/>
        <v>0</v>
      </c>
      <c r="M14" s="67">
        <v>92</v>
      </c>
      <c r="N14" s="66">
        <f t="shared" si="11"/>
        <v>6389.02</v>
      </c>
      <c r="O14" s="66">
        <f t="shared" si="12"/>
        <v>0</v>
      </c>
      <c r="P14" s="66">
        <v>22.95</v>
      </c>
      <c r="Q14" s="66">
        <f t="shared" si="13"/>
        <v>6389.02</v>
      </c>
      <c r="R14" s="66">
        <f t="shared" si="14"/>
        <v>0</v>
      </c>
      <c r="S14" s="66"/>
      <c r="T14" s="66"/>
      <c r="U14" s="66"/>
      <c r="V14" s="66">
        <f t="shared" si="15"/>
        <v>25556.080000000002</v>
      </c>
      <c r="W14" s="66">
        <f t="shared" si="16"/>
        <v>0</v>
      </c>
      <c r="X14" s="61"/>
      <c r="Y14" s="97"/>
      <c r="Z14" s="97"/>
      <c r="AA14" s="97"/>
      <c r="AB14" s="97"/>
      <c r="AC14" s="97"/>
      <c r="AD14" s="97"/>
    </row>
    <row r="15" spans="1:30" s="50" customFormat="1" ht="16.5" customHeight="1" x14ac:dyDescent="0.25">
      <c r="A15" s="35">
        <v>44995</v>
      </c>
      <c r="B15" s="28">
        <f>Summary!$G$8/31</f>
        <v>63890.19</v>
      </c>
      <c r="C15" s="28">
        <v>10</v>
      </c>
      <c r="D15" s="28">
        <v>10.06</v>
      </c>
      <c r="E15" s="66">
        <f t="shared" si="4"/>
        <v>10</v>
      </c>
      <c r="F15" s="28">
        <f t="shared" si="5"/>
        <v>38334.11</v>
      </c>
      <c r="G15" s="66">
        <f t="shared" si="6"/>
        <v>38334.11</v>
      </c>
      <c r="H15" s="28">
        <f t="shared" si="7"/>
        <v>25556.080000000002</v>
      </c>
      <c r="I15" s="66">
        <f t="shared" si="8"/>
        <v>25556.080000000002</v>
      </c>
      <c r="J15" s="28">
        <v>29</v>
      </c>
      <c r="K15" s="66">
        <f t="shared" si="9"/>
        <v>12778.04</v>
      </c>
      <c r="L15" s="66">
        <f t="shared" si="10"/>
        <v>0</v>
      </c>
      <c r="M15" s="29">
        <v>152</v>
      </c>
      <c r="N15" s="66">
        <f t="shared" si="11"/>
        <v>6389.02</v>
      </c>
      <c r="O15" s="66">
        <f t="shared" si="12"/>
        <v>0</v>
      </c>
      <c r="P15" s="28">
        <v>43</v>
      </c>
      <c r="Q15" s="66">
        <f t="shared" si="13"/>
        <v>6389.02</v>
      </c>
      <c r="R15" s="66">
        <f t="shared" si="14"/>
        <v>0</v>
      </c>
      <c r="S15" s="28"/>
      <c r="T15" s="28"/>
      <c r="U15" s="28"/>
      <c r="V15" s="66">
        <f t="shared" si="15"/>
        <v>25556.080000000002</v>
      </c>
      <c r="W15" s="66">
        <f t="shared" si="16"/>
        <v>0</v>
      </c>
      <c r="X15" s="36" t="s">
        <v>97</v>
      </c>
      <c r="Y15" s="49"/>
      <c r="Z15" s="49"/>
      <c r="AA15" s="49"/>
      <c r="AB15" s="49"/>
      <c r="AC15" s="49"/>
      <c r="AD15" s="49"/>
    </row>
    <row r="16" spans="1:30" s="98" customFormat="1" ht="16.5" customHeight="1" x14ac:dyDescent="0.25">
      <c r="A16" s="91">
        <v>44996</v>
      </c>
      <c r="B16" s="66">
        <f>Summary!$G$8/31</f>
        <v>63890.19</v>
      </c>
      <c r="C16" s="66">
        <v>10</v>
      </c>
      <c r="D16" s="66">
        <v>10.029999999999999</v>
      </c>
      <c r="E16" s="66">
        <f t="shared" si="4"/>
        <v>10</v>
      </c>
      <c r="F16" s="66">
        <f t="shared" si="5"/>
        <v>38334.11</v>
      </c>
      <c r="G16" s="66">
        <f t="shared" si="6"/>
        <v>38334.11</v>
      </c>
      <c r="H16" s="66">
        <f t="shared" si="7"/>
        <v>25556.080000000002</v>
      </c>
      <c r="I16" s="66">
        <f t="shared" si="8"/>
        <v>25556.080000000002</v>
      </c>
      <c r="J16" s="66">
        <v>25.96</v>
      </c>
      <c r="K16" s="66">
        <f t="shared" si="9"/>
        <v>12778.04</v>
      </c>
      <c r="L16" s="66">
        <f t="shared" si="10"/>
        <v>0</v>
      </c>
      <c r="M16" s="67">
        <v>108</v>
      </c>
      <c r="N16" s="66">
        <f t="shared" si="11"/>
        <v>6389.02</v>
      </c>
      <c r="O16" s="66">
        <f t="shared" si="12"/>
        <v>0</v>
      </c>
      <c r="P16" s="66">
        <v>28.11</v>
      </c>
      <c r="Q16" s="66">
        <f t="shared" si="13"/>
        <v>6389.02</v>
      </c>
      <c r="R16" s="66">
        <f t="shared" si="14"/>
        <v>0</v>
      </c>
      <c r="S16" s="66"/>
      <c r="T16" s="66"/>
      <c r="U16" s="66"/>
      <c r="V16" s="66">
        <f t="shared" si="15"/>
        <v>25556.080000000002</v>
      </c>
      <c r="W16" s="66">
        <f t="shared" si="16"/>
        <v>0</v>
      </c>
      <c r="X16" s="61"/>
      <c r="Y16" s="97"/>
      <c r="Z16" s="97"/>
      <c r="AA16" s="97"/>
      <c r="AB16" s="97"/>
      <c r="AC16" s="97"/>
      <c r="AD16" s="97"/>
    </row>
    <row r="17" spans="1:24" s="98" customFormat="1" ht="16.5" customHeight="1" x14ac:dyDescent="0.25">
      <c r="A17" s="91">
        <v>44997</v>
      </c>
      <c r="B17" s="66">
        <f>Summary!$G$8/31</f>
        <v>63890.19</v>
      </c>
      <c r="C17" s="66">
        <v>10</v>
      </c>
      <c r="D17" s="66">
        <v>10.050000000000001</v>
      </c>
      <c r="E17" s="66">
        <f t="shared" si="4"/>
        <v>10</v>
      </c>
      <c r="F17" s="66">
        <f t="shared" si="5"/>
        <v>38334.11</v>
      </c>
      <c r="G17" s="66">
        <f t="shared" si="6"/>
        <v>38334.11</v>
      </c>
      <c r="H17" s="66">
        <f t="shared" si="7"/>
        <v>25556.080000000002</v>
      </c>
      <c r="I17" s="66">
        <f t="shared" si="8"/>
        <v>25556.080000000002</v>
      </c>
      <c r="J17" s="66">
        <v>25.31</v>
      </c>
      <c r="K17" s="66">
        <f t="shared" si="9"/>
        <v>12778.04</v>
      </c>
      <c r="L17" s="66">
        <f t="shared" si="10"/>
        <v>0</v>
      </c>
      <c r="M17" s="67">
        <v>102</v>
      </c>
      <c r="N17" s="66">
        <f t="shared" si="11"/>
        <v>6389.02</v>
      </c>
      <c r="O17" s="66">
        <f t="shared" si="12"/>
        <v>0</v>
      </c>
      <c r="P17" s="66">
        <v>26.87</v>
      </c>
      <c r="Q17" s="66">
        <f t="shared" si="13"/>
        <v>6389.02</v>
      </c>
      <c r="R17" s="66">
        <f t="shared" si="14"/>
        <v>0</v>
      </c>
      <c r="S17" s="66"/>
      <c r="T17" s="66"/>
      <c r="U17" s="66"/>
      <c r="V17" s="66">
        <f t="shared" si="15"/>
        <v>25556.080000000002</v>
      </c>
      <c r="W17" s="66">
        <f t="shared" si="16"/>
        <v>0</v>
      </c>
      <c r="X17" s="61"/>
    </row>
    <row r="18" spans="1:24" s="98" customFormat="1" ht="16.5" customHeight="1" x14ac:dyDescent="0.25">
      <c r="A18" s="91">
        <v>44998</v>
      </c>
      <c r="B18" s="66">
        <f>Summary!$G$8/31</f>
        <v>63890.19</v>
      </c>
      <c r="C18" s="66">
        <v>10</v>
      </c>
      <c r="D18" s="66">
        <v>10.07</v>
      </c>
      <c r="E18" s="66">
        <f t="shared" si="4"/>
        <v>10</v>
      </c>
      <c r="F18" s="66">
        <f t="shared" si="5"/>
        <v>38334.11</v>
      </c>
      <c r="G18" s="66">
        <f t="shared" si="6"/>
        <v>38334.11</v>
      </c>
      <c r="H18" s="66">
        <f t="shared" si="7"/>
        <v>25556.080000000002</v>
      </c>
      <c r="I18" s="66">
        <f t="shared" si="8"/>
        <v>25556.080000000002</v>
      </c>
      <c r="J18" s="66">
        <v>24.3</v>
      </c>
      <c r="K18" s="66">
        <f t="shared" si="9"/>
        <v>12778.04</v>
      </c>
      <c r="L18" s="66">
        <f t="shared" si="10"/>
        <v>0</v>
      </c>
      <c r="M18" s="67">
        <v>96</v>
      </c>
      <c r="N18" s="66">
        <f t="shared" si="11"/>
        <v>6389.02</v>
      </c>
      <c r="O18" s="66">
        <f t="shared" si="12"/>
        <v>0</v>
      </c>
      <c r="P18" s="66">
        <v>23.06</v>
      </c>
      <c r="Q18" s="66">
        <f t="shared" si="13"/>
        <v>6389.02</v>
      </c>
      <c r="R18" s="66">
        <f t="shared" si="14"/>
        <v>0</v>
      </c>
      <c r="S18" s="66"/>
      <c r="T18" s="66"/>
      <c r="U18" s="66"/>
      <c r="V18" s="66">
        <f t="shared" si="15"/>
        <v>25556.080000000002</v>
      </c>
      <c r="W18" s="66">
        <f t="shared" si="16"/>
        <v>0</v>
      </c>
      <c r="X18" s="61"/>
    </row>
    <row r="19" spans="1:24" s="98" customFormat="1" ht="16.5" customHeight="1" x14ac:dyDescent="0.25">
      <c r="A19" s="91">
        <v>44999</v>
      </c>
      <c r="B19" s="66">
        <f>Summary!$G$8/31</f>
        <v>63890.19</v>
      </c>
      <c r="C19" s="66">
        <v>10</v>
      </c>
      <c r="D19" s="66">
        <v>10.050000000000001</v>
      </c>
      <c r="E19" s="66">
        <f t="shared" si="4"/>
        <v>10</v>
      </c>
      <c r="F19" s="66">
        <f t="shared" si="5"/>
        <v>38334.11</v>
      </c>
      <c r="G19" s="66">
        <f t="shared" si="6"/>
        <v>38334.11</v>
      </c>
      <c r="H19" s="66">
        <f t="shared" si="7"/>
        <v>25556.080000000002</v>
      </c>
      <c r="I19" s="66">
        <f t="shared" si="8"/>
        <v>25556.080000000002</v>
      </c>
      <c r="J19" s="66">
        <v>26.16</v>
      </c>
      <c r="K19" s="66">
        <f t="shared" si="9"/>
        <v>12778.04</v>
      </c>
      <c r="L19" s="66">
        <f t="shared" si="10"/>
        <v>0</v>
      </c>
      <c r="M19" s="67">
        <v>108</v>
      </c>
      <c r="N19" s="66">
        <f t="shared" si="11"/>
        <v>6389.02</v>
      </c>
      <c r="O19" s="66">
        <f t="shared" si="12"/>
        <v>0</v>
      </c>
      <c r="P19" s="66">
        <v>27.39</v>
      </c>
      <c r="Q19" s="66">
        <f t="shared" si="13"/>
        <v>6389.02</v>
      </c>
      <c r="R19" s="66">
        <f t="shared" si="14"/>
        <v>0</v>
      </c>
      <c r="S19" s="66"/>
      <c r="T19" s="66"/>
      <c r="U19" s="66"/>
      <c r="V19" s="66">
        <f t="shared" si="15"/>
        <v>25556.080000000002</v>
      </c>
      <c r="W19" s="66">
        <f t="shared" si="16"/>
        <v>0</v>
      </c>
      <c r="X19" s="61"/>
    </row>
    <row r="20" spans="1:24" s="98" customFormat="1" ht="16.5" customHeight="1" x14ac:dyDescent="0.25">
      <c r="A20" s="91">
        <v>45000</v>
      </c>
      <c r="B20" s="66">
        <f>Summary!$G$8/31</f>
        <v>63890.19</v>
      </c>
      <c r="C20" s="66">
        <v>10</v>
      </c>
      <c r="D20" s="66">
        <v>10.029999999999999</v>
      </c>
      <c r="E20" s="66">
        <f t="shared" si="4"/>
        <v>10</v>
      </c>
      <c r="F20" s="66">
        <f t="shared" si="5"/>
        <v>38334.11</v>
      </c>
      <c r="G20" s="66">
        <f t="shared" si="6"/>
        <v>38334.11</v>
      </c>
      <c r="H20" s="66">
        <f t="shared" si="7"/>
        <v>25556.080000000002</v>
      </c>
      <c r="I20" s="66">
        <f t="shared" si="8"/>
        <v>25556.080000000002</v>
      </c>
      <c r="J20" s="66">
        <v>27.73</v>
      </c>
      <c r="K20" s="66">
        <f t="shared" si="9"/>
        <v>12778.04</v>
      </c>
      <c r="L20" s="66">
        <f t="shared" si="10"/>
        <v>0</v>
      </c>
      <c r="M20" s="67">
        <v>118</v>
      </c>
      <c r="N20" s="66">
        <f t="shared" si="11"/>
        <v>6389.02</v>
      </c>
      <c r="O20" s="66">
        <f t="shared" si="12"/>
        <v>0</v>
      </c>
      <c r="P20" s="66">
        <v>31.25</v>
      </c>
      <c r="Q20" s="66">
        <f t="shared" si="13"/>
        <v>6389.02</v>
      </c>
      <c r="R20" s="66">
        <f t="shared" si="14"/>
        <v>0</v>
      </c>
      <c r="S20" s="66"/>
      <c r="T20" s="66"/>
      <c r="U20" s="66"/>
      <c r="V20" s="66">
        <f t="shared" si="15"/>
        <v>25556.080000000002</v>
      </c>
      <c r="W20" s="66">
        <f t="shared" si="16"/>
        <v>0</v>
      </c>
      <c r="X20" s="61"/>
    </row>
    <row r="21" spans="1:24" s="98" customFormat="1" ht="16.5" customHeight="1" x14ac:dyDescent="0.25">
      <c r="A21" s="91">
        <v>45001</v>
      </c>
      <c r="B21" s="66">
        <f>Summary!$G$8/31</f>
        <v>63890.19</v>
      </c>
      <c r="C21" s="66">
        <v>10</v>
      </c>
      <c r="D21" s="66">
        <v>10.039999999999999</v>
      </c>
      <c r="E21" s="66">
        <f t="shared" si="4"/>
        <v>10</v>
      </c>
      <c r="F21" s="66">
        <f t="shared" si="5"/>
        <v>38334.11</v>
      </c>
      <c r="G21" s="66">
        <f t="shared" si="6"/>
        <v>38334.11</v>
      </c>
      <c r="H21" s="66">
        <f t="shared" si="7"/>
        <v>25556.080000000002</v>
      </c>
      <c r="I21" s="66">
        <f t="shared" si="8"/>
        <v>25556.080000000002</v>
      </c>
      <c r="J21" s="66">
        <v>28.2</v>
      </c>
      <c r="K21" s="66">
        <f t="shared" si="9"/>
        <v>12778.04</v>
      </c>
      <c r="L21" s="66">
        <f t="shared" si="10"/>
        <v>0</v>
      </c>
      <c r="M21" s="67">
        <v>102</v>
      </c>
      <c r="N21" s="66">
        <f t="shared" si="11"/>
        <v>6389.02</v>
      </c>
      <c r="O21" s="66">
        <f t="shared" si="12"/>
        <v>0</v>
      </c>
      <c r="P21" s="66">
        <v>29.97</v>
      </c>
      <c r="Q21" s="66">
        <f t="shared" si="13"/>
        <v>6389.02</v>
      </c>
      <c r="R21" s="66">
        <f t="shared" si="14"/>
        <v>0</v>
      </c>
      <c r="S21" s="66"/>
      <c r="T21" s="66"/>
      <c r="U21" s="66"/>
      <c r="V21" s="66">
        <f t="shared" si="15"/>
        <v>25556.080000000002</v>
      </c>
      <c r="W21" s="66">
        <f t="shared" si="16"/>
        <v>0</v>
      </c>
      <c r="X21" s="61"/>
    </row>
    <row r="22" spans="1:24" s="50" customFormat="1" ht="16.5" customHeight="1" x14ac:dyDescent="0.25">
      <c r="A22" s="35">
        <v>45002</v>
      </c>
      <c r="B22" s="28">
        <f>Summary!$G$8/31</f>
        <v>63890.19</v>
      </c>
      <c r="C22" s="28">
        <v>10</v>
      </c>
      <c r="D22" s="28">
        <v>10.02</v>
      </c>
      <c r="E22" s="66">
        <f t="shared" si="4"/>
        <v>10</v>
      </c>
      <c r="F22" s="28">
        <f t="shared" si="5"/>
        <v>38334.11</v>
      </c>
      <c r="G22" s="66">
        <f t="shared" si="6"/>
        <v>38334.11</v>
      </c>
      <c r="H22" s="28">
        <f t="shared" si="7"/>
        <v>25556.080000000002</v>
      </c>
      <c r="I22" s="66">
        <f t="shared" si="8"/>
        <v>25556.080000000002</v>
      </c>
      <c r="J22" s="28">
        <v>27</v>
      </c>
      <c r="K22" s="66">
        <f t="shared" si="9"/>
        <v>12778.04</v>
      </c>
      <c r="L22" s="66">
        <f t="shared" si="10"/>
        <v>0</v>
      </c>
      <c r="M22" s="29">
        <v>168</v>
      </c>
      <c r="N22" s="66">
        <f t="shared" si="11"/>
        <v>6389.02</v>
      </c>
      <c r="O22" s="66">
        <f t="shared" si="12"/>
        <v>0</v>
      </c>
      <c r="P22" s="28">
        <v>44</v>
      </c>
      <c r="Q22" s="66">
        <f t="shared" si="13"/>
        <v>6389.02</v>
      </c>
      <c r="R22" s="66">
        <f t="shared" si="14"/>
        <v>0</v>
      </c>
      <c r="S22" s="28"/>
      <c r="T22" s="28"/>
      <c r="U22" s="28"/>
      <c r="V22" s="66">
        <f t="shared" si="15"/>
        <v>25556.080000000002</v>
      </c>
      <c r="W22" s="66">
        <f t="shared" si="16"/>
        <v>0</v>
      </c>
      <c r="X22" s="36" t="s">
        <v>97</v>
      </c>
    </row>
    <row r="23" spans="1:24" s="98" customFormat="1" ht="16.5" customHeight="1" x14ac:dyDescent="0.25">
      <c r="A23" s="91">
        <v>45003</v>
      </c>
      <c r="B23" s="66">
        <f>Summary!$G$8/31</f>
        <v>63890.19</v>
      </c>
      <c r="C23" s="66">
        <v>10</v>
      </c>
      <c r="D23" s="66">
        <v>10.06</v>
      </c>
      <c r="E23" s="66">
        <f t="shared" si="4"/>
        <v>10</v>
      </c>
      <c r="F23" s="66">
        <f t="shared" si="5"/>
        <v>38334.11</v>
      </c>
      <c r="G23" s="66">
        <f t="shared" si="6"/>
        <v>38334.11</v>
      </c>
      <c r="H23" s="66">
        <f t="shared" si="7"/>
        <v>25556.080000000002</v>
      </c>
      <c r="I23" s="66">
        <f t="shared" si="8"/>
        <v>25556.080000000002</v>
      </c>
      <c r="J23" s="66">
        <v>26.9</v>
      </c>
      <c r="K23" s="66">
        <f t="shared" si="9"/>
        <v>12778.04</v>
      </c>
      <c r="L23" s="66">
        <f t="shared" si="10"/>
        <v>0</v>
      </c>
      <c r="M23" s="67">
        <v>110</v>
      </c>
      <c r="N23" s="66">
        <f t="shared" si="11"/>
        <v>6389.02</v>
      </c>
      <c r="O23" s="66">
        <f t="shared" si="12"/>
        <v>0</v>
      </c>
      <c r="P23" s="66">
        <v>29.4</v>
      </c>
      <c r="Q23" s="66">
        <f t="shared" si="13"/>
        <v>6389.02</v>
      </c>
      <c r="R23" s="66">
        <f t="shared" si="14"/>
        <v>0</v>
      </c>
      <c r="S23" s="66"/>
      <c r="T23" s="66"/>
      <c r="U23" s="66"/>
      <c r="V23" s="66">
        <f t="shared" si="15"/>
        <v>25556.080000000002</v>
      </c>
      <c r="W23" s="66">
        <f t="shared" si="16"/>
        <v>0</v>
      </c>
      <c r="X23" s="61"/>
    </row>
    <row r="24" spans="1:24" s="98" customFormat="1" ht="16.5" customHeight="1" x14ac:dyDescent="0.25">
      <c r="A24" s="91">
        <v>45004</v>
      </c>
      <c r="B24" s="66">
        <f>Summary!$G$8/31</f>
        <v>63890.19</v>
      </c>
      <c r="C24" s="66">
        <v>10</v>
      </c>
      <c r="D24" s="66">
        <v>10.08</v>
      </c>
      <c r="E24" s="66">
        <f t="shared" si="4"/>
        <v>10</v>
      </c>
      <c r="F24" s="66">
        <f t="shared" si="5"/>
        <v>38334.11</v>
      </c>
      <c r="G24" s="66">
        <f t="shared" si="6"/>
        <v>38334.11</v>
      </c>
      <c r="H24" s="66">
        <f t="shared" si="7"/>
        <v>25556.080000000002</v>
      </c>
      <c r="I24" s="66">
        <f t="shared" si="8"/>
        <v>25556.080000000002</v>
      </c>
      <c r="J24" s="66">
        <v>27.63</v>
      </c>
      <c r="K24" s="66">
        <f t="shared" si="9"/>
        <v>12778.04</v>
      </c>
      <c r="L24" s="66">
        <f t="shared" si="10"/>
        <v>0</v>
      </c>
      <c r="M24" s="67">
        <v>124</v>
      </c>
      <c r="N24" s="66">
        <f t="shared" si="11"/>
        <v>6389.02</v>
      </c>
      <c r="O24" s="66">
        <f t="shared" si="12"/>
        <v>0</v>
      </c>
      <c r="P24" s="66">
        <v>31.56</v>
      </c>
      <c r="Q24" s="66">
        <f t="shared" si="13"/>
        <v>6389.02</v>
      </c>
      <c r="R24" s="66">
        <f t="shared" si="14"/>
        <v>0</v>
      </c>
      <c r="S24" s="66"/>
      <c r="T24" s="66"/>
      <c r="U24" s="66"/>
      <c r="V24" s="66">
        <f t="shared" si="15"/>
        <v>25556.080000000002</v>
      </c>
      <c r="W24" s="66">
        <f t="shared" si="16"/>
        <v>0</v>
      </c>
      <c r="X24" s="61"/>
    </row>
    <row r="25" spans="1:24" s="98" customFormat="1" ht="16.5" customHeight="1" x14ac:dyDescent="0.25">
      <c r="A25" s="91">
        <v>45005</v>
      </c>
      <c r="B25" s="66">
        <f>Summary!$G$8/31</f>
        <v>63890.19</v>
      </c>
      <c r="C25" s="66">
        <v>10</v>
      </c>
      <c r="D25" s="66">
        <v>10.08</v>
      </c>
      <c r="E25" s="66">
        <f t="shared" si="4"/>
        <v>10</v>
      </c>
      <c r="F25" s="66">
        <f t="shared" si="5"/>
        <v>38334.11</v>
      </c>
      <c r="G25" s="66">
        <f t="shared" si="6"/>
        <v>38334.11</v>
      </c>
      <c r="H25" s="66">
        <f t="shared" si="7"/>
        <v>25556.080000000002</v>
      </c>
      <c r="I25" s="66">
        <f t="shared" si="8"/>
        <v>25556.080000000002</v>
      </c>
      <c r="J25" s="66">
        <v>26.55</v>
      </c>
      <c r="K25" s="66">
        <f t="shared" si="9"/>
        <v>12778.04</v>
      </c>
      <c r="L25" s="66">
        <f t="shared" si="10"/>
        <v>0</v>
      </c>
      <c r="M25" s="67">
        <v>120</v>
      </c>
      <c r="N25" s="66">
        <f t="shared" si="11"/>
        <v>6389.02</v>
      </c>
      <c r="O25" s="66">
        <f t="shared" si="12"/>
        <v>0</v>
      </c>
      <c r="P25" s="66">
        <v>30.97</v>
      </c>
      <c r="Q25" s="66">
        <f t="shared" si="13"/>
        <v>6389.02</v>
      </c>
      <c r="R25" s="66">
        <f t="shared" si="14"/>
        <v>0</v>
      </c>
      <c r="S25" s="66"/>
      <c r="T25" s="66"/>
      <c r="U25" s="66"/>
      <c r="V25" s="66">
        <f t="shared" si="15"/>
        <v>25556.080000000002</v>
      </c>
      <c r="W25" s="66">
        <f t="shared" si="16"/>
        <v>0</v>
      </c>
      <c r="X25" s="61"/>
    </row>
    <row r="26" spans="1:24" s="98" customFormat="1" ht="16.5" customHeight="1" x14ac:dyDescent="0.25">
      <c r="A26" s="91">
        <v>45006</v>
      </c>
      <c r="B26" s="66">
        <f>Summary!$G$8/31</f>
        <v>63890.19</v>
      </c>
      <c r="C26" s="66">
        <v>10</v>
      </c>
      <c r="D26" s="66">
        <v>10.07</v>
      </c>
      <c r="E26" s="66">
        <f t="shared" si="4"/>
        <v>10</v>
      </c>
      <c r="F26" s="66">
        <f t="shared" si="5"/>
        <v>38334.11</v>
      </c>
      <c r="G26" s="66">
        <f t="shared" si="6"/>
        <v>38334.11</v>
      </c>
      <c r="H26" s="66">
        <f t="shared" si="7"/>
        <v>25556.080000000002</v>
      </c>
      <c r="I26" s="66">
        <f t="shared" si="8"/>
        <v>25556.080000000002</v>
      </c>
      <c r="J26" s="66">
        <v>25.37</v>
      </c>
      <c r="K26" s="66">
        <f t="shared" si="9"/>
        <v>12778.04</v>
      </c>
      <c r="L26" s="66">
        <f t="shared" si="10"/>
        <v>0</v>
      </c>
      <c r="M26" s="67">
        <v>112</v>
      </c>
      <c r="N26" s="66">
        <f t="shared" si="11"/>
        <v>6389.02</v>
      </c>
      <c r="O26" s="66">
        <f t="shared" si="12"/>
        <v>0</v>
      </c>
      <c r="P26" s="66">
        <v>28.81</v>
      </c>
      <c r="Q26" s="66">
        <f t="shared" si="13"/>
        <v>6389.02</v>
      </c>
      <c r="R26" s="66">
        <f t="shared" si="14"/>
        <v>0</v>
      </c>
      <c r="S26" s="66"/>
      <c r="T26" s="66"/>
      <c r="U26" s="66"/>
      <c r="V26" s="66">
        <f t="shared" si="15"/>
        <v>25556.080000000002</v>
      </c>
      <c r="W26" s="66">
        <f t="shared" si="16"/>
        <v>0</v>
      </c>
      <c r="X26" s="61"/>
    </row>
    <row r="27" spans="1:24" s="98" customFormat="1" ht="16.5" customHeight="1" x14ac:dyDescent="0.25">
      <c r="A27" s="91">
        <v>45007</v>
      </c>
      <c r="B27" s="66">
        <f>Summary!$G$8/31</f>
        <v>63890.19</v>
      </c>
      <c r="C27" s="66">
        <v>10</v>
      </c>
      <c r="D27" s="66">
        <v>10.08</v>
      </c>
      <c r="E27" s="66">
        <f t="shared" si="4"/>
        <v>10</v>
      </c>
      <c r="F27" s="66">
        <f t="shared" si="5"/>
        <v>38334.11</v>
      </c>
      <c r="G27" s="66">
        <f t="shared" si="6"/>
        <v>38334.11</v>
      </c>
      <c r="H27" s="66">
        <f t="shared" si="7"/>
        <v>25556.080000000002</v>
      </c>
      <c r="I27" s="66">
        <f t="shared" si="8"/>
        <v>25556.080000000002</v>
      </c>
      <c r="J27" s="66">
        <v>26.62</v>
      </c>
      <c r="K27" s="66">
        <f t="shared" si="9"/>
        <v>12778.04</v>
      </c>
      <c r="L27" s="66">
        <f t="shared" si="10"/>
        <v>0</v>
      </c>
      <c r="M27" s="67">
        <v>118</v>
      </c>
      <c r="N27" s="66">
        <f t="shared" si="11"/>
        <v>6389.02</v>
      </c>
      <c r="O27" s="66">
        <f t="shared" si="12"/>
        <v>0</v>
      </c>
      <c r="P27" s="66">
        <v>29.27</v>
      </c>
      <c r="Q27" s="66">
        <f t="shared" si="13"/>
        <v>6389.02</v>
      </c>
      <c r="R27" s="66">
        <f t="shared" si="14"/>
        <v>0</v>
      </c>
      <c r="S27" s="66"/>
      <c r="T27" s="66"/>
      <c r="U27" s="66"/>
      <c r="V27" s="66">
        <f t="shared" si="15"/>
        <v>25556.080000000002</v>
      </c>
      <c r="W27" s="66">
        <f t="shared" si="16"/>
        <v>0</v>
      </c>
      <c r="X27" s="61"/>
    </row>
    <row r="28" spans="1:24" s="98" customFormat="1" ht="16.5" customHeight="1" x14ac:dyDescent="0.25">
      <c r="A28" s="91">
        <v>45008</v>
      </c>
      <c r="B28" s="66">
        <f>Summary!$G$8/31</f>
        <v>63890.19</v>
      </c>
      <c r="C28" s="66">
        <v>10</v>
      </c>
      <c r="D28" s="66">
        <v>10.050000000000001</v>
      </c>
      <c r="E28" s="66">
        <f t="shared" si="4"/>
        <v>10</v>
      </c>
      <c r="F28" s="66">
        <f t="shared" si="5"/>
        <v>38334.11</v>
      </c>
      <c r="G28" s="66">
        <f t="shared" si="6"/>
        <v>38334.11</v>
      </c>
      <c r="H28" s="66">
        <f t="shared" si="7"/>
        <v>25556.080000000002</v>
      </c>
      <c r="I28" s="66">
        <f t="shared" si="8"/>
        <v>25556.080000000002</v>
      </c>
      <c r="J28" s="66">
        <v>25.36</v>
      </c>
      <c r="K28" s="66">
        <f t="shared" si="9"/>
        <v>12778.04</v>
      </c>
      <c r="L28" s="66">
        <f t="shared" si="10"/>
        <v>0</v>
      </c>
      <c r="M28" s="67">
        <v>106</v>
      </c>
      <c r="N28" s="66">
        <f t="shared" si="11"/>
        <v>6389.02</v>
      </c>
      <c r="O28" s="66">
        <f t="shared" si="12"/>
        <v>0</v>
      </c>
      <c r="P28" s="66">
        <v>28.06</v>
      </c>
      <c r="Q28" s="66">
        <f t="shared" si="13"/>
        <v>6389.02</v>
      </c>
      <c r="R28" s="66">
        <f t="shared" si="14"/>
        <v>0</v>
      </c>
      <c r="S28" s="66"/>
      <c r="T28" s="66"/>
      <c r="U28" s="66"/>
      <c r="V28" s="66">
        <f t="shared" si="15"/>
        <v>25556.080000000002</v>
      </c>
      <c r="W28" s="66">
        <f t="shared" si="16"/>
        <v>0</v>
      </c>
      <c r="X28" s="61"/>
    </row>
    <row r="29" spans="1:24" s="98" customFormat="1" ht="16.5" customHeight="1" x14ac:dyDescent="0.25">
      <c r="A29" s="91">
        <v>45009</v>
      </c>
      <c r="B29" s="66">
        <f>Summary!$G$8/31</f>
        <v>63890.19</v>
      </c>
      <c r="C29" s="66">
        <v>10</v>
      </c>
      <c r="D29" s="66">
        <v>10.02</v>
      </c>
      <c r="E29" s="66">
        <f t="shared" si="4"/>
        <v>10</v>
      </c>
      <c r="F29" s="66">
        <f t="shared" si="5"/>
        <v>38334.11</v>
      </c>
      <c r="G29" s="66">
        <f t="shared" si="6"/>
        <v>38334.11</v>
      </c>
      <c r="H29" s="66">
        <f t="shared" si="7"/>
        <v>25556.080000000002</v>
      </c>
      <c r="I29" s="66">
        <f t="shared" si="8"/>
        <v>25556.080000000002</v>
      </c>
      <c r="J29" s="66">
        <v>25.86</v>
      </c>
      <c r="K29" s="66">
        <f t="shared" si="9"/>
        <v>12778.04</v>
      </c>
      <c r="L29" s="66">
        <f t="shared" si="10"/>
        <v>0</v>
      </c>
      <c r="M29" s="67">
        <v>110</v>
      </c>
      <c r="N29" s="66">
        <f t="shared" si="11"/>
        <v>6389.02</v>
      </c>
      <c r="O29" s="66">
        <f t="shared" si="12"/>
        <v>0</v>
      </c>
      <c r="P29" s="66">
        <v>28.94</v>
      </c>
      <c r="Q29" s="66">
        <f t="shared" si="13"/>
        <v>6389.02</v>
      </c>
      <c r="R29" s="66">
        <f t="shared" si="14"/>
        <v>0</v>
      </c>
      <c r="S29" s="66"/>
      <c r="T29" s="66"/>
      <c r="U29" s="66"/>
      <c r="V29" s="66">
        <f t="shared" si="15"/>
        <v>25556.080000000002</v>
      </c>
      <c r="W29" s="66">
        <f t="shared" si="16"/>
        <v>0</v>
      </c>
      <c r="X29" s="61"/>
    </row>
    <row r="30" spans="1:24" s="50" customFormat="1" ht="16.5" customHeight="1" x14ac:dyDescent="0.25">
      <c r="A30" s="35">
        <v>45010</v>
      </c>
      <c r="B30" s="28">
        <f>Summary!$G$8/31</f>
        <v>63890.19</v>
      </c>
      <c r="C30" s="28">
        <v>10</v>
      </c>
      <c r="D30" s="28">
        <v>10.02</v>
      </c>
      <c r="E30" s="66">
        <f t="shared" si="4"/>
        <v>10</v>
      </c>
      <c r="F30" s="28">
        <f t="shared" si="5"/>
        <v>38334.11</v>
      </c>
      <c r="G30" s="66">
        <f t="shared" si="6"/>
        <v>38334.11</v>
      </c>
      <c r="H30" s="28">
        <f t="shared" si="7"/>
        <v>25556.080000000002</v>
      </c>
      <c r="I30" s="66">
        <f t="shared" si="8"/>
        <v>25556.080000000002</v>
      </c>
      <c r="J30" s="28">
        <v>27</v>
      </c>
      <c r="K30" s="66">
        <f t="shared" si="9"/>
        <v>12778.04</v>
      </c>
      <c r="L30" s="66">
        <f t="shared" si="10"/>
        <v>0</v>
      </c>
      <c r="M30" s="29">
        <v>168</v>
      </c>
      <c r="N30" s="66">
        <f t="shared" si="11"/>
        <v>6389.02</v>
      </c>
      <c r="O30" s="66">
        <f t="shared" si="12"/>
        <v>0</v>
      </c>
      <c r="P30" s="28">
        <v>44</v>
      </c>
      <c r="Q30" s="66">
        <f t="shared" si="13"/>
        <v>6389.02</v>
      </c>
      <c r="R30" s="66">
        <f t="shared" si="14"/>
        <v>0</v>
      </c>
      <c r="S30" s="28"/>
      <c r="T30" s="28"/>
      <c r="U30" s="28"/>
      <c r="V30" s="66">
        <f t="shared" si="15"/>
        <v>25556.080000000002</v>
      </c>
      <c r="W30" s="66">
        <f t="shared" si="16"/>
        <v>0</v>
      </c>
      <c r="X30" s="36" t="s">
        <v>97</v>
      </c>
    </row>
    <row r="31" spans="1:24" s="98" customFormat="1" ht="16.5" customHeight="1" x14ac:dyDescent="0.25">
      <c r="A31" s="91">
        <v>45011</v>
      </c>
      <c r="B31" s="66">
        <f>Summary!$G$8/31</f>
        <v>63890.19</v>
      </c>
      <c r="C31" s="66">
        <v>10</v>
      </c>
      <c r="D31" s="66">
        <v>10.050000000000001</v>
      </c>
      <c r="E31" s="66">
        <f t="shared" si="4"/>
        <v>10</v>
      </c>
      <c r="F31" s="66">
        <f t="shared" si="5"/>
        <v>38334.11</v>
      </c>
      <c r="G31" s="66">
        <f t="shared" si="6"/>
        <v>38334.11</v>
      </c>
      <c r="H31" s="66">
        <f t="shared" si="7"/>
        <v>25556.080000000002</v>
      </c>
      <c r="I31" s="66">
        <f t="shared" si="8"/>
        <v>25556.080000000002</v>
      </c>
      <c r="J31" s="66">
        <v>27.18</v>
      </c>
      <c r="K31" s="66">
        <f t="shared" si="9"/>
        <v>12778.04</v>
      </c>
      <c r="L31" s="66">
        <f t="shared" si="10"/>
        <v>0</v>
      </c>
      <c r="M31" s="67">
        <v>104</v>
      </c>
      <c r="N31" s="66">
        <f t="shared" si="11"/>
        <v>6389.02</v>
      </c>
      <c r="O31" s="66">
        <f t="shared" si="12"/>
        <v>0</v>
      </c>
      <c r="P31" s="66">
        <v>28.4</v>
      </c>
      <c r="Q31" s="66">
        <f t="shared" si="13"/>
        <v>6389.02</v>
      </c>
      <c r="R31" s="66">
        <f t="shared" si="14"/>
        <v>0</v>
      </c>
      <c r="S31" s="66"/>
      <c r="T31" s="66"/>
      <c r="U31" s="66"/>
      <c r="V31" s="66">
        <f t="shared" si="15"/>
        <v>25556.080000000002</v>
      </c>
      <c r="W31" s="66">
        <f t="shared" si="16"/>
        <v>0</v>
      </c>
      <c r="X31" s="61"/>
    </row>
    <row r="32" spans="1:24" s="98" customFormat="1" ht="16.5" customHeight="1" x14ac:dyDescent="0.25">
      <c r="A32" s="91">
        <v>45012</v>
      </c>
      <c r="B32" s="66">
        <f>Summary!$G$8/31</f>
        <v>63890.19</v>
      </c>
      <c r="C32" s="66">
        <v>10</v>
      </c>
      <c r="D32" s="66">
        <v>10.07</v>
      </c>
      <c r="E32" s="66">
        <f t="shared" si="4"/>
        <v>10</v>
      </c>
      <c r="F32" s="66">
        <f t="shared" si="5"/>
        <v>38334.11</v>
      </c>
      <c r="G32" s="66">
        <f t="shared" si="6"/>
        <v>38334.11</v>
      </c>
      <c r="H32" s="66">
        <f t="shared" si="7"/>
        <v>25556.080000000002</v>
      </c>
      <c r="I32" s="66">
        <f t="shared" si="8"/>
        <v>25556.080000000002</v>
      </c>
      <c r="J32" s="66">
        <v>28.32</v>
      </c>
      <c r="K32" s="66">
        <f t="shared" si="9"/>
        <v>12778.04</v>
      </c>
      <c r="L32" s="66">
        <f t="shared" si="10"/>
        <v>0</v>
      </c>
      <c r="M32" s="67">
        <v>126</v>
      </c>
      <c r="N32" s="66">
        <f t="shared" si="11"/>
        <v>6389.02</v>
      </c>
      <c r="O32" s="66">
        <f t="shared" si="12"/>
        <v>0</v>
      </c>
      <c r="P32" s="66">
        <v>32.450000000000003</v>
      </c>
      <c r="Q32" s="66">
        <f t="shared" si="13"/>
        <v>6389.02</v>
      </c>
      <c r="R32" s="66">
        <f t="shared" si="14"/>
        <v>0</v>
      </c>
      <c r="S32" s="66"/>
      <c r="T32" s="66"/>
      <c r="U32" s="66"/>
      <c r="V32" s="66">
        <f t="shared" si="15"/>
        <v>25556.080000000002</v>
      </c>
      <c r="W32" s="66">
        <f t="shared" si="16"/>
        <v>0</v>
      </c>
      <c r="X32" s="61"/>
    </row>
    <row r="33" spans="1:24" s="98" customFormat="1" ht="16.5" customHeight="1" x14ac:dyDescent="0.25">
      <c r="A33" s="91">
        <v>45013</v>
      </c>
      <c r="B33" s="66">
        <f>Summary!$G$8/31</f>
        <v>63890.19</v>
      </c>
      <c r="C33" s="66">
        <v>10</v>
      </c>
      <c r="D33" s="66">
        <v>10.07</v>
      </c>
      <c r="E33" s="66">
        <f t="shared" si="4"/>
        <v>10</v>
      </c>
      <c r="F33" s="66">
        <f t="shared" si="5"/>
        <v>38334.11</v>
      </c>
      <c r="G33" s="66">
        <f t="shared" si="6"/>
        <v>38334.11</v>
      </c>
      <c r="H33" s="66">
        <f t="shared" si="7"/>
        <v>25556.080000000002</v>
      </c>
      <c r="I33" s="66">
        <f t="shared" si="8"/>
        <v>25556.080000000002</v>
      </c>
      <c r="J33" s="66">
        <v>28.66</v>
      </c>
      <c r="K33" s="66">
        <f t="shared" si="9"/>
        <v>12778.04</v>
      </c>
      <c r="L33" s="66">
        <f t="shared" si="10"/>
        <v>0</v>
      </c>
      <c r="M33" s="67">
        <v>136</v>
      </c>
      <c r="N33" s="66">
        <f t="shared" si="11"/>
        <v>6389.02</v>
      </c>
      <c r="O33" s="66">
        <f t="shared" si="12"/>
        <v>0</v>
      </c>
      <c r="P33" s="66">
        <v>34.520000000000003</v>
      </c>
      <c r="Q33" s="66">
        <f t="shared" si="13"/>
        <v>6389.02</v>
      </c>
      <c r="R33" s="66">
        <f t="shared" si="14"/>
        <v>0</v>
      </c>
      <c r="S33" s="66"/>
      <c r="T33" s="66"/>
      <c r="U33" s="66"/>
      <c r="V33" s="66">
        <f t="shared" si="15"/>
        <v>25556.080000000002</v>
      </c>
      <c r="W33" s="66">
        <f t="shared" si="16"/>
        <v>0</v>
      </c>
      <c r="X33" s="61"/>
    </row>
    <row r="34" spans="1:24" s="98" customFormat="1" ht="16.5" customHeight="1" x14ac:dyDescent="0.25">
      <c r="A34" s="91">
        <v>45014</v>
      </c>
      <c r="B34" s="66">
        <f>Summary!$G$8/31</f>
        <v>63890.19</v>
      </c>
      <c r="C34" s="66">
        <v>10</v>
      </c>
      <c r="D34" s="66">
        <v>10.07</v>
      </c>
      <c r="E34" s="66">
        <f t="shared" si="4"/>
        <v>10</v>
      </c>
      <c r="F34" s="66">
        <f t="shared" si="5"/>
        <v>38334.11</v>
      </c>
      <c r="G34" s="66">
        <f t="shared" si="6"/>
        <v>38334.11</v>
      </c>
      <c r="H34" s="66">
        <f t="shared" si="7"/>
        <v>25556.080000000002</v>
      </c>
      <c r="I34" s="66">
        <f t="shared" si="8"/>
        <v>25556.080000000002</v>
      </c>
      <c r="J34" s="66">
        <v>26.62</v>
      </c>
      <c r="K34" s="66">
        <f t="shared" si="9"/>
        <v>12778.04</v>
      </c>
      <c r="L34" s="66">
        <f t="shared" si="10"/>
        <v>0</v>
      </c>
      <c r="M34" s="67">
        <v>130</v>
      </c>
      <c r="N34" s="66">
        <f t="shared" si="11"/>
        <v>6389.02</v>
      </c>
      <c r="O34" s="66">
        <f t="shared" si="12"/>
        <v>0</v>
      </c>
      <c r="P34" s="66">
        <v>33.11</v>
      </c>
      <c r="Q34" s="66">
        <f t="shared" si="13"/>
        <v>6389.02</v>
      </c>
      <c r="R34" s="66">
        <f t="shared" si="14"/>
        <v>0</v>
      </c>
      <c r="S34" s="66"/>
      <c r="T34" s="66"/>
      <c r="U34" s="66"/>
      <c r="V34" s="66">
        <f t="shared" si="15"/>
        <v>25556.080000000002</v>
      </c>
      <c r="W34" s="66">
        <f t="shared" si="16"/>
        <v>0</v>
      </c>
      <c r="X34" s="61"/>
    </row>
    <row r="35" spans="1:24" s="98" customFormat="1" ht="16.5" customHeight="1" x14ac:dyDescent="0.25">
      <c r="A35" s="91">
        <v>45015</v>
      </c>
      <c r="B35" s="66">
        <f>Summary!$G$8/31</f>
        <v>63890.19</v>
      </c>
      <c r="C35" s="66">
        <v>10</v>
      </c>
      <c r="D35" s="66">
        <v>10.07</v>
      </c>
      <c r="E35" s="66">
        <f t="shared" si="4"/>
        <v>10</v>
      </c>
      <c r="F35" s="66">
        <f t="shared" ref="F35:F36" si="17">B35*60%</f>
        <v>38334.11</v>
      </c>
      <c r="G35" s="66">
        <f t="shared" si="6"/>
        <v>38334.11</v>
      </c>
      <c r="H35" s="66">
        <f t="shared" ref="H35:H36" si="18">B35*40%</f>
        <v>25556.080000000002</v>
      </c>
      <c r="I35" s="66">
        <f t="shared" si="8"/>
        <v>25556.080000000002</v>
      </c>
      <c r="J35" s="66">
        <v>25.99</v>
      </c>
      <c r="K35" s="66">
        <f t="shared" si="9"/>
        <v>12778.04</v>
      </c>
      <c r="L35" s="66">
        <f t="shared" si="10"/>
        <v>0</v>
      </c>
      <c r="M35" s="67">
        <v>124</v>
      </c>
      <c r="N35" s="66">
        <f t="shared" si="11"/>
        <v>6389.02</v>
      </c>
      <c r="O35" s="66">
        <f t="shared" si="12"/>
        <v>0</v>
      </c>
      <c r="P35" s="66">
        <v>31.05</v>
      </c>
      <c r="Q35" s="66">
        <f t="shared" si="13"/>
        <v>6389.02</v>
      </c>
      <c r="R35" s="66">
        <f t="shared" si="14"/>
        <v>0</v>
      </c>
      <c r="S35" s="66"/>
      <c r="T35" s="66"/>
      <c r="U35" s="66"/>
      <c r="V35" s="66">
        <f t="shared" si="15"/>
        <v>25556.080000000002</v>
      </c>
      <c r="W35" s="66">
        <f t="shared" si="16"/>
        <v>0</v>
      </c>
      <c r="X35" s="61"/>
    </row>
    <row r="36" spans="1:24" s="98" customFormat="1" ht="16.5" customHeight="1" x14ac:dyDescent="0.25">
      <c r="A36" s="91">
        <v>45016</v>
      </c>
      <c r="B36" s="66">
        <f>Summary!$G$8/31</f>
        <v>63890.19</v>
      </c>
      <c r="C36" s="66">
        <v>10</v>
      </c>
      <c r="D36" s="66">
        <v>10.07</v>
      </c>
      <c r="E36" s="66">
        <f t="shared" si="4"/>
        <v>10</v>
      </c>
      <c r="F36" s="66">
        <f t="shared" si="17"/>
        <v>38334.11</v>
      </c>
      <c r="G36" s="66">
        <f t="shared" si="6"/>
        <v>38334.11</v>
      </c>
      <c r="H36" s="66">
        <f t="shared" si="18"/>
        <v>25556.080000000002</v>
      </c>
      <c r="I36" s="66">
        <f t="shared" si="8"/>
        <v>25556.080000000002</v>
      </c>
      <c r="J36" s="66">
        <v>27.12</v>
      </c>
      <c r="K36" s="66">
        <f t="shared" si="9"/>
        <v>12778.04</v>
      </c>
      <c r="L36" s="66">
        <f t="shared" si="10"/>
        <v>0</v>
      </c>
      <c r="M36" s="67">
        <v>132</v>
      </c>
      <c r="N36" s="66">
        <f t="shared" si="11"/>
        <v>6389.02</v>
      </c>
      <c r="O36" s="66">
        <f t="shared" si="12"/>
        <v>0</v>
      </c>
      <c r="P36" s="66">
        <v>32.909999999999997</v>
      </c>
      <c r="Q36" s="66">
        <f t="shared" si="13"/>
        <v>6389.02</v>
      </c>
      <c r="R36" s="66">
        <f t="shared" si="14"/>
        <v>0</v>
      </c>
      <c r="S36" s="66"/>
      <c r="T36" s="66"/>
      <c r="U36" s="66"/>
      <c r="V36" s="66">
        <f t="shared" si="15"/>
        <v>25556.080000000002</v>
      </c>
      <c r="W36" s="66">
        <f t="shared" si="16"/>
        <v>0</v>
      </c>
      <c r="X36" s="61"/>
    </row>
    <row r="37" spans="1:24" s="1" customFormat="1" x14ac:dyDescent="0.25">
      <c r="A37" s="58" t="s">
        <v>30</v>
      </c>
      <c r="B37" s="100">
        <f>SUM(B6:B36)</f>
        <v>1980595.89</v>
      </c>
      <c r="C37" s="71"/>
      <c r="D37" s="71"/>
      <c r="E37" s="71"/>
      <c r="F37" s="71">
        <f>SUM(F6:F36)</f>
        <v>1188357.4099999999</v>
      </c>
      <c r="G37" s="71">
        <f>SUM(G6:G36)</f>
        <v>1188357.4099999999</v>
      </c>
      <c r="H37" s="71">
        <f>SUM(H6:H36)</f>
        <v>792238.48</v>
      </c>
      <c r="I37" s="71">
        <f>SUM(I6:I36)</f>
        <v>792238.48</v>
      </c>
      <c r="J37" s="71"/>
      <c r="K37" s="71">
        <f>SUM(K6:K36)</f>
        <v>396119.24</v>
      </c>
      <c r="L37" s="71">
        <f>SUM(L6:L36)</f>
        <v>0</v>
      </c>
      <c r="M37" s="71"/>
      <c r="N37" s="71">
        <f>SUM(N6:N36)</f>
        <v>198059.62</v>
      </c>
      <c r="O37" s="71">
        <f>SUM(O6:O36)</f>
        <v>0</v>
      </c>
      <c r="P37" s="71"/>
      <c r="Q37" s="71">
        <f t="shared" ref="Q37" si="19">I37*25%</f>
        <v>198059.62</v>
      </c>
      <c r="R37" s="71">
        <f>SUM(R6:R36)</f>
        <v>0</v>
      </c>
      <c r="S37" s="71"/>
      <c r="T37" s="71">
        <f>SUM(T6:T36)</f>
        <v>0</v>
      </c>
      <c r="U37" s="71">
        <f>SUM(U6:U36)</f>
        <v>0</v>
      </c>
      <c r="V37" s="71">
        <f>SUM(V6:V36)</f>
        <v>792238.48</v>
      </c>
      <c r="W37" s="71">
        <f>SUM(W6:W36)</f>
        <v>0</v>
      </c>
      <c r="X37" s="55"/>
    </row>
    <row r="38" spans="1:24" x14ac:dyDescent="0.25">
      <c r="A38" s="58"/>
      <c r="B38" s="101" t="s">
        <v>98</v>
      </c>
      <c r="C38" s="102"/>
      <c r="D38" s="58"/>
      <c r="E38" s="58"/>
      <c r="F38" s="66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90"/>
      <c r="U38" s="58"/>
      <c r="V38" s="71">
        <f>G37+V37</f>
        <v>1980595.89</v>
      </c>
      <c r="W38" s="59"/>
    </row>
    <row r="40" spans="1:24" x14ac:dyDescent="0.25">
      <c r="C40" s="88"/>
    </row>
  </sheetData>
  <mergeCells count="19">
    <mergeCell ref="M4:O4"/>
    <mergeCell ref="S4:U4"/>
    <mergeCell ref="D4:D5"/>
    <mergeCell ref="W4:W5"/>
    <mergeCell ref="V4:V5"/>
    <mergeCell ref="P4:R4"/>
    <mergeCell ref="A1:V1"/>
    <mergeCell ref="F3:G3"/>
    <mergeCell ref="H3:V3"/>
    <mergeCell ref="B4:B5"/>
    <mergeCell ref="A4:A5"/>
    <mergeCell ref="F4:F5"/>
    <mergeCell ref="G4:G5"/>
    <mergeCell ref="H4:H5"/>
    <mergeCell ref="C3:D3"/>
    <mergeCell ref="C4:C5"/>
    <mergeCell ref="I4:I5"/>
    <mergeCell ref="E4:E5"/>
    <mergeCell ref="J4:L4"/>
  </mergeCells>
  <pageMargins left="0.23622047244094491" right="0.23622047244094491" top="0.74803149606299213" bottom="0.74803149606299213" header="0.31496062992125984" footer="0.31496062992125984"/>
  <pageSetup paperSize="9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0"/>
  <sheetViews>
    <sheetView topLeftCell="A32" zoomScaleNormal="100" workbookViewId="0">
      <pane xSplit="1" topLeftCell="G1" activePane="topRight" state="frozen"/>
      <selection activeCell="A6" sqref="A6:A36"/>
      <selection pane="topRight" activeCell="V39" sqref="V39"/>
    </sheetView>
  </sheetViews>
  <sheetFormatPr defaultColWidth="9.140625" defaultRowHeight="15.75" x14ac:dyDescent="0.25"/>
  <cols>
    <col min="1" max="1" width="10.28515625" style="87" customWidth="1"/>
    <col min="2" max="2" width="12.85546875" style="87" customWidth="1"/>
    <col min="3" max="3" width="9.42578125" style="87" bestFit="1" customWidth="1"/>
    <col min="4" max="4" width="9.28515625" style="87" bestFit="1" customWidth="1"/>
    <col min="5" max="5" width="9.140625" style="87" customWidth="1"/>
    <col min="6" max="6" width="11.85546875" style="87" bestFit="1" customWidth="1"/>
    <col min="7" max="7" width="12.7109375" style="87" bestFit="1" customWidth="1"/>
    <col min="8" max="8" width="11.85546875" style="87" bestFit="1" customWidth="1"/>
    <col min="9" max="9" width="12.7109375" style="87" bestFit="1" customWidth="1"/>
    <col min="10" max="10" width="9.140625" style="87" customWidth="1"/>
    <col min="11" max="11" width="10.7109375" style="87" bestFit="1" customWidth="1"/>
    <col min="12" max="12" width="10.7109375" style="87" customWidth="1"/>
    <col min="13" max="13" width="9.140625" style="87" customWidth="1"/>
    <col min="14" max="14" width="10.7109375" style="87" bestFit="1" customWidth="1"/>
    <col min="15" max="15" width="10.7109375" style="87" customWidth="1"/>
    <col min="16" max="16" width="9" style="87" customWidth="1"/>
    <col min="17" max="17" width="10.7109375" style="87" bestFit="1" customWidth="1"/>
    <col min="18" max="18" width="10.7109375" style="87" customWidth="1"/>
    <col min="19" max="19" width="9.28515625" style="87" customWidth="1"/>
    <col min="20" max="20" width="10.7109375" style="87" bestFit="1" customWidth="1"/>
    <col min="21" max="21" width="10.7109375" style="87" customWidth="1"/>
    <col min="22" max="22" width="12.85546875" bestFit="1" customWidth="1"/>
    <col min="23" max="23" width="12" bestFit="1" customWidth="1"/>
    <col min="24" max="24" width="9.28515625" style="89" bestFit="1" customWidth="1"/>
    <col min="25" max="29" width="9.28515625" bestFit="1" customWidth="1"/>
    <col min="30" max="30" width="10.5703125" bestFit="1" customWidth="1"/>
    <col min="32" max="32" width="11.7109375" customWidth="1"/>
  </cols>
  <sheetData>
    <row r="1" spans="1:30" ht="18.75" customHeight="1" x14ac:dyDescent="0.3">
      <c r="A1" s="146" t="str">
        <f>Summary!A1</f>
        <v>AGRA Payment for the month of JANUARY 2023 (As Per VoL -1, Section IV, Clause 39)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5"/>
      <c r="Y1" s="5"/>
      <c r="Z1" s="5"/>
      <c r="AA1" s="5"/>
      <c r="AB1" s="5"/>
      <c r="AC1" s="5"/>
      <c r="AD1" s="5"/>
    </row>
    <row r="2" spans="1:30" ht="15" customHeight="1" x14ac:dyDescent="0.3">
      <c r="A2" s="54">
        <v>1</v>
      </c>
      <c r="B2" s="54">
        <v>2</v>
      </c>
      <c r="C2" s="54">
        <v>3</v>
      </c>
      <c r="D2" s="54">
        <v>4</v>
      </c>
      <c r="E2" s="5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  <c r="K2" s="54">
        <v>11</v>
      </c>
      <c r="L2" s="54">
        <v>12</v>
      </c>
      <c r="M2" s="54">
        <v>13</v>
      </c>
      <c r="N2" s="54">
        <v>14</v>
      </c>
      <c r="O2" s="54">
        <v>15</v>
      </c>
      <c r="P2" s="54">
        <v>16</v>
      </c>
      <c r="Q2" s="54">
        <v>17</v>
      </c>
      <c r="R2" s="54">
        <v>18</v>
      </c>
      <c r="S2" s="54">
        <v>19</v>
      </c>
      <c r="T2" s="54">
        <v>20</v>
      </c>
      <c r="U2" s="54">
        <v>21</v>
      </c>
      <c r="V2" s="54">
        <v>22</v>
      </c>
      <c r="W2" s="54">
        <v>23</v>
      </c>
      <c r="Y2" s="5"/>
      <c r="Z2" s="5"/>
      <c r="AA2" s="5"/>
      <c r="AB2" s="5"/>
      <c r="AC2" s="5"/>
      <c r="AD2" s="5"/>
    </row>
    <row r="3" spans="1:30" ht="15.75" customHeight="1" x14ac:dyDescent="0.3">
      <c r="A3" s="58"/>
      <c r="B3" s="58"/>
      <c r="C3" s="147" t="s">
        <v>25</v>
      </c>
      <c r="D3" s="147"/>
      <c r="E3" s="147"/>
      <c r="F3" s="147" t="s">
        <v>28</v>
      </c>
      <c r="G3" s="147"/>
      <c r="H3" s="147" t="s">
        <v>29</v>
      </c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76"/>
      <c r="Y3" s="5"/>
      <c r="Z3" s="5"/>
      <c r="AA3" s="5"/>
      <c r="AB3" s="5"/>
      <c r="AC3" s="5"/>
      <c r="AD3" s="5"/>
    </row>
    <row r="4" spans="1:30" ht="14.25" customHeight="1" x14ac:dyDescent="0.3">
      <c r="A4" s="147" t="s">
        <v>23</v>
      </c>
      <c r="B4" s="148" t="s">
        <v>34</v>
      </c>
      <c r="C4" s="148" t="s">
        <v>35</v>
      </c>
      <c r="D4" s="148" t="s">
        <v>37</v>
      </c>
      <c r="E4" s="148" t="s">
        <v>74</v>
      </c>
      <c r="F4" s="147" t="s">
        <v>26</v>
      </c>
      <c r="G4" s="147" t="s">
        <v>27</v>
      </c>
      <c r="H4" s="147" t="s">
        <v>26</v>
      </c>
      <c r="I4" s="147" t="s">
        <v>27</v>
      </c>
      <c r="J4" s="147" t="s">
        <v>15</v>
      </c>
      <c r="K4" s="147"/>
      <c r="L4" s="147"/>
      <c r="M4" s="151" t="s">
        <v>17</v>
      </c>
      <c r="N4" s="152"/>
      <c r="O4" s="153"/>
      <c r="P4" s="151" t="s">
        <v>16</v>
      </c>
      <c r="Q4" s="152"/>
      <c r="R4" s="153"/>
      <c r="S4" s="151" t="s">
        <v>22</v>
      </c>
      <c r="T4" s="152"/>
      <c r="U4" s="153"/>
      <c r="V4" s="148" t="s">
        <v>33</v>
      </c>
      <c r="W4" s="146" t="s">
        <v>43</v>
      </c>
      <c r="Y4" s="5"/>
      <c r="Z4" s="5"/>
      <c r="AA4" s="5"/>
      <c r="AB4" s="5"/>
      <c r="AC4" s="5"/>
      <c r="AD4" s="5"/>
    </row>
    <row r="5" spans="1:30" ht="30" x14ac:dyDescent="0.3">
      <c r="A5" s="147"/>
      <c r="B5" s="148"/>
      <c r="C5" s="148"/>
      <c r="D5" s="147"/>
      <c r="E5" s="147"/>
      <c r="F5" s="147"/>
      <c r="G5" s="147"/>
      <c r="H5" s="147"/>
      <c r="I5" s="147"/>
      <c r="J5" s="77" t="s">
        <v>42</v>
      </c>
      <c r="K5" s="78">
        <v>0.5</v>
      </c>
      <c r="L5" s="78" t="s">
        <v>43</v>
      </c>
      <c r="M5" s="77" t="s">
        <v>42</v>
      </c>
      <c r="N5" s="78">
        <v>0.15</v>
      </c>
      <c r="O5" s="78" t="s">
        <v>43</v>
      </c>
      <c r="P5" s="77" t="s">
        <v>42</v>
      </c>
      <c r="Q5" s="78">
        <v>0.25</v>
      </c>
      <c r="R5" s="78" t="s">
        <v>43</v>
      </c>
      <c r="S5" s="77" t="s">
        <v>42</v>
      </c>
      <c r="T5" s="78">
        <v>0.1</v>
      </c>
      <c r="U5" s="78" t="s">
        <v>43</v>
      </c>
      <c r="V5" s="148"/>
      <c r="W5" s="146"/>
      <c r="Y5" s="5"/>
      <c r="Z5" s="5"/>
      <c r="AA5" s="5"/>
      <c r="AB5" s="5"/>
      <c r="AC5" s="5"/>
      <c r="AD5" s="5"/>
    </row>
    <row r="6" spans="1:30" ht="17.25" customHeight="1" x14ac:dyDescent="0.3">
      <c r="A6" s="91">
        <v>44986</v>
      </c>
      <c r="B6" s="66">
        <f>Summary!$G$10/31</f>
        <v>89446.27</v>
      </c>
      <c r="C6" s="66">
        <v>14</v>
      </c>
      <c r="D6" s="66">
        <v>14.61</v>
      </c>
      <c r="E6" s="66">
        <f>MIN(D6,C6)</f>
        <v>14</v>
      </c>
      <c r="F6" s="66">
        <f t="shared" ref="F6:F34" si="0">B6*60%</f>
        <v>53667.76</v>
      </c>
      <c r="G6" s="66">
        <f>(F6*E6)/C6</f>
        <v>53667.76</v>
      </c>
      <c r="H6" s="66">
        <f>B6*40%</f>
        <v>35778.51</v>
      </c>
      <c r="I6" s="66">
        <f>(H6*E6)/C6</f>
        <v>35778.51</v>
      </c>
      <c r="J6" s="66">
        <v>26.92</v>
      </c>
      <c r="K6" s="66">
        <f>I6*50%</f>
        <v>17889.259999999998</v>
      </c>
      <c r="L6" s="66">
        <f t="shared" ref="L6" si="1">IF(J6&gt;30,(MAX($B$37*0.1/100,10000)),0)</f>
        <v>0</v>
      </c>
      <c r="M6" s="66">
        <v>164</v>
      </c>
      <c r="N6" s="66">
        <f t="shared" ref="N6" si="2">I6*15%</f>
        <v>5366.78</v>
      </c>
      <c r="O6" s="66">
        <f t="shared" ref="O6" si="3">IF(M6&gt;250,(MAX($B$37*0.1/100,10000)),0)</f>
        <v>0</v>
      </c>
      <c r="P6" s="66">
        <v>34.72</v>
      </c>
      <c r="Q6" s="66">
        <f t="shared" ref="Q6" si="4">I6*25%</f>
        <v>8944.6299999999992</v>
      </c>
      <c r="R6" s="66">
        <f t="shared" ref="R6" si="5">IF(P6&gt;50,(MAX($B$37*0.1/100,10000)),0)</f>
        <v>0</v>
      </c>
      <c r="S6" s="67">
        <v>530</v>
      </c>
      <c r="T6" s="66">
        <f>I6*10%</f>
        <v>3577.85</v>
      </c>
      <c r="U6" s="66">
        <f t="shared" ref="U6" si="6">IF(S6&gt;1000,(MAX($B$37*0.1/100,10000)),0)</f>
        <v>0</v>
      </c>
      <c r="V6" s="66">
        <f>T6+Q6+N6+K6</f>
        <v>35778.519999999997</v>
      </c>
      <c r="W6" s="66">
        <f>U6+R6+O6+L6</f>
        <v>0</v>
      </c>
      <c r="Y6" s="5"/>
      <c r="Z6" s="5"/>
      <c r="AA6" s="5"/>
      <c r="AB6" s="5"/>
      <c r="AC6" s="5"/>
      <c r="AD6" s="5"/>
    </row>
    <row r="7" spans="1:30" ht="17.25" customHeight="1" x14ac:dyDescent="0.3">
      <c r="A7" s="91">
        <v>44987</v>
      </c>
      <c r="B7" s="66">
        <f>Summary!$G$10/31</f>
        <v>89446.27</v>
      </c>
      <c r="C7" s="66">
        <v>14</v>
      </c>
      <c r="D7" s="66">
        <v>14.13</v>
      </c>
      <c r="E7" s="66">
        <f t="shared" ref="E7:E36" si="7">MIN(D7,C7)</f>
        <v>14</v>
      </c>
      <c r="F7" s="66">
        <f t="shared" si="0"/>
        <v>53667.76</v>
      </c>
      <c r="G7" s="66">
        <f t="shared" ref="G7:G36" si="8">(F7*E7)/C7</f>
        <v>53667.76</v>
      </c>
      <c r="H7" s="66">
        <f t="shared" ref="H7:H34" si="9">B7*40%</f>
        <v>35778.51</v>
      </c>
      <c r="I7" s="66">
        <f t="shared" ref="I7:I36" si="10">(H7*E7)/C7</f>
        <v>35778.51</v>
      </c>
      <c r="J7" s="66">
        <v>28.19</v>
      </c>
      <c r="K7" s="66">
        <f t="shared" ref="K7:K36" si="11">I7*50%</f>
        <v>17889.259999999998</v>
      </c>
      <c r="L7" s="66">
        <f t="shared" ref="L7:L36" si="12">IF(J7&gt;30,(MAX($B$37*0.1/100,10000)),0)</f>
        <v>0</v>
      </c>
      <c r="M7" s="66">
        <v>176</v>
      </c>
      <c r="N7" s="66">
        <f t="shared" ref="N7:N36" si="13">I7*15%</f>
        <v>5366.78</v>
      </c>
      <c r="O7" s="66">
        <f t="shared" ref="O7:O36" si="14">IF(M7&gt;250,(MAX($B$37*0.1/100,10000)),0)</f>
        <v>0</v>
      </c>
      <c r="P7" s="66">
        <v>39.14</v>
      </c>
      <c r="Q7" s="66">
        <f t="shared" ref="Q7:Q36" si="15">I7*25%</f>
        <v>8944.6299999999992</v>
      </c>
      <c r="R7" s="66">
        <f t="shared" ref="R7:R36" si="16">IF(P7&gt;50,(MAX($B$37*0.1/100,10000)),0)</f>
        <v>0</v>
      </c>
      <c r="S7" s="67">
        <v>610</v>
      </c>
      <c r="T7" s="66">
        <f t="shared" ref="T7:T36" si="17">I7*10%</f>
        <v>3577.85</v>
      </c>
      <c r="U7" s="66">
        <f t="shared" ref="U7:U36" si="18">IF(S7&gt;1000,(MAX($B$37*0.1/100,10000)),0)</f>
        <v>0</v>
      </c>
      <c r="V7" s="66">
        <f t="shared" ref="V7:V36" si="19">T7+Q7+N7+K7</f>
        <v>35778.519999999997</v>
      </c>
      <c r="W7" s="66">
        <f t="shared" ref="W7:W36" si="20">U7+R7+O7+L7</f>
        <v>0</v>
      </c>
      <c r="Y7" s="5"/>
      <c r="Z7" s="5"/>
      <c r="AA7" s="5"/>
      <c r="AB7" s="5"/>
      <c r="AC7" s="5"/>
      <c r="AD7" s="5"/>
    </row>
    <row r="8" spans="1:30" ht="17.25" customHeight="1" x14ac:dyDescent="0.3">
      <c r="A8" s="91">
        <v>44988</v>
      </c>
      <c r="B8" s="66">
        <f>Summary!$G$10/31</f>
        <v>89446.27</v>
      </c>
      <c r="C8" s="66">
        <v>14</v>
      </c>
      <c r="D8" s="66">
        <v>14.63</v>
      </c>
      <c r="E8" s="66">
        <f t="shared" si="7"/>
        <v>14</v>
      </c>
      <c r="F8" s="66">
        <f t="shared" si="0"/>
        <v>53667.76</v>
      </c>
      <c r="G8" s="66">
        <f t="shared" si="8"/>
        <v>53667.76</v>
      </c>
      <c r="H8" s="66">
        <f t="shared" si="9"/>
        <v>35778.51</v>
      </c>
      <c r="I8" s="66">
        <f t="shared" si="10"/>
        <v>35778.51</v>
      </c>
      <c r="J8" s="66">
        <v>25.28</v>
      </c>
      <c r="K8" s="66">
        <f t="shared" si="11"/>
        <v>17889.259999999998</v>
      </c>
      <c r="L8" s="66">
        <f t="shared" si="12"/>
        <v>0</v>
      </c>
      <c r="M8" s="66">
        <v>166</v>
      </c>
      <c r="N8" s="66">
        <f t="shared" si="13"/>
        <v>5366.78</v>
      </c>
      <c r="O8" s="66">
        <f t="shared" si="14"/>
        <v>0</v>
      </c>
      <c r="P8" s="66">
        <v>34.68</v>
      </c>
      <c r="Q8" s="66">
        <f t="shared" si="15"/>
        <v>8944.6299999999992</v>
      </c>
      <c r="R8" s="66">
        <f t="shared" si="16"/>
        <v>0</v>
      </c>
      <c r="S8" s="67">
        <v>540</v>
      </c>
      <c r="T8" s="66">
        <f t="shared" si="17"/>
        <v>3577.85</v>
      </c>
      <c r="U8" s="66">
        <f t="shared" si="18"/>
        <v>0</v>
      </c>
      <c r="V8" s="66">
        <f t="shared" si="19"/>
        <v>35778.519999999997</v>
      </c>
      <c r="W8" s="66">
        <f t="shared" si="20"/>
        <v>0</v>
      </c>
      <c r="Y8" s="5"/>
      <c r="Z8" s="5"/>
      <c r="AA8" s="5"/>
      <c r="AB8" s="5"/>
      <c r="AC8" s="5"/>
      <c r="AD8" s="5"/>
    </row>
    <row r="9" spans="1:30" s="31" customFormat="1" ht="17.25" customHeight="1" x14ac:dyDescent="0.3">
      <c r="A9" s="35">
        <v>44989</v>
      </c>
      <c r="B9" s="28">
        <f>Summary!$G$10/31</f>
        <v>89446.27</v>
      </c>
      <c r="C9" s="28">
        <v>14</v>
      </c>
      <c r="D9" s="28">
        <v>14.41</v>
      </c>
      <c r="E9" s="66">
        <f t="shared" si="7"/>
        <v>14</v>
      </c>
      <c r="F9" s="28">
        <f t="shared" si="0"/>
        <v>53667.76</v>
      </c>
      <c r="G9" s="66">
        <f t="shared" si="8"/>
        <v>53667.76</v>
      </c>
      <c r="H9" s="28">
        <f t="shared" si="9"/>
        <v>35778.51</v>
      </c>
      <c r="I9" s="66">
        <f t="shared" si="10"/>
        <v>35778.51</v>
      </c>
      <c r="J9" s="110">
        <v>24</v>
      </c>
      <c r="K9" s="66">
        <f t="shared" si="11"/>
        <v>17889.259999999998</v>
      </c>
      <c r="L9" s="66">
        <f t="shared" si="12"/>
        <v>0</v>
      </c>
      <c r="M9" s="28">
        <v>136</v>
      </c>
      <c r="N9" s="66">
        <f t="shared" si="13"/>
        <v>5366.78</v>
      </c>
      <c r="O9" s="66">
        <f t="shared" si="14"/>
        <v>0</v>
      </c>
      <c r="P9" s="28">
        <v>40</v>
      </c>
      <c r="Q9" s="66">
        <f t="shared" si="15"/>
        <v>8944.6299999999992</v>
      </c>
      <c r="R9" s="66">
        <f t="shared" si="16"/>
        <v>0</v>
      </c>
      <c r="S9" s="29">
        <v>780</v>
      </c>
      <c r="T9" s="66">
        <f t="shared" si="17"/>
        <v>3577.85</v>
      </c>
      <c r="U9" s="66">
        <f t="shared" si="18"/>
        <v>0</v>
      </c>
      <c r="V9" s="66">
        <f t="shared" si="19"/>
        <v>35778.519999999997</v>
      </c>
      <c r="W9" s="66">
        <f t="shared" si="20"/>
        <v>0</v>
      </c>
      <c r="X9" s="51" t="s">
        <v>97</v>
      </c>
      <c r="Y9" s="37"/>
      <c r="Z9" s="37"/>
      <c r="AA9" s="37"/>
      <c r="AB9" s="37"/>
      <c r="AC9" s="37"/>
      <c r="AD9" s="37"/>
    </row>
    <row r="10" spans="1:30" ht="17.25" customHeight="1" x14ac:dyDescent="0.3">
      <c r="A10" s="91">
        <v>44990</v>
      </c>
      <c r="B10" s="66">
        <f>Summary!$G$10/31</f>
        <v>89446.27</v>
      </c>
      <c r="C10" s="66">
        <v>14</v>
      </c>
      <c r="D10" s="66">
        <v>14.31</v>
      </c>
      <c r="E10" s="66">
        <f t="shared" si="7"/>
        <v>14</v>
      </c>
      <c r="F10" s="66">
        <f t="shared" si="0"/>
        <v>53667.76</v>
      </c>
      <c r="G10" s="66">
        <f t="shared" si="8"/>
        <v>53667.76</v>
      </c>
      <c r="H10" s="66">
        <f t="shared" si="9"/>
        <v>35778.51</v>
      </c>
      <c r="I10" s="66">
        <f t="shared" si="10"/>
        <v>35778.51</v>
      </c>
      <c r="J10" s="66">
        <v>26.17</v>
      </c>
      <c r="K10" s="66">
        <f t="shared" si="11"/>
        <v>17889.259999999998</v>
      </c>
      <c r="L10" s="66">
        <f t="shared" si="12"/>
        <v>0</v>
      </c>
      <c r="M10" s="66">
        <v>174</v>
      </c>
      <c r="N10" s="66">
        <f t="shared" si="13"/>
        <v>5366.78</v>
      </c>
      <c r="O10" s="66">
        <f t="shared" si="14"/>
        <v>0</v>
      </c>
      <c r="P10" s="66">
        <v>37.44</v>
      </c>
      <c r="Q10" s="66">
        <f t="shared" si="15"/>
        <v>8944.6299999999992</v>
      </c>
      <c r="R10" s="66">
        <f t="shared" si="16"/>
        <v>0</v>
      </c>
      <c r="S10" s="67">
        <v>580</v>
      </c>
      <c r="T10" s="66">
        <f t="shared" si="17"/>
        <v>3577.85</v>
      </c>
      <c r="U10" s="66">
        <f t="shared" si="18"/>
        <v>0</v>
      </c>
      <c r="V10" s="66">
        <f t="shared" si="19"/>
        <v>35778.519999999997</v>
      </c>
      <c r="W10" s="66">
        <f t="shared" si="20"/>
        <v>0</v>
      </c>
      <c r="Y10" s="5"/>
      <c r="Z10" s="5"/>
      <c r="AA10" s="5"/>
      <c r="AB10" s="5"/>
      <c r="AC10" s="5"/>
      <c r="AD10" s="5"/>
    </row>
    <row r="11" spans="1:30" ht="17.25" customHeight="1" x14ac:dyDescent="0.3">
      <c r="A11" s="91">
        <v>44991</v>
      </c>
      <c r="B11" s="66">
        <f>Summary!$G$10/31</f>
        <v>89446.27</v>
      </c>
      <c r="C11" s="66">
        <v>14</v>
      </c>
      <c r="D11" s="66">
        <v>15.02</v>
      </c>
      <c r="E11" s="66">
        <f t="shared" si="7"/>
        <v>14</v>
      </c>
      <c r="F11" s="66">
        <f t="shared" si="0"/>
        <v>53667.76</v>
      </c>
      <c r="G11" s="66">
        <f t="shared" si="8"/>
        <v>53667.76</v>
      </c>
      <c r="H11" s="66">
        <f t="shared" si="9"/>
        <v>35778.51</v>
      </c>
      <c r="I11" s="66">
        <f t="shared" si="10"/>
        <v>35778.51</v>
      </c>
      <c r="J11" s="66">
        <v>25.1</v>
      </c>
      <c r="K11" s="66">
        <f t="shared" si="11"/>
        <v>17889.259999999998</v>
      </c>
      <c r="L11" s="66">
        <f t="shared" si="12"/>
        <v>0</v>
      </c>
      <c r="M11" s="66">
        <v>162</v>
      </c>
      <c r="N11" s="66">
        <f t="shared" si="13"/>
        <v>5366.78</v>
      </c>
      <c r="O11" s="66">
        <f t="shared" si="14"/>
        <v>0</v>
      </c>
      <c r="P11" s="66">
        <v>33.64</v>
      </c>
      <c r="Q11" s="66">
        <f t="shared" si="15"/>
        <v>8944.6299999999992</v>
      </c>
      <c r="R11" s="66">
        <f t="shared" si="16"/>
        <v>0</v>
      </c>
      <c r="S11" s="67">
        <v>520</v>
      </c>
      <c r="T11" s="66">
        <f t="shared" si="17"/>
        <v>3577.85</v>
      </c>
      <c r="U11" s="66">
        <f t="shared" si="18"/>
        <v>0</v>
      </c>
      <c r="V11" s="66">
        <f t="shared" si="19"/>
        <v>35778.519999999997</v>
      </c>
      <c r="W11" s="66">
        <f t="shared" si="20"/>
        <v>0</v>
      </c>
      <c r="Y11" s="5"/>
      <c r="Z11" s="5"/>
      <c r="AA11" s="5"/>
      <c r="AB11" s="5"/>
      <c r="AC11" s="5"/>
      <c r="AD11" s="5"/>
    </row>
    <row r="12" spans="1:30" ht="17.25" customHeight="1" x14ac:dyDescent="0.3">
      <c r="A12" s="91">
        <v>44992</v>
      </c>
      <c r="B12" s="66">
        <f>Summary!$G$10/31</f>
        <v>89446.27</v>
      </c>
      <c r="C12" s="66">
        <v>14</v>
      </c>
      <c r="D12" s="66">
        <v>14.77</v>
      </c>
      <c r="E12" s="66">
        <f t="shared" si="7"/>
        <v>14</v>
      </c>
      <c r="F12" s="66">
        <f t="shared" si="0"/>
        <v>53667.76</v>
      </c>
      <c r="G12" s="66">
        <f t="shared" si="8"/>
        <v>53667.76</v>
      </c>
      <c r="H12" s="66">
        <f t="shared" si="9"/>
        <v>35778.51</v>
      </c>
      <c r="I12" s="66">
        <f t="shared" si="10"/>
        <v>35778.51</v>
      </c>
      <c r="J12" s="66">
        <v>26.97</v>
      </c>
      <c r="K12" s="66">
        <f t="shared" si="11"/>
        <v>17889.259999999998</v>
      </c>
      <c r="L12" s="66">
        <f t="shared" si="12"/>
        <v>0</v>
      </c>
      <c r="M12" s="66">
        <v>168</v>
      </c>
      <c r="N12" s="66">
        <f t="shared" si="13"/>
        <v>5366.78</v>
      </c>
      <c r="O12" s="66">
        <f t="shared" si="14"/>
        <v>0</v>
      </c>
      <c r="P12" s="66">
        <v>37.29</v>
      </c>
      <c r="Q12" s="66">
        <f t="shared" si="15"/>
        <v>8944.6299999999992</v>
      </c>
      <c r="R12" s="66">
        <f t="shared" si="16"/>
        <v>0</v>
      </c>
      <c r="S12" s="67">
        <v>570</v>
      </c>
      <c r="T12" s="66">
        <f t="shared" si="17"/>
        <v>3577.85</v>
      </c>
      <c r="U12" s="66">
        <f t="shared" si="18"/>
        <v>0</v>
      </c>
      <c r="V12" s="66">
        <f t="shared" si="19"/>
        <v>35778.519999999997</v>
      </c>
      <c r="W12" s="66">
        <f t="shared" si="20"/>
        <v>0</v>
      </c>
      <c r="Y12" s="5"/>
      <c r="Z12" s="5"/>
      <c r="AA12" s="5"/>
      <c r="AB12" s="5"/>
      <c r="AC12" s="5"/>
      <c r="AD12" s="5"/>
    </row>
    <row r="13" spans="1:30" ht="17.25" customHeight="1" x14ac:dyDescent="0.3">
      <c r="A13" s="91">
        <v>44993</v>
      </c>
      <c r="B13" s="66">
        <f>Summary!$G$10/31</f>
        <v>89446.27</v>
      </c>
      <c r="C13" s="66">
        <v>14</v>
      </c>
      <c r="D13" s="66">
        <v>14.96</v>
      </c>
      <c r="E13" s="66">
        <f t="shared" si="7"/>
        <v>14</v>
      </c>
      <c r="F13" s="66">
        <f t="shared" si="0"/>
        <v>53667.76</v>
      </c>
      <c r="G13" s="66">
        <f t="shared" si="8"/>
        <v>53667.76</v>
      </c>
      <c r="H13" s="66">
        <f t="shared" si="9"/>
        <v>35778.51</v>
      </c>
      <c r="I13" s="66">
        <f t="shared" si="10"/>
        <v>35778.51</v>
      </c>
      <c r="J13" s="66">
        <v>27.61</v>
      </c>
      <c r="K13" s="66">
        <f t="shared" si="11"/>
        <v>17889.259999999998</v>
      </c>
      <c r="L13" s="66">
        <f t="shared" si="12"/>
        <v>0</v>
      </c>
      <c r="M13" s="66">
        <v>172</v>
      </c>
      <c r="N13" s="66">
        <f t="shared" si="13"/>
        <v>5366.78</v>
      </c>
      <c r="O13" s="66">
        <f t="shared" si="14"/>
        <v>0</v>
      </c>
      <c r="P13" s="66">
        <v>39.659999999999997</v>
      </c>
      <c r="Q13" s="66">
        <f t="shared" si="15"/>
        <v>8944.6299999999992</v>
      </c>
      <c r="R13" s="66">
        <f t="shared" si="16"/>
        <v>0</v>
      </c>
      <c r="S13" s="67">
        <v>610</v>
      </c>
      <c r="T13" s="66">
        <f t="shared" si="17"/>
        <v>3577.85</v>
      </c>
      <c r="U13" s="66">
        <f t="shared" si="18"/>
        <v>0</v>
      </c>
      <c r="V13" s="66">
        <f t="shared" si="19"/>
        <v>35778.519999999997</v>
      </c>
      <c r="W13" s="66">
        <f t="shared" si="20"/>
        <v>0</v>
      </c>
      <c r="Y13" s="5"/>
      <c r="Z13" s="5"/>
      <c r="AA13" s="5"/>
      <c r="AB13" s="5"/>
      <c r="AC13" s="5"/>
      <c r="AD13" s="5"/>
    </row>
    <row r="14" spans="1:30" ht="17.25" customHeight="1" x14ac:dyDescent="0.3">
      <c r="A14" s="91">
        <v>44994</v>
      </c>
      <c r="B14" s="66">
        <f>Summary!$G$10/31</f>
        <v>89446.27</v>
      </c>
      <c r="C14" s="66">
        <v>14</v>
      </c>
      <c r="D14" s="66">
        <v>14.34</v>
      </c>
      <c r="E14" s="66">
        <f t="shared" si="7"/>
        <v>14</v>
      </c>
      <c r="F14" s="66">
        <f t="shared" si="0"/>
        <v>53667.76</v>
      </c>
      <c r="G14" s="66">
        <f t="shared" si="8"/>
        <v>53667.76</v>
      </c>
      <c r="H14" s="66">
        <f t="shared" si="9"/>
        <v>35778.51</v>
      </c>
      <c r="I14" s="66">
        <f t="shared" si="10"/>
        <v>35778.51</v>
      </c>
      <c r="J14" s="66">
        <v>25.29</v>
      </c>
      <c r="K14" s="66">
        <f t="shared" si="11"/>
        <v>17889.259999999998</v>
      </c>
      <c r="L14" s="66">
        <f t="shared" si="12"/>
        <v>0</v>
      </c>
      <c r="M14" s="66">
        <v>166</v>
      </c>
      <c r="N14" s="66">
        <f t="shared" si="13"/>
        <v>5366.78</v>
      </c>
      <c r="O14" s="66">
        <f t="shared" si="14"/>
        <v>0</v>
      </c>
      <c r="P14" s="66">
        <v>36.770000000000003</v>
      </c>
      <c r="Q14" s="66">
        <f t="shared" si="15"/>
        <v>8944.6299999999992</v>
      </c>
      <c r="R14" s="66">
        <f t="shared" si="16"/>
        <v>0</v>
      </c>
      <c r="S14" s="67">
        <v>540</v>
      </c>
      <c r="T14" s="66">
        <f t="shared" si="17"/>
        <v>3577.85</v>
      </c>
      <c r="U14" s="66">
        <f t="shared" si="18"/>
        <v>0</v>
      </c>
      <c r="V14" s="66">
        <f t="shared" si="19"/>
        <v>35778.519999999997</v>
      </c>
      <c r="W14" s="66">
        <f t="shared" si="20"/>
        <v>0</v>
      </c>
      <c r="Y14" s="5"/>
      <c r="Z14" s="5"/>
      <c r="AA14" s="5"/>
      <c r="AB14" s="5"/>
      <c r="AC14" s="5"/>
      <c r="AD14" s="5"/>
    </row>
    <row r="15" spans="1:30" s="31" customFormat="1" ht="17.25" customHeight="1" x14ac:dyDescent="0.3">
      <c r="A15" s="35">
        <v>44995</v>
      </c>
      <c r="B15" s="28">
        <f>Summary!$G$10/31</f>
        <v>89446.27</v>
      </c>
      <c r="C15" s="28">
        <v>14</v>
      </c>
      <c r="D15" s="28">
        <v>14.76</v>
      </c>
      <c r="E15" s="66">
        <f t="shared" si="7"/>
        <v>14</v>
      </c>
      <c r="F15" s="28">
        <f t="shared" si="0"/>
        <v>53667.76</v>
      </c>
      <c r="G15" s="66">
        <f t="shared" si="8"/>
        <v>53667.76</v>
      </c>
      <c r="H15" s="28">
        <f t="shared" si="9"/>
        <v>35778.51</v>
      </c>
      <c r="I15" s="66">
        <f t="shared" si="10"/>
        <v>35778.51</v>
      </c>
      <c r="J15" s="28">
        <v>25</v>
      </c>
      <c r="K15" s="66">
        <f t="shared" si="11"/>
        <v>17889.259999999998</v>
      </c>
      <c r="L15" s="66">
        <f t="shared" si="12"/>
        <v>0</v>
      </c>
      <c r="M15" s="28">
        <v>144</v>
      </c>
      <c r="N15" s="66">
        <f t="shared" si="13"/>
        <v>5366.78</v>
      </c>
      <c r="O15" s="66">
        <f t="shared" si="14"/>
        <v>0</v>
      </c>
      <c r="P15" s="28">
        <v>38</v>
      </c>
      <c r="Q15" s="66">
        <f t="shared" si="15"/>
        <v>8944.6299999999992</v>
      </c>
      <c r="R15" s="66">
        <f t="shared" si="16"/>
        <v>0</v>
      </c>
      <c r="S15" s="29">
        <v>920</v>
      </c>
      <c r="T15" s="66">
        <f t="shared" si="17"/>
        <v>3577.85</v>
      </c>
      <c r="U15" s="66">
        <f t="shared" si="18"/>
        <v>0</v>
      </c>
      <c r="V15" s="66">
        <f t="shared" si="19"/>
        <v>35778.519999999997</v>
      </c>
      <c r="W15" s="66">
        <f t="shared" si="20"/>
        <v>0</v>
      </c>
      <c r="X15" s="51" t="s">
        <v>97</v>
      </c>
      <c r="Y15" s="37"/>
      <c r="Z15" s="37"/>
      <c r="AA15" s="37"/>
      <c r="AB15" s="37"/>
      <c r="AC15" s="37"/>
      <c r="AD15" s="37"/>
    </row>
    <row r="16" spans="1:30" ht="17.25" customHeight="1" x14ac:dyDescent="0.3">
      <c r="A16" s="91">
        <v>44996</v>
      </c>
      <c r="B16" s="66">
        <f>Summary!$G$10/31</f>
        <v>89446.27</v>
      </c>
      <c r="C16" s="66">
        <v>14</v>
      </c>
      <c r="D16" s="66">
        <v>14.5</v>
      </c>
      <c r="E16" s="66">
        <f t="shared" si="7"/>
        <v>14</v>
      </c>
      <c r="F16" s="66">
        <f t="shared" si="0"/>
        <v>53667.76</v>
      </c>
      <c r="G16" s="66">
        <f t="shared" si="8"/>
        <v>53667.76</v>
      </c>
      <c r="H16" s="66">
        <f t="shared" si="9"/>
        <v>35778.51</v>
      </c>
      <c r="I16" s="66">
        <f t="shared" si="10"/>
        <v>35778.51</v>
      </c>
      <c r="J16" s="66">
        <v>27.44</v>
      </c>
      <c r="K16" s="66">
        <f t="shared" si="11"/>
        <v>17889.259999999998</v>
      </c>
      <c r="L16" s="66">
        <f t="shared" si="12"/>
        <v>0</v>
      </c>
      <c r="M16" s="66">
        <v>168</v>
      </c>
      <c r="N16" s="66">
        <f t="shared" si="13"/>
        <v>5366.78</v>
      </c>
      <c r="O16" s="66">
        <f t="shared" si="14"/>
        <v>0</v>
      </c>
      <c r="P16" s="66">
        <v>39.42</v>
      </c>
      <c r="Q16" s="66">
        <f t="shared" si="15"/>
        <v>8944.6299999999992</v>
      </c>
      <c r="R16" s="66">
        <f t="shared" si="16"/>
        <v>0</v>
      </c>
      <c r="S16" s="67">
        <v>560</v>
      </c>
      <c r="T16" s="66">
        <f t="shared" si="17"/>
        <v>3577.85</v>
      </c>
      <c r="U16" s="66">
        <f t="shared" si="18"/>
        <v>0</v>
      </c>
      <c r="V16" s="66">
        <f t="shared" si="19"/>
        <v>35778.519999999997</v>
      </c>
      <c r="W16" s="66">
        <f t="shared" si="20"/>
        <v>0</v>
      </c>
      <c r="Y16" s="5"/>
      <c r="Z16" s="5"/>
      <c r="AA16" s="5"/>
      <c r="AB16" s="5"/>
      <c r="AC16" s="5"/>
      <c r="AD16" s="5"/>
    </row>
    <row r="17" spans="1:24" ht="17.25" customHeight="1" x14ac:dyDescent="0.25">
      <c r="A17" s="91">
        <v>44997</v>
      </c>
      <c r="B17" s="66">
        <f>Summary!$G$10/31</f>
        <v>89446.27</v>
      </c>
      <c r="C17" s="66">
        <v>14</v>
      </c>
      <c r="D17" s="66">
        <v>14.69</v>
      </c>
      <c r="E17" s="66">
        <f t="shared" si="7"/>
        <v>14</v>
      </c>
      <c r="F17" s="66">
        <f t="shared" si="0"/>
        <v>53667.76</v>
      </c>
      <c r="G17" s="66">
        <f t="shared" si="8"/>
        <v>53667.76</v>
      </c>
      <c r="H17" s="66">
        <f t="shared" si="9"/>
        <v>35778.51</v>
      </c>
      <c r="I17" s="66">
        <f t="shared" si="10"/>
        <v>35778.51</v>
      </c>
      <c r="J17" s="66">
        <v>26.1</v>
      </c>
      <c r="K17" s="66">
        <f t="shared" si="11"/>
        <v>17889.259999999998</v>
      </c>
      <c r="L17" s="66">
        <f t="shared" si="12"/>
        <v>0</v>
      </c>
      <c r="M17" s="66">
        <v>160</v>
      </c>
      <c r="N17" s="66">
        <f t="shared" si="13"/>
        <v>5366.78</v>
      </c>
      <c r="O17" s="66">
        <f t="shared" si="14"/>
        <v>0</v>
      </c>
      <c r="P17" s="66">
        <v>38.14</v>
      </c>
      <c r="Q17" s="66">
        <f t="shared" si="15"/>
        <v>8944.6299999999992</v>
      </c>
      <c r="R17" s="66">
        <f t="shared" si="16"/>
        <v>0</v>
      </c>
      <c r="S17" s="67">
        <v>500</v>
      </c>
      <c r="T17" s="66">
        <f t="shared" si="17"/>
        <v>3577.85</v>
      </c>
      <c r="U17" s="66">
        <f t="shared" si="18"/>
        <v>0</v>
      </c>
      <c r="V17" s="66">
        <f t="shared" si="19"/>
        <v>35778.519999999997</v>
      </c>
      <c r="W17" s="66">
        <f t="shared" si="20"/>
        <v>0</v>
      </c>
    </row>
    <row r="18" spans="1:24" ht="17.25" customHeight="1" x14ac:dyDescent="0.25">
      <c r="A18" s="91">
        <v>44998</v>
      </c>
      <c r="B18" s="66">
        <f>Summary!$G$10/31</f>
        <v>89446.27</v>
      </c>
      <c r="C18" s="66">
        <v>14</v>
      </c>
      <c r="D18" s="66">
        <v>14.45</v>
      </c>
      <c r="E18" s="66">
        <f t="shared" si="7"/>
        <v>14</v>
      </c>
      <c r="F18" s="66">
        <f t="shared" si="0"/>
        <v>53667.76</v>
      </c>
      <c r="G18" s="66">
        <f t="shared" si="8"/>
        <v>53667.76</v>
      </c>
      <c r="H18" s="66">
        <f t="shared" si="9"/>
        <v>35778.51</v>
      </c>
      <c r="I18" s="66">
        <f t="shared" si="10"/>
        <v>35778.51</v>
      </c>
      <c r="J18" s="66">
        <v>28.67</v>
      </c>
      <c r="K18" s="66">
        <f t="shared" si="11"/>
        <v>17889.259999999998</v>
      </c>
      <c r="L18" s="66">
        <f t="shared" si="12"/>
        <v>0</v>
      </c>
      <c r="M18" s="66">
        <v>170</v>
      </c>
      <c r="N18" s="66">
        <f t="shared" si="13"/>
        <v>5366.78</v>
      </c>
      <c r="O18" s="66">
        <f t="shared" si="14"/>
        <v>0</v>
      </c>
      <c r="P18" s="66">
        <v>40.24</v>
      </c>
      <c r="Q18" s="66">
        <f t="shared" si="15"/>
        <v>8944.6299999999992</v>
      </c>
      <c r="R18" s="66">
        <f t="shared" si="16"/>
        <v>0</v>
      </c>
      <c r="S18" s="67">
        <v>590</v>
      </c>
      <c r="T18" s="66">
        <f t="shared" si="17"/>
        <v>3577.85</v>
      </c>
      <c r="U18" s="66">
        <f t="shared" si="18"/>
        <v>0</v>
      </c>
      <c r="V18" s="66">
        <f t="shared" si="19"/>
        <v>35778.519999999997</v>
      </c>
      <c r="W18" s="66">
        <f t="shared" si="20"/>
        <v>0</v>
      </c>
    </row>
    <row r="19" spans="1:24" ht="17.25" customHeight="1" x14ac:dyDescent="0.25">
      <c r="A19" s="91">
        <v>44999</v>
      </c>
      <c r="B19" s="66">
        <f>Summary!$G$10/31</f>
        <v>89446.27</v>
      </c>
      <c r="C19" s="66">
        <v>14</v>
      </c>
      <c r="D19" s="66">
        <v>14.19</v>
      </c>
      <c r="E19" s="66">
        <f t="shared" si="7"/>
        <v>14</v>
      </c>
      <c r="F19" s="66">
        <f t="shared" si="0"/>
        <v>53667.76</v>
      </c>
      <c r="G19" s="66">
        <f t="shared" si="8"/>
        <v>53667.76</v>
      </c>
      <c r="H19" s="66">
        <f t="shared" si="9"/>
        <v>35778.51</v>
      </c>
      <c r="I19" s="66">
        <f t="shared" si="10"/>
        <v>35778.51</v>
      </c>
      <c r="J19" s="66">
        <v>29.1</v>
      </c>
      <c r="K19" s="66">
        <f t="shared" si="11"/>
        <v>17889.259999999998</v>
      </c>
      <c r="L19" s="66">
        <f t="shared" si="12"/>
        <v>0</v>
      </c>
      <c r="M19" s="66">
        <v>176</v>
      </c>
      <c r="N19" s="66">
        <f t="shared" si="13"/>
        <v>5366.78</v>
      </c>
      <c r="O19" s="66">
        <f t="shared" si="14"/>
        <v>0</v>
      </c>
      <c r="P19" s="66">
        <v>41.66</v>
      </c>
      <c r="Q19" s="66">
        <f t="shared" si="15"/>
        <v>8944.6299999999992</v>
      </c>
      <c r="R19" s="66">
        <f t="shared" si="16"/>
        <v>0</v>
      </c>
      <c r="S19" s="67">
        <v>630</v>
      </c>
      <c r="T19" s="66">
        <f t="shared" si="17"/>
        <v>3577.85</v>
      </c>
      <c r="U19" s="66">
        <f t="shared" si="18"/>
        <v>0</v>
      </c>
      <c r="V19" s="66">
        <f t="shared" si="19"/>
        <v>35778.519999999997</v>
      </c>
      <c r="W19" s="66">
        <f t="shared" si="20"/>
        <v>0</v>
      </c>
    </row>
    <row r="20" spans="1:24" ht="17.25" customHeight="1" x14ac:dyDescent="0.25">
      <c r="A20" s="91">
        <v>45000</v>
      </c>
      <c r="B20" s="66">
        <f>Summary!$G$10/31</f>
        <v>89446.27</v>
      </c>
      <c r="C20" s="66">
        <v>14</v>
      </c>
      <c r="D20" s="66">
        <v>14.57</v>
      </c>
      <c r="E20" s="66">
        <f t="shared" si="7"/>
        <v>14</v>
      </c>
      <c r="F20" s="66">
        <f t="shared" si="0"/>
        <v>53667.76</v>
      </c>
      <c r="G20" s="66">
        <f t="shared" si="8"/>
        <v>53667.76</v>
      </c>
      <c r="H20" s="66">
        <f t="shared" si="9"/>
        <v>35778.51</v>
      </c>
      <c r="I20" s="66">
        <f t="shared" si="10"/>
        <v>35778.51</v>
      </c>
      <c r="J20" s="66">
        <v>26.37</v>
      </c>
      <c r="K20" s="66">
        <f t="shared" si="11"/>
        <v>17889.259999999998</v>
      </c>
      <c r="L20" s="66">
        <f t="shared" si="12"/>
        <v>0</v>
      </c>
      <c r="M20" s="66">
        <v>162</v>
      </c>
      <c r="N20" s="66">
        <f t="shared" si="13"/>
        <v>5366.78</v>
      </c>
      <c r="O20" s="66">
        <f t="shared" si="14"/>
        <v>0</v>
      </c>
      <c r="P20" s="66">
        <v>36.799999999999997</v>
      </c>
      <c r="Q20" s="66">
        <f t="shared" si="15"/>
        <v>8944.6299999999992</v>
      </c>
      <c r="R20" s="66">
        <f t="shared" si="16"/>
        <v>0</v>
      </c>
      <c r="S20" s="67">
        <v>610</v>
      </c>
      <c r="T20" s="66">
        <f t="shared" si="17"/>
        <v>3577.85</v>
      </c>
      <c r="U20" s="66">
        <f t="shared" si="18"/>
        <v>0</v>
      </c>
      <c r="V20" s="66">
        <f t="shared" si="19"/>
        <v>35778.519999999997</v>
      </c>
      <c r="W20" s="66">
        <f t="shared" si="20"/>
        <v>0</v>
      </c>
    </row>
    <row r="21" spans="1:24" ht="17.25" customHeight="1" x14ac:dyDescent="0.25">
      <c r="A21" s="91">
        <v>45001</v>
      </c>
      <c r="B21" s="66">
        <f>Summary!$G$10/31</f>
        <v>89446.27</v>
      </c>
      <c r="C21" s="66">
        <v>14</v>
      </c>
      <c r="D21" s="66">
        <v>14.35</v>
      </c>
      <c r="E21" s="66">
        <f t="shared" si="7"/>
        <v>14</v>
      </c>
      <c r="F21" s="66">
        <f t="shared" si="0"/>
        <v>53667.76</v>
      </c>
      <c r="G21" s="66">
        <f t="shared" si="8"/>
        <v>53667.76</v>
      </c>
      <c r="H21" s="66">
        <f t="shared" si="9"/>
        <v>35778.51</v>
      </c>
      <c r="I21" s="66">
        <f t="shared" si="10"/>
        <v>35778.51</v>
      </c>
      <c r="J21" s="66">
        <v>26.11</v>
      </c>
      <c r="K21" s="66">
        <f t="shared" si="11"/>
        <v>17889.259999999998</v>
      </c>
      <c r="L21" s="66">
        <f t="shared" si="12"/>
        <v>0</v>
      </c>
      <c r="M21" s="66">
        <v>160</v>
      </c>
      <c r="N21" s="66">
        <f t="shared" si="13"/>
        <v>5366.78</v>
      </c>
      <c r="O21" s="66">
        <f t="shared" si="14"/>
        <v>0</v>
      </c>
      <c r="P21" s="66">
        <v>34.619999999999997</v>
      </c>
      <c r="Q21" s="66">
        <f t="shared" si="15"/>
        <v>8944.6299999999992</v>
      </c>
      <c r="R21" s="66">
        <f t="shared" si="16"/>
        <v>0</v>
      </c>
      <c r="S21" s="67">
        <v>630</v>
      </c>
      <c r="T21" s="66">
        <f t="shared" si="17"/>
        <v>3577.85</v>
      </c>
      <c r="U21" s="66">
        <f t="shared" si="18"/>
        <v>0</v>
      </c>
      <c r="V21" s="66">
        <f t="shared" si="19"/>
        <v>35778.519999999997</v>
      </c>
      <c r="W21" s="66">
        <f t="shared" si="20"/>
        <v>0</v>
      </c>
    </row>
    <row r="22" spans="1:24" s="31" customFormat="1" ht="17.25" customHeight="1" x14ac:dyDescent="0.25">
      <c r="A22" s="35">
        <v>45002</v>
      </c>
      <c r="B22" s="28">
        <f>Summary!$G$10/31</f>
        <v>89446.27</v>
      </c>
      <c r="C22" s="28">
        <v>14</v>
      </c>
      <c r="D22" s="28">
        <v>14.89</v>
      </c>
      <c r="E22" s="66">
        <f t="shared" si="7"/>
        <v>14</v>
      </c>
      <c r="F22" s="28">
        <f t="shared" si="0"/>
        <v>53667.76</v>
      </c>
      <c r="G22" s="66">
        <f t="shared" si="8"/>
        <v>53667.76</v>
      </c>
      <c r="H22" s="28">
        <f t="shared" si="9"/>
        <v>35778.51</v>
      </c>
      <c r="I22" s="66">
        <f t="shared" si="10"/>
        <v>35778.51</v>
      </c>
      <c r="J22" s="28">
        <v>24</v>
      </c>
      <c r="K22" s="66">
        <f t="shared" si="11"/>
        <v>17889.259999999998</v>
      </c>
      <c r="L22" s="66">
        <f t="shared" si="12"/>
        <v>0</v>
      </c>
      <c r="M22" s="28">
        <v>128</v>
      </c>
      <c r="N22" s="66">
        <f t="shared" si="13"/>
        <v>5366.78</v>
      </c>
      <c r="O22" s="66">
        <f t="shared" si="14"/>
        <v>0</v>
      </c>
      <c r="P22" s="28">
        <v>38</v>
      </c>
      <c r="Q22" s="66">
        <f t="shared" si="15"/>
        <v>8944.6299999999992</v>
      </c>
      <c r="R22" s="66">
        <f t="shared" si="16"/>
        <v>0</v>
      </c>
      <c r="S22" s="29">
        <v>830</v>
      </c>
      <c r="T22" s="66">
        <f t="shared" si="17"/>
        <v>3577.85</v>
      </c>
      <c r="U22" s="66">
        <f t="shared" si="18"/>
        <v>0</v>
      </c>
      <c r="V22" s="66">
        <f t="shared" si="19"/>
        <v>35778.519999999997</v>
      </c>
      <c r="W22" s="66">
        <f t="shared" si="20"/>
        <v>0</v>
      </c>
      <c r="X22" s="51" t="s">
        <v>97</v>
      </c>
    </row>
    <row r="23" spans="1:24" ht="17.25" customHeight="1" x14ac:dyDescent="0.25">
      <c r="A23" s="91">
        <v>45003</v>
      </c>
      <c r="B23" s="66">
        <f>Summary!$G$10/31</f>
        <v>89446.27</v>
      </c>
      <c r="C23" s="66">
        <v>14</v>
      </c>
      <c r="D23" s="66">
        <v>14.43</v>
      </c>
      <c r="E23" s="66">
        <f t="shared" si="7"/>
        <v>14</v>
      </c>
      <c r="F23" s="66">
        <f t="shared" si="0"/>
        <v>53667.76</v>
      </c>
      <c r="G23" s="66">
        <f t="shared" si="8"/>
        <v>53667.76</v>
      </c>
      <c r="H23" s="66">
        <f t="shared" si="9"/>
        <v>35778.51</v>
      </c>
      <c r="I23" s="66">
        <f t="shared" si="10"/>
        <v>35778.51</v>
      </c>
      <c r="J23" s="66">
        <v>28.2</v>
      </c>
      <c r="K23" s="66">
        <f t="shared" si="11"/>
        <v>17889.259999999998</v>
      </c>
      <c r="L23" s="66">
        <f t="shared" si="12"/>
        <v>0</v>
      </c>
      <c r="M23" s="66">
        <v>178</v>
      </c>
      <c r="N23" s="66">
        <f t="shared" si="13"/>
        <v>5366.78</v>
      </c>
      <c r="O23" s="66">
        <f t="shared" si="14"/>
        <v>0</v>
      </c>
      <c r="P23" s="66">
        <v>42.93</v>
      </c>
      <c r="Q23" s="66">
        <f t="shared" si="15"/>
        <v>8944.6299999999992</v>
      </c>
      <c r="R23" s="66">
        <f t="shared" si="16"/>
        <v>0</v>
      </c>
      <c r="S23" s="67">
        <v>690</v>
      </c>
      <c r="T23" s="66">
        <f t="shared" si="17"/>
        <v>3577.85</v>
      </c>
      <c r="U23" s="66">
        <f t="shared" si="18"/>
        <v>0</v>
      </c>
      <c r="V23" s="66">
        <f t="shared" si="19"/>
        <v>35778.519999999997</v>
      </c>
      <c r="W23" s="66">
        <f t="shared" si="20"/>
        <v>0</v>
      </c>
    </row>
    <row r="24" spans="1:24" ht="17.25" customHeight="1" x14ac:dyDescent="0.25">
      <c r="A24" s="91">
        <v>45004</v>
      </c>
      <c r="B24" s="66">
        <f>Summary!$G$10/31</f>
        <v>89446.27</v>
      </c>
      <c r="C24" s="66">
        <v>14</v>
      </c>
      <c r="D24" s="66">
        <v>14.61</v>
      </c>
      <c r="E24" s="66">
        <f t="shared" si="7"/>
        <v>14</v>
      </c>
      <c r="F24" s="66">
        <f t="shared" si="0"/>
        <v>53667.76</v>
      </c>
      <c r="G24" s="66">
        <f t="shared" si="8"/>
        <v>53667.76</v>
      </c>
      <c r="H24" s="66">
        <f t="shared" si="9"/>
        <v>35778.51</v>
      </c>
      <c r="I24" s="66">
        <f t="shared" si="10"/>
        <v>35778.51</v>
      </c>
      <c r="J24" s="66">
        <v>26.5</v>
      </c>
      <c r="K24" s="66">
        <f t="shared" si="11"/>
        <v>17889.259999999998</v>
      </c>
      <c r="L24" s="66">
        <f t="shared" si="12"/>
        <v>0</v>
      </c>
      <c r="M24" s="66">
        <v>170</v>
      </c>
      <c r="N24" s="66">
        <f t="shared" si="13"/>
        <v>5366.78</v>
      </c>
      <c r="O24" s="66">
        <f t="shared" si="14"/>
        <v>0</v>
      </c>
      <c r="P24" s="66">
        <v>39.1</v>
      </c>
      <c r="Q24" s="66">
        <f t="shared" si="15"/>
        <v>8944.6299999999992</v>
      </c>
      <c r="R24" s="66">
        <f t="shared" si="16"/>
        <v>0</v>
      </c>
      <c r="S24" s="67">
        <v>640</v>
      </c>
      <c r="T24" s="66">
        <f t="shared" si="17"/>
        <v>3577.85</v>
      </c>
      <c r="U24" s="66">
        <f t="shared" si="18"/>
        <v>0</v>
      </c>
      <c r="V24" s="66">
        <f t="shared" si="19"/>
        <v>35778.519999999997</v>
      </c>
      <c r="W24" s="66">
        <f t="shared" si="20"/>
        <v>0</v>
      </c>
    </row>
    <row r="25" spans="1:24" ht="17.25" customHeight="1" x14ac:dyDescent="0.25">
      <c r="A25" s="91">
        <v>45005</v>
      </c>
      <c r="B25" s="66">
        <f>Summary!$G$10/31</f>
        <v>89446.27</v>
      </c>
      <c r="C25" s="66">
        <v>14</v>
      </c>
      <c r="D25" s="66">
        <v>14.54</v>
      </c>
      <c r="E25" s="66">
        <f t="shared" si="7"/>
        <v>14</v>
      </c>
      <c r="F25" s="66">
        <f t="shared" si="0"/>
        <v>53667.76</v>
      </c>
      <c r="G25" s="66">
        <f t="shared" si="8"/>
        <v>53667.76</v>
      </c>
      <c r="H25" s="66">
        <f t="shared" si="9"/>
        <v>35778.51</v>
      </c>
      <c r="I25" s="66">
        <f t="shared" si="10"/>
        <v>35778.51</v>
      </c>
      <c r="J25" s="66">
        <v>25.72</v>
      </c>
      <c r="K25" s="66">
        <f t="shared" si="11"/>
        <v>17889.259999999998</v>
      </c>
      <c r="L25" s="66">
        <f t="shared" si="12"/>
        <v>0</v>
      </c>
      <c r="M25" s="66">
        <v>164</v>
      </c>
      <c r="N25" s="66">
        <f t="shared" si="13"/>
        <v>5366.78</v>
      </c>
      <c r="O25" s="66">
        <f t="shared" si="14"/>
        <v>0</v>
      </c>
      <c r="P25" s="66">
        <v>37.28</v>
      </c>
      <c r="Q25" s="66">
        <f t="shared" si="15"/>
        <v>8944.6299999999992</v>
      </c>
      <c r="R25" s="66">
        <f t="shared" si="16"/>
        <v>0</v>
      </c>
      <c r="S25" s="67">
        <v>610</v>
      </c>
      <c r="T25" s="66">
        <f t="shared" si="17"/>
        <v>3577.85</v>
      </c>
      <c r="U25" s="66">
        <f t="shared" si="18"/>
        <v>0</v>
      </c>
      <c r="V25" s="66">
        <f t="shared" si="19"/>
        <v>35778.519999999997</v>
      </c>
      <c r="W25" s="66">
        <f t="shared" si="20"/>
        <v>0</v>
      </c>
    </row>
    <row r="26" spans="1:24" ht="17.25" customHeight="1" x14ac:dyDescent="0.25">
      <c r="A26" s="91">
        <v>45006</v>
      </c>
      <c r="B26" s="66">
        <f>Summary!$G$10/31</f>
        <v>89446.27</v>
      </c>
      <c r="C26" s="66">
        <v>14</v>
      </c>
      <c r="D26" s="66">
        <v>14.18</v>
      </c>
      <c r="E26" s="66">
        <f t="shared" si="7"/>
        <v>14</v>
      </c>
      <c r="F26" s="66">
        <f t="shared" si="0"/>
        <v>53667.76</v>
      </c>
      <c r="G26" s="66">
        <f t="shared" si="8"/>
        <v>53667.76</v>
      </c>
      <c r="H26" s="66">
        <f t="shared" si="9"/>
        <v>35778.51</v>
      </c>
      <c r="I26" s="66">
        <f t="shared" si="10"/>
        <v>35778.51</v>
      </c>
      <c r="J26" s="66">
        <v>28.65</v>
      </c>
      <c r="K26" s="66">
        <f t="shared" si="11"/>
        <v>17889.259999999998</v>
      </c>
      <c r="L26" s="66">
        <f t="shared" si="12"/>
        <v>0</v>
      </c>
      <c r="M26" s="66">
        <v>182</v>
      </c>
      <c r="N26" s="66">
        <f t="shared" si="13"/>
        <v>5366.78</v>
      </c>
      <c r="O26" s="66">
        <f t="shared" si="14"/>
        <v>0</v>
      </c>
      <c r="P26" s="66">
        <v>40.270000000000003</v>
      </c>
      <c r="Q26" s="66">
        <f t="shared" si="15"/>
        <v>8944.6299999999992</v>
      </c>
      <c r="R26" s="66">
        <f t="shared" si="16"/>
        <v>0</v>
      </c>
      <c r="S26" s="67">
        <v>760</v>
      </c>
      <c r="T26" s="66">
        <f t="shared" si="17"/>
        <v>3577.85</v>
      </c>
      <c r="U26" s="66">
        <f t="shared" si="18"/>
        <v>0</v>
      </c>
      <c r="V26" s="66">
        <f t="shared" si="19"/>
        <v>35778.519999999997</v>
      </c>
      <c r="W26" s="66">
        <f t="shared" si="20"/>
        <v>0</v>
      </c>
    </row>
    <row r="27" spans="1:24" ht="17.25" customHeight="1" x14ac:dyDescent="0.25">
      <c r="A27" s="91">
        <v>45007</v>
      </c>
      <c r="B27" s="66">
        <f>Summary!$G$10/31</f>
        <v>89446.27</v>
      </c>
      <c r="C27" s="66">
        <v>14</v>
      </c>
      <c r="D27" s="66">
        <v>14.7</v>
      </c>
      <c r="E27" s="66">
        <f t="shared" si="7"/>
        <v>14</v>
      </c>
      <c r="F27" s="66">
        <f t="shared" si="0"/>
        <v>53667.76</v>
      </c>
      <c r="G27" s="66">
        <f t="shared" si="8"/>
        <v>53667.76</v>
      </c>
      <c r="H27" s="66">
        <f t="shared" si="9"/>
        <v>35778.51</v>
      </c>
      <c r="I27" s="66">
        <f t="shared" si="10"/>
        <v>35778.51</v>
      </c>
      <c r="J27" s="66">
        <v>26.2</v>
      </c>
      <c r="K27" s="66">
        <f t="shared" si="11"/>
        <v>17889.259999999998</v>
      </c>
      <c r="L27" s="66">
        <f t="shared" si="12"/>
        <v>0</v>
      </c>
      <c r="M27" s="66">
        <v>176</v>
      </c>
      <c r="N27" s="66">
        <f t="shared" si="13"/>
        <v>5366.78</v>
      </c>
      <c r="O27" s="66">
        <f t="shared" si="14"/>
        <v>0</v>
      </c>
      <c r="P27" s="66">
        <v>36.24</v>
      </c>
      <c r="Q27" s="66">
        <f t="shared" si="15"/>
        <v>8944.6299999999992</v>
      </c>
      <c r="R27" s="66">
        <f t="shared" si="16"/>
        <v>0</v>
      </c>
      <c r="S27" s="67">
        <v>720</v>
      </c>
      <c r="T27" s="66">
        <f t="shared" si="17"/>
        <v>3577.85</v>
      </c>
      <c r="U27" s="66">
        <f t="shared" si="18"/>
        <v>0</v>
      </c>
      <c r="V27" s="66">
        <f t="shared" si="19"/>
        <v>35778.519999999997</v>
      </c>
      <c r="W27" s="66">
        <f t="shared" si="20"/>
        <v>0</v>
      </c>
    </row>
    <row r="28" spans="1:24" ht="17.25" customHeight="1" x14ac:dyDescent="0.25">
      <c r="A28" s="91">
        <v>45008</v>
      </c>
      <c r="B28" s="66">
        <f>Summary!$G$10/31</f>
        <v>89446.27</v>
      </c>
      <c r="C28" s="66">
        <v>14</v>
      </c>
      <c r="D28" s="66">
        <v>14.46</v>
      </c>
      <c r="E28" s="66">
        <f t="shared" si="7"/>
        <v>14</v>
      </c>
      <c r="F28" s="66">
        <f t="shared" si="0"/>
        <v>53667.76</v>
      </c>
      <c r="G28" s="66">
        <f t="shared" si="8"/>
        <v>53667.76</v>
      </c>
      <c r="H28" s="66">
        <f t="shared" si="9"/>
        <v>35778.51</v>
      </c>
      <c r="I28" s="66">
        <f t="shared" si="10"/>
        <v>35778.51</v>
      </c>
      <c r="J28" s="66">
        <v>29.1</v>
      </c>
      <c r="K28" s="66">
        <f t="shared" si="11"/>
        <v>17889.259999999998</v>
      </c>
      <c r="L28" s="66">
        <f t="shared" si="12"/>
        <v>0</v>
      </c>
      <c r="M28" s="66">
        <v>190</v>
      </c>
      <c r="N28" s="66">
        <f t="shared" si="13"/>
        <v>5366.78</v>
      </c>
      <c r="O28" s="66">
        <f t="shared" si="14"/>
        <v>0</v>
      </c>
      <c r="P28" s="66">
        <v>44.63</v>
      </c>
      <c r="Q28" s="66">
        <f t="shared" si="15"/>
        <v>8944.6299999999992</v>
      </c>
      <c r="R28" s="66">
        <f t="shared" si="16"/>
        <v>0</v>
      </c>
      <c r="S28" s="67">
        <v>780</v>
      </c>
      <c r="T28" s="66">
        <f t="shared" si="17"/>
        <v>3577.85</v>
      </c>
      <c r="U28" s="66">
        <f t="shared" si="18"/>
        <v>0</v>
      </c>
      <c r="V28" s="66">
        <f t="shared" si="19"/>
        <v>35778.519999999997</v>
      </c>
      <c r="W28" s="66">
        <f t="shared" si="20"/>
        <v>0</v>
      </c>
    </row>
    <row r="29" spans="1:24" ht="17.25" customHeight="1" x14ac:dyDescent="0.25">
      <c r="A29" s="91">
        <v>45009</v>
      </c>
      <c r="B29" s="66">
        <f>Summary!$G$10/31</f>
        <v>89446.27</v>
      </c>
      <c r="C29" s="66">
        <v>14</v>
      </c>
      <c r="D29" s="66">
        <v>14.42</v>
      </c>
      <c r="E29" s="66">
        <f t="shared" si="7"/>
        <v>14</v>
      </c>
      <c r="F29" s="66">
        <f t="shared" si="0"/>
        <v>53667.76</v>
      </c>
      <c r="G29" s="66">
        <f t="shared" si="8"/>
        <v>53667.76</v>
      </c>
      <c r="H29" s="66">
        <f t="shared" si="9"/>
        <v>35778.51</v>
      </c>
      <c r="I29" s="66">
        <f t="shared" si="10"/>
        <v>35778.51</v>
      </c>
      <c r="J29" s="66">
        <v>27.72</v>
      </c>
      <c r="K29" s="66">
        <f t="shared" si="11"/>
        <v>17889.259999999998</v>
      </c>
      <c r="L29" s="66">
        <f t="shared" si="12"/>
        <v>0</v>
      </c>
      <c r="M29" s="66">
        <v>178</v>
      </c>
      <c r="N29" s="66">
        <f t="shared" si="13"/>
        <v>5366.78</v>
      </c>
      <c r="O29" s="66">
        <f t="shared" si="14"/>
        <v>0</v>
      </c>
      <c r="P29" s="66">
        <v>38.270000000000003</v>
      </c>
      <c r="Q29" s="66">
        <f t="shared" si="15"/>
        <v>8944.6299999999992</v>
      </c>
      <c r="R29" s="66">
        <f t="shared" si="16"/>
        <v>0</v>
      </c>
      <c r="S29" s="67">
        <v>670</v>
      </c>
      <c r="T29" s="66">
        <f t="shared" si="17"/>
        <v>3577.85</v>
      </c>
      <c r="U29" s="66">
        <f t="shared" si="18"/>
        <v>0</v>
      </c>
      <c r="V29" s="66">
        <f t="shared" si="19"/>
        <v>35778.519999999997</v>
      </c>
      <c r="W29" s="66">
        <f t="shared" si="20"/>
        <v>0</v>
      </c>
    </row>
    <row r="30" spans="1:24" s="31" customFormat="1" ht="17.25" customHeight="1" x14ac:dyDescent="0.25">
      <c r="A30" s="35">
        <v>45010</v>
      </c>
      <c r="B30" s="28">
        <f>Summary!$G$10/31</f>
        <v>89446.27</v>
      </c>
      <c r="C30" s="28">
        <v>14</v>
      </c>
      <c r="D30" s="28">
        <v>14.51</v>
      </c>
      <c r="E30" s="66">
        <f t="shared" si="7"/>
        <v>14</v>
      </c>
      <c r="F30" s="28">
        <f t="shared" si="0"/>
        <v>53667.76</v>
      </c>
      <c r="G30" s="66">
        <f t="shared" si="8"/>
        <v>53667.76</v>
      </c>
      <c r="H30" s="28">
        <f t="shared" si="9"/>
        <v>35778.51</v>
      </c>
      <c r="I30" s="66">
        <f t="shared" si="10"/>
        <v>35778.51</v>
      </c>
      <c r="J30" s="28">
        <v>24</v>
      </c>
      <c r="K30" s="66">
        <f t="shared" si="11"/>
        <v>17889.259999999998</v>
      </c>
      <c r="L30" s="66">
        <f t="shared" si="12"/>
        <v>0</v>
      </c>
      <c r="M30" s="28">
        <v>120</v>
      </c>
      <c r="N30" s="66">
        <f t="shared" si="13"/>
        <v>5366.78</v>
      </c>
      <c r="O30" s="66">
        <f t="shared" si="14"/>
        <v>0</v>
      </c>
      <c r="P30" s="28">
        <v>38</v>
      </c>
      <c r="Q30" s="66">
        <f t="shared" si="15"/>
        <v>8944.6299999999992</v>
      </c>
      <c r="R30" s="66">
        <f t="shared" si="16"/>
        <v>0</v>
      </c>
      <c r="S30" s="29">
        <v>830</v>
      </c>
      <c r="T30" s="66">
        <f t="shared" si="17"/>
        <v>3577.85</v>
      </c>
      <c r="U30" s="66">
        <f t="shared" si="18"/>
        <v>0</v>
      </c>
      <c r="V30" s="66">
        <f t="shared" si="19"/>
        <v>35778.519999999997</v>
      </c>
      <c r="W30" s="66">
        <f t="shared" si="20"/>
        <v>0</v>
      </c>
      <c r="X30" s="51" t="s">
        <v>97</v>
      </c>
    </row>
    <row r="31" spans="1:24" ht="17.25" customHeight="1" x14ac:dyDescent="0.25">
      <c r="A31" s="91">
        <v>45011</v>
      </c>
      <c r="B31" s="66">
        <f>Summary!$G$10/31</f>
        <v>89446.27</v>
      </c>
      <c r="C31" s="66">
        <v>14</v>
      </c>
      <c r="D31" s="66">
        <v>14.25</v>
      </c>
      <c r="E31" s="66">
        <f t="shared" si="7"/>
        <v>14</v>
      </c>
      <c r="F31" s="66">
        <f t="shared" si="0"/>
        <v>53667.76</v>
      </c>
      <c r="G31" s="66">
        <f t="shared" si="8"/>
        <v>53667.76</v>
      </c>
      <c r="H31" s="66">
        <f t="shared" si="9"/>
        <v>35778.51</v>
      </c>
      <c r="I31" s="66">
        <f t="shared" si="10"/>
        <v>35778.51</v>
      </c>
      <c r="J31" s="66">
        <v>27.67</v>
      </c>
      <c r="K31" s="66">
        <f t="shared" si="11"/>
        <v>17889.259999999998</v>
      </c>
      <c r="L31" s="66">
        <f t="shared" si="12"/>
        <v>0</v>
      </c>
      <c r="M31" s="66">
        <v>182</v>
      </c>
      <c r="N31" s="66">
        <f t="shared" si="13"/>
        <v>5366.78</v>
      </c>
      <c r="O31" s="66">
        <f t="shared" si="14"/>
        <v>0</v>
      </c>
      <c r="P31" s="66">
        <v>40.42</v>
      </c>
      <c r="Q31" s="66">
        <f t="shared" si="15"/>
        <v>8944.6299999999992</v>
      </c>
      <c r="R31" s="66">
        <f t="shared" si="16"/>
        <v>0</v>
      </c>
      <c r="S31" s="67">
        <v>690</v>
      </c>
      <c r="T31" s="66">
        <f t="shared" si="17"/>
        <v>3577.85</v>
      </c>
      <c r="U31" s="66">
        <f t="shared" si="18"/>
        <v>0</v>
      </c>
      <c r="V31" s="66">
        <f t="shared" si="19"/>
        <v>35778.519999999997</v>
      </c>
      <c r="W31" s="66">
        <f t="shared" si="20"/>
        <v>0</v>
      </c>
    </row>
    <row r="32" spans="1:24" ht="17.25" customHeight="1" x14ac:dyDescent="0.25">
      <c r="A32" s="91">
        <v>45012</v>
      </c>
      <c r="B32" s="66">
        <f>Summary!$G$10/31</f>
        <v>89446.27</v>
      </c>
      <c r="C32" s="66">
        <v>14</v>
      </c>
      <c r="D32" s="66">
        <v>14.15</v>
      </c>
      <c r="E32" s="66">
        <f t="shared" si="7"/>
        <v>14</v>
      </c>
      <c r="F32" s="66">
        <f t="shared" si="0"/>
        <v>53667.76</v>
      </c>
      <c r="G32" s="66">
        <f t="shared" si="8"/>
        <v>53667.76</v>
      </c>
      <c r="H32" s="66">
        <f t="shared" si="9"/>
        <v>35778.51</v>
      </c>
      <c r="I32" s="66">
        <f t="shared" si="10"/>
        <v>35778.51</v>
      </c>
      <c r="J32" s="66">
        <v>25.37</v>
      </c>
      <c r="K32" s="66">
        <f t="shared" si="11"/>
        <v>17889.259999999998</v>
      </c>
      <c r="L32" s="66">
        <f t="shared" si="12"/>
        <v>0</v>
      </c>
      <c r="M32" s="66">
        <v>170</v>
      </c>
      <c r="N32" s="66">
        <f t="shared" si="13"/>
        <v>5366.78</v>
      </c>
      <c r="O32" s="66">
        <f t="shared" si="14"/>
        <v>0</v>
      </c>
      <c r="P32" s="66">
        <v>37.47</v>
      </c>
      <c r="Q32" s="66">
        <f t="shared" si="15"/>
        <v>8944.6299999999992</v>
      </c>
      <c r="R32" s="66">
        <f t="shared" si="16"/>
        <v>0</v>
      </c>
      <c r="S32" s="67">
        <v>610</v>
      </c>
      <c r="T32" s="66">
        <f t="shared" si="17"/>
        <v>3577.85</v>
      </c>
      <c r="U32" s="66">
        <f t="shared" si="18"/>
        <v>0</v>
      </c>
      <c r="V32" s="66">
        <f t="shared" si="19"/>
        <v>35778.519999999997</v>
      </c>
      <c r="W32" s="66">
        <f t="shared" si="20"/>
        <v>0</v>
      </c>
    </row>
    <row r="33" spans="1:24" ht="17.25" customHeight="1" x14ac:dyDescent="0.25">
      <c r="A33" s="91">
        <v>45013</v>
      </c>
      <c r="B33" s="66">
        <f>Summary!$G$10/31</f>
        <v>89446.27</v>
      </c>
      <c r="C33" s="66">
        <v>14</v>
      </c>
      <c r="D33" s="66">
        <v>14.35</v>
      </c>
      <c r="E33" s="66">
        <f t="shared" si="7"/>
        <v>14</v>
      </c>
      <c r="F33" s="66">
        <f t="shared" si="0"/>
        <v>53667.76</v>
      </c>
      <c r="G33" s="66">
        <f t="shared" si="8"/>
        <v>53667.76</v>
      </c>
      <c r="H33" s="66">
        <f t="shared" si="9"/>
        <v>35778.51</v>
      </c>
      <c r="I33" s="66">
        <f t="shared" si="10"/>
        <v>35778.51</v>
      </c>
      <c r="J33" s="66">
        <v>27.44</v>
      </c>
      <c r="K33" s="66">
        <f t="shared" si="11"/>
        <v>17889.259999999998</v>
      </c>
      <c r="L33" s="66">
        <f t="shared" si="12"/>
        <v>0</v>
      </c>
      <c r="M33" s="66">
        <v>180</v>
      </c>
      <c r="N33" s="66">
        <f t="shared" si="13"/>
        <v>5366.78</v>
      </c>
      <c r="O33" s="66">
        <f t="shared" si="14"/>
        <v>0</v>
      </c>
      <c r="P33" s="66">
        <v>40.24</v>
      </c>
      <c r="Q33" s="66">
        <f t="shared" si="15"/>
        <v>8944.6299999999992</v>
      </c>
      <c r="R33" s="66">
        <f t="shared" si="16"/>
        <v>0</v>
      </c>
      <c r="S33" s="67">
        <v>670</v>
      </c>
      <c r="T33" s="66">
        <f t="shared" si="17"/>
        <v>3577.85</v>
      </c>
      <c r="U33" s="66">
        <f t="shared" si="18"/>
        <v>0</v>
      </c>
      <c r="V33" s="66">
        <f t="shared" si="19"/>
        <v>35778.519999999997</v>
      </c>
      <c r="W33" s="66">
        <f t="shared" si="20"/>
        <v>0</v>
      </c>
    </row>
    <row r="34" spans="1:24" ht="17.25" customHeight="1" x14ac:dyDescent="0.25">
      <c r="A34" s="91">
        <v>45014</v>
      </c>
      <c r="B34" s="66">
        <f>Summary!$G$10/31</f>
        <v>89446.27</v>
      </c>
      <c r="C34" s="66">
        <v>14</v>
      </c>
      <c r="D34" s="66">
        <v>14.33</v>
      </c>
      <c r="E34" s="66">
        <f t="shared" si="7"/>
        <v>14</v>
      </c>
      <c r="F34" s="66">
        <f t="shared" si="0"/>
        <v>53667.76</v>
      </c>
      <c r="G34" s="66">
        <f t="shared" si="8"/>
        <v>53667.76</v>
      </c>
      <c r="H34" s="66">
        <f t="shared" si="9"/>
        <v>35778.51</v>
      </c>
      <c r="I34" s="66">
        <f t="shared" si="10"/>
        <v>35778.51</v>
      </c>
      <c r="J34" s="66">
        <v>26.1</v>
      </c>
      <c r="K34" s="66">
        <f t="shared" si="11"/>
        <v>17889.259999999998</v>
      </c>
      <c r="L34" s="66">
        <f t="shared" si="12"/>
        <v>0</v>
      </c>
      <c r="M34" s="66">
        <v>174</v>
      </c>
      <c r="N34" s="66">
        <f t="shared" si="13"/>
        <v>5366.78</v>
      </c>
      <c r="O34" s="66">
        <f t="shared" si="14"/>
        <v>0</v>
      </c>
      <c r="P34" s="66">
        <v>38.619999999999997</v>
      </c>
      <c r="Q34" s="66">
        <f t="shared" si="15"/>
        <v>8944.6299999999992</v>
      </c>
      <c r="R34" s="66">
        <f t="shared" si="16"/>
        <v>0</v>
      </c>
      <c r="S34" s="67">
        <v>620</v>
      </c>
      <c r="T34" s="66">
        <f t="shared" si="17"/>
        <v>3577.85</v>
      </c>
      <c r="U34" s="66">
        <f t="shared" si="18"/>
        <v>0</v>
      </c>
      <c r="V34" s="66">
        <f t="shared" si="19"/>
        <v>35778.519999999997</v>
      </c>
      <c r="W34" s="66">
        <f t="shared" si="20"/>
        <v>0</v>
      </c>
    </row>
    <row r="35" spans="1:24" ht="17.25" customHeight="1" x14ac:dyDescent="0.25">
      <c r="A35" s="91">
        <v>45015</v>
      </c>
      <c r="B35" s="66">
        <f>Summary!$G$10/31</f>
        <v>89446.27</v>
      </c>
      <c r="C35" s="66">
        <v>14</v>
      </c>
      <c r="D35" s="66">
        <v>14.48</v>
      </c>
      <c r="E35" s="66">
        <f t="shared" si="7"/>
        <v>14</v>
      </c>
      <c r="F35" s="66">
        <f t="shared" ref="F35:F36" si="21">B35*60%</f>
        <v>53667.76</v>
      </c>
      <c r="G35" s="66">
        <f t="shared" si="8"/>
        <v>53667.76</v>
      </c>
      <c r="H35" s="66">
        <f t="shared" ref="H35:H36" si="22">B35*40%</f>
        <v>35778.51</v>
      </c>
      <c r="I35" s="66">
        <f t="shared" si="10"/>
        <v>35778.51</v>
      </c>
      <c r="J35" s="66">
        <v>25.17</v>
      </c>
      <c r="K35" s="66">
        <f t="shared" si="11"/>
        <v>17889.259999999998</v>
      </c>
      <c r="L35" s="66">
        <f t="shared" si="12"/>
        <v>0</v>
      </c>
      <c r="M35" s="66">
        <v>162</v>
      </c>
      <c r="N35" s="66">
        <f t="shared" si="13"/>
        <v>5366.78</v>
      </c>
      <c r="O35" s="66">
        <f t="shared" si="14"/>
        <v>0</v>
      </c>
      <c r="P35" s="66">
        <v>34.270000000000003</v>
      </c>
      <c r="Q35" s="66">
        <f t="shared" si="15"/>
        <v>8944.6299999999992</v>
      </c>
      <c r="R35" s="66">
        <f t="shared" si="16"/>
        <v>0</v>
      </c>
      <c r="S35" s="67">
        <v>580</v>
      </c>
      <c r="T35" s="66">
        <f t="shared" si="17"/>
        <v>3577.85</v>
      </c>
      <c r="U35" s="66">
        <f t="shared" si="18"/>
        <v>0</v>
      </c>
      <c r="V35" s="66">
        <f t="shared" si="19"/>
        <v>35778.519999999997</v>
      </c>
      <c r="W35" s="66">
        <f t="shared" si="20"/>
        <v>0</v>
      </c>
    </row>
    <row r="36" spans="1:24" ht="17.25" customHeight="1" x14ac:dyDescent="0.25">
      <c r="A36" s="91">
        <v>45016</v>
      </c>
      <c r="B36" s="66">
        <f>Summary!$G$10/31</f>
        <v>89446.27</v>
      </c>
      <c r="C36" s="66">
        <v>14</v>
      </c>
      <c r="D36" s="66">
        <v>14.31</v>
      </c>
      <c r="E36" s="66">
        <f t="shared" si="7"/>
        <v>14</v>
      </c>
      <c r="F36" s="66">
        <f t="shared" si="21"/>
        <v>53667.76</v>
      </c>
      <c r="G36" s="66">
        <f t="shared" si="8"/>
        <v>53667.76</v>
      </c>
      <c r="H36" s="66">
        <f t="shared" si="22"/>
        <v>35778.51</v>
      </c>
      <c r="I36" s="66">
        <f t="shared" si="10"/>
        <v>35778.51</v>
      </c>
      <c r="J36" s="66">
        <v>27.24</v>
      </c>
      <c r="K36" s="66">
        <f t="shared" si="11"/>
        <v>17889.259999999998</v>
      </c>
      <c r="L36" s="66">
        <f t="shared" si="12"/>
        <v>0</v>
      </c>
      <c r="M36" s="66">
        <v>168</v>
      </c>
      <c r="N36" s="66">
        <f t="shared" si="13"/>
        <v>5366.78</v>
      </c>
      <c r="O36" s="66">
        <f t="shared" si="14"/>
        <v>0</v>
      </c>
      <c r="P36" s="66">
        <v>39.67</v>
      </c>
      <c r="Q36" s="66">
        <f t="shared" si="15"/>
        <v>8944.6299999999992</v>
      </c>
      <c r="R36" s="66">
        <f t="shared" si="16"/>
        <v>0</v>
      </c>
      <c r="S36" s="67">
        <v>610</v>
      </c>
      <c r="T36" s="66">
        <f t="shared" si="17"/>
        <v>3577.85</v>
      </c>
      <c r="U36" s="66">
        <f t="shared" si="18"/>
        <v>0</v>
      </c>
      <c r="V36" s="66">
        <f t="shared" si="19"/>
        <v>35778.519999999997</v>
      </c>
      <c r="W36" s="66">
        <f t="shared" si="20"/>
        <v>0</v>
      </c>
    </row>
    <row r="37" spans="1:24" s="1" customFormat="1" x14ac:dyDescent="0.25">
      <c r="A37" s="58" t="s">
        <v>30</v>
      </c>
      <c r="B37" s="71">
        <f>SUM(B6:B36)</f>
        <v>2772834.37</v>
      </c>
      <c r="C37" s="71"/>
      <c r="D37" s="71">
        <f>+AVERAGE(D6:D36)</f>
        <v>14.49</v>
      </c>
      <c r="E37" s="71"/>
      <c r="F37" s="71">
        <f>SUM(F6:F36)</f>
        <v>1663700.56</v>
      </c>
      <c r="G37" s="71">
        <f>SUM(G6:G36)</f>
        <v>1663700.56</v>
      </c>
      <c r="H37" s="71">
        <f>SUM(H6:H36)</f>
        <v>1109133.81</v>
      </c>
      <c r="I37" s="71">
        <f>SUM(I6:I36)</f>
        <v>1109133.81</v>
      </c>
      <c r="J37" s="71"/>
      <c r="K37" s="71">
        <f>SUM(K6:K36)</f>
        <v>554567.06000000006</v>
      </c>
      <c r="L37" s="71">
        <f>SUM(L6:L36)</f>
        <v>0</v>
      </c>
      <c r="M37" s="71"/>
      <c r="N37" s="71">
        <f>SUM(N6:N36)</f>
        <v>166370.18</v>
      </c>
      <c r="O37" s="71">
        <f>SUM(O6:O36)</f>
        <v>0</v>
      </c>
      <c r="P37" s="71"/>
      <c r="Q37" s="71">
        <f>SUM(Q6:Q36)</f>
        <v>277283.53000000003</v>
      </c>
      <c r="R37" s="71">
        <f>SUM(R6:R36)</f>
        <v>0</v>
      </c>
      <c r="S37" s="71"/>
      <c r="T37" s="71">
        <f>SUM(T6:T36)</f>
        <v>110913.35</v>
      </c>
      <c r="U37" s="71">
        <f>SUM(U6:U36)</f>
        <v>0</v>
      </c>
      <c r="V37" s="71">
        <f>SUM(V6:V36)</f>
        <v>1109134.1200000001</v>
      </c>
      <c r="W37" s="71">
        <f>SUM(W6:W36)</f>
        <v>0</v>
      </c>
      <c r="X37" s="89"/>
    </row>
    <row r="38" spans="1:24" x14ac:dyDescent="0.25">
      <c r="A38" s="58"/>
      <c r="B38" s="71" t="s">
        <v>64</v>
      </c>
      <c r="C38" s="66"/>
      <c r="D38" s="58"/>
      <c r="E38" s="58"/>
      <c r="F38" s="66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71">
        <f>G37+V37</f>
        <v>2772834.68</v>
      </c>
      <c r="W38" s="59"/>
    </row>
    <row r="40" spans="1:24" x14ac:dyDescent="0.25">
      <c r="C40" s="88"/>
    </row>
  </sheetData>
  <mergeCells count="19">
    <mergeCell ref="M4:O4"/>
    <mergeCell ref="P4:R4"/>
    <mergeCell ref="S4:U4"/>
    <mergeCell ref="W4:W5"/>
    <mergeCell ref="D4:D5"/>
    <mergeCell ref="V4:V5"/>
    <mergeCell ref="A1:V1"/>
    <mergeCell ref="F3:G3"/>
    <mergeCell ref="B4:B5"/>
    <mergeCell ref="A4:A5"/>
    <mergeCell ref="F4:F5"/>
    <mergeCell ref="G4:G5"/>
    <mergeCell ref="I4:I5"/>
    <mergeCell ref="C4:C5"/>
    <mergeCell ref="H4:H5"/>
    <mergeCell ref="E4:E5"/>
    <mergeCell ref="H3:V3"/>
    <mergeCell ref="C3:E3"/>
    <mergeCell ref="J4:L4"/>
  </mergeCells>
  <pageMargins left="0.25" right="0.25" top="0.75" bottom="0.75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2"/>
  <sheetViews>
    <sheetView tabSelected="1" zoomScaleNormal="100" workbookViewId="0">
      <pane xSplit="1" topLeftCell="G1" activePane="topRight" state="frozen"/>
      <selection activeCell="A6" sqref="A6:A36"/>
      <selection pane="topRight" activeCell="W7" sqref="W7"/>
    </sheetView>
  </sheetViews>
  <sheetFormatPr defaultColWidth="9.140625" defaultRowHeight="15.75" x14ac:dyDescent="0.25"/>
  <cols>
    <col min="1" max="1" width="10.140625" style="87" customWidth="1"/>
    <col min="2" max="2" width="16.42578125" style="87" customWidth="1"/>
    <col min="3" max="3" width="7.85546875" style="87" customWidth="1"/>
    <col min="4" max="4" width="9.28515625" style="87" bestFit="1" customWidth="1"/>
    <col min="5" max="5" width="9.5703125" style="87" customWidth="1"/>
    <col min="6" max="6" width="10.7109375" style="87" bestFit="1" customWidth="1"/>
    <col min="7" max="7" width="12.7109375" style="87" bestFit="1" customWidth="1"/>
    <col min="8" max="8" width="10.7109375" style="87" bestFit="1" customWidth="1"/>
    <col min="9" max="9" width="12.7109375" style="87" bestFit="1" customWidth="1"/>
    <col min="10" max="10" width="9" style="87" customWidth="1"/>
    <col min="11" max="11" width="10.5703125" style="87" bestFit="1" customWidth="1"/>
    <col min="12" max="12" width="9.5703125" style="87" customWidth="1"/>
    <col min="13" max="13" width="9" style="87" customWidth="1"/>
    <col min="14" max="14" width="10.5703125" style="87" bestFit="1" customWidth="1"/>
    <col min="15" max="16" width="9.5703125" style="87" customWidth="1"/>
    <col min="17" max="17" width="10.5703125" style="87" bestFit="1" customWidth="1"/>
    <col min="18" max="19" width="9.5703125" style="87" customWidth="1"/>
    <col min="20" max="20" width="9.5703125" style="87" bestFit="1" customWidth="1"/>
    <col min="21" max="21" width="9.5703125" style="87" customWidth="1"/>
    <col min="22" max="22" width="13.140625" style="87" bestFit="1" customWidth="1"/>
    <col min="23" max="23" width="12.28515625" customWidth="1"/>
    <col min="24" max="24" width="9.28515625" style="89" bestFit="1" customWidth="1"/>
    <col min="25" max="29" width="9.28515625" bestFit="1" customWidth="1"/>
    <col min="30" max="30" width="9.5703125" bestFit="1" customWidth="1"/>
  </cols>
  <sheetData>
    <row r="1" spans="1:30" ht="18.75" customHeight="1" x14ac:dyDescent="0.3">
      <c r="A1" s="150" t="str">
        <f>Summary!A1</f>
        <v>AGRA Payment for the month of JANUARY 2023 (As Per VoL -1, Section IV, Clause 39)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5"/>
      <c r="Y1" s="5"/>
      <c r="Z1" s="5"/>
      <c r="AA1" s="5"/>
      <c r="AB1" s="5"/>
      <c r="AC1" s="5"/>
      <c r="AD1" s="5"/>
    </row>
    <row r="2" spans="1:30" ht="15" customHeight="1" x14ac:dyDescent="0.3">
      <c r="A2" s="54">
        <v>1</v>
      </c>
      <c r="B2" s="54">
        <v>2</v>
      </c>
      <c r="C2" s="54">
        <v>3</v>
      </c>
      <c r="D2" s="54">
        <v>4</v>
      </c>
      <c r="E2" s="5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  <c r="K2" s="54">
        <v>11</v>
      </c>
      <c r="L2" s="54">
        <v>12</v>
      </c>
      <c r="M2" s="54">
        <v>13</v>
      </c>
      <c r="N2" s="54">
        <v>14</v>
      </c>
      <c r="O2" s="54">
        <v>15</v>
      </c>
      <c r="P2" s="54">
        <v>16</v>
      </c>
      <c r="Q2" s="54">
        <v>17</v>
      </c>
      <c r="R2" s="54">
        <v>18</v>
      </c>
      <c r="S2" s="54">
        <v>19</v>
      </c>
      <c r="T2" s="54">
        <v>20</v>
      </c>
      <c r="U2" s="54">
        <v>21</v>
      </c>
      <c r="V2" s="54">
        <v>22</v>
      </c>
      <c r="W2" s="54">
        <v>23</v>
      </c>
      <c r="Y2" s="5"/>
      <c r="Z2" s="5"/>
      <c r="AA2" s="5"/>
      <c r="AB2" s="5"/>
      <c r="AC2" s="5"/>
      <c r="AD2" s="5"/>
    </row>
    <row r="3" spans="1:30" ht="15.75" customHeight="1" x14ac:dyDescent="0.3">
      <c r="A3" s="75"/>
      <c r="B3" s="75"/>
      <c r="C3" s="149" t="s">
        <v>25</v>
      </c>
      <c r="D3" s="149"/>
      <c r="E3" s="75"/>
      <c r="F3" s="149" t="s">
        <v>28</v>
      </c>
      <c r="G3" s="149"/>
      <c r="H3" s="149" t="s">
        <v>29</v>
      </c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76"/>
      <c r="Y3" s="5"/>
      <c r="Z3" s="5"/>
      <c r="AA3" s="5"/>
      <c r="AB3" s="5"/>
      <c r="AC3" s="5"/>
      <c r="AD3" s="5"/>
    </row>
    <row r="4" spans="1:30" ht="14.25" customHeight="1" x14ac:dyDescent="0.3">
      <c r="A4" s="147" t="s">
        <v>23</v>
      </c>
      <c r="B4" s="148" t="s">
        <v>45</v>
      </c>
      <c r="C4" s="148" t="s">
        <v>35</v>
      </c>
      <c r="D4" s="148" t="s">
        <v>37</v>
      </c>
      <c r="E4" s="148" t="s">
        <v>74</v>
      </c>
      <c r="F4" s="147" t="s">
        <v>26</v>
      </c>
      <c r="G4" s="147" t="s">
        <v>27</v>
      </c>
      <c r="H4" s="147" t="s">
        <v>26</v>
      </c>
      <c r="I4" s="147" t="s">
        <v>27</v>
      </c>
      <c r="J4" s="147" t="s">
        <v>15</v>
      </c>
      <c r="K4" s="147"/>
      <c r="L4" s="147"/>
      <c r="M4" s="147" t="s">
        <v>17</v>
      </c>
      <c r="N4" s="147"/>
      <c r="O4" s="147"/>
      <c r="P4" s="147" t="s">
        <v>16</v>
      </c>
      <c r="Q4" s="147"/>
      <c r="R4" s="147"/>
      <c r="S4" s="147" t="s">
        <v>22</v>
      </c>
      <c r="T4" s="147"/>
      <c r="U4" s="147"/>
      <c r="V4" s="148" t="s">
        <v>33</v>
      </c>
      <c r="W4" s="148" t="s">
        <v>43</v>
      </c>
      <c r="Y4" s="5"/>
      <c r="Z4" s="5"/>
      <c r="AA4" s="5"/>
      <c r="AB4" s="5"/>
      <c r="AC4" s="5"/>
      <c r="AD4" s="5"/>
    </row>
    <row r="5" spans="1:30" ht="30" x14ac:dyDescent="0.3">
      <c r="A5" s="147"/>
      <c r="B5" s="148"/>
      <c r="C5" s="148"/>
      <c r="D5" s="147"/>
      <c r="E5" s="147"/>
      <c r="F5" s="147"/>
      <c r="G5" s="147"/>
      <c r="H5" s="147"/>
      <c r="I5" s="147"/>
      <c r="J5" s="77" t="s">
        <v>42</v>
      </c>
      <c r="K5" s="78">
        <v>0.5</v>
      </c>
      <c r="L5" s="78" t="s">
        <v>43</v>
      </c>
      <c r="M5" s="77" t="s">
        <v>42</v>
      </c>
      <c r="N5" s="78">
        <v>0.25</v>
      </c>
      <c r="O5" s="78" t="s">
        <v>43</v>
      </c>
      <c r="P5" s="77" t="s">
        <v>42</v>
      </c>
      <c r="Q5" s="78">
        <v>0.25</v>
      </c>
      <c r="R5" s="78" t="s">
        <v>43</v>
      </c>
      <c r="S5" s="77" t="s">
        <v>42</v>
      </c>
      <c r="T5" s="79">
        <v>0</v>
      </c>
      <c r="U5" s="78" t="s">
        <v>43</v>
      </c>
      <c r="V5" s="148"/>
      <c r="W5" s="148"/>
      <c r="Y5" s="5"/>
      <c r="Z5" s="5"/>
      <c r="AA5" s="5"/>
      <c r="AB5" s="5"/>
      <c r="AC5" s="5"/>
      <c r="AD5" s="5"/>
    </row>
    <row r="6" spans="1:30" ht="15.75" customHeight="1" x14ac:dyDescent="0.3">
      <c r="A6" s="80">
        <v>44986</v>
      </c>
      <c r="B6" s="81">
        <f>Summary!$G$9/31</f>
        <v>14375.29</v>
      </c>
      <c r="C6" s="81">
        <v>2.25</v>
      </c>
      <c r="D6" s="66">
        <v>2.2400000000000002</v>
      </c>
      <c r="E6" s="81">
        <f>MIN(D6,C6)</f>
        <v>2.2400000000000002</v>
      </c>
      <c r="F6" s="81">
        <f t="shared" ref="F6:F34" si="0">B6*60%</f>
        <v>8625.17</v>
      </c>
      <c r="G6" s="81">
        <f>(F6*E6)/C6</f>
        <v>8586.84</v>
      </c>
      <c r="H6" s="81">
        <f>B6*40%</f>
        <v>5750.12</v>
      </c>
      <c r="I6" s="81">
        <f>(H6*E6)/C6</f>
        <v>5724.56</v>
      </c>
      <c r="J6" s="66">
        <v>27.5</v>
      </c>
      <c r="K6" s="66">
        <f>I6*50%</f>
        <v>2862.28</v>
      </c>
      <c r="L6" s="66">
        <f t="shared" ref="L6" si="1">IF(J6&gt;30,(MAX($B$37*0.1/100,10000)),0)</f>
        <v>0</v>
      </c>
      <c r="M6" s="67">
        <v>174</v>
      </c>
      <c r="N6" s="66">
        <f t="shared" ref="N6" si="2">I6*25%</f>
        <v>1431.14</v>
      </c>
      <c r="O6" s="66">
        <f t="shared" ref="O6" si="3">IF(M6&gt;250,(MAX($B$37*0.1/100,10000)),0)</f>
        <v>0</v>
      </c>
      <c r="P6" s="66">
        <v>38.61</v>
      </c>
      <c r="Q6" s="66">
        <f t="shared" ref="Q6" si="4">I6*25%</f>
        <v>1431.14</v>
      </c>
      <c r="R6" s="66">
        <f t="shared" ref="R6" si="5">IF(P6&gt;50,(MAX($B$37*0.1/100,10000)),0)</f>
        <v>0</v>
      </c>
      <c r="S6" s="81"/>
      <c r="T6" s="81"/>
      <c r="U6" s="81"/>
      <c r="V6" s="81">
        <f>T6+Q6+N6+K6</f>
        <v>5724.56</v>
      </c>
      <c r="W6" s="81">
        <f>U6+R6+O6+L6</f>
        <v>0</v>
      </c>
      <c r="Y6" s="5"/>
      <c r="Z6" s="5"/>
      <c r="AA6" s="5"/>
      <c r="AB6" s="5"/>
      <c r="AC6" s="5"/>
      <c r="AD6" s="5"/>
    </row>
    <row r="7" spans="1:30" ht="15.75" customHeight="1" x14ac:dyDescent="0.3">
      <c r="A7" s="80">
        <v>44987</v>
      </c>
      <c r="B7" s="81">
        <f>Summary!$G$9/31</f>
        <v>14375.29</v>
      </c>
      <c r="C7" s="81">
        <v>2.25</v>
      </c>
      <c r="D7" s="66">
        <v>2.27</v>
      </c>
      <c r="E7" s="81">
        <f t="shared" ref="E7:E36" si="6">MIN(D7,C7)</f>
        <v>2.25</v>
      </c>
      <c r="F7" s="81">
        <f t="shared" si="0"/>
        <v>8625.17</v>
      </c>
      <c r="G7" s="81">
        <f t="shared" ref="G7:G36" si="7">(F7*E7)/C7</f>
        <v>8625.17</v>
      </c>
      <c r="H7" s="81">
        <f t="shared" ref="H7:H34" si="8">B7*40%</f>
        <v>5750.12</v>
      </c>
      <c r="I7" s="81">
        <f t="shared" ref="I7:I36" si="9">(H7*E7)/C7</f>
        <v>5750.12</v>
      </c>
      <c r="J7" s="66">
        <v>28.1</v>
      </c>
      <c r="K7" s="66">
        <f t="shared" ref="K7:K36" si="10">I7*50%</f>
        <v>2875.06</v>
      </c>
      <c r="L7" s="66">
        <f t="shared" ref="L7:L36" si="11">IF(J7&gt;30,(MAX($B$37*0.1/100,10000)),0)</f>
        <v>0</v>
      </c>
      <c r="M7" s="67">
        <v>178</v>
      </c>
      <c r="N7" s="66">
        <f t="shared" ref="N7:N36" si="12">I7*25%</f>
        <v>1437.53</v>
      </c>
      <c r="O7" s="66">
        <f t="shared" ref="O7:O36" si="13">IF(M7&gt;250,(MAX($B$37*0.1/100,10000)),0)</f>
        <v>0</v>
      </c>
      <c r="P7" s="66">
        <v>42.64</v>
      </c>
      <c r="Q7" s="66">
        <f t="shared" ref="Q7:Q36" si="14">I7*25%</f>
        <v>1437.53</v>
      </c>
      <c r="R7" s="66">
        <f t="shared" ref="R7:R36" si="15">IF(P7&gt;50,(MAX($B$37*0.1/100,10000)),0)</f>
        <v>0</v>
      </c>
      <c r="S7" s="81"/>
      <c r="T7" s="81"/>
      <c r="U7" s="81"/>
      <c r="V7" s="81">
        <f t="shared" ref="V7:V36" si="16">T7+Q7+N7+K7</f>
        <v>5750.12</v>
      </c>
      <c r="W7" s="81">
        <f t="shared" ref="W7:W36" si="17">U7+R7+O7+L7</f>
        <v>0</v>
      </c>
      <c r="Y7" s="5"/>
      <c r="Z7" s="5"/>
      <c r="AA7" s="5"/>
      <c r="AB7" s="5"/>
      <c r="AC7" s="5"/>
      <c r="AD7" s="5"/>
    </row>
    <row r="8" spans="1:30" ht="15.75" customHeight="1" x14ac:dyDescent="0.3">
      <c r="A8" s="80">
        <v>44988</v>
      </c>
      <c r="B8" s="81">
        <f>Summary!$G$9/31</f>
        <v>14375.29</v>
      </c>
      <c r="C8" s="81">
        <v>2.25</v>
      </c>
      <c r="D8" s="66">
        <v>2.21</v>
      </c>
      <c r="E8" s="81">
        <f t="shared" si="6"/>
        <v>2.21</v>
      </c>
      <c r="F8" s="81">
        <f t="shared" si="0"/>
        <v>8625.17</v>
      </c>
      <c r="G8" s="81">
        <f t="shared" si="7"/>
        <v>8471.83</v>
      </c>
      <c r="H8" s="81">
        <f t="shared" si="8"/>
        <v>5750.12</v>
      </c>
      <c r="I8" s="81">
        <f t="shared" si="9"/>
        <v>5647.9</v>
      </c>
      <c r="J8" s="66">
        <v>28.78</v>
      </c>
      <c r="K8" s="66">
        <f t="shared" si="10"/>
        <v>2823.95</v>
      </c>
      <c r="L8" s="66">
        <f t="shared" si="11"/>
        <v>0</v>
      </c>
      <c r="M8" s="67">
        <v>180</v>
      </c>
      <c r="N8" s="66">
        <f t="shared" si="12"/>
        <v>1411.98</v>
      </c>
      <c r="O8" s="66">
        <f t="shared" si="13"/>
        <v>0</v>
      </c>
      <c r="P8" s="66">
        <v>43.66</v>
      </c>
      <c r="Q8" s="66">
        <f t="shared" si="14"/>
        <v>1411.98</v>
      </c>
      <c r="R8" s="66">
        <f t="shared" si="15"/>
        <v>0</v>
      </c>
      <c r="S8" s="81"/>
      <c r="T8" s="81"/>
      <c r="U8" s="81"/>
      <c r="V8" s="81">
        <f t="shared" si="16"/>
        <v>5647.91</v>
      </c>
      <c r="W8" s="81">
        <f t="shared" si="17"/>
        <v>0</v>
      </c>
      <c r="Y8" s="5"/>
      <c r="Z8" s="5"/>
      <c r="AA8" s="5"/>
      <c r="AB8" s="5"/>
      <c r="AC8" s="5"/>
      <c r="AD8" s="5"/>
    </row>
    <row r="9" spans="1:30" s="31" customFormat="1" ht="15.75" customHeight="1" x14ac:dyDescent="0.3">
      <c r="A9" s="32">
        <v>44989</v>
      </c>
      <c r="B9" s="33">
        <f>Summary!$G$9/31</f>
        <v>14375.29</v>
      </c>
      <c r="C9" s="33">
        <v>2.25</v>
      </c>
      <c r="D9" s="28">
        <v>2.31</v>
      </c>
      <c r="E9" s="81">
        <f t="shared" si="6"/>
        <v>2.25</v>
      </c>
      <c r="F9" s="33">
        <f t="shared" si="0"/>
        <v>8625.17</v>
      </c>
      <c r="G9" s="81">
        <f t="shared" si="7"/>
        <v>8625.17</v>
      </c>
      <c r="H9" s="33">
        <f t="shared" si="8"/>
        <v>5750.12</v>
      </c>
      <c r="I9" s="81">
        <f t="shared" si="9"/>
        <v>5750.12</v>
      </c>
      <c r="J9" s="110">
        <v>29</v>
      </c>
      <c r="K9" s="66">
        <f t="shared" si="10"/>
        <v>2875.06</v>
      </c>
      <c r="L9" s="66">
        <f t="shared" si="11"/>
        <v>0</v>
      </c>
      <c r="M9" s="29">
        <v>168</v>
      </c>
      <c r="N9" s="66">
        <f t="shared" si="12"/>
        <v>1437.53</v>
      </c>
      <c r="O9" s="66">
        <f t="shared" si="13"/>
        <v>0</v>
      </c>
      <c r="P9" s="28">
        <v>47</v>
      </c>
      <c r="Q9" s="66">
        <f t="shared" si="14"/>
        <v>1437.53</v>
      </c>
      <c r="R9" s="66">
        <f t="shared" si="15"/>
        <v>0</v>
      </c>
      <c r="S9" s="33"/>
      <c r="T9" s="33"/>
      <c r="U9" s="33"/>
      <c r="V9" s="81">
        <f t="shared" si="16"/>
        <v>5750.12</v>
      </c>
      <c r="W9" s="81">
        <f t="shared" si="17"/>
        <v>0</v>
      </c>
      <c r="X9" s="51" t="s">
        <v>97</v>
      </c>
      <c r="Y9" s="37"/>
      <c r="Z9" s="37"/>
      <c r="AA9" s="37"/>
      <c r="AB9" s="37"/>
      <c r="AC9" s="37"/>
      <c r="AD9" s="37"/>
    </row>
    <row r="10" spans="1:30" ht="15" customHeight="1" x14ac:dyDescent="0.3">
      <c r="A10" s="80">
        <v>44990</v>
      </c>
      <c r="B10" s="81">
        <f>Summary!$G$9/31</f>
        <v>14375.29</v>
      </c>
      <c r="C10" s="81">
        <v>2.25</v>
      </c>
      <c r="D10" s="66">
        <v>2.39</v>
      </c>
      <c r="E10" s="81">
        <f t="shared" si="6"/>
        <v>2.25</v>
      </c>
      <c r="F10" s="81">
        <f t="shared" si="0"/>
        <v>8625.17</v>
      </c>
      <c r="G10" s="81">
        <f t="shared" si="7"/>
        <v>8625.17</v>
      </c>
      <c r="H10" s="81">
        <f t="shared" si="8"/>
        <v>5750.12</v>
      </c>
      <c r="I10" s="81">
        <f t="shared" si="9"/>
        <v>5750.12</v>
      </c>
      <c r="J10" s="66">
        <v>27.4</v>
      </c>
      <c r="K10" s="66">
        <f t="shared" si="10"/>
        <v>2875.06</v>
      </c>
      <c r="L10" s="66">
        <f t="shared" si="11"/>
        <v>0</v>
      </c>
      <c r="M10" s="67">
        <v>178</v>
      </c>
      <c r="N10" s="66">
        <f t="shared" si="12"/>
        <v>1437.53</v>
      </c>
      <c r="O10" s="66">
        <f t="shared" si="13"/>
        <v>0</v>
      </c>
      <c r="P10" s="66">
        <v>40.630000000000003</v>
      </c>
      <c r="Q10" s="66">
        <f t="shared" si="14"/>
        <v>1437.53</v>
      </c>
      <c r="R10" s="66">
        <f t="shared" si="15"/>
        <v>0</v>
      </c>
      <c r="S10" s="81"/>
      <c r="T10" s="81"/>
      <c r="U10" s="81"/>
      <c r="V10" s="81">
        <f t="shared" si="16"/>
        <v>5750.12</v>
      </c>
      <c r="W10" s="81">
        <f t="shared" si="17"/>
        <v>0</v>
      </c>
      <c r="Y10" s="5"/>
      <c r="Z10" s="5"/>
      <c r="AA10" s="5"/>
      <c r="AB10" s="5"/>
      <c r="AC10" s="5"/>
      <c r="AD10" s="5"/>
    </row>
    <row r="11" spans="1:30" ht="15" customHeight="1" x14ac:dyDescent="0.3">
      <c r="A11" s="80">
        <v>44991</v>
      </c>
      <c r="B11" s="81">
        <f>Summary!$G$9/31</f>
        <v>14375.29</v>
      </c>
      <c r="C11" s="81">
        <v>2.25</v>
      </c>
      <c r="D11" s="66">
        <v>2.2000000000000002</v>
      </c>
      <c r="E11" s="81">
        <f t="shared" si="6"/>
        <v>2.2000000000000002</v>
      </c>
      <c r="F11" s="81">
        <f t="shared" si="0"/>
        <v>8625.17</v>
      </c>
      <c r="G11" s="81">
        <f t="shared" si="7"/>
        <v>8433.5</v>
      </c>
      <c r="H11" s="81">
        <f t="shared" si="8"/>
        <v>5750.12</v>
      </c>
      <c r="I11" s="81">
        <f t="shared" si="9"/>
        <v>5622.34</v>
      </c>
      <c r="J11" s="66">
        <v>26.32</v>
      </c>
      <c r="K11" s="66">
        <f t="shared" si="10"/>
        <v>2811.17</v>
      </c>
      <c r="L11" s="66">
        <f t="shared" si="11"/>
        <v>0</v>
      </c>
      <c r="M11" s="67">
        <v>172</v>
      </c>
      <c r="N11" s="66">
        <f t="shared" si="12"/>
        <v>1405.59</v>
      </c>
      <c r="O11" s="66">
        <f t="shared" si="13"/>
        <v>0</v>
      </c>
      <c r="P11" s="66">
        <v>38.44</v>
      </c>
      <c r="Q11" s="66">
        <f t="shared" si="14"/>
        <v>1405.59</v>
      </c>
      <c r="R11" s="66">
        <f t="shared" si="15"/>
        <v>0</v>
      </c>
      <c r="S11" s="81"/>
      <c r="T11" s="81"/>
      <c r="U11" s="81"/>
      <c r="V11" s="81">
        <f t="shared" si="16"/>
        <v>5622.35</v>
      </c>
      <c r="W11" s="81">
        <f t="shared" si="17"/>
        <v>0</v>
      </c>
      <c r="Y11" s="5"/>
      <c r="Z11" s="5"/>
      <c r="AA11" s="5"/>
      <c r="AB11" s="5"/>
      <c r="AC11" s="5"/>
      <c r="AD11" s="5"/>
    </row>
    <row r="12" spans="1:30" ht="15" customHeight="1" x14ac:dyDescent="0.3">
      <c r="A12" s="80">
        <v>44992</v>
      </c>
      <c r="B12" s="81">
        <f>Summary!$G$9/31</f>
        <v>14375.29</v>
      </c>
      <c r="C12" s="81">
        <v>2.25</v>
      </c>
      <c r="D12" s="66">
        <v>2.17</v>
      </c>
      <c r="E12" s="81">
        <f t="shared" si="6"/>
        <v>2.17</v>
      </c>
      <c r="F12" s="81">
        <f t="shared" si="0"/>
        <v>8625.17</v>
      </c>
      <c r="G12" s="81">
        <f t="shared" si="7"/>
        <v>8318.5</v>
      </c>
      <c r="H12" s="81">
        <f t="shared" si="8"/>
        <v>5750.12</v>
      </c>
      <c r="I12" s="81">
        <f t="shared" si="9"/>
        <v>5545.67</v>
      </c>
      <c r="J12" s="66">
        <v>28.43</v>
      </c>
      <c r="K12" s="66">
        <f t="shared" si="10"/>
        <v>2772.84</v>
      </c>
      <c r="L12" s="66">
        <f t="shared" si="11"/>
        <v>0</v>
      </c>
      <c r="M12" s="67">
        <v>184</v>
      </c>
      <c r="N12" s="66">
        <f t="shared" si="12"/>
        <v>1386.42</v>
      </c>
      <c r="O12" s="66">
        <f t="shared" si="13"/>
        <v>0</v>
      </c>
      <c r="P12" s="66">
        <v>44.54</v>
      </c>
      <c r="Q12" s="66">
        <f t="shared" si="14"/>
        <v>1386.42</v>
      </c>
      <c r="R12" s="66">
        <f t="shared" si="15"/>
        <v>0</v>
      </c>
      <c r="S12" s="81"/>
      <c r="T12" s="81"/>
      <c r="U12" s="81"/>
      <c r="V12" s="81">
        <f t="shared" si="16"/>
        <v>5545.68</v>
      </c>
      <c r="W12" s="81">
        <f t="shared" si="17"/>
        <v>0</v>
      </c>
      <c r="Y12" s="5"/>
      <c r="Z12" s="5"/>
      <c r="AA12" s="5"/>
      <c r="AB12" s="5"/>
      <c r="AC12" s="5"/>
      <c r="AD12" s="5"/>
    </row>
    <row r="13" spans="1:30" ht="15.75" customHeight="1" x14ac:dyDescent="0.3">
      <c r="A13" s="80">
        <v>44993</v>
      </c>
      <c r="B13" s="81">
        <f>Summary!$G$9/31</f>
        <v>14375.29</v>
      </c>
      <c r="C13" s="81">
        <v>2.25</v>
      </c>
      <c r="D13" s="66">
        <v>2.31</v>
      </c>
      <c r="E13" s="81">
        <f t="shared" si="6"/>
        <v>2.25</v>
      </c>
      <c r="F13" s="81">
        <f t="shared" si="0"/>
        <v>8625.17</v>
      </c>
      <c r="G13" s="81">
        <f t="shared" si="7"/>
        <v>8625.17</v>
      </c>
      <c r="H13" s="81">
        <f t="shared" si="8"/>
        <v>5750.12</v>
      </c>
      <c r="I13" s="81">
        <f t="shared" si="9"/>
        <v>5750.12</v>
      </c>
      <c r="J13" s="66">
        <v>29.71</v>
      </c>
      <c r="K13" s="66">
        <f t="shared" si="10"/>
        <v>2875.06</v>
      </c>
      <c r="L13" s="66">
        <f t="shared" si="11"/>
        <v>0</v>
      </c>
      <c r="M13" s="67">
        <v>188</v>
      </c>
      <c r="N13" s="66">
        <f t="shared" si="12"/>
        <v>1437.53</v>
      </c>
      <c r="O13" s="66">
        <f t="shared" si="13"/>
        <v>0</v>
      </c>
      <c r="P13" s="66">
        <v>45.72</v>
      </c>
      <c r="Q13" s="66">
        <f t="shared" si="14"/>
        <v>1437.53</v>
      </c>
      <c r="R13" s="66">
        <f t="shared" si="15"/>
        <v>0</v>
      </c>
      <c r="S13" s="81"/>
      <c r="T13" s="81"/>
      <c r="U13" s="81"/>
      <c r="V13" s="81">
        <f t="shared" si="16"/>
        <v>5750.12</v>
      </c>
      <c r="W13" s="81">
        <f t="shared" si="17"/>
        <v>0</v>
      </c>
      <c r="Y13" s="5"/>
      <c r="Z13" s="5"/>
      <c r="AA13" s="5"/>
      <c r="AB13" s="5"/>
      <c r="AC13" s="5"/>
      <c r="AD13" s="5"/>
    </row>
    <row r="14" spans="1:30" ht="15.75" customHeight="1" x14ac:dyDescent="0.3">
      <c r="A14" s="80">
        <v>44994</v>
      </c>
      <c r="B14" s="81">
        <f>Summary!$G$9/31</f>
        <v>14375.29</v>
      </c>
      <c r="C14" s="81">
        <v>2.25</v>
      </c>
      <c r="D14" s="66">
        <v>2.2400000000000002</v>
      </c>
      <c r="E14" s="81">
        <f t="shared" si="6"/>
        <v>2.2400000000000002</v>
      </c>
      <c r="F14" s="81">
        <f t="shared" si="0"/>
        <v>8625.17</v>
      </c>
      <c r="G14" s="81">
        <f t="shared" si="7"/>
        <v>8586.84</v>
      </c>
      <c r="H14" s="81">
        <f t="shared" si="8"/>
        <v>5750.12</v>
      </c>
      <c r="I14" s="81">
        <f t="shared" si="9"/>
        <v>5724.56</v>
      </c>
      <c r="J14" s="66">
        <v>26.27</v>
      </c>
      <c r="K14" s="66">
        <f t="shared" si="10"/>
        <v>2862.28</v>
      </c>
      <c r="L14" s="66">
        <f t="shared" si="11"/>
        <v>0</v>
      </c>
      <c r="M14" s="67">
        <v>180</v>
      </c>
      <c r="N14" s="66">
        <f t="shared" si="12"/>
        <v>1431.14</v>
      </c>
      <c r="O14" s="66">
        <f t="shared" si="13"/>
        <v>0</v>
      </c>
      <c r="P14" s="66">
        <v>40.25</v>
      </c>
      <c r="Q14" s="66">
        <f t="shared" si="14"/>
        <v>1431.14</v>
      </c>
      <c r="R14" s="66">
        <f t="shared" si="15"/>
        <v>0</v>
      </c>
      <c r="S14" s="81"/>
      <c r="T14" s="81"/>
      <c r="U14" s="81"/>
      <c r="V14" s="81">
        <f t="shared" si="16"/>
        <v>5724.56</v>
      </c>
      <c r="W14" s="81">
        <f t="shared" si="17"/>
        <v>0</v>
      </c>
      <c r="Y14" s="5"/>
      <c r="Z14" s="5"/>
      <c r="AA14" s="5"/>
      <c r="AB14" s="5"/>
      <c r="AC14" s="5"/>
      <c r="AD14" s="5"/>
    </row>
    <row r="15" spans="1:30" s="31" customFormat="1" ht="15.75" customHeight="1" x14ac:dyDescent="0.3">
      <c r="A15" s="32">
        <v>44995</v>
      </c>
      <c r="B15" s="33">
        <f>Summary!$G$9/31</f>
        <v>14375.29</v>
      </c>
      <c r="C15" s="33">
        <v>2.25</v>
      </c>
      <c r="D15" s="28">
        <v>2.2999999999999998</v>
      </c>
      <c r="E15" s="81">
        <f t="shared" si="6"/>
        <v>2.25</v>
      </c>
      <c r="F15" s="33">
        <f t="shared" si="0"/>
        <v>8625.17</v>
      </c>
      <c r="G15" s="81">
        <f t="shared" si="7"/>
        <v>8625.17</v>
      </c>
      <c r="H15" s="33">
        <f t="shared" si="8"/>
        <v>5750.12</v>
      </c>
      <c r="I15" s="81">
        <f t="shared" si="9"/>
        <v>5750.12</v>
      </c>
      <c r="J15" s="28">
        <v>28</v>
      </c>
      <c r="K15" s="66">
        <f t="shared" si="10"/>
        <v>2875.06</v>
      </c>
      <c r="L15" s="66">
        <f t="shared" si="11"/>
        <v>0</v>
      </c>
      <c r="M15" s="29">
        <v>160</v>
      </c>
      <c r="N15" s="66">
        <f t="shared" si="12"/>
        <v>1437.53</v>
      </c>
      <c r="O15" s="66">
        <f t="shared" si="13"/>
        <v>0</v>
      </c>
      <c r="P15" s="28">
        <v>42</v>
      </c>
      <c r="Q15" s="66">
        <f t="shared" si="14"/>
        <v>1437.53</v>
      </c>
      <c r="R15" s="66">
        <f t="shared" si="15"/>
        <v>0</v>
      </c>
      <c r="S15" s="33"/>
      <c r="T15" s="33"/>
      <c r="U15" s="33"/>
      <c r="V15" s="81">
        <f t="shared" si="16"/>
        <v>5750.12</v>
      </c>
      <c r="W15" s="81">
        <f t="shared" si="17"/>
        <v>0</v>
      </c>
      <c r="X15" s="51" t="s">
        <v>97</v>
      </c>
      <c r="Y15" s="37"/>
      <c r="Z15" s="37"/>
      <c r="AA15" s="37"/>
      <c r="AB15" s="37"/>
      <c r="AC15" s="37"/>
      <c r="AD15" s="37"/>
    </row>
    <row r="16" spans="1:30" ht="15.75" customHeight="1" x14ac:dyDescent="0.3">
      <c r="A16" s="80">
        <v>44996</v>
      </c>
      <c r="B16" s="81">
        <f>Summary!$G$9/31</f>
        <v>14375.29</v>
      </c>
      <c r="C16" s="81">
        <v>2.25</v>
      </c>
      <c r="D16" s="66">
        <v>2.2799999999999998</v>
      </c>
      <c r="E16" s="81">
        <f t="shared" si="6"/>
        <v>2.25</v>
      </c>
      <c r="F16" s="81">
        <f t="shared" si="0"/>
        <v>8625.17</v>
      </c>
      <c r="G16" s="81">
        <f t="shared" si="7"/>
        <v>8625.17</v>
      </c>
      <c r="H16" s="81">
        <f t="shared" si="8"/>
        <v>5750.12</v>
      </c>
      <c r="I16" s="81">
        <f t="shared" si="9"/>
        <v>5750.12</v>
      </c>
      <c r="J16" s="66">
        <v>29.17</v>
      </c>
      <c r="K16" s="66">
        <f t="shared" si="10"/>
        <v>2875.06</v>
      </c>
      <c r="L16" s="66">
        <f t="shared" si="11"/>
        <v>0</v>
      </c>
      <c r="M16" s="67">
        <v>188</v>
      </c>
      <c r="N16" s="66">
        <f t="shared" si="12"/>
        <v>1437.53</v>
      </c>
      <c r="O16" s="66">
        <f t="shared" si="13"/>
        <v>0</v>
      </c>
      <c r="P16" s="66">
        <v>44.91</v>
      </c>
      <c r="Q16" s="66">
        <f t="shared" si="14"/>
        <v>1437.53</v>
      </c>
      <c r="R16" s="66">
        <f t="shared" si="15"/>
        <v>0</v>
      </c>
      <c r="S16" s="81"/>
      <c r="T16" s="81"/>
      <c r="U16" s="81"/>
      <c r="V16" s="81">
        <f t="shared" si="16"/>
        <v>5750.12</v>
      </c>
      <c r="W16" s="81">
        <f t="shared" si="17"/>
        <v>0</v>
      </c>
      <c r="Y16" s="5"/>
      <c r="Z16" s="5"/>
      <c r="AA16" s="5"/>
      <c r="AB16" s="5"/>
      <c r="AC16" s="5"/>
      <c r="AD16" s="5"/>
    </row>
    <row r="17" spans="1:24" x14ac:dyDescent="0.25">
      <c r="A17" s="80">
        <v>44997</v>
      </c>
      <c r="B17" s="81">
        <f>Summary!$G$9/31</f>
        <v>14375.29</v>
      </c>
      <c r="C17" s="81">
        <v>2.25</v>
      </c>
      <c r="D17" s="66">
        <v>2.31</v>
      </c>
      <c r="E17" s="81">
        <f t="shared" si="6"/>
        <v>2.25</v>
      </c>
      <c r="F17" s="81">
        <f t="shared" si="0"/>
        <v>8625.17</v>
      </c>
      <c r="G17" s="81">
        <f t="shared" si="7"/>
        <v>8625.17</v>
      </c>
      <c r="H17" s="81">
        <f t="shared" si="8"/>
        <v>5750.12</v>
      </c>
      <c r="I17" s="81">
        <f t="shared" si="9"/>
        <v>5750.12</v>
      </c>
      <c r="J17" s="66">
        <v>27.2</v>
      </c>
      <c r="K17" s="66">
        <f t="shared" si="10"/>
        <v>2875.06</v>
      </c>
      <c r="L17" s="66">
        <f t="shared" si="11"/>
        <v>0</v>
      </c>
      <c r="M17" s="67">
        <v>176</v>
      </c>
      <c r="N17" s="66">
        <f t="shared" si="12"/>
        <v>1437.53</v>
      </c>
      <c r="O17" s="66">
        <f t="shared" si="13"/>
        <v>0</v>
      </c>
      <c r="P17" s="66">
        <v>40.4</v>
      </c>
      <c r="Q17" s="66">
        <f t="shared" si="14"/>
        <v>1437.53</v>
      </c>
      <c r="R17" s="66">
        <f t="shared" si="15"/>
        <v>0</v>
      </c>
      <c r="S17" s="81"/>
      <c r="T17" s="81"/>
      <c r="U17" s="81"/>
      <c r="V17" s="81">
        <f t="shared" si="16"/>
        <v>5750.12</v>
      </c>
      <c r="W17" s="81">
        <f t="shared" si="17"/>
        <v>0</v>
      </c>
    </row>
    <row r="18" spans="1:24" x14ac:dyDescent="0.25">
      <c r="A18" s="80">
        <v>44998</v>
      </c>
      <c r="B18" s="81">
        <f>Summary!$G$9/31</f>
        <v>14375.29</v>
      </c>
      <c r="C18" s="81">
        <v>2.25</v>
      </c>
      <c r="D18" s="66">
        <v>2.2400000000000002</v>
      </c>
      <c r="E18" s="81">
        <f t="shared" si="6"/>
        <v>2.2400000000000002</v>
      </c>
      <c r="F18" s="81">
        <f t="shared" si="0"/>
        <v>8625.17</v>
      </c>
      <c r="G18" s="81">
        <f t="shared" si="7"/>
        <v>8586.84</v>
      </c>
      <c r="H18" s="81">
        <f t="shared" si="8"/>
        <v>5750.12</v>
      </c>
      <c r="I18" s="81">
        <f t="shared" si="9"/>
        <v>5724.56</v>
      </c>
      <c r="J18" s="66">
        <v>28.11</v>
      </c>
      <c r="K18" s="66">
        <f t="shared" si="10"/>
        <v>2862.28</v>
      </c>
      <c r="L18" s="66">
        <f t="shared" si="11"/>
        <v>0</v>
      </c>
      <c r="M18" s="67">
        <v>184</v>
      </c>
      <c r="N18" s="66">
        <f t="shared" si="12"/>
        <v>1431.14</v>
      </c>
      <c r="O18" s="66">
        <f t="shared" si="13"/>
        <v>0</v>
      </c>
      <c r="P18" s="66">
        <v>44.55</v>
      </c>
      <c r="Q18" s="66">
        <f t="shared" si="14"/>
        <v>1431.14</v>
      </c>
      <c r="R18" s="66">
        <f t="shared" si="15"/>
        <v>0</v>
      </c>
      <c r="S18" s="81"/>
      <c r="T18" s="81"/>
      <c r="U18" s="81"/>
      <c r="V18" s="81">
        <f t="shared" si="16"/>
        <v>5724.56</v>
      </c>
      <c r="W18" s="81">
        <f t="shared" si="17"/>
        <v>0</v>
      </c>
    </row>
    <row r="19" spans="1:24" x14ac:dyDescent="0.25">
      <c r="A19" s="80">
        <v>44999</v>
      </c>
      <c r="B19" s="81">
        <f>Summary!$G$9/31</f>
        <v>14375.29</v>
      </c>
      <c r="C19" s="81">
        <v>2.25</v>
      </c>
      <c r="D19" s="66">
        <v>2.2400000000000002</v>
      </c>
      <c r="E19" s="81">
        <f t="shared" si="6"/>
        <v>2.2400000000000002</v>
      </c>
      <c r="F19" s="81">
        <f t="shared" si="0"/>
        <v>8625.17</v>
      </c>
      <c r="G19" s="81">
        <f t="shared" si="7"/>
        <v>8586.84</v>
      </c>
      <c r="H19" s="81">
        <f t="shared" si="8"/>
        <v>5750.12</v>
      </c>
      <c r="I19" s="81">
        <f t="shared" si="9"/>
        <v>5724.56</v>
      </c>
      <c r="J19" s="66">
        <v>28.67</v>
      </c>
      <c r="K19" s="66">
        <f t="shared" si="10"/>
        <v>2862.28</v>
      </c>
      <c r="L19" s="66">
        <f t="shared" si="11"/>
        <v>0</v>
      </c>
      <c r="M19" s="67">
        <v>186</v>
      </c>
      <c r="N19" s="66">
        <f t="shared" si="12"/>
        <v>1431.14</v>
      </c>
      <c r="O19" s="66">
        <f t="shared" si="13"/>
        <v>0</v>
      </c>
      <c r="P19" s="66">
        <v>45.17</v>
      </c>
      <c r="Q19" s="66">
        <f t="shared" si="14"/>
        <v>1431.14</v>
      </c>
      <c r="R19" s="66">
        <f t="shared" si="15"/>
        <v>0</v>
      </c>
      <c r="S19" s="81"/>
      <c r="T19" s="81"/>
      <c r="U19" s="81"/>
      <c r="V19" s="81">
        <f t="shared" si="16"/>
        <v>5724.56</v>
      </c>
      <c r="W19" s="81">
        <f t="shared" si="17"/>
        <v>0</v>
      </c>
    </row>
    <row r="20" spans="1:24" ht="15.75" customHeight="1" x14ac:dyDescent="0.25">
      <c r="A20" s="80">
        <v>45000</v>
      </c>
      <c r="B20" s="81">
        <f>Summary!$G$9/31</f>
        <v>14375.29</v>
      </c>
      <c r="C20" s="81">
        <v>2.25</v>
      </c>
      <c r="D20" s="66">
        <v>2.2799999999999998</v>
      </c>
      <c r="E20" s="81">
        <f t="shared" si="6"/>
        <v>2.25</v>
      </c>
      <c r="F20" s="81">
        <f t="shared" si="0"/>
        <v>8625.17</v>
      </c>
      <c r="G20" s="81">
        <f t="shared" si="7"/>
        <v>8625.17</v>
      </c>
      <c r="H20" s="81">
        <f t="shared" si="8"/>
        <v>5750.12</v>
      </c>
      <c r="I20" s="81">
        <f t="shared" si="9"/>
        <v>5750.12</v>
      </c>
      <c r="J20" s="66">
        <v>27.18</v>
      </c>
      <c r="K20" s="66">
        <f t="shared" si="10"/>
        <v>2875.06</v>
      </c>
      <c r="L20" s="66">
        <f t="shared" si="11"/>
        <v>0</v>
      </c>
      <c r="M20" s="67">
        <v>180</v>
      </c>
      <c r="N20" s="66">
        <f t="shared" si="12"/>
        <v>1437.53</v>
      </c>
      <c r="O20" s="66">
        <f t="shared" si="13"/>
        <v>0</v>
      </c>
      <c r="P20" s="66">
        <v>40.659999999999997</v>
      </c>
      <c r="Q20" s="66">
        <f t="shared" si="14"/>
        <v>1437.53</v>
      </c>
      <c r="R20" s="66">
        <f t="shared" si="15"/>
        <v>0</v>
      </c>
      <c r="S20" s="81"/>
      <c r="T20" s="81"/>
      <c r="U20" s="81"/>
      <c r="V20" s="81">
        <f t="shared" si="16"/>
        <v>5750.12</v>
      </c>
      <c r="W20" s="81">
        <f t="shared" si="17"/>
        <v>0</v>
      </c>
    </row>
    <row r="21" spans="1:24" x14ac:dyDescent="0.25">
      <c r="A21" s="80">
        <v>45001</v>
      </c>
      <c r="B21" s="81">
        <f>Summary!$G$9/31</f>
        <v>14375.29</v>
      </c>
      <c r="C21" s="81">
        <v>2.25</v>
      </c>
      <c r="D21" s="66">
        <v>2.35</v>
      </c>
      <c r="E21" s="81">
        <f t="shared" si="6"/>
        <v>2.25</v>
      </c>
      <c r="F21" s="81">
        <f t="shared" si="0"/>
        <v>8625.17</v>
      </c>
      <c r="G21" s="81">
        <f t="shared" si="7"/>
        <v>8625.17</v>
      </c>
      <c r="H21" s="81">
        <f t="shared" si="8"/>
        <v>5750.12</v>
      </c>
      <c r="I21" s="81">
        <f t="shared" si="9"/>
        <v>5750.12</v>
      </c>
      <c r="J21" s="66">
        <v>26.52</v>
      </c>
      <c r="K21" s="66">
        <f t="shared" si="10"/>
        <v>2875.06</v>
      </c>
      <c r="L21" s="66">
        <f t="shared" si="11"/>
        <v>0</v>
      </c>
      <c r="M21" s="67">
        <v>174</v>
      </c>
      <c r="N21" s="66">
        <f t="shared" si="12"/>
        <v>1437.53</v>
      </c>
      <c r="O21" s="66">
        <f t="shared" si="13"/>
        <v>0</v>
      </c>
      <c r="P21" s="66">
        <v>38.68</v>
      </c>
      <c r="Q21" s="66">
        <f t="shared" si="14"/>
        <v>1437.53</v>
      </c>
      <c r="R21" s="66">
        <f t="shared" si="15"/>
        <v>0</v>
      </c>
      <c r="S21" s="81"/>
      <c r="T21" s="81"/>
      <c r="U21" s="81"/>
      <c r="V21" s="81">
        <f t="shared" si="16"/>
        <v>5750.12</v>
      </c>
      <c r="W21" s="81">
        <f t="shared" si="17"/>
        <v>0</v>
      </c>
    </row>
    <row r="22" spans="1:24" s="31" customFormat="1" x14ac:dyDescent="0.25">
      <c r="A22" s="32">
        <v>45002</v>
      </c>
      <c r="B22" s="33">
        <f>Summary!$G$9/31</f>
        <v>14375.29</v>
      </c>
      <c r="C22" s="33">
        <v>2.25</v>
      </c>
      <c r="D22" s="28">
        <v>2.25</v>
      </c>
      <c r="E22" s="81">
        <f t="shared" si="6"/>
        <v>2.25</v>
      </c>
      <c r="F22" s="33">
        <f t="shared" si="0"/>
        <v>8625.17</v>
      </c>
      <c r="G22" s="81">
        <f t="shared" si="7"/>
        <v>8625.17</v>
      </c>
      <c r="H22" s="33">
        <f t="shared" si="8"/>
        <v>5750.12</v>
      </c>
      <c r="I22" s="81">
        <f t="shared" si="9"/>
        <v>5750.12</v>
      </c>
      <c r="J22" s="28">
        <v>28</v>
      </c>
      <c r="K22" s="66">
        <f t="shared" si="10"/>
        <v>2875.06</v>
      </c>
      <c r="L22" s="66">
        <f t="shared" si="11"/>
        <v>0</v>
      </c>
      <c r="M22" s="29">
        <v>160</v>
      </c>
      <c r="N22" s="66">
        <f t="shared" si="12"/>
        <v>1437.53</v>
      </c>
      <c r="O22" s="66">
        <f t="shared" si="13"/>
        <v>0</v>
      </c>
      <c r="P22" s="28">
        <v>46</v>
      </c>
      <c r="Q22" s="66">
        <f t="shared" si="14"/>
        <v>1437.53</v>
      </c>
      <c r="R22" s="66">
        <f t="shared" si="15"/>
        <v>0</v>
      </c>
      <c r="S22" s="33"/>
      <c r="T22" s="33"/>
      <c r="U22" s="33"/>
      <c r="V22" s="81">
        <f t="shared" si="16"/>
        <v>5750.12</v>
      </c>
      <c r="W22" s="81">
        <f t="shared" si="17"/>
        <v>0</v>
      </c>
      <c r="X22" s="51" t="s">
        <v>97</v>
      </c>
    </row>
    <row r="23" spans="1:24" x14ac:dyDescent="0.25">
      <c r="A23" s="80">
        <v>45003</v>
      </c>
      <c r="B23" s="81">
        <f>Summary!$G$9/31</f>
        <v>14375.29</v>
      </c>
      <c r="C23" s="81">
        <v>2.25</v>
      </c>
      <c r="D23" s="66">
        <v>2.23</v>
      </c>
      <c r="E23" s="81">
        <f t="shared" si="6"/>
        <v>2.23</v>
      </c>
      <c r="F23" s="81">
        <f t="shared" si="0"/>
        <v>8625.17</v>
      </c>
      <c r="G23" s="81">
        <f t="shared" si="7"/>
        <v>8548.5</v>
      </c>
      <c r="H23" s="81">
        <f t="shared" si="8"/>
        <v>5750.12</v>
      </c>
      <c r="I23" s="81">
        <f t="shared" si="9"/>
        <v>5699.01</v>
      </c>
      <c r="J23" s="66">
        <v>28.93</v>
      </c>
      <c r="K23" s="66">
        <f t="shared" si="10"/>
        <v>2849.51</v>
      </c>
      <c r="L23" s="66">
        <f t="shared" si="11"/>
        <v>0</v>
      </c>
      <c r="M23" s="67">
        <v>188</v>
      </c>
      <c r="N23" s="66">
        <f t="shared" si="12"/>
        <v>1424.75</v>
      </c>
      <c r="O23" s="66">
        <f t="shared" si="13"/>
        <v>0</v>
      </c>
      <c r="P23" s="66">
        <v>42.72</v>
      </c>
      <c r="Q23" s="66">
        <f t="shared" si="14"/>
        <v>1424.75</v>
      </c>
      <c r="R23" s="66">
        <f t="shared" si="15"/>
        <v>0</v>
      </c>
      <c r="S23" s="81"/>
      <c r="T23" s="81"/>
      <c r="U23" s="81"/>
      <c r="V23" s="81">
        <f t="shared" si="16"/>
        <v>5699.01</v>
      </c>
      <c r="W23" s="81">
        <f t="shared" si="17"/>
        <v>0</v>
      </c>
    </row>
    <row r="24" spans="1:24" x14ac:dyDescent="0.25">
      <c r="A24" s="80">
        <v>45004</v>
      </c>
      <c r="B24" s="81">
        <f>Summary!$G$9/31</f>
        <v>14375.29</v>
      </c>
      <c r="C24" s="81">
        <v>2.25</v>
      </c>
      <c r="D24" s="66">
        <v>2.25</v>
      </c>
      <c r="E24" s="81">
        <f t="shared" si="6"/>
        <v>2.25</v>
      </c>
      <c r="F24" s="81">
        <f t="shared" si="0"/>
        <v>8625.17</v>
      </c>
      <c r="G24" s="81">
        <f t="shared" si="7"/>
        <v>8625.17</v>
      </c>
      <c r="H24" s="81">
        <f t="shared" si="8"/>
        <v>5750.12</v>
      </c>
      <c r="I24" s="81">
        <f t="shared" si="9"/>
        <v>5750.12</v>
      </c>
      <c r="J24" s="66">
        <v>27.17</v>
      </c>
      <c r="K24" s="66">
        <f t="shared" si="10"/>
        <v>2875.06</v>
      </c>
      <c r="L24" s="66">
        <f t="shared" si="11"/>
        <v>0</v>
      </c>
      <c r="M24" s="67">
        <v>184</v>
      </c>
      <c r="N24" s="66">
        <f t="shared" si="12"/>
        <v>1437.53</v>
      </c>
      <c r="O24" s="66">
        <f t="shared" si="13"/>
        <v>0</v>
      </c>
      <c r="P24" s="66">
        <v>41.37</v>
      </c>
      <c r="Q24" s="66">
        <f t="shared" si="14"/>
        <v>1437.53</v>
      </c>
      <c r="R24" s="66">
        <f t="shared" si="15"/>
        <v>0</v>
      </c>
      <c r="S24" s="81"/>
      <c r="T24" s="81"/>
      <c r="U24" s="81"/>
      <c r="V24" s="81">
        <f t="shared" si="16"/>
        <v>5750.12</v>
      </c>
      <c r="W24" s="81">
        <f t="shared" si="17"/>
        <v>0</v>
      </c>
    </row>
    <row r="25" spans="1:24" x14ac:dyDescent="0.25">
      <c r="A25" s="80">
        <v>45005</v>
      </c>
      <c r="B25" s="81">
        <f>Summary!$G$9/31</f>
        <v>14375.29</v>
      </c>
      <c r="C25" s="81">
        <v>2.25</v>
      </c>
      <c r="D25" s="66">
        <v>2.23</v>
      </c>
      <c r="E25" s="81">
        <f t="shared" si="6"/>
        <v>2.23</v>
      </c>
      <c r="F25" s="81">
        <f t="shared" si="0"/>
        <v>8625.17</v>
      </c>
      <c r="G25" s="81">
        <f t="shared" si="7"/>
        <v>8548.5</v>
      </c>
      <c r="H25" s="81">
        <f t="shared" si="8"/>
        <v>5750.12</v>
      </c>
      <c r="I25" s="81">
        <f t="shared" si="9"/>
        <v>5699.01</v>
      </c>
      <c r="J25" s="66">
        <v>26.19</v>
      </c>
      <c r="K25" s="66">
        <f t="shared" si="10"/>
        <v>2849.51</v>
      </c>
      <c r="L25" s="66">
        <f t="shared" si="11"/>
        <v>0</v>
      </c>
      <c r="M25" s="67">
        <v>178</v>
      </c>
      <c r="N25" s="66">
        <f t="shared" si="12"/>
        <v>1424.75</v>
      </c>
      <c r="O25" s="66">
        <f t="shared" si="13"/>
        <v>0</v>
      </c>
      <c r="P25" s="66">
        <v>40</v>
      </c>
      <c r="Q25" s="66">
        <f t="shared" si="14"/>
        <v>1424.75</v>
      </c>
      <c r="R25" s="66">
        <f t="shared" si="15"/>
        <v>0</v>
      </c>
      <c r="S25" s="81"/>
      <c r="T25" s="81"/>
      <c r="U25" s="81"/>
      <c r="V25" s="81">
        <f t="shared" si="16"/>
        <v>5699.01</v>
      </c>
      <c r="W25" s="81">
        <f t="shared" si="17"/>
        <v>0</v>
      </c>
    </row>
    <row r="26" spans="1:24" x14ac:dyDescent="0.25">
      <c r="A26" s="80">
        <v>45006</v>
      </c>
      <c r="B26" s="81">
        <f>Summary!$G$9/31</f>
        <v>14375.29</v>
      </c>
      <c r="C26" s="81">
        <v>2.25</v>
      </c>
      <c r="D26" s="66">
        <v>2.21</v>
      </c>
      <c r="E26" s="81">
        <f t="shared" si="6"/>
        <v>2.21</v>
      </c>
      <c r="F26" s="81">
        <f t="shared" si="0"/>
        <v>8625.17</v>
      </c>
      <c r="G26" s="81">
        <f t="shared" si="7"/>
        <v>8471.83</v>
      </c>
      <c r="H26" s="81">
        <f t="shared" si="8"/>
        <v>5750.12</v>
      </c>
      <c r="I26" s="81">
        <f t="shared" si="9"/>
        <v>5647.9</v>
      </c>
      <c r="J26" s="66">
        <v>29.14</v>
      </c>
      <c r="K26" s="66">
        <f t="shared" si="10"/>
        <v>2823.95</v>
      </c>
      <c r="L26" s="66">
        <f t="shared" si="11"/>
        <v>0</v>
      </c>
      <c r="M26" s="67">
        <v>186</v>
      </c>
      <c r="N26" s="66">
        <f t="shared" si="12"/>
        <v>1411.98</v>
      </c>
      <c r="O26" s="66">
        <f t="shared" si="13"/>
        <v>0</v>
      </c>
      <c r="P26" s="66">
        <v>42.6</v>
      </c>
      <c r="Q26" s="66">
        <f t="shared" si="14"/>
        <v>1411.98</v>
      </c>
      <c r="R26" s="66">
        <f t="shared" si="15"/>
        <v>0</v>
      </c>
      <c r="S26" s="81"/>
      <c r="T26" s="81"/>
      <c r="U26" s="81"/>
      <c r="V26" s="81">
        <f t="shared" si="16"/>
        <v>5647.91</v>
      </c>
      <c r="W26" s="81">
        <f t="shared" si="17"/>
        <v>0</v>
      </c>
    </row>
    <row r="27" spans="1:24" x14ac:dyDescent="0.25">
      <c r="A27" s="80">
        <v>45007</v>
      </c>
      <c r="B27" s="81">
        <f>Summary!$G$9/31</f>
        <v>14375.29</v>
      </c>
      <c r="C27" s="81">
        <v>2.25</v>
      </c>
      <c r="D27" s="66">
        <v>2.33</v>
      </c>
      <c r="E27" s="81">
        <f t="shared" si="6"/>
        <v>2.25</v>
      </c>
      <c r="F27" s="81">
        <f t="shared" si="0"/>
        <v>8625.17</v>
      </c>
      <c r="G27" s="81">
        <f t="shared" si="7"/>
        <v>8625.17</v>
      </c>
      <c r="H27" s="81">
        <f t="shared" si="8"/>
        <v>5750.12</v>
      </c>
      <c r="I27" s="81">
        <f t="shared" si="9"/>
        <v>5750.12</v>
      </c>
      <c r="J27" s="66">
        <v>28.1</v>
      </c>
      <c r="K27" s="66">
        <f t="shared" si="10"/>
        <v>2875.06</v>
      </c>
      <c r="L27" s="66">
        <f t="shared" si="11"/>
        <v>0</v>
      </c>
      <c r="M27" s="67">
        <v>180</v>
      </c>
      <c r="N27" s="66">
        <f t="shared" si="12"/>
        <v>1437.53</v>
      </c>
      <c r="O27" s="66">
        <f t="shared" si="13"/>
        <v>0</v>
      </c>
      <c r="P27" s="66">
        <v>41.25</v>
      </c>
      <c r="Q27" s="66">
        <f t="shared" si="14"/>
        <v>1437.53</v>
      </c>
      <c r="R27" s="66">
        <f t="shared" si="15"/>
        <v>0</v>
      </c>
      <c r="S27" s="81"/>
      <c r="T27" s="81"/>
      <c r="U27" s="81"/>
      <c r="V27" s="81">
        <f t="shared" si="16"/>
        <v>5750.12</v>
      </c>
      <c r="W27" s="81">
        <f t="shared" si="17"/>
        <v>0</v>
      </c>
    </row>
    <row r="28" spans="1:24" x14ac:dyDescent="0.25">
      <c r="A28" s="80">
        <v>45008</v>
      </c>
      <c r="B28" s="81">
        <f>Summary!$G$9/31</f>
        <v>14375.29</v>
      </c>
      <c r="C28" s="81">
        <v>2.25</v>
      </c>
      <c r="D28" s="66">
        <v>2.27</v>
      </c>
      <c r="E28" s="81">
        <f t="shared" si="6"/>
        <v>2.25</v>
      </c>
      <c r="F28" s="81">
        <f t="shared" si="0"/>
        <v>8625.17</v>
      </c>
      <c r="G28" s="81">
        <f t="shared" si="7"/>
        <v>8625.17</v>
      </c>
      <c r="H28" s="81">
        <f t="shared" si="8"/>
        <v>5750.12</v>
      </c>
      <c r="I28" s="81">
        <f t="shared" si="9"/>
        <v>5750.12</v>
      </c>
      <c r="J28" s="66">
        <v>28.9</v>
      </c>
      <c r="K28" s="66">
        <f t="shared" si="10"/>
        <v>2875.06</v>
      </c>
      <c r="L28" s="66">
        <f t="shared" si="11"/>
        <v>0</v>
      </c>
      <c r="M28" s="67">
        <v>184</v>
      </c>
      <c r="N28" s="66">
        <f t="shared" si="12"/>
        <v>1437.53</v>
      </c>
      <c r="O28" s="66">
        <f t="shared" si="13"/>
        <v>0</v>
      </c>
      <c r="P28" s="66">
        <v>40.24</v>
      </c>
      <c r="Q28" s="66">
        <f t="shared" si="14"/>
        <v>1437.53</v>
      </c>
      <c r="R28" s="66">
        <f t="shared" si="15"/>
        <v>0</v>
      </c>
      <c r="S28" s="81"/>
      <c r="T28" s="81"/>
      <c r="U28" s="81"/>
      <c r="V28" s="81">
        <f t="shared" si="16"/>
        <v>5750.12</v>
      </c>
      <c r="W28" s="81">
        <f t="shared" si="17"/>
        <v>0</v>
      </c>
    </row>
    <row r="29" spans="1:24" x14ac:dyDescent="0.25">
      <c r="A29" s="80">
        <v>45009</v>
      </c>
      <c r="B29" s="81">
        <f>Summary!$G$9/31</f>
        <v>14375.29</v>
      </c>
      <c r="C29" s="81">
        <v>2.25</v>
      </c>
      <c r="D29" s="66">
        <v>2.31</v>
      </c>
      <c r="E29" s="81">
        <f t="shared" si="6"/>
        <v>2.25</v>
      </c>
      <c r="F29" s="81">
        <f t="shared" si="0"/>
        <v>8625.17</v>
      </c>
      <c r="G29" s="81">
        <f t="shared" si="7"/>
        <v>8625.17</v>
      </c>
      <c r="H29" s="81">
        <f t="shared" si="8"/>
        <v>5750.12</v>
      </c>
      <c r="I29" s="81">
        <f t="shared" si="9"/>
        <v>5750.12</v>
      </c>
      <c r="J29" s="66">
        <v>27.15</v>
      </c>
      <c r="K29" s="66">
        <f t="shared" si="10"/>
        <v>2875.06</v>
      </c>
      <c r="L29" s="66">
        <f t="shared" si="11"/>
        <v>0</v>
      </c>
      <c r="M29" s="67">
        <v>174</v>
      </c>
      <c r="N29" s="66">
        <f t="shared" si="12"/>
        <v>1437.53</v>
      </c>
      <c r="O29" s="66">
        <f t="shared" si="13"/>
        <v>0</v>
      </c>
      <c r="P29" s="66">
        <v>38.270000000000003</v>
      </c>
      <c r="Q29" s="66">
        <f t="shared" si="14"/>
        <v>1437.53</v>
      </c>
      <c r="R29" s="66">
        <f t="shared" si="15"/>
        <v>0</v>
      </c>
      <c r="S29" s="81"/>
      <c r="T29" s="81"/>
      <c r="U29" s="81"/>
      <c r="V29" s="81">
        <f t="shared" si="16"/>
        <v>5750.12</v>
      </c>
      <c r="W29" s="81">
        <f t="shared" si="17"/>
        <v>0</v>
      </c>
    </row>
    <row r="30" spans="1:24" s="31" customFormat="1" x14ac:dyDescent="0.25">
      <c r="A30" s="32">
        <v>45010</v>
      </c>
      <c r="B30" s="33">
        <f>Summary!$G$9/31</f>
        <v>14375.29</v>
      </c>
      <c r="C30" s="33">
        <v>2.25</v>
      </c>
      <c r="D30" s="28">
        <v>2.31</v>
      </c>
      <c r="E30" s="81">
        <f t="shared" si="6"/>
        <v>2.25</v>
      </c>
      <c r="F30" s="33">
        <f t="shared" si="0"/>
        <v>8625.17</v>
      </c>
      <c r="G30" s="81">
        <f t="shared" si="7"/>
        <v>8625.17</v>
      </c>
      <c r="H30" s="33">
        <f t="shared" si="8"/>
        <v>5750.12</v>
      </c>
      <c r="I30" s="81">
        <f t="shared" si="9"/>
        <v>5750.12</v>
      </c>
      <c r="J30" s="28">
        <v>28</v>
      </c>
      <c r="K30" s="66">
        <f t="shared" si="10"/>
        <v>2875.06</v>
      </c>
      <c r="L30" s="66">
        <f t="shared" si="11"/>
        <v>0</v>
      </c>
      <c r="M30" s="29">
        <v>160</v>
      </c>
      <c r="N30" s="66">
        <f t="shared" si="12"/>
        <v>1437.53</v>
      </c>
      <c r="O30" s="66">
        <f t="shared" si="13"/>
        <v>0</v>
      </c>
      <c r="P30" s="28">
        <v>46</v>
      </c>
      <c r="Q30" s="66">
        <f t="shared" si="14"/>
        <v>1437.53</v>
      </c>
      <c r="R30" s="66">
        <f t="shared" si="15"/>
        <v>0</v>
      </c>
      <c r="S30" s="33"/>
      <c r="T30" s="33"/>
      <c r="U30" s="33"/>
      <c r="V30" s="81">
        <f t="shared" si="16"/>
        <v>5750.12</v>
      </c>
      <c r="W30" s="81">
        <f t="shared" si="17"/>
        <v>0</v>
      </c>
      <c r="X30" s="51" t="s">
        <v>97</v>
      </c>
    </row>
    <row r="31" spans="1:24" x14ac:dyDescent="0.25">
      <c r="A31" s="80">
        <v>45011</v>
      </c>
      <c r="B31" s="81">
        <f>Summary!$G$9/31</f>
        <v>14375.29</v>
      </c>
      <c r="C31" s="81">
        <v>2.25</v>
      </c>
      <c r="D31" s="66">
        <v>2.21</v>
      </c>
      <c r="E31" s="81">
        <f t="shared" si="6"/>
        <v>2.21</v>
      </c>
      <c r="F31" s="81">
        <f t="shared" si="0"/>
        <v>8625.17</v>
      </c>
      <c r="G31" s="81">
        <f t="shared" si="7"/>
        <v>8471.83</v>
      </c>
      <c r="H31" s="81">
        <f t="shared" si="8"/>
        <v>5750.12</v>
      </c>
      <c r="I31" s="81">
        <f t="shared" si="9"/>
        <v>5647.9</v>
      </c>
      <c r="J31" s="66">
        <v>29.1</v>
      </c>
      <c r="K31" s="66">
        <f t="shared" si="10"/>
        <v>2823.95</v>
      </c>
      <c r="L31" s="66">
        <f t="shared" si="11"/>
        <v>0</v>
      </c>
      <c r="M31" s="67">
        <v>180</v>
      </c>
      <c r="N31" s="66">
        <f t="shared" si="12"/>
        <v>1411.98</v>
      </c>
      <c r="O31" s="66">
        <f t="shared" si="13"/>
        <v>0</v>
      </c>
      <c r="P31" s="66">
        <v>42.17</v>
      </c>
      <c r="Q31" s="66">
        <f t="shared" si="14"/>
        <v>1411.98</v>
      </c>
      <c r="R31" s="66">
        <f t="shared" si="15"/>
        <v>0</v>
      </c>
      <c r="S31" s="81"/>
      <c r="T31" s="81"/>
      <c r="U31" s="81"/>
      <c r="V31" s="81">
        <f t="shared" si="16"/>
        <v>5647.91</v>
      </c>
      <c r="W31" s="81">
        <f t="shared" si="17"/>
        <v>0</v>
      </c>
    </row>
    <row r="32" spans="1:24" x14ac:dyDescent="0.25">
      <c r="A32" s="80">
        <v>45012</v>
      </c>
      <c r="B32" s="81">
        <f>Summary!$G$9/31</f>
        <v>14375.29</v>
      </c>
      <c r="C32" s="81">
        <v>2.25</v>
      </c>
      <c r="D32" s="66">
        <v>2.21</v>
      </c>
      <c r="E32" s="81">
        <f t="shared" si="6"/>
        <v>2.21</v>
      </c>
      <c r="F32" s="81">
        <f t="shared" si="0"/>
        <v>8625.17</v>
      </c>
      <c r="G32" s="81">
        <f t="shared" si="7"/>
        <v>8471.83</v>
      </c>
      <c r="H32" s="81">
        <f t="shared" si="8"/>
        <v>5750.12</v>
      </c>
      <c r="I32" s="81">
        <f t="shared" si="9"/>
        <v>5647.9</v>
      </c>
      <c r="J32" s="66">
        <v>27.33</v>
      </c>
      <c r="K32" s="66">
        <f t="shared" si="10"/>
        <v>2823.95</v>
      </c>
      <c r="L32" s="66">
        <f t="shared" si="11"/>
        <v>0</v>
      </c>
      <c r="M32" s="67">
        <v>176</v>
      </c>
      <c r="N32" s="66">
        <f t="shared" si="12"/>
        <v>1411.98</v>
      </c>
      <c r="O32" s="66">
        <f t="shared" si="13"/>
        <v>0</v>
      </c>
      <c r="P32" s="66">
        <v>40.270000000000003</v>
      </c>
      <c r="Q32" s="66">
        <f t="shared" si="14"/>
        <v>1411.98</v>
      </c>
      <c r="R32" s="66">
        <f t="shared" si="15"/>
        <v>0</v>
      </c>
      <c r="S32" s="81"/>
      <c r="T32" s="81"/>
      <c r="U32" s="81"/>
      <c r="V32" s="81">
        <f t="shared" si="16"/>
        <v>5647.91</v>
      </c>
      <c r="W32" s="81">
        <f t="shared" si="17"/>
        <v>0</v>
      </c>
    </row>
    <row r="33" spans="1:23" x14ac:dyDescent="0.25">
      <c r="A33" s="80">
        <v>45013</v>
      </c>
      <c r="B33" s="81">
        <f>Summary!$G$9/31</f>
        <v>14375.29</v>
      </c>
      <c r="C33" s="81">
        <v>2.25</v>
      </c>
      <c r="D33" s="66">
        <v>2.2599999999999998</v>
      </c>
      <c r="E33" s="81">
        <f t="shared" si="6"/>
        <v>2.25</v>
      </c>
      <c r="F33" s="81">
        <f t="shared" si="0"/>
        <v>8625.17</v>
      </c>
      <c r="G33" s="81">
        <f t="shared" si="7"/>
        <v>8625.17</v>
      </c>
      <c r="H33" s="81">
        <f t="shared" si="8"/>
        <v>5750.12</v>
      </c>
      <c r="I33" s="81">
        <f t="shared" si="9"/>
        <v>5750.12</v>
      </c>
      <c r="J33" s="66">
        <v>28.27</v>
      </c>
      <c r="K33" s="66">
        <f t="shared" si="10"/>
        <v>2875.06</v>
      </c>
      <c r="L33" s="66">
        <f t="shared" si="11"/>
        <v>0</v>
      </c>
      <c r="M33" s="67">
        <v>186</v>
      </c>
      <c r="N33" s="66">
        <f t="shared" si="12"/>
        <v>1437.53</v>
      </c>
      <c r="O33" s="66">
        <f t="shared" si="13"/>
        <v>0</v>
      </c>
      <c r="P33" s="66">
        <v>44.61</v>
      </c>
      <c r="Q33" s="66">
        <f t="shared" si="14"/>
        <v>1437.53</v>
      </c>
      <c r="R33" s="66">
        <f t="shared" si="15"/>
        <v>0</v>
      </c>
      <c r="S33" s="81"/>
      <c r="T33" s="81"/>
      <c r="U33" s="81"/>
      <c r="V33" s="81">
        <f t="shared" si="16"/>
        <v>5750.12</v>
      </c>
      <c r="W33" s="81">
        <f t="shared" si="17"/>
        <v>0</v>
      </c>
    </row>
    <row r="34" spans="1:23" x14ac:dyDescent="0.25">
      <c r="A34" s="80">
        <v>45014</v>
      </c>
      <c r="B34" s="81">
        <f>Summary!$G$9/31</f>
        <v>14375.29</v>
      </c>
      <c r="C34" s="81">
        <v>2.25</v>
      </c>
      <c r="D34" s="66">
        <v>2.34</v>
      </c>
      <c r="E34" s="81">
        <f t="shared" si="6"/>
        <v>2.25</v>
      </c>
      <c r="F34" s="81">
        <f t="shared" si="0"/>
        <v>8625.17</v>
      </c>
      <c r="G34" s="81">
        <f t="shared" si="7"/>
        <v>8625.17</v>
      </c>
      <c r="H34" s="81">
        <f t="shared" si="8"/>
        <v>5750.12</v>
      </c>
      <c r="I34" s="81">
        <f t="shared" si="9"/>
        <v>5750.12</v>
      </c>
      <c r="J34" s="66">
        <v>27.14</v>
      </c>
      <c r="K34" s="66">
        <f t="shared" si="10"/>
        <v>2875.06</v>
      </c>
      <c r="L34" s="66">
        <f t="shared" si="11"/>
        <v>0</v>
      </c>
      <c r="M34" s="67">
        <v>178</v>
      </c>
      <c r="N34" s="66">
        <f t="shared" si="12"/>
        <v>1437.53</v>
      </c>
      <c r="O34" s="66">
        <f t="shared" si="13"/>
        <v>0</v>
      </c>
      <c r="P34" s="66">
        <v>40.29</v>
      </c>
      <c r="Q34" s="66">
        <f t="shared" si="14"/>
        <v>1437.53</v>
      </c>
      <c r="R34" s="66">
        <f t="shared" si="15"/>
        <v>0</v>
      </c>
      <c r="S34" s="81"/>
      <c r="T34" s="81"/>
      <c r="U34" s="81"/>
      <c r="V34" s="81">
        <f t="shared" si="16"/>
        <v>5750.12</v>
      </c>
      <c r="W34" s="81">
        <f t="shared" si="17"/>
        <v>0</v>
      </c>
    </row>
    <row r="35" spans="1:23" x14ac:dyDescent="0.25">
      <c r="A35" s="80">
        <v>45015</v>
      </c>
      <c r="B35" s="81">
        <f>Summary!$G$9/31</f>
        <v>14375.29</v>
      </c>
      <c r="C35" s="81">
        <v>2.25</v>
      </c>
      <c r="D35" s="66">
        <v>2.2400000000000002</v>
      </c>
      <c r="E35" s="81">
        <f t="shared" si="6"/>
        <v>2.2400000000000002</v>
      </c>
      <c r="F35" s="81">
        <f t="shared" ref="F35:F36" si="18">B35*60%</f>
        <v>8625.17</v>
      </c>
      <c r="G35" s="81">
        <f t="shared" si="7"/>
        <v>8586.84</v>
      </c>
      <c r="H35" s="81">
        <f t="shared" ref="H35:H36" si="19">B35*40%</f>
        <v>5750.12</v>
      </c>
      <c r="I35" s="81">
        <f t="shared" si="9"/>
        <v>5724.56</v>
      </c>
      <c r="J35" s="66">
        <v>28.63</v>
      </c>
      <c r="K35" s="66">
        <f t="shared" si="10"/>
        <v>2862.28</v>
      </c>
      <c r="L35" s="66">
        <f t="shared" si="11"/>
        <v>0</v>
      </c>
      <c r="M35" s="67">
        <v>182</v>
      </c>
      <c r="N35" s="66">
        <f t="shared" si="12"/>
        <v>1431.14</v>
      </c>
      <c r="O35" s="66">
        <f t="shared" si="13"/>
        <v>0</v>
      </c>
      <c r="P35" s="66">
        <v>42.62</v>
      </c>
      <c r="Q35" s="66">
        <f t="shared" si="14"/>
        <v>1431.14</v>
      </c>
      <c r="R35" s="66">
        <f t="shared" si="15"/>
        <v>0</v>
      </c>
      <c r="S35" s="81"/>
      <c r="T35" s="81"/>
      <c r="U35" s="81"/>
      <c r="V35" s="81">
        <f t="shared" si="16"/>
        <v>5724.56</v>
      </c>
      <c r="W35" s="81">
        <f t="shared" si="17"/>
        <v>0</v>
      </c>
    </row>
    <row r="36" spans="1:23" x14ac:dyDescent="0.25">
      <c r="A36" s="80">
        <v>45016</v>
      </c>
      <c r="B36" s="81">
        <f>Summary!$G$9/31</f>
        <v>14375.29</v>
      </c>
      <c r="C36" s="81">
        <v>2.25</v>
      </c>
      <c r="D36" s="66">
        <v>2.12</v>
      </c>
      <c r="E36" s="81">
        <f t="shared" si="6"/>
        <v>2.12</v>
      </c>
      <c r="F36" s="81">
        <f t="shared" si="18"/>
        <v>8625.17</v>
      </c>
      <c r="G36" s="81">
        <f t="shared" si="7"/>
        <v>8126.83</v>
      </c>
      <c r="H36" s="81">
        <f t="shared" si="19"/>
        <v>5750.12</v>
      </c>
      <c r="I36" s="81">
        <f t="shared" si="9"/>
        <v>5417.89</v>
      </c>
      <c r="J36" s="66">
        <v>27.29</v>
      </c>
      <c r="K36" s="66">
        <f t="shared" si="10"/>
        <v>2708.95</v>
      </c>
      <c r="L36" s="66">
        <f t="shared" si="11"/>
        <v>0</v>
      </c>
      <c r="M36" s="67">
        <v>174</v>
      </c>
      <c r="N36" s="66">
        <f t="shared" si="12"/>
        <v>1354.47</v>
      </c>
      <c r="O36" s="66">
        <f t="shared" si="13"/>
        <v>0</v>
      </c>
      <c r="P36" s="66">
        <v>40.25</v>
      </c>
      <c r="Q36" s="66">
        <f t="shared" si="14"/>
        <v>1354.47</v>
      </c>
      <c r="R36" s="66">
        <f t="shared" si="15"/>
        <v>0</v>
      </c>
      <c r="S36" s="81"/>
      <c r="T36" s="81"/>
      <c r="U36" s="81"/>
      <c r="V36" s="81">
        <f t="shared" si="16"/>
        <v>5417.89</v>
      </c>
      <c r="W36" s="81">
        <f t="shared" si="17"/>
        <v>0</v>
      </c>
    </row>
    <row r="37" spans="1:23" x14ac:dyDescent="0.25">
      <c r="A37" s="75" t="s">
        <v>30</v>
      </c>
      <c r="B37" s="82">
        <f>SUM(B6:B36)</f>
        <v>445633.99</v>
      </c>
      <c r="C37" s="82"/>
      <c r="D37" s="82">
        <f>+AVERAGE(D6:D36)</f>
        <v>2.2599999999999998</v>
      </c>
      <c r="E37" s="82"/>
      <c r="F37" s="82">
        <f>SUM(F6:F36)</f>
        <v>267380.27</v>
      </c>
      <c r="G37" s="82">
        <f>SUM(G6:G36)</f>
        <v>265425.24</v>
      </c>
      <c r="H37" s="82">
        <f>SUM(H6:H36)</f>
        <v>178253.72</v>
      </c>
      <c r="I37" s="82">
        <f>SUM(I6:I36)</f>
        <v>176950.36</v>
      </c>
      <c r="J37" s="82"/>
      <c r="K37" s="66">
        <f t="shared" ref="K37" si="20">I37*50%</f>
        <v>88475.18</v>
      </c>
      <c r="L37" s="82">
        <f>SUM(L6:L36)</f>
        <v>0</v>
      </c>
      <c r="M37" s="82"/>
      <c r="N37" s="82">
        <f>SUM(N6:N36)</f>
        <v>44237.61</v>
      </c>
      <c r="O37" s="82">
        <f>SUM(O6:O36)</f>
        <v>0</v>
      </c>
      <c r="P37" s="82"/>
      <c r="Q37" s="82">
        <f>SUM(Q6:Q36)</f>
        <v>44237.61</v>
      </c>
      <c r="R37" s="82">
        <f>SUM(R6:R36)</f>
        <v>0</v>
      </c>
      <c r="S37" s="81"/>
      <c r="T37" s="82">
        <f>SUM(T6:T36)</f>
        <v>0</v>
      </c>
      <c r="U37" s="82">
        <f>SUM(U6:U36)</f>
        <v>0</v>
      </c>
      <c r="V37" s="82">
        <f>SUM(V6:V36)</f>
        <v>176950.42</v>
      </c>
      <c r="W37" s="82">
        <f>SUM(W6:W36)</f>
        <v>0</v>
      </c>
    </row>
    <row r="38" spans="1:23" x14ac:dyDescent="0.25">
      <c r="A38" s="83"/>
      <c r="B38" s="84" t="s">
        <v>38</v>
      </c>
      <c r="C38" s="75"/>
      <c r="D38" s="75"/>
      <c r="E38" s="75"/>
      <c r="F38" s="75"/>
      <c r="G38" s="75"/>
      <c r="H38" s="75"/>
      <c r="I38" s="75"/>
      <c r="J38" s="75"/>
      <c r="K38" s="82"/>
      <c r="L38" s="82"/>
      <c r="M38" s="82"/>
      <c r="N38" s="82"/>
      <c r="O38" s="82"/>
      <c r="P38" s="82"/>
      <c r="Q38" s="82"/>
      <c r="R38" s="82"/>
      <c r="S38" s="82"/>
      <c r="T38" s="85"/>
      <c r="U38" s="82"/>
      <c r="V38" s="86">
        <f>G37+V37</f>
        <v>442375.66</v>
      </c>
      <c r="W38" s="59"/>
    </row>
    <row r="40" spans="1:23" x14ac:dyDescent="0.25">
      <c r="C40" s="88"/>
    </row>
    <row r="42" spans="1:23" x14ac:dyDescent="0.25">
      <c r="C42" s="88"/>
    </row>
  </sheetData>
  <mergeCells count="19">
    <mergeCell ref="M4:O4"/>
    <mergeCell ref="P4:R4"/>
    <mergeCell ref="S4:U4"/>
    <mergeCell ref="D4:D5"/>
    <mergeCell ref="W4:W5"/>
    <mergeCell ref="V4:V5"/>
    <mergeCell ref="A1:V1"/>
    <mergeCell ref="F3:G3"/>
    <mergeCell ref="B4:B5"/>
    <mergeCell ref="A4:A5"/>
    <mergeCell ref="F4:F5"/>
    <mergeCell ref="G4:G5"/>
    <mergeCell ref="I4:I5"/>
    <mergeCell ref="C3:D3"/>
    <mergeCell ref="C4:C5"/>
    <mergeCell ref="H4:H5"/>
    <mergeCell ref="E4:E5"/>
    <mergeCell ref="H3:V3"/>
    <mergeCell ref="J4:L4"/>
  </mergeCells>
  <pageMargins left="0.25" right="0.25" top="0.75" bottom="0.75" header="0.3" footer="0.3"/>
  <pageSetup paperSize="9" scale="5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1D77-159B-41BA-A4BA-2283E780F924}">
  <dimension ref="C4:E12"/>
  <sheetViews>
    <sheetView zoomScale="120" zoomScaleNormal="120" workbookViewId="0">
      <selection activeCell="I7" sqref="I7"/>
    </sheetView>
  </sheetViews>
  <sheetFormatPr defaultRowHeight="15" x14ac:dyDescent="0.25"/>
  <cols>
    <col min="3" max="3" width="4.85546875" bestFit="1" customWidth="1"/>
    <col min="4" max="4" width="29.85546875" customWidth="1"/>
    <col min="5" max="5" width="19.140625" customWidth="1"/>
  </cols>
  <sheetData>
    <row r="4" spans="3:5" ht="41.25" x14ac:dyDescent="0.25">
      <c r="C4" s="159" t="s">
        <v>81</v>
      </c>
      <c r="D4" s="159" t="s">
        <v>82</v>
      </c>
      <c r="E4" s="18" t="s">
        <v>100</v>
      </c>
    </row>
    <row r="5" spans="3:5" x14ac:dyDescent="0.25">
      <c r="C5" s="159"/>
      <c r="D5" s="159"/>
      <c r="E5" s="19"/>
    </row>
    <row r="6" spans="3:5" ht="37.5" x14ac:dyDescent="0.25">
      <c r="C6" s="19" t="s">
        <v>83</v>
      </c>
      <c r="D6" s="20" t="s">
        <v>84</v>
      </c>
      <c r="E6" s="22">
        <f>Summary!K28</f>
        <v>34721737.350000001</v>
      </c>
    </row>
    <row r="7" spans="3:5" ht="18.75" x14ac:dyDescent="0.25">
      <c r="C7" s="19" t="s">
        <v>85</v>
      </c>
      <c r="D7" s="20" t="s">
        <v>86</v>
      </c>
      <c r="E7" s="22">
        <f>Summary!K29</f>
        <v>6249912.7199999997</v>
      </c>
    </row>
    <row r="8" spans="3:5" ht="33.75" x14ac:dyDescent="0.25">
      <c r="C8" s="19" t="s">
        <v>87</v>
      </c>
      <c r="D8" s="20" t="s">
        <v>88</v>
      </c>
      <c r="E8" s="22">
        <f>Summary!K30</f>
        <v>3472173.74</v>
      </c>
    </row>
    <row r="9" spans="3:5" ht="52.5" x14ac:dyDescent="0.25">
      <c r="C9" s="19" t="s">
        <v>89</v>
      </c>
      <c r="D9" s="20" t="s">
        <v>90</v>
      </c>
      <c r="E9" s="22">
        <f>Summary!K31</f>
        <v>570661.23</v>
      </c>
    </row>
    <row r="10" spans="3:5" ht="18.75" x14ac:dyDescent="0.25">
      <c r="C10" s="19" t="s">
        <v>91</v>
      </c>
      <c r="D10" s="21" t="s">
        <v>92</v>
      </c>
      <c r="E10" s="23">
        <f>SUM(E6:E9)</f>
        <v>45014485.039999999</v>
      </c>
    </row>
    <row r="11" spans="3:5" ht="37.5" x14ac:dyDescent="0.25">
      <c r="C11" s="19" t="s">
        <v>93</v>
      </c>
      <c r="D11" s="20" t="s">
        <v>94</v>
      </c>
      <c r="E11" s="23">
        <f>+E10</f>
        <v>45014485.039999999</v>
      </c>
    </row>
    <row r="12" spans="3:5" ht="93.75" x14ac:dyDescent="0.25">
      <c r="C12" s="19" t="s">
        <v>95</v>
      </c>
      <c r="D12" s="20" t="s">
        <v>96</v>
      </c>
      <c r="E12" s="24"/>
    </row>
  </sheetData>
  <mergeCells count="2">
    <mergeCell ref="C4:C5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Summary</vt:lpstr>
      <vt:lpstr>78 MLD NEW</vt:lpstr>
      <vt:lpstr>12 Mld New </vt:lpstr>
      <vt:lpstr>24MLD New</vt:lpstr>
      <vt:lpstr>40 MLd New</vt:lpstr>
      <vt:lpstr>10MLD NEW</vt:lpstr>
      <vt:lpstr>14MLD New</vt:lpstr>
      <vt:lpstr>2.25Mld NEW </vt:lpstr>
      <vt:lpstr>Sheet1</vt:lpstr>
      <vt:lpstr>'10MLD NEW'!Print_Area</vt:lpstr>
      <vt:lpstr>'12 Mld New '!Print_Area</vt:lpstr>
      <vt:lpstr>'14MLD New'!Print_Area</vt:lpstr>
      <vt:lpstr>'2.25Mld NEW '!Print_Area</vt:lpstr>
      <vt:lpstr>'24MLD New'!Print_Area</vt:lpstr>
      <vt:lpstr>'40 MLd New'!Print_Area</vt:lpstr>
      <vt:lpstr>'78 MLD NEW'!Print_Area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Jalnigam</cp:lastModifiedBy>
  <cp:lastPrinted>2023-02-20T13:29:29Z</cp:lastPrinted>
  <dcterms:created xsi:type="dcterms:W3CDTF">2020-05-29T08:02:13Z</dcterms:created>
  <dcterms:modified xsi:type="dcterms:W3CDTF">2023-04-18T11:32:50Z</dcterms:modified>
</cp:coreProperties>
</file>