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COP\upcoming meeting\apr 23\"/>
    </mc:Choice>
  </mc:AlternateContent>
  <xr:revisionPtr revIDLastSave="0" documentId="13_ncr:1_{77A4E6E5-4947-4612-9F75-4278F75945A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mmary" sheetId="1" r:id="rId1"/>
    <sheet name="30 MLD" sheetId="12" r:id="rId2"/>
    <sheet name="15 MLD" sheetId="14" r:id="rId3"/>
    <sheet name="12 MLD" sheetId="16" r:id="rId4"/>
    <sheet name="Sheet1" sheetId="17" r:id="rId5"/>
  </sheets>
  <externalReferences>
    <externalReference r:id="rId6"/>
    <externalReference r:id="rId7"/>
    <externalReference r:id="rId8"/>
  </externalReferences>
  <definedNames>
    <definedName name="_xlnm.Print_Area" localSheetId="3">'12 MLD'!$A$2:$X$38</definedName>
    <definedName name="_xlnm.Print_Area" localSheetId="2">'15 MLD'!$A$1:$X$38</definedName>
    <definedName name="_xlnm.Print_Area" localSheetId="1">'30 MLD'!$A$1:$X$38</definedName>
    <definedName name="_xlnm.Print_Area" localSheetId="0">Summary!$A$1:$K$29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6" l="1"/>
  <c r="W7" i="16"/>
  <c r="V8" i="16"/>
  <c r="W8" i="16"/>
  <c r="V9" i="16"/>
  <c r="W9" i="16"/>
  <c r="V10" i="16"/>
  <c r="W10" i="16"/>
  <c r="V11" i="16"/>
  <c r="W11" i="16"/>
  <c r="V12" i="16"/>
  <c r="W12" i="16"/>
  <c r="V13" i="16"/>
  <c r="W13" i="16"/>
  <c r="V14" i="16"/>
  <c r="W14" i="16"/>
  <c r="V15" i="16"/>
  <c r="W15" i="16"/>
  <c r="V16" i="16"/>
  <c r="W16" i="16"/>
  <c r="V17" i="16"/>
  <c r="W17" i="16"/>
  <c r="V18" i="16"/>
  <c r="W18" i="16"/>
  <c r="V19" i="16"/>
  <c r="W19" i="16"/>
  <c r="V20" i="16"/>
  <c r="W20" i="16"/>
  <c r="V21" i="16"/>
  <c r="W21" i="16"/>
  <c r="V22" i="16"/>
  <c r="W22" i="16"/>
  <c r="V23" i="16"/>
  <c r="W23" i="16"/>
  <c r="V24" i="16"/>
  <c r="W24" i="16"/>
  <c r="V25" i="16"/>
  <c r="W25" i="16"/>
  <c r="V26" i="16"/>
  <c r="W26" i="16"/>
  <c r="V27" i="16"/>
  <c r="W27" i="16"/>
  <c r="V28" i="16"/>
  <c r="W28" i="16"/>
  <c r="V29" i="16"/>
  <c r="W29" i="16"/>
  <c r="V30" i="16"/>
  <c r="W30" i="16"/>
  <c r="V31" i="16"/>
  <c r="W31" i="16"/>
  <c r="V32" i="16"/>
  <c r="W32" i="16"/>
  <c r="V33" i="16"/>
  <c r="W33" i="16"/>
  <c r="V34" i="16"/>
  <c r="W34" i="16"/>
  <c r="V35" i="16"/>
  <c r="W35" i="16"/>
  <c r="V36" i="16"/>
  <c r="W36" i="16"/>
  <c r="V6" i="16"/>
  <c r="T7" i="16"/>
  <c r="U7" i="16"/>
  <c r="T8" i="16"/>
  <c r="U8" i="16"/>
  <c r="T9" i="16"/>
  <c r="U9" i="16"/>
  <c r="T10" i="16"/>
  <c r="U10" i="16"/>
  <c r="U11" i="16"/>
  <c r="T12" i="16"/>
  <c r="U12" i="16"/>
  <c r="T13" i="16"/>
  <c r="U13" i="16"/>
  <c r="T14" i="16"/>
  <c r="U14" i="16"/>
  <c r="T15" i="16"/>
  <c r="U15" i="16"/>
  <c r="T16" i="16"/>
  <c r="U16" i="16"/>
  <c r="T17" i="16"/>
  <c r="U17" i="16"/>
  <c r="T18" i="16"/>
  <c r="U18" i="16"/>
  <c r="U19" i="16"/>
  <c r="T20" i="16"/>
  <c r="U20" i="16"/>
  <c r="T21" i="16"/>
  <c r="U21" i="16"/>
  <c r="T22" i="16"/>
  <c r="U22" i="16"/>
  <c r="T23" i="16"/>
  <c r="U23" i="16"/>
  <c r="T24" i="16"/>
  <c r="U24" i="16"/>
  <c r="T25" i="16"/>
  <c r="U25" i="16"/>
  <c r="T26" i="16"/>
  <c r="U26" i="16"/>
  <c r="T27" i="16"/>
  <c r="U27" i="16"/>
  <c r="T28" i="16"/>
  <c r="U28" i="16"/>
  <c r="T29" i="16"/>
  <c r="U29" i="16"/>
  <c r="T30" i="16"/>
  <c r="U30" i="16"/>
  <c r="T31" i="16"/>
  <c r="U31" i="16"/>
  <c r="U32" i="16"/>
  <c r="T33" i="16"/>
  <c r="U33" i="16"/>
  <c r="T34" i="16"/>
  <c r="U34" i="16"/>
  <c r="T35" i="16"/>
  <c r="U35" i="16"/>
  <c r="T36" i="16"/>
  <c r="U3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N35" i="16"/>
  <c r="O35" i="16"/>
  <c r="N36" i="16"/>
  <c r="O3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K20" i="16"/>
  <c r="L20" i="16"/>
  <c r="K21" i="16"/>
  <c r="L21" i="16"/>
  <c r="K22" i="16"/>
  <c r="L22" i="16"/>
  <c r="K23" i="16"/>
  <c r="L23" i="16"/>
  <c r="K24" i="16"/>
  <c r="L24" i="16"/>
  <c r="K25" i="16"/>
  <c r="L25" i="16"/>
  <c r="K26" i="16"/>
  <c r="L26" i="16"/>
  <c r="K27" i="16"/>
  <c r="L27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6" i="16"/>
  <c r="L3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34" i="12"/>
  <c r="W34" i="12"/>
  <c r="V35" i="12"/>
  <c r="W35" i="12"/>
  <c r="V36" i="12"/>
  <c r="W36" i="12"/>
  <c r="W6" i="12"/>
  <c r="V6" i="12"/>
  <c r="T7" i="12"/>
  <c r="U7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T32" i="12"/>
  <c r="U32" i="12"/>
  <c r="T33" i="12"/>
  <c r="U33" i="12"/>
  <c r="T34" i="12"/>
  <c r="U34" i="12"/>
  <c r="T35" i="12"/>
  <c r="U35" i="12"/>
  <c r="T36" i="12"/>
  <c r="U3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Q26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Q34" i="12"/>
  <c r="R34" i="12"/>
  <c r="Q35" i="12"/>
  <c r="R35" i="12"/>
  <c r="Q36" i="12"/>
  <c r="R3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6" i="12"/>
  <c r="E4" i="17" l="1"/>
  <c r="E5" i="17" s="1"/>
  <c r="C10" i="17"/>
  <c r="E6" i="17"/>
  <c r="J11" i="17"/>
  <c r="D6" i="17"/>
  <c r="C4" i="17"/>
  <c r="C7" i="17" s="1"/>
  <c r="Z40" i="16"/>
  <c r="F6" i="17" l="1"/>
  <c r="E7" i="17"/>
  <c r="C5" i="17"/>
  <c r="C40" i="12"/>
  <c r="C41" i="12" s="1"/>
  <c r="D40" i="12"/>
  <c r="D41" i="12" s="1"/>
  <c r="E40" i="12"/>
  <c r="E41" i="12" s="1"/>
  <c r="J40" i="12"/>
  <c r="J41" i="12" s="1"/>
  <c r="M40" i="12"/>
  <c r="M41" i="12" s="1"/>
  <c r="P40" i="12"/>
  <c r="P41" i="12" s="1"/>
  <c r="S40" i="12"/>
  <c r="S41" i="12" s="1"/>
  <c r="C40" i="14"/>
  <c r="C41" i="14" s="1"/>
  <c r="D40" i="14"/>
  <c r="D41" i="14" s="1"/>
  <c r="E40" i="14"/>
  <c r="E41" i="14" s="1"/>
  <c r="J40" i="14"/>
  <c r="J41" i="14" s="1"/>
  <c r="M40" i="14"/>
  <c r="P40" i="14"/>
  <c r="P41" i="14" s="1"/>
  <c r="S40" i="14"/>
  <c r="M41" i="14"/>
  <c r="S41" i="14"/>
  <c r="C40" i="16"/>
  <c r="C41" i="16" s="1"/>
  <c r="D40" i="16"/>
  <c r="D41" i="16" s="1"/>
  <c r="E40" i="16"/>
  <c r="E41" i="16" s="1"/>
  <c r="J40" i="16"/>
  <c r="J41" i="16" s="1"/>
  <c r="M40" i="16"/>
  <c r="M41" i="16" s="1"/>
  <c r="P40" i="16"/>
  <c r="P41" i="16" s="1"/>
  <c r="S40" i="16"/>
  <c r="S41" i="16" s="1"/>
  <c r="L6" i="16"/>
  <c r="E8" i="17" l="1"/>
  <c r="U6" i="16"/>
  <c r="U6" i="14"/>
  <c r="U6" i="12"/>
  <c r="U37" i="12" l="1"/>
  <c r="U40" i="12" s="1"/>
  <c r="U41" i="12" s="1"/>
  <c r="U37" i="14"/>
  <c r="U40" i="14" s="1"/>
  <c r="U41" i="14" s="1"/>
  <c r="A1" i="12"/>
  <c r="A1" i="16" s="1"/>
  <c r="A1" i="14" l="1"/>
  <c r="R6" i="16" l="1"/>
  <c r="O6" i="16"/>
  <c r="L37" i="16"/>
  <c r="L40" i="16" s="1"/>
  <c r="L41" i="16" s="1"/>
  <c r="W6" i="16" l="1"/>
  <c r="R37" i="16"/>
  <c r="R40" i="16" s="1"/>
  <c r="R41" i="16" s="1"/>
  <c r="E6" i="16"/>
  <c r="R6" i="14" l="1"/>
  <c r="O6" i="14"/>
  <c r="O37" i="14" s="1"/>
  <c r="O40" i="14" s="1"/>
  <c r="O41" i="14" s="1"/>
  <c r="O6" i="12"/>
  <c r="O37" i="12" s="1"/>
  <c r="O40" i="12" s="1"/>
  <c r="O41" i="12" s="1"/>
  <c r="L6" i="14"/>
  <c r="E6" i="14"/>
  <c r="W6" i="14" l="1"/>
  <c r="L37" i="14"/>
  <c r="L40" i="14" s="1"/>
  <c r="L41" i="14" s="1"/>
  <c r="D12" i="1" l="1"/>
  <c r="F8" i="1" s="1"/>
  <c r="F12" i="1" s="1"/>
  <c r="G11" i="1" s="1"/>
  <c r="E12" i="1"/>
  <c r="G10" i="1" l="1"/>
  <c r="G9" i="1"/>
  <c r="G8" i="1"/>
  <c r="B36" i="14" l="1"/>
  <c r="B8" i="14"/>
  <c r="B12" i="14"/>
  <c r="B16" i="14"/>
  <c r="B20" i="14"/>
  <c r="B24" i="14"/>
  <c r="B28" i="14"/>
  <c r="B11" i="14"/>
  <c r="B23" i="14"/>
  <c r="B6" i="14"/>
  <c r="B31" i="14"/>
  <c r="B34" i="14"/>
  <c r="B35" i="14"/>
  <c r="B9" i="14"/>
  <c r="B13" i="14"/>
  <c r="B17" i="14"/>
  <c r="B21" i="14"/>
  <c r="B25" i="14"/>
  <c r="B29" i="14"/>
  <c r="B32" i="14"/>
  <c r="B7" i="14"/>
  <c r="B15" i="14"/>
  <c r="B27" i="14"/>
  <c r="B10" i="14"/>
  <c r="B14" i="14"/>
  <c r="B18" i="14"/>
  <c r="B22" i="14"/>
  <c r="B26" i="14"/>
  <c r="B30" i="14"/>
  <c r="B33" i="14"/>
  <c r="B19" i="14"/>
  <c r="B8" i="12"/>
  <c r="B12" i="12"/>
  <c r="B16" i="12"/>
  <c r="B20" i="12"/>
  <c r="B24" i="12"/>
  <c r="B28" i="12"/>
  <c r="B32" i="12"/>
  <c r="B6" i="12"/>
  <c r="B7" i="12"/>
  <c r="B15" i="12"/>
  <c r="B27" i="12"/>
  <c r="B36" i="12"/>
  <c r="B9" i="12"/>
  <c r="B13" i="12"/>
  <c r="B17" i="12"/>
  <c r="B21" i="12"/>
  <c r="B25" i="12"/>
  <c r="B29" i="12"/>
  <c r="B33" i="12"/>
  <c r="B19" i="12"/>
  <c r="B31" i="12"/>
  <c r="B10" i="12"/>
  <c r="B14" i="12"/>
  <c r="B18" i="12"/>
  <c r="B22" i="12"/>
  <c r="B26" i="12"/>
  <c r="B30" i="12"/>
  <c r="B34" i="12"/>
  <c r="B11" i="12"/>
  <c r="B23" i="12"/>
  <c r="B35" i="12"/>
  <c r="B9" i="16"/>
  <c r="B13" i="16"/>
  <c r="B17" i="16"/>
  <c r="B21" i="16"/>
  <c r="B25" i="16"/>
  <c r="B29" i="16"/>
  <c r="B33" i="16"/>
  <c r="B6" i="16"/>
  <c r="B12" i="16"/>
  <c r="B10" i="16"/>
  <c r="B14" i="16"/>
  <c r="B18" i="16"/>
  <c r="B22" i="16"/>
  <c r="B26" i="16"/>
  <c r="B30" i="16"/>
  <c r="B34" i="16"/>
  <c r="B20" i="16"/>
  <c r="B28" i="16"/>
  <c r="B36" i="16"/>
  <c r="B7" i="16"/>
  <c r="B11" i="16"/>
  <c r="B15" i="16"/>
  <c r="B19" i="16"/>
  <c r="B23" i="16"/>
  <c r="B27" i="16"/>
  <c r="B31" i="16"/>
  <c r="B35" i="16"/>
  <c r="B8" i="16"/>
  <c r="B16" i="16"/>
  <c r="B24" i="16"/>
  <c r="B32" i="16"/>
  <c r="F6" i="14"/>
  <c r="H34" i="12" l="1"/>
  <c r="F34" i="12"/>
  <c r="F36" i="12"/>
  <c r="H36" i="12"/>
  <c r="F31" i="14"/>
  <c r="H31" i="14"/>
  <c r="H34" i="14"/>
  <c r="F34" i="14"/>
  <c r="F34" i="16"/>
  <c r="H34" i="16"/>
  <c r="F35" i="12"/>
  <c r="H35" i="12"/>
  <c r="F33" i="12"/>
  <c r="H33" i="12"/>
  <c r="F32" i="12"/>
  <c r="H32" i="12"/>
  <c r="F33" i="14"/>
  <c r="H33" i="14"/>
  <c r="F31" i="16"/>
  <c r="H31" i="16"/>
  <c r="F32" i="14"/>
  <c r="H32" i="14"/>
  <c r="F32" i="16"/>
  <c r="H32" i="16"/>
  <c r="H35" i="16"/>
  <c r="F35" i="16"/>
  <c r="H36" i="16"/>
  <c r="F36" i="16"/>
  <c r="H33" i="16"/>
  <c r="F33" i="16"/>
  <c r="F35" i="14"/>
  <c r="H35" i="14"/>
  <c r="F36" i="14"/>
  <c r="H36" i="14"/>
  <c r="F26" i="12"/>
  <c r="H26" i="12"/>
  <c r="F18" i="12"/>
  <c r="H18" i="12"/>
  <c r="H10" i="12"/>
  <c r="F10" i="12"/>
  <c r="F22" i="12"/>
  <c r="H22" i="12"/>
  <c r="H20" i="12"/>
  <c r="F20" i="12"/>
  <c r="H25" i="12"/>
  <c r="F25" i="12"/>
  <c r="F17" i="12"/>
  <c r="H17" i="12"/>
  <c r="F9" i="12"/>
  <c r="H9" i="12"/>
  <c r="H21" i="12"/>
  <c r="F21" i="12"/>
  <c r="F24" i="12"/>
  <c r="H24" i="12"/>
  <c r="F28" i="12"/>
  <c r="H28" i="12"/>
  <c r="H16" i="12"/>
  <c r="F16" i="12"/>
  <c r="F8" i="12"/>
  <c r="H8" i="12"/>
  <c r="H27" i="12"/>
  <c r="F27" i="12"/>
  <c r="F14" i="12"/>
  <c r="H14" i="12"/>
  <c r="H19" i="12"/>
  <c r="F19" i="12"/>
  <c r="H13" i="12"/>
  <c r="F13" i="12"/>
  <c r="H11" i="12"/>
  <c r="F11" i="12"/>
  <c r="F12" i="12"/>
  <c r="H12" i="12"/>
  <c r="H30" i="12"/>
  <c r="F30" i="12"/>
  <c r="H31" i="12"/>
  <c r="F31" i="12"/>
  <c r="F29" i="12"/>
  <c r="H29" i="12"/>
  <c r="H23" i="12"/>
  <c r="F23" i="12"/>
  <c r="F15" i="12"/>
  <c r="H15" i="12"/>
  <c r="H7" i="12"/>
  <c r="F7" i="12"/>
  <c r="F30" i="14"/>
  <c r="H30" i="14"/>
  <c r="F30" i="16"/>
  <c r="H30" i="16"/>
  <c r="H6" i="12"/>
  <c r="I6" i="12" s="1"/>
  <c r="H23" i="16"/>
  <c r="F23" i="16"/>
  <c r="H10" i="14"/>
  <c r="F10" i="14"/>
  <c r="H15" i="16"/>
  <c r="F15" i="16"/>
  <c r="H29" i="16"/>
  <c r="F29" i="16"/>
  <c r="H17" i="16"/>
  <c r="F17" i="16"/>
  <c r="H26" i="16"/>
  <c r="F26" i="16"/>
  <c r="H8" i="14"/>
  <c r="F8" i="14"/>
  <c r="H14" i="14"/>
  <c r="F14" i="14"/>
  <c r="F6" i="12"/>
  <c r="G6" i="12" s="1"/>
  <c r="H7" i="16"/>
  <c r="F7" i="16"/>
  <c r="H21" i="16"/>
  <c r="F21" i="16"/>
  <c r="H18" i="16"/>
  <c r="F18" i="16"/>
  <c r="H27" i="14"/>
  <c r="F27" i="14"/>
  <c r="H25" i="14"/>
  <c r="F25" i="14"/>
  <c r="H29" i="14"/>
  <c r="F29" i="14"/>
  <c r="H16" i="16"/>
  <c r="F16" i="16"/>
  <c r="H13" i="16"/>
  <c r="F13" i="16"/>
  <c r="H27" i="16"/>
  <c r="F27" i="16"/>
  <c r="H10" i="16"/>
  <c r="F10" i="16"/>
  <c r="H19" i="14"/>
  <c r="F19" i="14"/>
  <c r="H17" i="14"/>
  <c r="F17" i="14"/>
  <c r="H6" i="16"/>
  <c r="F6" i="16"/>
  <c r="H16" i="14"/>
  <c r="F16" i="14"/>
  <c r="H19" i="16"/>
  <c r="F19" i="16"/>
  <c r="H6" i="14"/>
  <c r="H11" i="14"/>
  <c r="F11" i="14"/>
  <c r="H9" i="14"/>
  <c r="F9" i="14"/>
  <c r="H23" i="14"/>
  <c r="F23" i="14"/>
  <c r="H21" i="14"/>
  <c r="F21" i="14"/>
  <c r="H9" i="16"/>
  <c r="F9" i="16"/>
  <c r="H22" i="16"/>
  <c r="F22" i="16"/>
  <c r="H28" i="16"/>
  <c r="F28" i="16"/>
  <c r="H11" i="16"/>
  <c r="F11" i="16"/>
  <c r="H28" i="14"/>
  <c r="F28" i="14"/>
  <c r="H13" i="14"/>
  <c r="F13" i="14"/>
  <c r="H15" i="14"/>
  <c r="F15" i="14"/>
  <c r="H22" i="14"/>
  <c r="F22" i="14"/>
  <c r="H24" i="16"/>
  <c r="F24" i="16"/>
  <c r="H14" i="16"/>
  <c r="F14" i="16"/>
  <c r="H20" i="16"/>
  <c r="F20" i="16"/>
  <c r="H25" i="16"/>
  <c r="F25" i="16"/>
  <c r="H20" i="14"/>
  <c r="F20" i="14"/>
  <c r="F26" i="14"/>
  <c r="H26" i="14"/>
  <c r="H7" i="14"/>
  <c r="F7" i="14"/>
  <c r="H12" i="16"/>
  <c r="F12" i="16"/>
  <c r="H8" i="16"/>
  <c r="F8" i="16"/>
  <c r="H12" i="14"/>
  <c r="F12" i="14"/>
  <c r="F18" i="14"/>
  <c r="H18" i="14"/>
  <c r="H24" i="14"/>
  <c r="F24" i="14"/>
  <c r="G37" i="12" l="1"/>
  <c r="Q6" i="12"/>
  <c r="K6" i="12"/>
  <c r="F37" i="12"/>
  <c r="H37" i="12"/>
  <c r="G6" i="14"/>
  <c r="I6" i="14"/>
  <c r="K6" i="14" s="1"/>
  <c r="G6" i="16"/>
  <c r="I6" i="16"/>
  <c r="K6" i="16" s="1"/>
  <c r="I37" i="12" l="1"/>
  <c r="Q6" i="16"/>
  <c r="T6" i="16"/>
  <c r="T6" i="12"/>
  <c r="Q6" i="14"/>
  <c r="T6" i="14"/>
  <c r="N6" i="12"/>
  <c r="N6" i="14"/>
  <c r="N6" i="16"/>
  <c r="G12" i="1"/>
  <c r="V37" i="12" l="1"/>
  <c r="V6" i="14"/>
  <c r="Q37" i="12"/>
  <c r="K37" i="12"/>
  <c r="G40" i="12" l="1"/>
  <c r="G41" i="12" s="1"/>
  <c r="F40" i="12" l="1"/>
  <c r="F41" i="12" s="1"/>
  <c r="G37" i="16"/>
  <c r="G40" i="16" s="1"/>
  <c r="G41" i="16" s="1"/>
  <c r="F37" i="16"/>
  <c r="F40" i="16" s="1"/>
  <c r="F41" i="16" s="1"/>
  <c r="G37" i="14"/>
  <c r="G40" i="14" s="1"/>
  <c r="G41" i="14" s="1"/>
  <c r="F37" i="14"/>
  <c r="F40" i="14" s="1"/>
  <c r="F41" i="14" s="1"/>
  <c r="H37" i="16"/>
  <c r="H40" i="16" s="1"/>
  <c r="H41" i="16" s="1"/>
  <c r="H37" i="14"/>
  <c r="H40" i="14" s="1"/>
  <c r="H41" i="14" s="1"/>
  <c r="H40" i="12"/>
  <c r="H41" i="12" s="1"/>
  <c r="K40" i="12"/>
  <c r="K41" i="12" s="1"/>
  <c r="I40" i="12"/>
  <c r="I41" i="12" s="1"/>
  <c r="B37" i="14"/>
  <c r="B37" i="16"/>
  <c r="B37" i="12"/>
  <c r="B40" i="14" l="1"/>
  <c r="B41" i="14" s="1"/>
  <c r="R6" i="12"/>
  <c r="L6" i="12"/>
  <c r="B40" i="12"/>
  <c r="B41" i="12" s="1"/>
  <c r="B40" i="16"/>
  <c r="B41" i="16" s="1"/>
  <c r="T37" i="12"/>
  <c r="T40" i="12" s="1"/>
  <c r="T41" i="12" s="1"/>
  <c r="Q40" i="12"/>
  <c r="Q41" i="12" s="1"/>
  <c r="N37" i="12"/>
  <c r="N40" i="12" s="1"/>
  <c r="N41" i="12" s="1"/>
  <c r="I37" i="14"/>
  <c r="I40" i="14" s="1"/>
  <c r="I41" i="14" s="1"/>
  <c r="I37" i="16"/>
  <c r="I40" i="16" s="1"/>
  <c r="I41" i="16" s="1"/>
  <c r="O37" i="16"/>
  <c r="O40" i="16" s="1"/>
  <c r="O41" i="16" s="1"/>
  <c r="W37" i="14"/>
  <c r="J9" i="1" s="1"/>
  <c r="R37" i="14"/>
  <c r="R40" i="14" s="1"/>
  <c r="R41" i="14" s="1"/>
  <c r="H10" i="1"/>
  <c r="H9" i="1"/>
  <c r="H8" i="1"/>
  <c r="U37" i="16" l="1"/>
  <c r="U40" i="16" s="1"/>
  <c r="U41" i="16" s="1"/>
  <c r="L37" i="12"/>
  <c r="L40" i="12" s="1"/>
  <c r="L41" i="12" s="1"/>
  <c r="R37" i="12"/>
  <c r="R40" i="12" s="1"/>
  <c r="R41" i="12" s="1"/>
  <c r="T37" i="16"/>
  <c r="T40" i="16" s="1"/>
  <c r="T41" i="16" s="1"/>
  <c r="K37" i="16"/>
  <c r="K40" i="16" s="1"/>
  <c r="K41" i="16" s="1"/>
  <c r="Q37" i="16"/>
  <c r="Q40" i="16" s="1"/>
  <c r="Q41" i="16" s="1"/>
  <c r="N37" i="16"/>
  <c r="N40" i="16" s="1"/>
  <c r="N41" i="16" s="1"/>
  <c r="H12" i="1"/>
  <c r="K37" i="14"/>
  <c r="K40" i="14" s="1"/>
  <c r="K41" i="14" s="1"/>
  <c r="T37" i="14"/>
  <c r="T40" i="14" s="1"/>
  <c r="T41" i="14" s="1"/>
  <c r="N37" i="14"/>
  <c r="N40" i="14" s="1"/>
  <c r="N41" i="14" s="1"/>
  <c r="Q37" i="14"/>
  <c r="Q40" i="14" s="1"/>
  <c r="Q41" i="14" s="1"/>
  <c r="W37" i="12" l="1"/>
  <c r="J8" i="1" s="1"/>
  <c r="V37" i="16"/>
  <c r="W37" i="16"/>
  <c r="V37" i="14"/>
  <c r="V40" i="14" s="1"/>
  <c r="V41" i="14" s="1"/>
  <c r="V38" i="12" l="1"/>
  <c r="V42" i="12" s="1"/>
  <c r="V43" i="12" s="1"/>
  <c r="V40" i="12"/>
  <c r="V41" i="12" s="1"/>
  <c r="V40" i="16"/>
  <c r="V41" i="16" s="1"/>
  <c r="V38" i="16"/>
  <c r="V42" i="16" s="1"/>
  <c r="V43" i="16" s="1"/>
  <c r="J10" i="1"/>
  <c r="J12" i="1" s="1"/>
  <c r="K16" i="1" s="1"/>
  <c r="I10" i="1"/>
  <c r="K10" i="1" s="1"/>
  <c r="I8" i="1"/>
  <c r="K8" i="1" s="1"/>
  <c r="V38" i="14"/>
  <c r="V42" i="14" s="1"/>
  <c r="V43" i="14" s="1"/>
  <c r="I9" i="1"/>
  <c r="K9" i="1" s="1"/>
  <c r="I12" i="1" l="1"/>
  <c r="K12" i="1"/>
  <c r="K15" i="1" s="1"/>
  <c r="K19" i="1" s="1"/>
  <c r="K20" i="1" l="1"/>
  <c r="K21" i="1" l="1"/>
  <c r="K22" i="1" l="1"/>
  <c r="K23" i="1" s="1"/>
  <c r="K25" i="1" s="1"/>
  <c r="D4" i="17" l="1"/>
  <c r="F4" i="17" s="1"/>
  <c r="K26" i="1"/>
  <c r="K27" i="1"/>
  <c r="D5" i="17" l="1"/>
  <c r="D7" i="17"/>
  <c r="K29" i="1"/>
  <c r="F5" i="17"/>
  <c r="F7" i="17"/>
  <c r="D8" i="17" l="1"/>
  <c r="F8" i="17"/>
  <c r="C9" i="17" s="1"/>
</calcChain>
</file>

<file path=xl/sharedStrings.xml><?xml version="1.0" encoding="utf-8"?>
<sst xmlns="http://schemas.openxmlformats.org/spreadsheetml/2006/main" count="170" uniqueCount="94">
  <si>
    <t>Sl No</t>
  </si>
  <si>
    <t xml:space="preserve">Name of Zone </t>
  </si>
  <si>
    <t>Name of city</t>
  </si>
  <si>
    <t>a</t>
  </si>
  <si>
    <t>b</t>
  </si>
  <si>
    <t>c</t>
  </si>
  <si>
    <t>d</t>
  </si>
  <si>
    <t>e</t>
  </si>
  <si>
    <t>f</t>
  </si>
  <si>
    <t>g</t>
  </si>
  <si>
    <t>h</t>
  </si>
  <si>
    <t xml:space="preserve">10% Centage/ Supervion  charge to UP Jal Nigam </t>
  </si>
  <si>
    <t>BOD</t>
  </si>
  <si>
    <t>TSS</t>
  </si>
  <si>
    <t>COD</t>
  </si>
  <si>
    <t>Month wise Contract  Cost VoL -1, Section IV, Clause 39</t>
  </si>
  <si>
    <t>Contract Amount (Rs)</t>
  </si>
  <si>
    <t>Contract Amount/Month/MLD (Rs)</t>
  </si>
  <si>
    <t xml:space="preserve"> STP wise Cost (Rs)/month</t>
  </si>
  <si>
    <t>FC</t>
  </si>
  <si>
    <t>Dates</t>
  </si>
  <si>
    <t>Flow</t>
  </si>
  <si>
    <t>As Per CB</t>
  </si>
  <si>
    <t>As Per Actual</t>
  </si>
  <si>
    <t>Fix Charges(60%)</t>
  </si>
  <si>
    <t>Total</t>
  </si>
  <si>
    <t>AS Per CB</t>
  </si>
  <si>
    <t>Capicity</t>
  </si>
  <si>
    <t>Treated for
 Payement</t>
  </si>
  <si>
    <t>Treated for
 Payement
 MLD</t>
  </si>
  <si>
    <t>Actual
Achieved</t>
  </si>
  <si>
    <t>Gorakhpur</t>
  </si>
  <si>
    <t>Ayodhya</t>
  </si>
  <si>
    <t>Sultanpur</t>
  </si>
  <si>
    <t>Amount Of 
15 Mld Stp</t>
  </si>
  <si>
    <t>Reported Value</t>
  </si>
  <si>
    <t>LD</t>
  </si>
  <si>
    <t>Amount Of 
30 Mld Stp</t>
  </si>
  <si>
    <t>Amount Of 
12 Mld Stp</t>
  </si>
  <si>
    <t>Capacity</t>
  </si>
  <si>
    <t>Amount Recommended By OM&amp;M Cell</t>
  </si>
  <si>
    <t>Total Verified Amount</t>
  </si>
  <si>
    <t>Other LD recommended by UPJN and Jal Kal on conveyance system by UPJN and Jal Kal</t>
  </si>
  <si>
    <t>Withheld amount by UPJN</t>
  </si>
  <si>
    <t>Sub Total</t>
  </si>
  <si>
    <t>5 (1-2-3-4)</t>
  </si>
  <si>
    <t>Payable amount</t>
  </si>
  <si>
    <t>Escalation @ 5%</t>
  </si>
  <si>
    <t>6 (5% * 5)</t>
  </si>
  <si>
    <r>
      <t xml:space="preserve">Release of withheld amount </t>
    </r>
    <r>
      <rPr>
        <b/>
        <sz val="12"/>
        <color theme="1"/>
        <rFont val="Times New Roman"/>
        <family val="1"/>
      </rPr>
      <t>(amount whitheld in month…......, year …......)</t>
    </r>
  </si>
  <si>
    <t>Sub total</t>
  </si>
  <si>
    <t>Fuel Charges as certified by UPJN</t>
  </si>
  <si>
    <t>Grand total certified by OM&amp;M Cell</t>
  </si>
  <si>
    <t>Verified amount by OM&amp;M Cell</t>
  </si>
  <si>
    <t>LD recommended by OM&amp;M Cell</t>
  </si>
  <si>
    <t>Total verified amount</t>
  </si>
  <si>
    <t>Variable cost</t>
  </si>
  <si>
    <t>i</t>
  </si>
  <si>
    <t>Fixed Cost</t>
  </si>
  <si>
    <t>STP Capacity (MLD)</t>
  </si>
  <si>
    <t>Verified amount 
(11+14+17+20)</t>
  </si>
  <si>
    <t>Variable Cost (40%)</t>
  </si>
  <si>
    <t>j = (g+h)</t>
  </si>
  <si>
    <t>Fixed Cost (60%)</t>
  </si>
  <si>
    <t>Fix Charges (60%)</t>
  </si>
  <si>
    <t>Grand Total (7+22)</t>
  </si>
  <si>
    <t>7 (5 + 6)*5%</t>
  </si>
  <si>
    <t>Escalation @ 5% 2nd Year</t>
  </si>
  <si>
    <t>LD as recommeded by OM&amp;M cell on quality parameters (rounded off to nearest thousand)</t>
  </si>
  <si>
    <t>GST @ 18 %</t>
  </si>
  <si>
    <t>Verified Amount</t>
  </si>
  <si>
    <t>TPI</t>
  </si>
  <si>
    <t>UPPCB</t>
  </si>
  <si>
    <t>Øl</t>
  </si>
  <si>
    <t>isesUV lfVZfQdsV@</t>
  </si>
  <si>
    <t>fcy dk fooj.k</t>
  </si>
  <si>
    <r>
      <t>39</t>
    </r>
    <r>
      <rPr>
        <vertAlign val="superscript"/>
        <sz val="11"/>
        <color theme="1"/>
        <rFont val="Times New Roman"/>
        <family val="1"/>
      </rPr>
      <t xml:space="preserve">th </t>
    </r>
    <r>
      <rPr>
        <sz val="11"/>
        <color theme="1"/>
        <rFont val="Times New Roman"/>
        <family val="1"/>
      </rPr>
      <t>Payment Certificate / Bill -</t>
    </r>
    <r>
      <rPr>
        <b/>
        <sz val="11"/>
        <color theme="1"/>
        <rFont val="Times New Roman"/>
        <family val="1"/>
      </rPr>
      <t>December, 2022</t>
    </r>
  </si>
  <si>
    <t>(Balance Payment)</t>
  </si>
  <si>
    <r>
      <t>40</t>
    </r>
    <r>
      <rPr>
        <vertAlign val="superscript"/>
        <sz val="11"/>
        <color theme="1"/>
        <rFont val="Times New Roman"/>
        <family val="1"/>
      </rPr>
      <t xml:space="preserve">th </t>
    </r>
    <r>
      <rPr>
        <sz val="11"/>
        <color theme="1"/>
        <rFont val="Times New Roman"/>
        <family val="1"/>
      </rPr>
      <t>Payment Certificate / Bill -</t>
    </r>
    <r>
      <rPr>
        <b/>
        <sz val="11"/>
        <color theme="1"/>
        <rFont val="Times New Roman"/>
        <family val="1"/>
      </rPr>
      <t>January, 2023</t>
    </r>
  </si>
  <si>
    <t xml:space="preserve">isesUV lfVZfQdsV@fcy ds lkis{k voeqDr dh tkus okyh /kujkf'k  </t>
  </si>
  <si>
    <r>
      <t xml:space="preserve">th0,l0Vh0 </t>
    </r>
    <r>
      <rPr>
        <b/>
        <sz val="12"/>
        <color theme="1"/>
        <rFont val="Times New Roman"/>
        <family val="1"/>
      </rPr>
      <t>(18%)</t>
    </r>
  </si>
  <si>
    <r>
      <t xml:space="preserve">¶;wy pktsZl </t>
    </r>
    <r>
      <rPr>
        <sz val="12"/>
        <color theme="1"/>
        <rFont val="Times New Roman"/>
        <family val="1"/>
      </rPr>
      <t>(As  per  actual Certified by UPJN)</t>
    </r>
  </si>
  <si>
    <r>
      <t xml:space="preserve">m0iz0 ty fuxe dks ns; lsUVst@ lqijohtu pktsZl </t>
    </r>
    <r>
      <rPr>
        <b/>
        <sz val="12"/>
        <color theme="1"/>
        <rFont val="Times New Roman"/>
        <family val="1"/>
      </rPr>
      <t>(10%)</t>
    </r>
  </si>
  <si>
    <t xml:space="preserve">;ksx ¼1$2$3$4½ </t>
  </si>
  <si>
    <t>m0ç0 ty fuxe dks vkoafVr dh tkus okyh /kujkf'k</t>
  </si>
  <si>
    <t>estj fjIyslesUV Q.M ds lkis{k ekg tuojh&amp;2023 rd yfEcr dqy /kujkf'k</t>
  </si>
  <si>
    <t>Escalation @ 5% 3rd Year</t>
  </si>
  <si>
    <t>8 (5+6+7)*5%</t>
  </si>
  <si>
    <t>9 (5+6+7+8)</t>
  </si>
  <si>
    <t>11 (9+10)</t>
  </si>
  <si>
    <t>12 (18% * 11)</t>
  </si>
  <si>
    <t>13 (10% * 11)</t>
  </si>
  <si>
    <t>15 (11+12+13+14)</t>
  </si>
  <si>
    <t>Gorakhpur Payment for the month of MARCH 2023 (As Per VoL -1, Section IV, Clause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</si>
</sst>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\-mmm\-yy;@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trike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Kruti Dev 010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Kruti Dev 010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4" fillId="0" borderId="0"/>
    <xf numFmtId="43" fontId="13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/>
    <xf numFmtId="1" fontId="1" fillId="0" borderId="0" xfId="0" applyNumberFormat="1" applyFont="1"/>
    <xf numFmtId="0" fontId="6" fillId="0" borderId="0" xfId="0" applyFont="1" applyAlignment="1">
      <alignment vertical="top" wrapText="1"/>
    </xf>
    <xf numFmtId="2" fontId="4" fillId="0" borderId="1" xfId="0" applyNumberFormat="1" applyFont="1" applyBorder="1"/>
    <xf numFmtId="0" fontId="2" fillId="0" borderId="0" xfId="0" applyFont="1"/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43" fontId="4" fillId="0" borderId="1" xfId="2" applyFont="1" applyBorder="1" applyAlignment="1">
      <alignment horizontal="right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4" fillId="3" borderId="0" xfId="0" applyFont="1" applyFill="1"/>
    <xf numFmtId="0" fontId="2" fillId="3" borderId="0" xfId="0" applyFont="1" applyFill="1"/>
    <xf numFmtId="0" fontId="0" fillId="3" borderId="0" xfId="0" applyFill="1"/>
    <xf numFmtId="0" fontId="1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" fontId="0" fillId="3" borderId="1" xfId="0" applyNumberForma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" fontId="15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43" fontId="8" fillId="0" borderId="1" xfId="2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justify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center" vertical="center" wrapText="1"/>
    </xf>
    <xf numFmtId="43" fontId="21" fillId="0" borderId="1" xfId="0" applyNumberFormat="1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2" fontId="21" fillId="0" borderId="1" xfId="0" applyNumberFormat="1" applyFont="1" applyBorder="1" applyAlignment="1">
      <alignment vertical="center" wrapText="1"/>
    </xf>
    <xf numFmtId="43" fontId="22" fillId="0" borderId="1" xfId="0" applyNumberFormat="1" applyFont="1" applyBorder="1" applyAlignment="1">
      <alignment vertical="center" wrapText="1"/>
    </xf>
    <xf numFmtId="4" fontId="25" fillId="0" borderId="0" xfId="0" applyNumberFormat="1" applyFont="1" applyAlignment="1">
      <alignment vertical="center" wrapText="1"/>
    </xf>
    <xf numFmtId="43" fontId="17" fillId="0" borderId="1" xfId="0" applyNumberFormat="1" applyFont="1" applyBorder="1" applyAlignment="1">
      <alignment vertical="center" wrapText="1"/>
    </xf>
    <xf numFmtId="43" fontId="19" fillId="0" borderId="1" xfId="0" applyNumberFormat="1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3" fontId="24" fillId="0" borderId="0" xfId="2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4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4" fillId="0" borderId="0" xfId="0" quotePrefix="1" applyFont="1"/>
    <xf numFmtId="0" fontId="13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43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3" fontId="24" fillId="0" borderId="1" xfId="2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 3" xfId="1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LL%20DETAILS\Checked%20Bill%20March-2023\12.22%20gk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LL%20DETAILS\Checked%20Bill%20March-2023\Adhoc%20Payment%20GZB%20&amp;%20GKHP%20Zon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ILL%20DETAILS\Checked%20Bill%20March-2023\ESCROW%20All%20Zones%20till%20March-2023-31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 MLD"/>
      <sheetName val="15 MLD"/>
      <sheetName val="12 MLD"/>
    </sheetNames>
    <sheetDataSet>
      <sheetData sheetId="0">
        <row r="26">
          <cell r="N26">
            <v>560628.69999999995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hazibad"/>
      <sheetName val="Gorakhpur"/>
    </sheetNames>
    <sheetDataSet>
      <sheetData sheetId="0"/>
      <sheetData sheetId="1">
        <row r="5">
          <cell r="E5">
            <v>7427357.25</v>
          </cell>
        </row>
        <row r="8">
          <cell r="E8">
            <v>95322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3)"/>
      <sheetName val="Sheet1 (2)"/>
      <sheetName val="Escrow Acoount Amount"/>
      <sheetName val="Lko Zone new"/>
      <sheetName val="Agra new"/>
      <sheetName val="Ghz new"/>
      <sheetName val="GKP new"/>
    </sheetNames>
    <sheetDataSet>
      <sheetData sheetId="0"/>
      <sheetData sheetId="1"/>
      <sheetData sheetId="2">
        <row r="58">
          <cell r="L58">
            <v>11825201.800000012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workbookViewId="0">
      <selection activeCell="L8" sqref="L8:N10"/>
    </sheetView>
  </sheetViews>
  <sheetFormatPr defaultRowHeight="15" x14ac:dyDescent="0.25"/>
  <cols>
    <col min="2" max="2" width="14" bestFit="1" customWidth="1"/>
    <col min="3" max="3" width="12.140625" bestFit="1" customWidth="1"/>
    <col min="4" max="4" width="9.28515625" bestFit="1" customWidth="1"/>
    <col min="5" max="5" width="15.42578125" bestFit="1" customWidth="1"/>
    <col min="6" max="6" width="11.85546875" bestFit="1" customWidth="1"/>
    <col min="7" max="8" width="13.140625" bestFit="1" customWidth="1"/>
    <col min="9" max="9" width="14.28515625" bestFit="1" customWidth="1"/>
    <col min="10" max="10" width="16.42578125" customWidth="1"/>
    <col min="11" max="11" width="18.85546875" customWidth="1"/>
    <col min="12" max="12" width="21" customWidth="1"/>
    <col min="13" max="13" width="22.42578125" customWidth="1"/>
    <col min="14" max="14" width="15.140625" customWidth="1"/>
  </cols>
  <sheetData>
    <row r="1" spans="1:13" ht="18.75" x14ac:dyDescent="0.3">
      <c r="A1" s="105" t="s">
        <v>93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"/>
    </row>
    <row r="2" spans="1:13" x14ac:dyDescent="0.25">
      <c r="G2" s="5"/>
      <c r="H2" s="5"/>
      <c r="I2" s="5"/>
    </row>
    <row r="4" spans="1:13" ht="18.75" customHeight="1" x14ac:dyDescent="0.25">
      <c r="A4" s="1"/>
      <c r="B4" s="1"/>
      <c r="C4" s="1"/>
      <c r="D4" s="1"/>
      <c r="E4" s="1"/>
      <c r="F4" s="1"/>
      <c r="G4" s="115" t="s">
        <v>15</v>
      </c>
      <c r="H4" s="115"/>
      <c r="I4" s="115"/>
      <c r="J4" s="115"/>
    </row>
    <row r="5" spans="1:13" ht="30" customHeight="1" x14ac:dyDescent="0.25">
      <c r="A5" s="106" t="s">
        <v>0</v>
      </c>
      <c r="B5" s="113" t="s">
        <v>1</v>
      </c>
      <c r="C5" s="113" t="s">
        <v>2</v>
      </c>
      <c r="D5" s="113" t="s">
        <v>59</v>
      </c>
      <c r="E5" s="113" t="s">
        <v>16</v>
      </c>
      <c r="F5" s="113" t="s">
        <v>17</v>
      </c>
      <c r="G5" s="113" t="s">
        <v>18</v>
      </c>
      <c r="H5" s="124" t="s">
        <v>53</v>
      </c>
      <c r="I5" s="125"/>
      <c r="J5" s="113" t="s">
        <v>54</v>
      </c>
      <c r="K5" s="113" t="s">
        <v>55</v>
      </c>
    </row>
    <row r="6" spans="1:13" ht="30" customHeight="1" x14ac:dyDescent="0.25">
      <c r="A6" s="107"/>
      <c r="B6" s="114"/>
      <c r="C6" s="114"/>
      <c r="D6" s="114"/>
      <c r="E6" s="114"/>
      <c r="F6" s="114"/>
      <c r="G6" s="114"/>
      <c r="H6" s="13" t="s">
        <v>58</v>
      </c>
      <c r="I6" s="13" t="s">
        <v>56</v>
      </c>
      <c r="J6" s="114"/>
      <c r="K6" s="114"/>
    </row>
    <row r="7" spans="1:13" ht="15.75" x14ac:dyDescent="0.25">
      <c r="A7" s="108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12" t="s">
        <v>10</v>
      </c>
      <c r="J7" s="13" t="s">
        <v>57</v>
      </c>
      <c r="K7" s="13" t="s">
        <v>62</v>
      </c>
    </row>
    <row r="8" spans="1:13" ht="15.75" x14ac:dyDescent="0.25">
      <c r="A8" s="2">
        <v>1</v>
      </c>
      <c r="B8" s="106" t="s">
        <v>31</v>
      </c>
      <c r="C8" s="11" t="s">
        <v>31</v>
      </c>
      <c r="D8" s="3">
        <v>30</v>
      </c>
      <c r="E8" s="109">
        <v>133211677</v>
      </c>
      <c r="F8" s="111">
        <f>E8/D12/12</f>
        <v>179047.95</v>
      </c>
      <c r="G8" s="9">
        <f>F12*D8</f>
        <v>5371438.5</v>
      </c>
      <c r="H8" s="9">
        <f>'30 MLD'!G37</f>
        <v>2130693.7799999998</v>
      </c>
      <c r="I8" s="9">
        <f>'30 MLD'!V37</f>
        <v>1389273.55</v>
      </c>
      <c r="J8" s="9">
        <f>'30 MLD'!W37</f>
        <v>20000</v>
      </c>
      <c r="K8" s="9">
        <f>I8+H8</f>
        <v>3519967.33</v>
      </c>
      <c r="L8" s="6"/>
      <c r="M8" s="6"/>
    </row>
    <row r="9" spans="1:13" ht="15.75" x14ac:dyDescent="0.25">
      <c r="A9" s="2">
        <v>2</v>
      </c>
      <c r="B9" s="107"/>
      <c r="C9" s="11" t="s">
        <v>31</v>
      </c>
      <c r="D9" s="3">
        <v>15</v>
      </c>
      <c r="E9" s="110"/>
      <c r="F9" s="112"/>
      <c r="G9" s="9">
        <f>F12*D9</f>
        <v>2685719.25</v>
      </c>
      <c r="H9" s="9">
        <f>'15 MLD'!G37</f>
        <v>1159017.77</v>
      </c>
      <c r="I9" s="9">
        <f>'15 MLD'!V37</f>
        <v>768086.91</v>
      </c>
      <c r="J9" s="9">
        <f>'15 MLD'!W37</f>
        <v>10000</v>
      </c>
      <c r="K9" s="9">
        <f t="shared" ref="K9:K10" si="0">I9+H9</f>
        <v>1927104.68</v>
      </c>
      <c r="L9" s="6"/>
      <c r="M9" s="6"/>
    </row>
    <row r="10" spans="1:13" ht="15.75" x14ac:dyDescent="0.25">
      <c r="A10" s="2">
        <v>3</v>
      </c>
      <c r="B10" s="107"/>
      <c r="C10" s="11" t="s">
        <v>32</v>
      </c>
      <c r="D10" s="3">
        <v>12</v>
      </c>
      <c r="E10" s="110"/>
      <c r="F10" s="112"/>
      <c r="G10" s="9">
        <f>F12*D10</f>
        <v>2148575.4</v>
      </c>
      <c r="H10" s="9">
        <f>'12 MLD'!G37</f>
        <v>1289145.23</v>
      </c>
      <c r="I10" s="9">
        <f>'12 MLD'!V37</f>
        <v>851113.28</v>
      </c>
      <c r="J10" s="9">
        <f>'12 MLD'!W37</f>
        <v>30000</v>
      </c>
      <c r="K10" s="9">
        <f t="shared" si="0"/>
        <v>2140258.5099999998</v>
      </c>
      <c r="L10" s="6"/>
      <c r="M10" s="6"/>
    </row>
    <row r="11" spans="1:13" ht="15.75" x14ac:dyDescent="0.25">
      <c r="A11" s="2">
        <v>4</v>
      </c>
      <c r="B11" s="107"/>
      <c r="C11" s="15" t="s">
        <v>33</v>
      </c>
      <c r="D11" s="16">
        <v>5</v>
      </c>
      <c r="E11" s="110"/>
      <c r="F11" s="112"/>
      <c r="G11" s="9">
        <f>F12*D11</f>
        <v>895239.75</v>
      </c>
      <c r="H11" s="9"/>
      <c r="I11" s="9"/>
      <c r="J11" s="9"/>
      <c r="K11" s="9"/>
      <c r="L11" s="6"/>
      <c r="M11" s="6"/>
    </row>
    <row r="12" spans="1:13" ht="15.75" x14ac:dyDescent="0.25">
      <c r="A12" s="4"/>
      <c r="B12" s="4"/>
      <c r="C12" s="4"/>
      <c r="D12" s="2">
        <f>SUM(D8:D11)</f>
        <v>62</v>
      </c>
      <c r="E12" s="9">
        <f>SUM(E8)</f>
        <v>133211677</v>
      </c>
      <c r="F12" s="9">
        <f>SUM(F8)</f>
        <v>179047.95</v>
      </c>
      <c r="G12" s="9">
        <f>SUM(G8:G11)</f>
        <v>11100972.9</v>
      </c>
      <c r="H12" s="9">
        <f>SUM(H8:H11)</f>
        <v>4578856.78</v>
      </c>
      <c r="I12" s="9">
        <f>SUM(I8:I11)</f>
        <v>3008473.74</v>
      </c>
      <c r="J12" s="9">
        <f>SUM(J8:J11)</f>
        <v>60000</v>
      </c>
      <c r="K12" s="19">
        <f>SUM(K8:K11)</f>
        <v>7587330.5199999996</v>
      </c>
      <c r="L12" s="8"/>
    </row>
    <row r="13" spans="1:13" x14ac:dyDescent="0.25">
      <c r="J13" s="7"/>
      <c r="L13" s="8"/>
    </row>
    <row r="14" spans="1:13" ht="37.5" x14ac:dyDescent="0.25">
      <c r="C14" s="118" t="s">
        <v>40</v>
      </c>
      <c r="D14" s="119"/>
      <c r="E14" s="119"/>
      <c r="F14" s="119"/>
      <c r="G14" s="119"/>
      <c r="H14" s="119"/>
      <c r="I14" s="119"/>
      <c r="J14" s="120"/>
      <c r="K14" s="18" t="s">
        <v>70</v>
      </c>
    </row>
    <row r="15" spans="1:13" ht="20.25" customHeight="1" x14ac:dyDescent="0.25">
      <c r="C15" s="104">
        <v>1</v>
      </c>
      <c r="D15" s="104"/>
      <c r="E15" s="121" t="s">
        <v>41</v>
      </c>
      <c r="F15" s="121"/>
      <c r="G15" s="121"/>
      <c r="H15" s="121"/>
      <c r="I15" s="121"/>
      <c r="J15" s="121"/>
      <c r="K15" s="103">
        <f>K12</f>
        <v>7587330.5199999996</v>
      </c>
    </row>
    <row r="16" spans="1:13" ht="23.25" customHeight="1" x14ac:dyDescent="0.25">
      <c r="C16" s="104">
        <v>2</v>
      </c>
      <c r="D16" s="104"/>
      <c r="E16" s="116" t="s">
        <v>68</v>
      </c>
      <c r="F16" s="116"/>
      <c r="G16" s="116"/>
      <c r="H16" s="116"/>
      <c r="I16" s="116"/>
      <c r="J16" s="116"/>
      <c r="K16" s="14">
        <f>J12</f>
        <v>60000</v>
      </c>
    </row>
    <row r="17" spans="3:11" ht="20.25" customHeight="1" x14ac:dyDescent="0.25">
      <c r="C17" s="104">
        <v>3</v>
      </c>
      <c r="D17" s="104"/>
      <c r="E17" s="116" t="s">
        <v>42</v>
      </c>
      <c r="F17" s="116"/>
      <c r="G17" s="116"/>
      <c r="H17" s="116"/>
      <c r="I17" s="116"/>
      <c r="J17" s="116"/>
      <c r="K17" s="14">
        <v>0</v>
      </c>
    </row>
    <row r="18" spans="3:11" ht="20.25" customHeight="1" x14ac:dyDescent="0.25">
      <c r="C18" s="104">
        <v>4</v>
      </c>
      <c r="D18" s="104"/>
      <c r="E18" s="116" t="s">
        <v>43</v>
      </c>
      <c r="F18" s="116"/>
      <c r="G18" s="116"/>
      <c r="H18" s="116"/>
      <c r="I18" s="116"/>
      <c r="J18" s="116"/>
      <c r="K18" s="14">
        <v>0</v>
      </c>
    </row>
    <row r="19" spans="3:11" ht="20.25" customHeight="1" x14ac:dyDescent="0.25">
      <c r="C19" s="104" t="s">
        <v>45</v>
      </c>
      <c r="D19" s="104"/>
      <c r="E19" s="117" t="s">
        <v>46</v>
      </c>
      <c r="F19" s="117"/>
      <c r="G19" s="117"/>
      <c r="H19" s="117"/>
      <c r="I19" s="117"/>
      <c r="J19" s="117"/>
      <c r="K19" s="42">
        <f>K15-K16-K17-K18</f>
        <v>7527330.5199999996</v>
      </c>
    </row>
    <row r="20" spans="3:11" ht="20.25" customHeight="1" x14ac:dyDescent="0.25">
      <c r="C20" s="104" t="s">
        <v>48</v>
      </c>
      <c r="D20" s="104"/>
      <c r="E20" s="116" t="s">
        <v>47</v>
      </c>
      <c r="F20" s="116"/>
      <c r="G20" s="116"/>
      <c r="H20" s="116"/>
      <c r="I20" s="116"/>
      <c r="J20" s="116"/>
      <c r="K20" s="14">
        <f>0.05*K19</f>
        <v>376366.53</v>
      </c>
    </row>
    <row r="21" spans="3:11" ht="20.25" customHeight="1" x14ac:dyDescent="0.25">
      <c r="C21" s="117" t="s">
        <v>66</v>
      </c>
      <c r="D21" s="117"/>
      <c r="E21" s="116" t="s">
        <v>67</v>
      </c>
      <c r="F21" s="116"/>
      <c r="G21" s="116"/>
      <c r="H21" s="116"/>
      <c r="I21" s="116"/>
      <c r="J21" s="116"/>
      <c r="K21" s="14">
        <f>(K19+K20)*5%</f>
        <v>395184.85</v>
      </c>
    </row>
    <row r="22" spans="3:11" ht="20.25" customHeight="1" x14ac:dyDescent="0.25">
      <c r="C22" s="122" t="s">
        <v>87</v>
      </c>
      <c r="D22" s="123"/>
      <c r="E22" s="116" t="s">
        <v>86</v>
      </c>
      <c r="F22" s="116"/>
      <c r="G22" s="116"/>
      <c r="H22" s="116"/>
      <c r="I22" s="116"/>
      <c r="J22" s="116"/>
      <c r="K22" s="14">
        <f>(+K19+K20+K21)*0.05</f>
        <v>414944.1</v>
      </c>
    </row>
    <row r="23" spans="3:11" ht="20.25" customHeight="1" x14ac:dyDescent="0.25">
      <c r="C23" s="104" t="s">
        <v>88</v>
      </c>
      <c r="D23" s="104"/>
      <c r="E23" s="117" t="s">
        <v>44</v>
      </c>
      <c r="F23" s="117"/>
      <c r="G23" s="117"/>
      <c r="H23" s="117"/>
      <c r="I23" s="117"/>
      <c r="J23" s="117"/>
      <c r="K23" s="42">
        <f>SUM(K19:K22)</f>
        <v>8713826</v>
      </c>
    </row>
    <row r="24" spans="3:11" ht="20.25" customHeight="1" x14ac:dyDescent="0.25">
      <c r="C24" s="104">
        <v>10</v>
      </c>
      <c r="D24" s="104"/>
      <c r="E24" s="116" t="s">
        <v>49</v>
      </c>
      <c r="F24" s="116"/>
      <c r="G24" s="116"/>
      <c r="H24" s="116"/>
      <c r="I24" s="116"/>
      <c r="J24" s="116"/>
      <c r="K24" s="14">
        <v>0</v>
      </c>
    </row>
    <row r="25" spans="3:11" ht="20.25" customHeight="1" x14ac:dyDescent="0.25">
      <c r="C25" s="104" t="s">
        <v>89</v>
      </c>
      <c r="D25" s="104"/>
      <c r="E25" s="117" t="s">
        <v>50</v>
      </c>
      <c r="F25" s="117"/>
      <c r="G25" s="117"/>
      <c r="H25" s="117"/>
      <c r="I25" s="117"/>
      <c r="J25" s="117"/>
      <c r="K25" s="42">
        <f>K24+K23</f>
        <v>8713826</v>
      </c>
    </row>
    <row r="26" spans="3:11" ht="20.25" customHeight="1" x14ac:dyDescent="0.25">
      <c r="C26" s="104" t="s">
        <v>90</v>
      </c>
      <c r="D26" s="104"/>
      <c r="E26" s="116" t="s">
        <v>69</v>
      </c>
      <c r="F26" s="116"/>
      <c r="G26" s="116"/>
      <c r="H26" s="116"/>
      <c r="I26" s="116"/>
      <c r="J26" s="116"/>
      <c r="K26" s="17">
        <f>K25*18%</f>
        <v>1568488.68</v>
      </c>
    </row>
    <row r="27" spans="3:11" ht="20.25" customHeight="1" x14ac:dyDescent="0.25">
      <c r="C27" s="104" t="s">
        <v>91</v>
      </c>
      <c r="D27" s="104"/>
      <c r="E27" s="116" t="s">
        <v>11</v>
      </c>
      <c r="F27" s="116"/>
      <c r="G27" s="116"/>
      <c r="H27" s="116"/>
      <c r="I27" s="116"/>
      <c r="J27" s="116"/>
      <c r="K27" s="17">
        <f>K25*10%</f>
        <v>871382.6</v>
      </c>
    </row>
    <row r="28" spans="3:11" ht="20.25" customHeight="1" x14ac:dyDescent="0.25">
      <c r="C28" s="104">
        <v>14</v>
      </c>
      <c r="D28" s="104"/>
      <c r="E28" s="116" t="s">
        <v>51</v>
      </c>
      <c r="F28" s="116"/>
      <c r="G28" s="116"/>
      <c r="H28" s="116"/>
      <c r="I28" s="116"/>
      <c r="J28" s="116"/>
      <c r="K28" s="14">
        <v>58526</v>
      </c>
    </row>
    <row r="29" spans="3:11" ht="20.25" customHeight="1" x14ac:dyDescent="0.25">
      <c r="C29" s="104" t="s">
        <v>92</v>
      </c>
      <c r="D29" s="104"/>
      <c r="E29" s="117" t="s">
        <v>52</v>
      </c>
      <c r="F29" s="117"/>
      <c r="G29" s="117"/>
      <c r="H29" s="117"/>
      <c r="I29" s="117"/>
      <c r="J29" s="117"/>
      <c r="K29" s="42">
        <f>K25+K26+K27+K28</f>
        <v>11212223.279999999</v>
      </c>
    </row>
  </sheetData>
  <mergeCells count="46">
    <mergeCell ref="E29:J29"/>
    <mergeCell ref="E20:J20"/>
    <mergeCell ref="E21:J21"/>
    <mergeCell ref="E23:J23"/>
    <mergeCell ref="E24:J24"/>
    <mergeCell ref="E25:J25"/>
    <mergeCell ref="E26:J26"/>
    <mergeCell ref="E27:J27"/>
    <mergeCell ref="E28:J28"/>
    <mergeCell ref="J5:J6"/>
    <mergeCell ref="G5:G6"/>
    <mergeCell ref="E5:E6"/>
    <mergeCell ref="F5:F6"/>
    <mergeCell ref="D5:D6"/>
    <mergeCell ref="H5:I5"/>
    <mergeCell ref="C26:D26"/>
    <mergeCell ref="C25:D25"/>
    <mergeCell ref="C16:D16"/>
    <mergeCell ref="C15:D15"/>
    <mergeCell ref="C19:D19"/>
    <mergeCell ref="C18:D18"/>
    <mergeCell ref="C21:D21"/>
    <mergeCell ref="E18:J18"/>
    <mergeCell ref="E19:J19"/>
    <mergeCell ref="C14:J14"/>
    <mergeCell ref="C23:D23"/>
    <mergeCell ref="E17:J17"/>
    <mergeCell ref="E15:J15"/>
    <mergeCell ref="E22:J22"/>
    <mergeCell ref="C22:D22"/>
    <mergeCell ref="C29:D29"/>
    <mergeCell ref="A1:K1"/>
    <mergeCell ref="C20:D20"/>
    <mergeCell ref="C24:D24"/>
    <mergeCell ref="A5:A7"/>
    <mergeCell ref="B8:B11"/>
    <mergeCell ref="E8:E11"/>
    <mergeCell ref="F8:F11"/>
    <mergeCell ref="C17:D17"/>
    <mergeCell ref="K5:K6"/>
    <mergeCell ref="B5:B6"/>
    <mergeCell ref="C5:C6"/>
    <mergeCell ref="G4:J4"/>
    <mergeCell ref="C27:D27"/>
    <mergeCell ref="C28:D28"/>
    <mergeCell ref="E16:J16"/>
  </mergeCells>
  <pageMargins left="0.78740157480314998" right="0.196850393700787" top="0.74803149606299202" bottom="0.74803149606299202" header="0.31496062992126" footer="0.31496062992126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3"/>
  <sheetViews>
    <sheetView topLeftCell="L4" zoomScaleNormal="100" workbookViewId="0">
      <selection activeCell="V6" sqref="V6:W36"/>
    </sheetView>
  </sheetViews>
  <sheetFormatPr defaultColWidth="9.140625" defaultRowHeight="15.75" x14ac:dyDescent="0.25"/>
  <cols>
    <col min="1" max="1" width="10.42578125" style="84" customWidth="1"/>
    <col min="2" max="2" width="15.140625" style="84" customWidth="1"/>
    <col min="3" max="3" width="8.85546875" style="84" customWidth="1"/>
    <col min="4" max="4" width="9.28515625" style="84" customWidth="1"/>
    <col min="5" max="5" width="10.7109375" style="84" customWidth="1"/>
    <col min="6" max="6" width="11.85546875" style="84" bestFit="1" customWidth="1"/>
    <col min="7" max="7" width="12.7109375" style="84" bestFit="1" customWidth="1"/>
    <col min="8" max="8" width="11.85546875" style="84" bestFit="1" customWidth="1"/>
    <col min="9" max="9" width="12.140625" style="84" customWidth="1"/>
    <col min="10" max="10" width="9.28515625" style="84" bestFit="1" customWidth="1"/>
    <col min="11" max="11" width="11.85546875" style="84" bestFit="1" customWidth="1"/>
    <col min="12" max="12" width="8.5703125" style="84" bestFit="1" customWidth="1"/>
    <col min="13" max="13" width="9.28515625" style="84" bestFit="1" customWidth="1"/>
    <col min="14" max="14" width="10.7109375" style="84" bestFit="1" customWidth="1"/>
    <col min="15" max="15" width="10.7109375" style="84" customWidth="1"/>
    <col min="16" max="16" width="9.28515625" style="84" bestFit="1" customWidth="1"/>
    <col min="17" max="17" width="11.85546875" style="84" bestFit="1" customWidth="1"/>
    <col min="18" max="18" width="10.5703125" style="84" customWidth="1"/>
    <col min="19" max="19" width="9.28515625" style="84" bestFit="1" customWidth="1"/>
    <col min="20" max="20" width="10.7109375" style="84" bestFit="1" customWidth="1"/>
    <col min="21" max="21" width="10.7109375" style="84" customWidth="1"/>
    <col min="22" max="22" width="14" style="84" customWidth="1"/>
    <col min="24" max="24" width="9.140625" style="65"/>
  </cols>
  <sheetData>
    <row r="1" spans="1:29" ht="18.75" x14ac:dyDescent="0.3">
      <c r="A1" s="131" t="str">
        <f>Summary!A1</f>
        <v>Gorakhpur Payment for the month of MARCH 2023 (As Per VoL -1, Section IV, Clause 39)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0"/>
      <c r="Y1" s="10"/>
      <c r="Z1" s="10"/>
      <c r="AA1" s="10"/>
      <c r="AB1" s="10"/>
      <c r="AC1" s="10"/>
    </row>
    <row r="2" spans="1:29" ht="18.75" x14ac:dyDescent="0.3">
      <c r="A2" s="66">
        <v>1</v>
      </c>
      <c r="B2" s="66">
        <v>2</v>
      </c>
      <c r="C2" s="66">
        <v>3</v>
      </c>
      <c r="D2" s="66">
        <v>4</v>
      </c>
      <c r="E2" s="66">
        <v>5</v>
      </c>
      <c r="F2" s="66">
        <v>6</v>
      </c>
      <c r="G2" s="66">
        <v>7</v>
      </c>
      <c r="H2" s="66">
        <v>8</v>
      </c>
      <c r="I2" s="66">
        <v>9</v>
      </c>
      <c r="J2" s="66">
        <v>10</v>
      </c>
      <c r="K2" s="66">
        <v>11</v>
      </c>
      <c r="L2" s="66">
        <v>12</v>
      </c>
      <c r="M2" s="66">
        <v>13</v>
      </c>
      <c r="N2" s="66">
        <v>14</v>
      </c>
      <c r="O2" s="66">
        <v>15</v>
      </c>
      <c r="P2" s="66">
        <v>16</v>
      </c>
      <c r="Q2" s="66">
        <v>17</v>
      </c>
      <c r="R2" s="66">
        <v>18</v>
      </c>
      <c r="S2" s="66">
        <v>19</v>
      </c>
      <c r="T2" s="66">
        <v>20</v>
      </c>
      <c r="U2" s="66">
        <v>21</v>
      </c>
      <c r="V2" s="66">
        <v>22</v>
      </c>
      <c r="W2" s="66">
        <v>23</v>
      </c>
      <c r="X2" s="67"/>
      <c r="Y2" s="68"/>
      <c r="Z2" s="68"/>
      <c r="AA2" s="68"/>
      <c r="AB2" s="68"/>
      <c r="AC2" s="68"/>
    </row>
    <row r="3" spans="1:29" x14ac:dyDescent="0.25">
      <c r="A3" s="69"/>
      <c r="B3" s="69"/>
      <c r="C3" s="127" t="s">
        <v>21</v>
      </c>
      <c r="D3" s="129"/>
      <c r="E3" s="70"/>
      <c r="F3" s="130" t="s">
        <v>63</v>
      </c>
      <c r="G3" s="130"/>
      <c r="H3" s="127" t="s">
        <v>61</v>
      </c>
      <c r="I3" s="129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1:29" s="72" customFormat="1" ht="21.95" customHeight="1" x14ac:dyDescent="0.25">
      <c r="A4" s="132" t="s">
        <v>20</v>
      </c>
      <c r="B4" s="113" t="s">
        <v>37</v>
      </c>
      <c r="C4" s="113" t="s">
        <v>27</v>
      </c>
      <c r="D4" s="113" t="s">
        <v>30</v>
      </c>
      <c r="E4" s="113" t="s">
        <v>29</v>
      </c>
      <c r="F4" s="130" t="s">
        <v>22</v>
      </c>
      <c r="G4" s="130" t="s">
        <v>23</v>
      </c>
      <c r="H4" s="130" t="s">
        <v>26</v>
      </c>
      <c r="I4" s="130" t="s">
        <v>23</v>
      </c>
      <c r="J4" s="127" t="s">
        <v>12</v>
      </c>
      <c r="K4" s="128"/>
      <c r="L4" s="128"/>
      <c r="M4" s="127" t="s">
        <v>14</v>
      </c>
      <c r="N4" s="128"/>
      <c r="O4" s="128"/>
      <c r="P4" s="127" t="s">
        <v>13</v>
      </c>
      <c r="Q4" s="128"/>
      <c r="R4" s="128"/>
      <c r="S4" s="127" t="s">
        <v>19</v>
      </c>
      <c r="T4" s="128"/>
      <c r="U4" s="129"/>
      <c r="V4" s="133" t="s">
        <v>60</v>
      </c>
      <c r="W4" s="130" t="s">
        <v>36</v>
      </c>
      <c r="X4" s="65"/>
    </row>
    <row r="5" spans="1:29" s="72" customFormat="1" ht="30" customHeight="1" x14ac:dyDescent="0.25">
      <c r="A5" s="126"/>
      <c r="B5" s="114"/>
      <c r="C5" s="114"/>
      <c r="D5" s="126"/>
      <c r="E5" s="126"/>
      <c r="F5" s="130"/>
      <c r="G5" s="130"/>
      <c r="H5" s="130"/>
      <c r="I5" s="130"/>
      <c r="J5" s="13" t="s">
        <v>35</v>
      </c>
      <c r="K5" s="73">
        <v>0.5</v>
      </c>
      <c r="L5" s="73" t="s">
        <v>36</v>
      </c>
      <c r="M5" s="13" t="s">
        <v>35</v>
      </c>
      <c r="N5" s="73">
        <v>0.15</v>
      </c>
      <c r="O5" s="73" t="s">
        <v>36</v>
      </c>
      <c r="P5" s="13" t="s">
        <v>35</v>
      </c>
      <c r="Q5" s="73">
        <v>0.25</v>
      </c>
      <c r="R5" s="73" t="s">
        <v>36</v>
      </c>
      <c r="S5" s="13" t="s">
        <v>35</v>
      </c>
      <c r="T5" s="73">
        <v>0.1</v>
      </c>
      <c r="U5" s="13" t="s">
        <v>36</v>
      </c>
      <c r="V5" s="133"/>
      <c r="W5" s="130"/>
      <c r="X5" s="65"/>
    </row>
    <row r="6" spans="1:29" x14ac:dyDescent="0.25">
      <c r="A6" s="74">
        <v>44986</v>
      </c>
      <c r="B6" s="75">
        <f>ROUND(Summary!$G$8/31,2)</f>
        <v>173272.21</v>
      </c>
      <c r="C6" s="75">
        <v>30</v>
      </c>
      <c r="D6" s="75">
        <v>22.79</v>
      </c>
      <c r="E6" s="75">
        <f>MIN(C6,D6)</f>
        <v>22.79</v>
      </c>
      <c r="F6" s="75">
        <f t="shared" ref="F6" si="0">B6*60%</f>
        <v>103963.33</v>
      </c>
      <c r="G6" s="75">
        <f>(F6*E6/C6)</f>
        <v>78977.48</v>
      </c>
      <c r="H6" s="75">
        <f>B6*40%</f>
        <v>69308.88</v>
      </c>
      <c r="I6" s="75">
        <f>(H6*E6)/C6</f>
        <v>52651.65</v>
      </c>
      <c r="J6" s="76">
        <v>9</v>
      </c>
      <c r="K6" s="75">
        <f t="shared" ref="K6:K31" si="1">I6*50%</f>
        <v>26325.83</v>
      </c>
      <c r="L6" s="75">
        <f t="shared" ref="L6:L31" si="2">IF(J6&gt;10,(MAX($B$37*0.1/100,10000)),0)</f>
        <v>0</v>
      </c>
      <c r="M6" s="77">
        <v>44</v>
      </c>
      <c r="N6" s="75">
        <f t="shared" ref="N6:N31" si="3">I6*15%</f>
        <v>7897.75</v>
      </c>
      <c r="O6" s="75">
        <f t="shared" ref="O6:O31" si="4">IF(M6&gt;100,(MAX($B$37*0.1/100,10000)),0)</f>
        <v>0</v>
      </c>
      <c r="P6" s="77">
        <v>22</v>
      </c>
      <c r="Q6" s="75">
        <f t="shared" ref="Q6:Q31" si="5">I6*25%</f>
        <v>13162.91</v>
      </c>
      <c r="R6" s="75">
        <f t="shared" ref="R6:R31" si="6">IF(P6&gt;30,(MAX($B$37*0.1/100,10000)),0)</f>
        <v>0</v>
      </c>
      <c r="S6" s="78">
        <v>300</v>
      </c>
      <c r="T6" s="75">
        <f t="shared" ref="T6:T31" si="7">I6*10%</f>
        <v>5265.17</v>
      </c>
      <c r="U6" s="75">
        <f t="shared" ref="U6:U31" si="8">IF(S6&gt;1000,(MAX(+$B$37*0.1/100,10000)),0)</f>
        <v>0</v>
      </c>
      <c r="V6" s="75">
        <f>T6+Q6+N6+K6</f>
        <v>52651.66</v>
      </c>
      <c r="W6" s="75">
        <f>U6+R6+O6+L6</f>
        <v>0</v>
      </c>
    </row>
    <row r="7" spans="1:29" x14ac:dyDescent="0.25">
      <c r="A7" s="74">
        <v>44987</v>
      </c>
      <c r="B7" s="75">
        <f>ROUND(Summary!$G$8/31,2)</f>
        <v>173272.21</v>
      </c>
      <c r="C7" s="75">
        <v>30</v>
      </c>
      <c r="D7" s="75">
        <v>22.01</v>
      </c>
      <c r="E7" s="75">
        <f t="shared" ref="E7:E36" si="9">MIN(C7,D7)</f>
        <v>22.01</v>
      </c>
      <c r="F7" s="75">
        <f t="shared" ref="F7:F31" si="10">B7*60%</f>
        <v>103963.33</v>
      </c>
      <c r="G7" s="75">
        <f t="shared" ref="G7:G36" si="11">(F7*E7/C7)</f>
        <v>76274.429999999993</v>
      </c>
      <c r="H7" s="75">
        <f t="shared" ref="H7:H31" si="12">B7*40%</f>
        <v>69308.88</v>
      </c>
      <c r="I7" s="75">
        <f t="shared" ref="I7:I36" si="13">(H7*E7)/C7</f>
        <v>50849.61</v>
      </c>
      <c r="J7" s="76">
        <v>6</v>
      </c>
      <c r="K7" s="75">
        <f t="shared" ref="K7:K36" si="14">I7*50%</f>
        <v>25424.81</v>
      </c>
      <c r="L7" s="75">
        <f t="shared" ref="L7:L36" si="15">IF(J7&gt;10,(MAX($B$37*0.1/100,10000)),0)</f>
        <v>0</v>
      </c>
      <c r="M7" s="77">
        <v>48</v>
      </c>
      <c r="N7" s="75">
        <f t="shared" ref="N7:N36" si="16">I7*15%</f>
        <v>7627.44</v>
      </c>
      <c r="O7" s="75">
        <f t="shared" ref="O7:O36" si="17">IF(M7&gt;100,(MAX($B$37*0.1/100,10000)),0)</f>
        <v>0</v>
      </c>
      <c r="P7" s="77">
        <v>21</v>
      </c>
      <c r="Q7" s="75">
        <f t="shared" ref="Q7:Q36" si="18">I7*25%</f>
        <v>12712.4</v>
      </c>
      <c r="R7" s="75">
        <f t="shared" ref="R7:R36" si="19">IF(P7&gt;30,(MAX($B$37*0.1/100,10000)),0)</f>
        <v>0</v>
      </c>
      <c r="S7" s="79">
        <v>580</v>
      </c>
      <c r="T7" s="75">
        <f t="shared" ref="T7:T36" si="20">I7*10%</f>
        <v>5084.96</v>
      </c>
      <c r="U7" s="75">
        <f t="shared" ref="U7:U36" si="21">IF(S7&gt;1000,(MAX(+$B$37*0.1/100,10000)),0)</f>
        <v>0</v>
      </c>
      <c r="V7" s="75">
        <f t="shared" ref="V7:V36" si="22">T7+Q7+N7+K7</f>
        <v>50849.61</v>
      </c>
      <c r="W7" s="75">
        <f t="shared" ref="W7:W36" si="23">U7+R7+O7+L7</f>
        <v>0</v>
      </c>
    </row>
    <row r="8" spans="1:29" x14ac:dyDescent="0.25">
      <c r="A8" s="74">
        <v>44988</v>
      </c>
      <c r="B8" s="75">
        <f>ROUND(Summary!$G$8/31,2)</f>
        <v>173272.21</v>
      </c>
      <c r="C8" s="75">
        <v>30</v>
      </c>
      <c r="D8" s="75">
        <v>23.73</v>
      </c>
      <c r="E8" s="75">
        <f t="shared" si="9"/>
        <v>23.73</v>
      </c>
      <c r="F8" s="75">
        <f t="shared" si="10"/>
        <v>103963.33</v>
      </c>
      <c r="G8" s="75">
        <f t="shared" si="11"/>
        <v>82234.990000000005</v>
      </c>
      <c r="H8" s="75">
        <f t="shared" si="12"/>
        <v>69308.88</v>
      </c>
      <c r="I8" s="75">
        <f t="shared" si="13"/>
        <v>54823.32</v>
      </c>
      <c r="J8" s="76">
        <v>5</v>
      </c>
      <c r="K8" s="75">
        <f t="shared" si="14"/>
        <v>27411.66</v>
      </c>
      <c r="L8" s="75">
        <f t="shared" si="15"/>
        <v>0</v>
      </c>
      <c r="M8" s="77">
        <v>48</v>
      </c>
      <c r="N8" s="75">
        <f t="shared" si="16"/>
        <v>8223.5</v>
      </c>
      <c r="O8" s="75">
        <f t="shared" si="17"/>
        <v>0</v>
      </c>
      <c r="P8" s="77">
        <v>18</v>
      </c>
      <c r="Q8" s="75">
        <f t="shared" si="18"/>
        <v>13705.83</v>
      </c>
      <c r="R8" s="75">
        <f t="shared" si="19"/>
        <v>0</v>
      </c>
      <c r="S8" s="79">
        <v>900</v>
      </c>
      <c r="T8" s="75">
        <f t="shared" si="20"/>
        <v>5482.33</v>
      </c>
      <c r="U8" s="75">
        <f t="shared" si="21"/>
        <v>0</v>
      </c>
      <c r="V8" s="75">
        <f t="shared" si="22"/>
        <v>54823.32</v>
      </c>
      <c r="W8" s="75">
        <f t="shared" si="23"/>
        <v>0</v>
      </c>
    </row>
    <row r="9" spans="1:29" x14ac:dyDescent="0.25">
      <c r="A9" s="74">
        <v>44989</v>
      </c>
      <c r="B9" s="75">
        <f>ROUND(Summary!$G$8/31,2)</f>
        <v>173272.21</v>
      </c>
      <c r="C9" s="75">
        <v>30</v>
      </c>
      <c r="D9" s="75">
        <v>22.28</v>
      </c>
      <c r="E9" s="75">
        <f t="shared" si="9"/>
        <v>22.28</v>
      </c>
      <c r="F9" s="75">
        <f t="shared" si="10"/>
        <v>103963.33</v>
      </c>
      <c r="G9" s="75">
        <f t="shared" si="11"/>
        <v>77210.100000000006</v>
      </c>
      <c r="H9" s="75">
        <f t="shared" si="12"/>
        <v>69308.88</v>
      </c>
      <c r="I9" s="75">
        <f t="shared" si="13"/>
        <v>51473.39</v>
      </c>
      <c r="J9" s="76">
        <v>6</v>
      </c>
      <c r="K9" s="75">
        <f t="shared" si="14"/>
        <v>25736.7</v>
      </c>
      <c r="L9" s="75">
        <f t="shared" si="15"/>
        <v>0</v>
      </c>
      <c r="M9" s="77">
        <v>32</v>
      </c>
      <c r="N9" s="75">
        <f t="shared" si="16"/>
        <v>7721.01</v>
      </c>
      <c r="O9" s="75">
        <f t="shared" si="17"/>
        <v>0</v>
      </c>
      <c r="P9" s="77">
        <v>16</v>
      </c>
      <c r="Q9" s="75">
        <f t="shared" si="18"/>
        <v>12868.35</v>
      </c>
      <c r="R9" s="75">
        <f t="shared" si="19"/>
        <v>0</v>
      </c>
      <c r="S9" s="79">
        <v>350</v>
      </c>
      <c r="T9" s="75">
        <f t="shared" si="20"/>
        <v>5147.34</v>
      </c>
      <c r="U9" s="75">
        <f t="shared" si="21"/>
        <v>0</v>
      </c>
      <c r="V9" s="75">
        <f t="shared" si="22"/>
        <v>51473.4</v>
      </c>
      <c r="W9" s="75">
        <f t="shared" si="23"/>
        <v>0</v>
      </c>
    </row>
    <row r="10" spans="1:29" x14ac:dyDescent="0.25">
      <c r="A10" s="74">
        <v>44990</v>
      </c>
      <c r="B10" s="75">
        <f>ROUND(Summary!$G$8/31,2)</f>
        <v>173272.21</v>
      </c>
      <c r="C10" s="75">
        <v>30</v>
      </c>
      <c r="D10" s="75">
        <v>20.64</v>
      </c>
      <c r="E10" s="75">
        <f t="shared" si="9"/>
        <v>20.64</v>
      </c>
      <c r="F10" s="75">
        <f t="shared" si="10"/>
        <v>103963.33</v>
      </c>
      <c r="G10" s="75">
        <f t="shared" si="11"/>
        <v>71526.77</v>
      </c>
      <c r="H10" s="75">
        <f t="shared" si="12"/>
        <v>69308.88</v>
      </c>
      <c r="I10" s="75">
        <f t="shared" si="13"/>
        <v>47684.51</v>
      </c>
      <c r="J10" s="76">
        <v>8</v>
      </c>
      <c r="K10" s="75">
        <f t="shared" si="14"/>
        <v>23842.26</v>
      </c>
      <c r="L10" s="75">
        <f t="shared" si="15"/>
        <v>0</v>
      </c>
      <c r="M10" s="77">
        <v>48</v>
      </c>
      <c r="N10" s="75">
        <f t="shared" si="16"/>
        <v>7152.68</v>
      </c>
      <c r="O10" s="75">
        <f t="shared" si="17"/>
        <v>0</v>
      </c>
      <c r="P10" s="77">
        <v>19</v>
      </c>
      <c r="Q10" s="75">
        <f t="shared" si="18"/>
        <v>11921.13</v>
      </c>
      <c r="R10" s="75">
        <f t="shared" si="19"/>
        <v>0</v>
      </c>
      <c r="S10" s="79">
        <v>500</v>
      </c>
      <c r="T10" s="75">
        <f t="shared" si="20"/>
        <v>4768.45</v>
      </c>
      <c r="U10" s="75">
        <f t="shared" si="21"/>
        <v>0</v>
      </c>
      <c r="V10" s="75">
        <f t="shared" si="22"/>
        <v>47684.52</v>
      </c>
      <c r="W10" s="75">
        <f t="shared" si="23"/>
        <v>0</v>
      </c>
    </row>
    <row r="11" spans="1:29" x14ac:dyDescent="0.25">
      <c r="A11" s="74">
        <v>44991</v>
      </c>
      <c r="B11" s="75">
        <f>ROUND(Summary!$G$8/31,2)</f>
        <v>173272.21</v>
      </c>
      <c r="C11" s="75">
        <v>30</v>
      </c>
      <c r="D11" s="75">
        <v>22.53</v>
      </c>
      <c r="E11" s="75">
        <f t="shared" si="9"/>
        <v>22.53</v>
      </c>
      <c r="F11" s="75">
        <f t="shared" si="10"/>
        <v>103963.33</v>
      </c>
      <c r="G11" s="75">
        <f t="shared" si="11"/>
        <v>78076.460000000006</v>
      </c>
      <c r="H11" s="75">
        <f t="shared" si="12"/>
        <v>69308.88</v>
      </c>
      <c r="I11" s="75">
        <f t="shared" si="13"/>
        <v>52050.97</v>
      </c>
      <c r="J11" s="76">
        <v>7</v>
      </c>
      <c r="K11" s="75">
        <f t="shared" si="14"/>
        <v>26025.49</v>
      </c>
      <c r="L11" s="75">
        <f t="shared" si="15"/>
        <v>0</v>
      </c>
      <c r="M11" s="77">
        <v>28</v>
      </c>
      <c r="N11" s="75">
        <f t="shared" si="16"/>
        <v>7807.65</v>
      </c>
      <c r="O11" s="75">
        <f t="shared" si="17"/>
        <v>0</v>
      </c>
      <c r="P11" s="77">
        <v>19</v>
      </c>
      <c r="Q11" s="75">
        <f t="shared" si="18"/>
        <v>13012.74</v>
      </c>
      <c r="R11" s="75">
        <f t="shared" si="19"/>
        <v>0</v>
      </c>
      <c r="S11" s="79">
        <v>900</v>
      </c>
      <c r="T11" s="75">
        <f t="shared" si="20"/>
        <v>5205.1000000000004</v>
      </c>
      <c r="U11" s="75">
        <f t="shared" si="21"/>
        <v>0</v>
      </c>
      <c r="V11" s="75">
        <f t="shared" si="22"/>
        <v>52050.98</v>
      </c>
      <c r="W11" s="75">
        <f t="shared" si="23"/>
        <v>0</v>
      </c>
    </row>
    <row r="12" spans="1:29" s="31" customFormat="1" x14ac:dyDescent="0.25">
      <c r="A12" s="26">
        <v>44992</v>
      </c>
      <c r="B12" s="27">
        <f>ROUND(Summary!$G$8/31,2)</f>
        <v>173272.21</v>
      </c>
      <c r="C12" s="27">
        <v>30</v>
      </c>
      <c r="D12" s="27">
        <v>20.78</v>
      </c>
      <c r="E12" s="75">
        <f t="shared" si="9"/>
        <v>20.78</v>
      </c>
      <c r="F12" s="27">
        <f t="shared" si="10"/>
        <v>103963.33</v>
      </c>
      <c r="G12" s="75">
        <f t="shared" si="11"/>
        <v>72011.929999999993</v>
      </c>
      <c r="H12" s="27">
        <f t="shared" si="12"/>
        <v>69308.88</v>
      </c>
      <c r="I12" s="75">
        <f t="shared" si="13"/>
        <v>48007.95</v>
      </c>
      <c r="J12" s="35">
        <v>9</v>
      </c>
      <c r="K12" s="75">
        <f t="shared" si="14"/>
        <v>24003.98</v>
      </c>
      <c r="L12" s="75">
        <f t="shared" si="15"/>
        <v>0</v>
      </c>
      <c r="M12" s="36">
        <v>22</v>
      </c>
      <c r="N12" s="75">
        <f t="shared" si="16"/>
        <v>7201.19</v>
      </c>
      <c r="O12" s="75">
        <f t="shared" si="17"/>
        <v>0</v>
      </c>
      <c r="P12" s="37">
        <v>26</v>
      </c>
      <c r="Q12" s="75">
        <f t="shared" si="18"/>
        <v>12001.99</v>
      </c>
      <c r="R12" s="75">
        <f t="shared" si="19"/>
        <v>0</v>
      </c>
      <c r="S12" s="37">
        <v>700</v>
      </c>
      <c r="T12" s="75">
        <f t="shared" si="20"/>
        <v>4800.8</v>
      </c>
      <c r="U12" s="75">
        <f t="shared" si="21"/>
        <v>0</v>
      </c>
      <c r="V12" s="75">
        <f t="shared" si="22"/>
        <v>48007.96</v>
      </c>
      <c r="W12" s="75">
        <f t="shared" si="23"/>
        <v>0</v>
      </c>
      <c r="X12" s="38" t="s">
        <v>72</v>
      </c>
    </row>
    <row r="13" spans="1:29" x14ac:dyDescent="0.25">
      <c r="A13" s="74">
        <v>44993</v>
      </c>
      <c r="B13" s="75">
        <f>ROUND(Summary!$G$8/31,2)</f>
        <v>173272.21</v>
      </c>
      <c r="C13" s="75">
        <v>30</v>
      </c>
      <c r="D13" s="75">
        <v>23.49</v>
      </c>
      <c r="E13" s="75">
        <f t="shared" si="9"/>
        <v>23.49</v>
      </c>
      <c r="F13" s="75">
        <f t="shared" si="10"/>
        <v>103963.33</v>
      </c>
      <c r="G13" s="75">
        <f t="shared" si="11"/>
        <v>81403.289999999994</v>
      </c>
      <c r="H13" s="75">
        <f t="shared" si="12"/>
        <v>69308.88</v>
      </c>
      <c r="I13" s="75">
        <f t="shared" si="13"/>
        <v>54268.85</v>
      </c>
      <c r="J13" s="80">
        <v>8</v>
      </c>
      <c r="K13" s="75">
        <f t="shared" si="14"/>
        <v>27134.43</v>
      </c>
      <c r="L13" s="75">
        <f t="shared" si="15"/>
        <v>0</v>
      </c>
      <c r="M13" s="77">
        <v>44</v>
      </c>
      <c r="N13" s="75">
        <f t="shared" si="16"/>
        <v>8140.33</v>
      </c>
      <c r="O13" s="75">
        <f t="shared" si="17"/>
        <v>0</v>
      </c>
      <c r="P13" s="77">
        <v>22</v>
      </c>
      <c r="Q13" s="75">
        <f t="shared" si="18"/>
        <v>13567.21</v>
      </c>
      <c r="R13" s="75">
        <f t="shared" si="19"/>
        <v>0</v>
      </c>
      <c r="S13" s="79">
        <v>350</v>
      </c>
      <c r="T13" s="75">
        <f t="shared" si="20"/>
        <v>5426.89</v>
      </c>
      <c r="U13" s="75">
        <f t="shared" si="21"/>
        <v>0</v>
      </c>
      <c r="V13" s="75">
        <f t="shared" si="22"/>
        <v>54268.86</v>
      </c>
      <c r="W13" s="75">
        <f t="shared" si="23"/>
        <v>0</v>
      </c>
    </row>
    <row r="14" spans="1:29" x14ac:dyDescent="0.25">
      <c r="A14" s="74">
        <v>44994</v>
      </c>
      <c r="B14" s="75">
        <f>ROUND(Summary!$G$8/31,2)</f>
        <v>173272.21</v>
      </c>
      <c r="C14" s="75">
        <v>30</v>
      </c>
      <c r="D14" s="75">
        <v>19.309999999999999</v>
      </c>
      <c r="E14" s="75">
        <f t="shared" si="9"/>
        <v>19.309999999999999</v>
      </c>
      <c r="F14" s="75">
        <f t="shared" si="10"/>
        <v>103963.33</v>
      </c>
      <c r="G14" s="75">
        <f t="shared" si="11"/>
        <v>66917.73</v>
      </c>
      <c r="H14" s="75">
        <f t="shared" si="12"/>
        <v>69308.88</v>
      </c>
      <c r="I14" s="75">
        <f t="shared" si="13"/>
        <v>44611.82</v>
      </c>
      <c r="J14" s="80">
        <v>6</v>
      </c>
      <c r="K14" s="75">
        <f t="shared" si="14"/>
        <v>22305.91</v>
      </c>
      <c r="L14" s="75">
        <f t="shared" si="15"/>
        <v>0</v>
      </c>
      <c r="M14" s="80">
        <v>60</v>
      </c>
      <c r="N14" s="75">
        <f t="shared" si="16"/>
        <v>6691.77</v>
      </c>
      <c r="O14" s="75">
        <f t="shared" si="17"/>
        <v>0</v>
      </c>
      <c r="P14" s="80">
        <v>19</v>
      </c>
      <c r="Q14" s="75">
        <f t="shared" si="18"/>
        <v>11152.96</v>
      </c>
      <c r="R14" s="75">
        <f t="shared" si="19"/>
        <v>0</v>
      </c>
      <c r="S14" s="79">
        <v>300</v>
      </c>
      <c r="T14" s="75">
        <f t="shared" si="20"/>
        <v>4461.18</v>
      </c>
      <c r="U14" s="75">
        <f t="shared" si="21"/>
        <v>0</v>
      </c>
      <c r="V14" s="75">
        <f t="shared" si="22"/>
        <v>44611.82</v>
      </c>
      <c r="W14" s="75">
        <f t="shared" si="23"/>
        <v>0</v>
      </c>
    </row>
    <row r="15" spans="1:29" s="24" customFormat="1" x14ac:dyDescent="0.25">
      <c r="A15" s="20">
        <v>44995</v>
      </c>
      <c r="B15" s="21">
        <f>ROUND(Summary!$G$8/31,2)</f>
        <v>173272.21</v>
      </c>
      <c r="C15" s="21">
        <v>30</v>
      </c>
      <c r="D15" s="21">
        <v>18</v>
      </c>
      <c r="E15" s="75">
        <f t="shared" si="9"/>
        <v>18</v>
      </c>
      <c r="F15" s="21">
        <f t="shared" si="10"/>
        <v>103963.33</v>
      </c>
      <c r="G15" s="75">
        <f t="shared" si="11"/>
        <v>62378</v>
      </c>
      <c r="H15" s="21">
        <f t="shared" si="12"/>
        <v>69308.88</v>
      </c>
      <c r="I15" s="75">
        <f t="shared" si="13"/>
        <v>41585.33</v>
      </c>
      <c r="J15" s="100">
        <v>16</v>
      </c>
      <c r="K15" s="75">
        <v>0</v>
      </c>
      <c r="L15" s="75">
        <f t="shared" si="15"/>
        <v>10000</v>
      </c>
      <c r="M15" s="98">
        <v>44</v>
      </c>
      <c r="N15" s="75">
        <f t="shared" si="16"/>
        <v>6237.8</v>
      </c>
      <c r="O15" s="75">
        <f t="shared" si="17"/>
        <v>0</v>
      </c>
      <c r="P15" s="100">
        <v>97</v>
      </c>
      <c r="Q15" s="75">
        <v>0</v>
      </c>
      <c r="R15" s="75">
        <f t="shared" si="19"/>
        <v>10000</v>
      </c>
      <c r="S15" s="98">
        <v>47</v>
      </c>
      <c r="T15" s="75">
        <f t="shared" si="20"/>
        <v>4158.53</v>
      </c>
      <c r="U15" s="75">
        <f t="shared" si="21"/>
        <v>0</v>
      </c>
      <c r="V15" s="75">
        <f t="shared" si="22"/>
        <v>10396.33</v>
      </c>
      <c r="W15" s="75">
        <f t="shared" si="23"/>
        <v>20000</v>
      </c>
      <c r="X15" s="34" t="s">
        <v>71</v>
      </c>
    </row>
    <row r="16" spans="1:29" x14ac:dyDescent="0.25">
      <c r="A16" s="74">
        <v>44996</v>
      </c>
      <c r="B16" s="75">
        <f>ROUND(Summary!$G$8/31,2)</f>
        <v>173272.21</v>
      </c>
      <c r="C16" s="75">
        <v>30</v>
      </c>
      <c r="D16" s="75">
        <v>17.940000000000001</v>
      </c>
      <c r="E16" s="75">
        <f t="shared" si="9"/>
        <v>17.940000000000001</v>
      </c>
      <c r="F16" s="75">
        <f t="shared" si="10"/>
        <v>103963.33</v>
      </c>
      <c r="G16" s="75">
        <f t="shared" si="11"/>
        <v>62170.07</v>
      </c>
      <c r="H16" s="75">
        <f t="shared" si="12"/>
        <v>69308.88</v>
      </c>
      <c r="I16" s="75">
        <f t="shared" si="13"/>
        <v>41446.71</v>
      </c>
      <c r="J16" s="80">
        <v>7</v>
      </c>
      <c r="K16" s="75">
        <f t="shared" si="14"/>
        <v>20723.36</v>
      </c>
      <c r="L16" s="75">
        <f t="shared" si="15"/>
        <v>0</v>
      </c>
      <c r="M16" s="77">
        <v>48</v>
      </c>
      <c r="N16" s="75">
        <f t="shared" si="16"/>
        <v>6217.01</v>
      </c>
      <c r="O16" s="75">
        <f t="shared" si="17"/>
        <v>0</v>
      </c>
      <c r="P16" s="79">
        <v>23</v>
      </c>
      <c r="Q16" s="75">
        <f t="shared" si="18"/>
        <v>10361.68</v>
      </c>
      <c r="R16" s="75">
        <f t="shared" si="19"/>
        <v>0</v>
      </c>
      <c r="S16" s="79">
        <v>220</v>
      </c>
      <c r="T16" s="75">
        <f t="shared" si="20"/>
        <v>4144.67</v>
      </c>
      <c r="U16" s="75">
        <f t="shared" si="21"/>
        <v>0</v>
      </c>
      <c r="V16" s="75">
        <f t="shared" si="22"/>
        <v>41446.720000000001</v>
      </c>
      <c r="W16" s="75">
        <f t="shared" si="23"/>
        <v>0</v>
      </c>
    </row>
    <row r="17" spans="1:24" x14ac:dyDescent="0.25">
      <c r="A17" s="74">
        <v>44997</v>
      </c>
      <c r="B17" s="75">
        <f>ROUND(Summary!$G$8/31,2)</f>
        <v>173272.21</v>
      </c>
      <c r="C17" s="75">
        <v>30</v>
      </c>
      <c r="D17" s="75">
        <v>21.03</v>
      </c>
      <c r="E17" s="75">
        <f t="shared" si="9"/>
        <v>21.03</v>
      </c>
      <c r="F17" s="75">
        <f t="shared" si="10"/>
        <v>103963.33</v>
      </c>
      <c r="G17" s="75">
        <f t="shared" si="11"/>
        <v>72878.289999999994</v>
      </c>
      <c r="H17" s="75">
        <f t="shared" si="12"/>
        <v>69308.88</v>
      </c>
      <c r="I17" s="75">
        <f t="shared" si="13"/>
        <v>48585.52</v>
      </c>
      <c r="J17" s="76">
        <v>8</v>
      </c>
      <c r="K17" s="75">
        <f t="shared" si="14"/>
        <v>24292.76</v>
      </c>
      <c r="L17" s="75">
        <f t="shared" si="15"/>
        <v>0</v>
      </c>
      <c r="M17" s="77">
        <v>44</v>
      </c>
      <c r="N17" s="75">
        <f t="shared" si="16"/>
        <v>7287.83</v>
      </c>
      <c r="O17" s="75">
        <f t="shared" si="17"/>
        <v>0</v>
      </c>
      <c r="P17" s="77">
        <v>23</v>
      </c>
      <c r="Q17" s="75">
        <f t="shared" si="18"/>
        <v>12146.38</v>
      </c>
      <c r="R17" s="75">
        <f t="shared" si="19"/>
        <v>0</v>
      </c>
      <c r="S17" s="80">
        <v>500</v>
      </c>
      <c r="T17" s="75">
        <f t="shared" si="20"/>
        <v>4858.55</v>
      </c>
      <c r="U17" s="75">
        <f t="shared" si="21"/>
        <v>0</v>
      </c>
      <c r="V17" s="75">
        <f t="shared" si="22"/>
        <v>48585.52</v>
      </c>
      <c r="W17" s="75">
        <f t="shared" si="23"/>
        <v>0</v>
      </c>
    </row>
    <row r="18" spans="1:24" x14ac:dyDescent="0.25">
      <c r="A18" s="74">
        <v>44998</v>
      </c>
      <c r="B18" s="75">
        <f>ROUND(Summary!$G$8/31,2)</f>
        <v>173272.21</v>
      </c>
      <c r="C18" s="75">
        <v>30</v>
      </c>
      <c r="D18" s="75">
        <v>15.48</v>
      </c>
      <c r="E18" s="75">
        <f t="shared" si="9"/>
        <v>15.48</v>
      </c>
      <c r="F18" s="75">
        <f t="shared" si="10"/>
        <v>103963.33</v>
      </c>
      <c r="G18" s="75">
        <f t="shared" si="11"/>
        <v>53645.08</v>
      </c>
      <c r="H18" s="75">
        <f t="shared" si="12"/>
        <v>69308.88</v>
      </c>
      <c r="I18" s="75">
        <f t="shared" si="13"/>
        <v>35763.379999999997</v>
      </c>
      <c r="J18" s="76">
        <v>8</v>
      </c>
      <c r="K18" s="75">
        <f t="shared" si="14"/>
        <v>17881.689999999999</v>
      </c>
      <c r="L18" s="75">
        <f t="shared" si="15"/>
        <v>0</v>
      </c>
      <c r="M18" s="77">
        <v>44</v>
      </c>
      <c r="N18" s="75">
        <f t="shared" si="16"/>
        <v>5364.51</v>
      </c>
      <c r="O18" s="75">
        <f t="shared" si="17"/>
        <v>0</v>
      </c>
      <c r="P18" s="77">
        <v>20</v>
      </c>
      <c r="Q18" s="75">
        <f t="shared" si="18"/>
        <v>8940.85</v>
      </c>
      <c r="R18" s="75">
        <f t="shared" si="19"/>
        <v>0</v>
      </c>
      <c r="S18" s="78">
        <v>300</v>
      </c>
      <c r="T18" s="75">
        <f t="shared" si="20"/>
        <v>3576.34</v>
      </c>
      <c r="U18" s="75">
        <f t="shared" si="21"/>
        <v>0</v>
      </c>
      <c r="V18" s="75">
        <f t="shared" si="22"/>
        <v>35763.39</v>
      </c>
      <c r="W18" s="75">
        <f t="shared" si="23"/>
        <v>0</v>
      </c>
    </row>
    <row r="19" spans="1:24" s="31" customFormat="1" x14ac:dyDescent="0.25">
      <c r="A19" s="26">
        <v>44999</v>
      </c>
      <c r="B19" s="27">
        <f>ROUND(Summary!$G$8/31,2)</f>
        <v>173272.21</v>
      </c>
      <c r="C19" s="27">
        <v>30</v>
      </c>
      <c r="D19" s="27">
        <v>20.059999999999999</v>
      </c>
      <c r="E19" s="75">
        <f t="shared" si="9"/>
        <v>20.059999999999999</v>
      </c>
      <c r="F19" s="27">
        <f t="shared" si="10"/>
        <v>103963.33</v>
      </c>
      <c r="G19" s="75">
        <f t="shared" si="11"/>
        <v>69516.81</v>
      </c>
      <c r="H19" s="27">
        <f t="shared" si="12"/>
        <v>69308.88</v>
      </c>
      <c r="I19" s="75">
        <f t="shared" si="13"/>
        <v>46344.54</v>
      </c>
      <c r="J19" s="35">
        <v>9</v>
      </c>
      <c r="K19" s="75">
        <f t="shared" si="14"/>
        <v>23172.27</v>
      </c>
      <c r="L19" s="75">
        <f t="shared" si="15"/>
        <v>0</v>
      </c>
      <c r="M19" s="36">
        <v>22</v>
      </c>
      <c r="N19" s="75">
        <f t="shared" si="16"/>
        <v>6951.68</v>
      </c>
      <c r="O19" s="75">
        <f t="shared" si="17"/>
        <v>0</v>
      </c>
      <c r="P19" s="36">
        <v>26</v>
      </c>
      <c r="Q19" s="75">
        <f t="shared" si="18"/>
        <v>11586.14</v>
      </c>
      <c r="R19" s="75">
        <f t="shared" si="19"/>
        <v>0</v>
      </c>
      <c r="S19" s="39">
        <v>700</v>
      </c>
      <c r="T19" s="75">
        <f t="shared" si="20"/>
        <v>4634.45</v>
      </c>
      <c r="U19" s="75">
        <f t="shared" si="21"/>
        <v>0</v>
      </c>
      <c r="V19" s="75">
        <f t="shared" si="22"/>
        <v>46344.54</v>
      </c>
      <c r="W19" s="75">
        <f t="shared" si="23"/>
        <v>0</v>
      </c>
      <c r="X19" s="38" t="s">
        <v>72</v>
      </c>
    </row>
    <row r="20" spans="1:24" x14ac:dyDescent="0.25">
      <c r="A20" s="74">
        <v>45000</v>
      </c>
      <c r="B20" s="75">
        <f>ROUND(Summary!$G$8/31,2)</f>
        <v>173272.21</v>
      </c>
      <c r="C20" s="75">
        <v>30</v>
      </c>
      <c r="D20" s="75">
        <v>21.7</v>
      </c>
      <c r="E20" s="75">
        <f t="shared" si="9"/>
        <v>21.7</v>
      </c>
      <c r="F20" s="75">
        <f t="shared" si="10"/>
        <v>103963.33</v>
      </c>
      <c r="G20" s="75">
        <f t="shared" si="11"/>
        <v>75200.14</v>
      </c>
      <c r="H20" s="75">
        <f t="shared" si="12"/>
        <v>69308.88</v>
      </c>
      <c r="I20" s="75">
        <f t="shared" si="13"/>
        <v>50133.42</v>
      </c>
      <c r="J20" s="76">
        <v>7</v>
      </c>
      <c r="K20" s="75">
        <f t="shared" si="14"/>
        <v>25066.71</v>
      </c>
      <c r="L20" s="75">
        <f t="shared" si="15"/>
        <v>0</v>
      </c>
      <c r="M20" s="77">
        <v>36</v>
      </c>
      <c r="N20" s="75">
        <f t="shared" si="16"/>
        <v>7520.01</v>
      </c>
      <c r="O20" s="75">
        <f t="shared" si="17"/>
        <v>0</v>
      </c>
      <c r="P20" s="77">
        <v>15</v>
      </c>
      <c r="Q20" s="75">
        <f t="shared" si="18"/>
        <v>12533.36</v>
      </c>
      <c r="R20" s="75">
        <f t="shared" si="19"/>
        <v>0</v>
      </c>
      <c r="S20" s="78">
        <v>500</v>
      </c>
      <c r="T20" s="75">
        <f t="shared" si="20"/>
        <v>5013.34</v>
      </c>
      <c r="U20" s="75">
        <f t="shared" si="21"/>
        <v>0</v>
      </c>
      <c r="V20" s="75">
        <f t="shared" si="22"/>
        <v>50133.42</v>
      </c>
      <c r="W20" s="75">
        <f t="shared" si="23"/>
        <v>0</v>
      </c>
    </row>
    <row r="21" spans="1:24" x14ac:dyDescent="0.25">
      <c r="A21" s="74">
        <v>45001</v>
      </c>
      <c r="B21" s="75">
        <f>ROUND(Summary!$G$8/31,2)</f>
        <v>173272.21</v>
      </c>
      <c r="C21" s="75">
        <v>30</v>
      </c>
      <c r="D21" s="75">
        <v>18.46</v>
      </c>
      <c r="E21" s="75">
        <f t="shared" si="9"/>
        <v>18.46</v>
      </c>
      <c r="F21" s="75">
        <f t="shared" si="10"/>
        <v>103963.33</v>
      </c>
      <c r="G21" s="75">
        <f t="shared" si="11"/>
        <v>63972.1</v>
      </c>
      <c r="H21" s="75">
        <f t="shared" si="12"/>
        <v>69308.88</v>
      </c>
      <c r="I21" s="75">
        <f t="shared" si="13"/>
        <v>42648.06</v>
      </c>
      <c r="J21" s="76">
        <v>5</v>
      </c>
      <c r="K21" s="75">
        <f t="shared" si="14"/>
        <v>21324.03</v>
      </c>
      <c r="L21" s="75">
        <f t="shared" si="15"/>
        <v>0</v>
      </c>
      <c r="M21" s="77">
        <v>36</v>
      </c>
      <c r="N21" s="75">
        <f t="shared" si="16"/>
        <v>6397.21</v>
      </c>
      <c r="O21" s="75">
        <f t="shared" si="17"/>
        <v>0</v>
      </c>
      <c r="P21" s="77">
        <v>18</v>
      </c>
      <c r="Q21" s="75">
        <f t="shared" si="18"/>
        <v>10662.02</v>
      </c>
      <c r="R21" s="75">
        <f t="shared" si="19"/>
        <v>0</v>
      </c>
      <c r="S21" s="78">
        <v>900</v>
      </c>
      <c r="T21" s="75">
        <f t="shared" si="20"/>
        <v>4264.8100000000004</v>
      </c>
      <c r="U21" s="75">
        <f t="shared" si="21"/>
        <v>0</v>
      </c>
      <c r="V21" s="75">
        <f t="shared" si="22"/>
        <v>42648.07</v>
      </c>
      <c r="W21" s="75">
        <f t="shared" si="23"/>
        <v>0</v>
      </c>
    </row>
    <row r="22" spans="1:24" x14ac:dyDescent="0.25">
      <c r="A22" s="74">
        <v>45002</v>
      </c>
      <c r="B22" s="75">
        <f>ROUND(Summary!$G$8/31,2)</f>
        <v>173272.21</v>
      </c>
      <c r="C22" s="75">
        <v>30</v>
      </c>
      <c r="D22" s="75">
        <v>17.63</v>
      </c>
      <c r="E22" s="75">
        <f t="shared" si="9"/>
        <v>17.63</v>
      </c>
      <c r="F22" s="75">
        <f t="shared" si="10"/>
        <v>103963.33</v>
      </c>
      <c r="G22" s="75">
        <f t="shared" si="11"/>
        <v>61095.78</v>
      </c>
      <c r="H22" s="75">
        <f t="shared" si="12"/>
        <v>69308.88</v>
      </c>
      <c r="I22" s="75">
        <f t="shared" si="13"/>
        <v>40730.519999999997</v>
      </c>
      <c r="J22" s="76">
        <v>8</v>
      </c>
      <c r="K22" s="75">
        <f t="shared" si="14"/>
        <v>20365.259999999998</v>
      </c>
      <c r="L22" s="75">
        <f t="shared" si="15"/>
        <v>0</v>
      </c>
      <c r="M22" s="77">
        <v>48</v>
      </c>
      <c r="N22" s="75">
        <f t="shared" si="16"/>
        <v>6109.58</v>
      </c>
      <c r="O22" s="75">
        <f t="shared" si="17"/>
        <v>0</v>
      </c>
      <c r="P22" s="79">
        <v>22</v>
      </c>
      <c r="Q22" s="75">
        <f t="shared" si="18"/>
        <v>10182.629999999999</v>
      </c>
      <c r="R22" s="75">
        <f t="shared" si="19"/>
        <v>0</v>
      </c>
      <c r="S22" s="78">
        <v>350</v>
      </c>
      <c r="T22" s="75">
        <f t="shared" si="20"/>
        <v>4073.05</v>
      </c>
      <c r="U22" s="75">
        <f t="shared" si="21"/>
        <v>0</v>
      </c>
      <c r="V22" s="75">
        <f t="shared" si="22"/>
        <v>40730.519999999997</v>
      </c>
      <c r="W22" s="75">
        <f t="shared" si="23"/>
        <v>0</v>
      </c>
    </row>
    <row r="23" spans="1:24" x14ac:dyDescent="0.25">
      <c r="A23" s="74">
        <v>45003</v>
      </c>
      <c r="B23" s="75">
        <f>ROUND(Summary!$G$8/31,2)</f>
        <v>173272.21</v>
      </c>
      <c r="C23" s="75">
        <v>30</v>
      </c>
      <c r="D23" s="75">
        <v>19.489999999999998</v>
      </c>
      <c r="E23" s="75">
        <f t="shared" si="9"/>
        <v>19.489999999999998</v>
      </c>
      <c r="F23" s="75">
        <f t="shared" si="10"/>
        <v>103963.33</v>
      </c>
      <c r="G23" s="75">
        <f t="shared" si="11"/>
        <v>67541.509999999995</v>
      </c>
      <c r="H23" s="75">
        <f t="shared" si="12"/>
        <v>69308.88</v>
      </c>
      <c r="I23" s="75">
        <f t="shared" si="13"/>
        <v>45027.67</v>
      </c>
      <c r="J23" s="76">
        <v>7</v>
      </c>
      <c r="K23" s="75">
        <f t="shared" si="14"/>
        <v>22513.84</v>
      </c>
      <c r="L23" s="75">
        <f t="shared" si="15"/>
        <v>0</v>
      </c>
      <c r="M23" s="77">
        <v>28</v>
      </c>
      <c r="N23" s="75">
        <f t="shared" si="16"/>
        <v>6754.15</v>
      </c>
      <c r="O23" s="75">
        <f t="shared" si="17"/>
        <v>0</v>
      </c>
      <c r="P23" s="77">
        <v>19</v>
      </c>
      <c r="Q23" s="75">
        <f t="shared" si="18"/>
        <v>11256.92</v>
      </c>
      <c r="R23" s="75">
        <f t="shared" si="19"/>
        <v>0</v>
      </c>
      <c r="S23" s="79">
        <v>280</v>
      </c>
      <c r="T23" s="75">
        <f t="shared" si="20"/>
        <v>4502.7700000000004</v>
      </c>
      <c r="U23" s="75">
        <f t="shared" si="21"/>
        <v>0</v>
      </c>
      <c r="V23" s="75">
        <f t="shared" si="22"/>
        <v>45027.68</v>
      </c>
      <c r="W23" s="75">
        <f t="shared" si="23"/>
        <v>0</v>
      </c>
    </row>
    <row r="24" spans="1:24" x14ac:dyDescent="0.25">
      <c r="A24" s="74">
        <v>45004</v>
      </c>
      <c r="B24" s="75">
        <f>ROUND(Summary!$G$8/31,2)</f>
        <v>173272.21</v>
      </c>
      <c r="C24" s="75">
        <v>30</v>
      </c>
      <c r="D24" s="75">
        <v>18.28</v>
      </c>
      <c r="E24" s="75">
        <f t="shared" si="9"/>
        <v>18.28</v>
      </c>
      <c r="F24" s="75">
        <f t="shared" si="10"/>
        <v>103963.33</v>
      </c>
      <c r="G24" s="75">
        <f t="shared" si="11"/>
        <v>63348.32</v>
      </c>
      <c r="H24" s="75">
        <f t="shared" si="12"/>
        <v>69308.88</v>
      </c>
      <c r="I24" s="75">
        <f t="shared" si="13"/>
        <v>42232.21</v>
      </c>
      <c r="J24" s="76">
        <v>6</v>
      </c>
      <c r="K24" s="75">
        <f t="shared" si="14"/>
        <v>21116.11</v>
      </c>
      <c r="L24" s="75">
        <f t="shared" si="15"/>
        <v>0</v>
      </c>
      <c r="M24" s="77">
        <v>44</v>
      </c>
      <c r="N24" s="75">
        <f t="shared" si="16"/>
        <v>6334.83</v>
      </c>
      <c r="O24" s="75">
        <f t="shared" si="17"/>
        <v>0</v>
      </c>
      <c r="P24" s="77">
        <v>18</v>
      </c>
      <c r="Q24" s="75">
        <f t="shared" si="18"/>
        <v>10558.05</v>
      </c>
      <c r="R24" s="75">
        <f t="shared" si="19"/>
        <v>0</v>
      </c>
      <c r="S24" s="78">
        <v>500</v>
      </c>
      <c r="T24" s="75">
        <f t="shared" si="20"/>
        <v>4223.22</v>
      </c>
      <c r="U24" s="75">
        <f t="shared" si="21"/>
        <v>0</v>
      </c>
      <c r="V24" s="75">
        <f t="shared" si="22"/>
        <v>42232.21</v>
      </c>
      <c r="W24" s="75">
        <f t="shared" si="23"/>
        <v>0</v>
      </c>
    </row>
    <row r="25" spans="1:24" x14ac:dyDescent="0.25">
      <c r="A25" s="74">
        <v>45005</v>
      </c>
      <c r="B25" s="75">
        <f>ROUND(Summary!$G$8/31,2)</f>
        <v>173272.21</v>
      </c>
      <c r="C25" s="75">
        <v>30</v>
      </c>
      <c r="D25" s="75">
        <v>16.96</v>
      </c>
      <c r="E25" s="75">
        <f t="shared" si="9"/>
        <v>16.96</v>
      </c>
      <c r="F25" s="75">
        <f t="shared" si="10"/>
        <v>103963.33</v>
      </c>
      <c r="G25" s="75">
        <f t="shared" si="11"/>
        <v>58773.94</v>
      </c>
      <c r="H25" s="75">
        <f t="shared" si="12"/>
        <v>69308.88</v>
      </c>
      <c r="I25" s="75">
        <f t="shared" si="13"/>
        <v>39182.620000000003</v>
      </c>
      <c r="J25" s="76">
        <v>7</v>
      </c>
      <c r="K25" s="75">
        <f t="shared" si="14"/>
        <v>19591.310000000001</v>
      </c>
      <c r="L25" s="75">
        <f t="shared" si="15"/>
        <v>0</v>
      </c>
      <c r="M25" s="77">
        <v>40</v>
      </c>
      <c r="N25" s="75">
        <f t="shared" si="16"/>
        <v>5877.39</v>
      </c>
      <c r="O25" s="75">
        <f t="shared" si="17"/>
        <v>0</v>
      </c>
      <c r="P25" s="77">
        <v>20</v>
      </c>
      <c r="Q25" s="75">
        <f t="shared" si="18"/>
        <v>9795.66</v>
      </c>
      <c r="R25" s="75">
        <f t="shared" si="19"/>
        <v>0</v>
      </c>
      <c r="S25" s="78">
        <v>900</v>
      </c>
      <c r="T25" s="75">
        <f t="shared" si="20"/>
        <v>3918.26</v>
      </c>
      <c r="U25" s="75">
        <f t="shared" si="21"/>
        <v>0</v>
      </c>
      <c r="V25" s="75">
        <f t="shared" si="22"/>
        <v>39182.620000000003</v>
      </c>
      <c r="W25" s="75">
        <f t="shared" si="23"/>
        <v>0</v>
      </c>
    </row>
    <row r="26" spans="1:24" s="31" customFormat="1" x14ac:dyDescent="0.25">
      <c r="A26" s="26">
        <v>45006</v>
      </c>
      <c r="B26" s="27">
        <f>ROUND(Summary!$G$8/31,2)</f>
        <v>173272.21</v>
      </c>
      <c r="C26" s="27">
        <v>30</v>
      </c>
      <c r="D26" s="27">
        <v>21.09</v>
      </c>
      <c r="E26" s="75">
        <f t="shared" si="9"/>
        <v>21.09</v>
      </c>
      <c r="F26" s="27">
        <f t="shared" si="10"/>
        <v>103963.33</v>
      </c>
      <c r="G26" s="75">
        <f t="shared" si="11"/>
        <v>73086.22</v>
      </c>
      <c r="H26" s="27">
        <f t="shared" si="12"/>
        <v>69308.88</v>
      </c>
      <c r="I26" s="75">
        <f t="shared" si="13"/>
        <v>48724.14</v>
      </c>
      <c r="J26" s="35">
        <v>9</v>
      </c>
      <c r="K26" s="75">
        <f t="shared" si="14"/>
        <v>24362.07</v>
      </c>
      <c r="L26" s="75">
        <f t="shared" si="15"/>
        <v>0</v>
      </c>
      <c r="M26" s="36">
        <v>22</v>
      </c>
      <c r="N26" s="75">
        <f t="shared" si="16"/>
        <v>7308.62</v>
      </c>
      <c r="O26" s="75">
        <f t="shared" si="17"/>
        <v>0</v>
      </c>
      <c r="P26" s="36">
        <v>26</v>
      </c>
      <c r="Q26" s="75">
        <f t="shared" si="18"/>
        <v>12181.04</v>
      </c>
      <c r="R26" s="75">
        <f t="shared" si="19"/>
        <v>0</v>
      </c>
      <c r="S26" s="39">
        <v>700</v>
      </c>
      <c r="T26" s="75">
        <f t="shared" si="20"/>
        <v>4872.41</v>
      </c>
      <c r="U26" s="75">
        <f t="shared" si="21"/>
        <v>0</v>
      </c>
      <c r="V26" s="75">
        <f t="shared" si="22"/>
        <v>48724.14</v>
      </c>
      <c r="W26" s="75">
        <f t="shared" si="23"/>
        <v>0</v>
      </c>
      <c r="X26" s="38" t="s">
        <v>72</v>
      </c>
    </row>
    <row r="27" spans="1:24" x14ac:dyDescent="0.25">
      <c r="A27" s="74">
        <v>45007</v>
      </c>
      <c r="B27" s="75">
        <f>ROUND(Summary!$G$8/31,2)</f>
        <v>173272.21</v>
      </c>
      <c r="C27" s="75">
        <v>30</v>
      </c>
      <c r="D27" s="75">
        <v>18.52</v>
      </c>
      <c r="E27" s="75">
        <f t="shared" si="9"/>
        <v>18.52</v>
      </c>
      <c r="F27" s="75">
        <f t="shared" si="10"/>
        <v>103963.33</v>
      </c>
      <c r="G27" s="75">
        <f t="shared" si="11"/>
        <v>64180.03</v>
      </c>
      <c r="H27" s="75">
        <f t="shared" si="12"/>
        <v>69308.88</v>
      </c>
      <c r="I27" s="75">
        <f t="shared" si="13"/>
        <v>42786.68</v>
      </c>
      <c r="J27" s="76">
        <v>9</v>
      </c>
      <c r="K27" s="75">
        <f t="shared" si="14"/>
        <v>21393.34</v>
      </c>
      <c r="L27" s="75">
        <f t="shared" si="15"/>
        <v>0</v>
      </c>
      <c r="M27" s="77">
        <v>52</v>
      </c>
      <c r="N27" s="75">
        <f t="shared" si="16"/>
        <v>6418</v>
      </c>
      <c r="O27" s="75">
        <f t="shared" si="17"/>
        <v>0</v>
      </c>
      <c r="P27" s="76">
        <v>22</v>
      </c>
      <c r="Q27" s="75">
        <f t="shared" si="18"/>
        <v>10696.67</v>
      </c>
      <c r="R27" s="75">
        <f t="shared" si="19"/>
        <v>0</v>
      </c>
      <c r="S27" s="78">
        <v>220</v>
      </c>
      <c r="T27" s="75">
        <f t="shared" si="20"/>
        <v>4278.67</v>
      </c>
      <c r="U27" s="75">
        <f t="shared" si="21"/>
        <v>0</v>
      </c>
      <c r="V27" s="75">
        <f t="shared" si="22"/>
        <v>42786.68</v>
      </c>
      <c r="W27" s="75">
        <f t="shared" si="23"/>
        <v>0</v>
      </c>
    </row>
    <row r="28" spans="1:24" x14ac:dyDescent="0.25">
      <c r="A28" s="74">
        <v>45008</v>
      </c>
      <c r="B28" s="75">
        <f>ROUND(Summary!$G$8/31,2)</f>
        <v>173272.21</v>
      </c>
      <c r="C28" s="75">
        <v>30</v>
      </c>
      <c r="D28" s="75">
        <v>16.54</v>
      </c>
      <c r="E28" s="75">
        <f t="shared" si="9"/>
        <v>16.54</v>
      </c>
      <c r="F28" s="75">
        <f t="shared" si="10"/>
        <v>103963.33</v>
      </c>
      <c r="G28" s="75">
        <f t="shared" si="11"/>
        <v>57318.45</v>
      </c>
      <c r="H28" s="75">
        <f t="shared" si="12"/>
        <v>69308.88</v>
      </c>
      <c r="I28" s="75">
        <f t="shared" si="13"/>
        <v>38212.300000000003</v>
      </c>
      <c r="J28" s="76">
        <v>8</v>
      </c>
      <c r="K28" s="75">
        <f t="shared" si="14"/>
        <v>19106.150000000001</v>
      </c>
      <c r="L28" s="75">
        <f t="shared" si="15"/>
        <v>0</v>
      </c>
      <c r="M28" s="76">
        <v>40</v>
      </c>
      <c r="N28" s="75">
        <f t="shared" si="16"/>
        <v>5731.85</v>
      </c>
      <c r="O28" s="75">
        <f t="shared" si="17"/>
        <v>0</v>
      </c>
      <c r="P28" s="76">
        <v>18</v>
      </c>
      <c r="Q28" s="75">
        <f t="shared" si="18"/>
        <v>9553.08</v>
      </c>
      <c r="R28" s="75">
        <f t="shared" si="19"/>
        <v>0</v>
      </c>
      <c r="S28" s="76">
        <v>300</v>
      </c>
      <c r="T28" s="75">
        <f t="shared" si="20"/>
        <v>3821.23</v>
      </c>
      <c r="U28" s="75">
        <f t="shared" si="21"/>
        <v>0</v>
      </c>
      <c r="V28" s="75">
        <f t="shared" si="22"/>
        <v>38212.31</v>
      </c>
      <c r="W28" s="75">
        <f t="shared" si="23"/>
        <v>0</v>
      </c>
    </row>
    <row r="29" spans="1:24" x14ac:dyDescent="0.25">
      <c r="A29" s="74">
        <v>45009</v>
      </c>
      <c r="B29" s="75">
        <f>ROUND(Summary!$G$8/31,2)</f>
        <v>173272.21</v>
      </c>
      <c r="C29" s="75">
        <v>30</v>
      </c>
      <c r="D29" s="75">
        <v>21.12</v>
      </c>
      <c r="E29" s="75">
        <f t="shared" si="9"/>
        <v>21.12</v>
      </c>
      <c r="F29" s="75">
        <f t="shared" si="10"/>
        <v>103963.33</v>
      </c>
      <c r="G29" s="75">
        <f t="shared" si="11"/>
        <v>73190.179999999993</v>
      </c>
      <c r="H29" s="75">
        <f t="shared" si="12"/>
        <v>69308.88</v>
      </c>
      <c r="I29" s="75">
        <f t="shared" si="13"/>
        <v>48793.45</v>
      </c>
      <c r="J29" s="76">
        <v>7</v>
      </c>
      <c r="K29" s="75">
        <f t="shared" si="14"/>
        <v>24396.73</v>
      </c>
      <c r="L29" s="75">
        <f t="shared" si="15"/>
        <v>0</v>
      </c>
      <c r="M29" s="76">
        <v>52</v>
      </c>
      <c r="N29" s="75">
        <f t="shared" si="16"/>
        <v>7319.02</v>
      </c>
      <c r="O29" s="75">
        <f t="shared" si="17"/>
        <v>0</v>
      </c>
      <c r="P29" s="79">
        <v>21</v>
      </c>
      <c r="Q29" s="75">
        <f t="shared" si="18"/>
        <v>12198.36</v>
      </c>
      <c r="R29" s="75">
        <f t="shared" si="19"/>
        <v>0</v>
      </c>
      <c r="S29" s="76">
        <v>500</v>
      </c>
      <c r="T29" s="75">
        <f t="shared" si="20"/>
        <v>4879.3500000000004</v>
      </c>
      <c r="U29" s="75">
        <f t="shared" si="21"/>
        <v>0</v>
      </c>
      <c r="V29" s="75">
        <f t="shared" si="22"/>
        <v>48793.46</v>
      </c>
      <c r="W29" s="75">
        <f t="shared" si="23"/>
        <v>0</v>
      </c>
    </row>
    <row r="30" spans="1:24" x14ac:dyDescent="0.25">
      <c r="A30" s="74">
        <v>45010</v>
      </c>
      <c r="B30" s="75">
        <f>ROUND(Summary!$G$8/31,2)</f>
        <v>173272.21</v>
      </c>
      <c r="C30" s="75">
        <v>30</v>
      </c>
      <c r="D30" s="75">
        <v>20.81</v>
      </c>
      <c r="E30" s="75">
        <f t="shared" si="9"/>
        <v>20.81</v>
      </c>
      <c r="F30" s="75">
        <f t="shared" si="10"/>
        <v>103963.33</v>
      </c>
      <c r="G30" s="75">
        <f t="shared" si="11"/>
        <v>72115.899999999994</v>
      </c>
      <c r="H30" s="75">
        <f t="shared" si="12"/>
        <v>69308.88</v>
      </c>
      <c r="I30" s="75">
        <f t="shared" si="13"/>
        <v>48077.26</v>
      </c>
      <c r="J30" s="76">
        <v>6</v>
      </c>
      <c r="K30" s="75">
        <f t="shared" si="14"/>
        <v>24038.63</v>
      </c>
      <c r="L30" s="75">
        <f t="shared" si="15"/>
        <v>0</v>
      </c>
      <c r="M30" s="77">
        <v>48</v>
      </c>
      <c r="N30" s="75">
        <f t="shared" si="16"/>
        <v>7211.59</v>
      </c>
      <c r="O30" s="75">
        <f t="shared" si="17"/>
        <v>0</v>
      </c>
      <c r="P30" s="76">
        <v>20</v>
      </c>
      <c r="Q30" s="75">
        <f t="shared" si="18"/>
        <v>12019.32</v>
      </c>
      <c r="R30" s="75">
        <f t="shared" si="19"/>
        <v>0</v>
      </c>
      <c r="S30" s="79">
        <v>220</v>
      </c>
      <c r="T30" s="75">
        <f t="shared" si="20"/>
        <v>4807.7299999999996</v>
      </c>
      <c r="U30" s="75">
        <f t="shared" si="21"/>
        <v>0</v>
      </c>
      <c r="V30" s="75">
        <f t="shared" si="22"/>
        <v>48077.27</v>
      </c>
      <c r="W30" s="75">
        <f t="shared" si="23"/>
        <v>0</v>
      </c>
    </row>
    <row r="31" spans="1:24" x14ac:dyDescent="0.25">
      <c r="A31" s="74">
        <v>45011</v>
      </c>
      <c r="B31" s="75">
        <f>ROUND(Summary!$G$8/31,2)</f>
        <v>173272.21</v>
      </c>
      <c r="C31" s="75">
        <v>30</v>
      </c>
      <c r="D31" s="75">
        <v>18.55</v>
      </c>
      <c r="E31" s="75">
        <f t="shared" si="9"/>
        <v>18.55</v>
      </c>
      <c r="F31" s="75">
        <f t="shared" si="10"/>
        <v>103963.33</v>
      </c>
      <c r="G31" s="75">
        <f t="shared" si="11"/>
        <v>64283.99</v>
      </c>
      <c r="H31" s="75">
        <f t="shared" si="12"/>
        <v>69308.88</v>
      </c>
      <c r="I31" s="75">
        <f t="shared" si="13"/>
        <v>42855.99</v>
      </c>
      <c r="J31" s="76">
        <v>8</v>
      </c>
      <c r="K31" s="75">
        <f t="shared" si="14"/>
        <v>21428</v>
      </c>
      <c r="L31" s="75">
        <f t="shared" si="15"/>
        <v>0</v>
      </c>
      <c r="M31" s="76">
        <v>44</v>
      </c>
      <c r="N31" s="75">
        <f t="shared" si="16"/>
        <v>6428.4</v>
      </c>
      <c r="O31" s="75">
        <f t="shared" si="17"/>
        <v>0</v>
      </c>
      <c r="P31" s="76">
        <v>18</v>
      </c>
      <c r="Q31" s="75">
        <f t="shared" si="18"/>
        <v>10714</v>
      </c>
      <c r="R31" s="75">
        <f t="shared" si="19"/>
        <v>0</v>
      </c>
      <c r="S31" s="76">
        <v>550</v>
      </c>
      <c r="T31" s="75">
        <f t="shared" si="20"/>
        <v>4285.6000000000004</v>
      </c>
      <c r="U31" s="75">
        <f t="shared" si="21"/>
        <v>0</v>
      </c>
      <c r="V31" s="75">
        <f t="shared" si="22"/>
        <v>42856</v>
      </c>
      <c r="W31" s="75">
        <f t="shared" si="23"/>
        <v>0</v>
      </c>
    </row>
    <row r="32" spans="1:24" x14ac:dyDescent="0.25">
      <c r="A32" s="74">
        <v>45012</v>
      </c>
      <c r="B32" s="75">
        <f>ROUND(Summary!$G$8/31,2)</f>
        <v>173272.21</v>
      </c>
      <c r="C32" s="75">
        <v>30</v>
      </c>
      <c r="D32" s="75">
        <v>18.760000000000002</v>
      </c>
      <c r="E32" s="75">
        <f t="shared" si="9"/>
        <v>18.760000000000002</v>
      </c>
      <c r="F32" s="75">
        <f t="shared" ref="F32:F36" si="24">B32*60%</f>
        <v>103963.33</v>
      </c>
      <c r="G32" s="75">
        <f t="shared" si="11"/>
        <v>65011.74</v>
      </c>
      <c r="H32" s="75">
        <f t="shared" ref="H32:H36" si="25">B32*40%</f>
        <v>69308.88</v>
      </c>
      <c r="I32" s="75">
        <f t="shared" si="13"/>
        <v>43341.15</v>
      </c>
      <c r="J32" s="76">
        <v>7</v>
      </c>
      <c r="K32" s="75">
        <f t="shared" si="14"/>
        <v>21670.58</v>
      </c>
      <c r="L32" s="75">
        <f t="shared" si="15"/>
        <v>0</v>
      </c>
      <c r="M32" s="76">
        <v>48</v>
      </c>
      <c r="N32" s="75">
        <f t="shared" si="16"/>
        <v>6501.17</v>
      </c>
      <c r="O32" s="75">
        <f t="shared" si="17"/>
        <v>0</v>
      </c>
      <c r="P32" s="76">
        <v>24</v>
      </c>
      <c r="Q32" s="75">
        <f t="shared" si="18"/>
        <v>10835.29</v>
      </c>
      <c r="R32" s="75">
        <f t="shared" si="19"/>
        <v>0</v>
      </c>
      <c r="S32" s="76">
        <v>900</v>
      </c>
      <c r="T32" s="75">
        <f t="shared" si="20"/>
        <v>4334.12</v>
      </c>
      <c r="U32" s="75">
        <f t="shared" si="21"/>
        <v>0</v>
      </c>
      <c r="V32" s="75">
        <f t="shared" si="22"/>
        <v>43341.16</v>
      </c>
      <c r="W32" s="75">
        <f t="shared" si="23"/>
        <v>0</v>
      </c>
    </row>
    <row r="33" spans="1:24" s="31" customFormat="1" x14ac:dyDescent="0.25">
      <c r="A33" s="26">
        <v>45013</v>
      </c>
      <c r="B33" s="27">
        <f>ROUND(Summary!$G$8/31,2)</f>
        <v>173272.21</v>
      </c>
      <c r="C33" s="27">
        <v>30</v>
      </c>
      <c r="D33" s="27">
        <v>19.79</v>
      </c>
      <c r="E33" s="75">
        <f t="shared" si="9"/>
        <v>19.79</v>
      </c>
      <c r="F33" s="27">
        <f t="shared" si="24"/>
        <v>103963.33</v>
      </c>
      <c r="G33" s="75">
        <f t="shared" si="11"/>
        <v>68581.14</v>
      </c>
      <c r="H33" s="27">
        <f t="shared" si="25"/>
        <v>69308.88</v>
      </c>
      <c r="I33" s="75">
        <f t="shared" si="13"/>
        <v>45720.76</v>
      </c>
      <c r="J33" s="35">
        <v>10</v>
      </c>
      <c r="K33" s="75">
        <f t="shared" si="14"/>
        <v>22860.38</v>
      </c>
      <c r="L33" s="75">
        <f t="shared" si="15"/>
        <v>0</v>
      </c>
      <c r="M33" s="35">
        <v>34</v>
      </c>
      <c r="N33" s="75">
        <f t="shared" si="16"/>
        <v>6858.11</v>
      </c>
      <c r="O33" s="75">
        <f t="shared" si="17"/>
        <v>0</v>
      </c>
      <c r="P33" s="35">
        <v>26</v>
      </c>
      <c r="Q33" s="75">
        <f t="shared" si="18"/>
        <v>11430.19</v>
      </c>
      <c r="R33" s="75">
        <f t="shared" si="19"/>
        <v>0</v>
      </c>
      <c r="S33" s="35">
        <v>700</v>
      </c>
      <c r="T33" s="75">
        <f t="shared" si="20"/>
        <v>4572.08</v>
      </c>
      <c r="U33" s="75">
        <f t="shared" si="21"/>
        <v>0</v>
      </c>
      <c r="V33" s="75">
        <f t="shared" si="22"/>
        <v>45720.76</v>
      </c>
      <c r="W33" s="75">
        <f t="shared" si="23"/>
        <v>0</v>
      </c>
      <c r="X33" s="38" t="s">
        <v>72</v>
      </c>
    </row>
    <row r="34" spans="1:24" x14ac:dyDescent="0.25">
      <c r="A34" s="74">
        <v>45014</v>
      </c>
      <c r="B34" s="75">
        <f>ROUND(Summary!$G$8/31,2)</f>
        <v>173272.21</v>
      </c>
      <c r="C34" s="75">
        <v>30</v>
      </c>
      <c r="D34" s="75">
        <v>17.690000000000001</v>
      </c>
      <c r="E34" s="75">
        <f t="shared" si="9"/>
        <v>17.690000000000001</v>
      </c>
      <c r="F34" s="75">
        <f t="shared" si="24"/>
        <v>103963.33</v>
      </c>
      <c r="G34" s="75">
        <f t="shared" si="11"/>
        <v>61303.71</v>
      </c>
      <c r="H34" s="75">
        <f t="shared" si="25"/>
        <v>69308.88</v>
      </c>
      <c r="I34" s="75">
        <f t="shared" si="13"/>
        <v>40869.14</v>
      </c>
      <c r="J34" s="76">
        <v>8</v>
      </c>
      <c r="K34" s="75">
        <f t="shared" si="14"/>
        <v>20434.57</v>
      </c>
      <c r="L34" s="75">
        <f t="shared" si="15"/>
        <v>0</v>
      </c>
      <c r="M34" s="76">
        <v>40</v>
      </c>
      <c r="N34" s="75">
        <f t="shared" si="16"/>
        <v>6130.37</v>
      </c>
      <c r="O34" s="75">
        <f t="shared" si="17"/>
        <v>0</v>
      </c>
      <c r="P34" s="76">
        <v>21</v>
      </c>
      <c r="Q34" s="75">
        <f t="shared" si="18"/>
        <v>10217.290000000001</v>
      </c>
      <c r="R34" s="75">
        <f t="shared" si="19"/>
        <v>0</v>
      </c>
      <c r="S34" s="76">
        <v>350</v>
      </c>
      <c r="T34" s="75">
        <f t="shared" si="20"/>
        <v>4086.91</v>
      </c>
      <c r="U34" s="75">
        <f t="shared" si="21"/>
        <v>0</v>
      </c>
      <c r="V34" s="75">
        <f t="shared" si="22"/>
        <v>40869.14</v>
      </c>
      <c r="W34" s="75">
        <f t="shared" si="23"/>
        <v>0</v>
      </c>
    </row>
    <row r="35" spans="1:24" x14ac:dyDescent="0.25">
      <c r="A35" s="74">
        <v>45015</v>
      </c>
      <c r="B35" s="75">
        <f>ROUND(Summary!$G$8/31,2)</f>
        <v>173272.21</v>
      </c>
      <c r="C35" s="75">
        <v>30</v>
      </c>
      <c r="D35" s="75">
        <v>20.64</v>
      </c>
      <c r="E35" s="75">
        <f t="shared" si="9"/>
        <v>20.64</v>
      </c>
      <c r="F35" s="75">
        <f t="shared" si="24"/>
        <v>103963.33</v>
      </c>
      <c r="G35" s="75">
        <f t="shared" si="11"/>
        <v>71526.77</v>
      </c>
      <c r="H35" s="75">
        <f t="shared" si="25"/>
        <v>69308.88</v>
      </c>
      <c r="I35" s="75">
        <f t="shared" si="13"/>
        <v>47684.51</v>
      </c>
      <c r="J35" s="76">
        <v>9</v>
      </c>
      <c r="K35" s="75">
        <f t="shared" si="14"/>
        <v>23842.26</v>
      </c>
      <c r="L35" s="75">
        <f t="shared" si="15"/>
        <v>0</v>
      </c>
      <c r="M35" s="76">
        <v>36</v>
      </c>
      <c r="N35" s="75">
        <f t="shared" si="16"/>
        <v>7152.68</v>
      </c>
      <c r="O35" s="75">
        <f t="shared" si="17"/>
        <v>0</v>
      </c>
      <c r="P35" s="76">
        <v>18</v>
      </c>
      <c r="Q35" s="75">
        <f t="shared" si="18"/>
        <v>11921.13</v>
      </c>
      <c r="R35" s="75">
        <f t="shared" si="19"/>
        <v>0</v>
      </c>
      <c r="S35" s="76">
        <v>220</v>
      </c>
      <c r="T35" s="75">
        <f t="shared" si="20"/>
        <v>4768.45</v>
      </c>
      <c r="U35" s="75">
        <f t="shared" si="21"/>
        <v>0</v>
      </c>
      <c r="V35" s="75">
        <f t="shared" si="22"/>
        <v>47684.52</v>
      </c>
      <c r="W35" s="75">
        <f t="shared" si="23"/>
        <v>0</v>
      </c>
    </row>
    <row r="36" spans="1:24" s="24" customFormat="1" x14ac:dyDescent="0.25">
      <c r="A36" s="20">
        <v>45016</v>
      </c>
      <c r="B36" s="21">
        <f>ROUND(Summary!$G$8/31,2)</f>
        <v>173272.21</v>
      </c>
      <c r="C36" s="21">
        <v>30</v>
      </c>
      <c r="D36" s="21">
        <v>18.739999999999998</v>
      </c>
      <c r="E36" s="75">
        <f t="shared" si="9"/>
        <v>18.739999999999998</v>
      </c>
      <c r="F36" s="21">
        <f t="shared" si="24"/>
        <v>103963.33</v>
      </c>
      <c r="G36" s="75">
        <f t="shared" si="11"/>
        <v>64942.43</v>
      </c>
      <c r="H36" s="21">
        <f t="shared" si="25"/>
        <v>69308.88</v>
      </c>
      <c r="I36" s="75">
        <f t="shared" si="13"/>
        <v>43294.95</v>
      </c>
      <c r="J36" s="99">
        <v>10</v>
      </c>
      <c r="K36" s="75">
        <f t="shared" si="14"/>
        <v>21647.48</v>
      </c>
      <c r="L36" s="75">
        <f t="shared" si="15"/>
        <v>0</v>
      </c>
      <c r="M36" s="99">
        <v>28</v>
      </c>
      <c r="N36" s="75">
        <f t="shared" si="16"/>
        <v>6494.24</v>
      </c>
      <c r="O36" s="75">
        <f t="shared" si="17"/>
        <v>0</v>
      </c>
      <c r="P36" s="99">
        <v>10</v>
      </c>
      <c r="Q36" s="75">
        <f t="shared" si="18"/>
        <v>10823.74</v>
      </c>
      <c r="R36" s="75">
        <f t="shared" si="19"/>
        <v>0</v>
      </c>
      <c r="S36" s="99">
        <v>21</v>
      </c>
      <c r="T36" s="75">
        <f t="shared" si="20"/>
        <v>4329.5</v>
      </c>
      <c r="U36" s="75">
        <f t="shared" si="21"/>
        <v>0</v>
      </c>
      <c r="V36" s="75">
        <f t="shared" si="22"/>
        <v>43294.96</v>
      </c>
      <c r="W36" s="75">
        <f t="shared" si="23"/>
        <v>0</v>
      </c>
      <c r="X36" s="34" t="s">
        <v>71</v>
      </c>
    </row>
    <row r="37" spans="1:24" s="5" customFormat="1" x14ac:dyDescent="0.25">
      <c r="A37" s="69" t="s">
        <v>25</v>
      </c>
      <c r="B37" s="81">
        <f>SUM(B6:B36)</f>
        <v>5371438.5099999998</v>
      </c>
      <c r="C37" s="81"/>
      <c r="D37" s="82"/>
      <c r="E37" s="81"/>
      <c r="F37" s="81">
        <f>SUM(F6:F36)</f>
        <v>3222863.23</v>
      </c>
      <c r="G37" s="81">
        <f>SUM(G6:G36)</f>
        <v>2130693.7799999998</v>
      </c>
      <c r="H37" s="81">
        <f>SUM(H6:H36)</f>
        <v>2148575.2799999998</v>
      </c>
      <c r="I37" s="81">
        <f>SUM(I6:I36)</f>
        <v>1420462.38</v>
      </c>
      <c r="J37" s="83"/>
      <c r="K37" s="81">
        <f t="shared" ref="K37" si="26">I37*50%</f>
        <v>710231.19</v>
      </c>
      <c r="L37" s="81">
        <f>SUM(L6:L36)</f>
        <v>10000</v>
      </c>
      <c r="M37" s="81"/>
      <c r="N37" s="81">
        <f t="shared" ref="N37" si="27">I37*15%</f>
        <v>213069.36</v>
      </c>
      <c r="O37" s="81">
        <f>SUM(O6:O36)</f>
        <v>0</v>
      </c>
      <c r="P37" s="81"/>
      <c r="Q37" s="81">
        <f t="shared" ref="Q37" si="28">I37*25%</f>
        <v>355115.6</v>
      </c>
      <c r="R37" s="81">
        <f>SUM(R6:R36)</f>
        <v>10000</v>
      </c>
      <c r="S37" s="81"/>
      <c r="T37" s="81">
        <f t="shared" ref="T37" si="29">I37*10%</f>
        <v>142046.24</v>
      </c>
      <c r="U37" s="81">
        <f>SUM(U6:U36)</f>
        <v>0</v>
      </c>
      <c r="V37" s="81">
        <f>SUM(V6:V36)</f>
        <v>1389273.55</v>
      </c>
      <c r="W37" s="81">
        <f>SUM(W6:W36)</f>
        <v>20000</v>
      </c>
      <c r="X37" s="65"/>
    </row>
    <row r="38" spans="1:24" x14ac:dyDescent="0.25">
      <c r="A38" s="69"/>
      <c r="B38" s="69" t="s">
        <v>65</v>
      </c>
      <c r="C38" s="69"/>
      <c r="D38" s="69"/>
      <c r="E38" s="69"/>
      <c r="F38" s="7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81">
        <f>V37+G37</f>
        <v>3519967.33</v>
      </c>
      <c r="W38" s="81"/>
    </row>
    <row r="40" spans="1:24" x14ac:dyDescent="0.25">
      <c r="B40" s="84">
        <f t="shared" ref="B40:U40" si="30">B37*1.05</f>
        <v>5640010.4354999997</v>
      </c>
      <c r="C40" s="84">
        <f t="shared" si="30"/>
        <v>0</v>
      </c>
      <c r="D40" s="84">
        <f t="shared" si="30"/>
        <v>0</v>
      </c>
      <c r="E40" s="84">
        <f t="shared" si="30"/>
        <v>0</v>
      </c>
      <c r="F40" s="84">
        <f t="shared" si="30"/>
        <v>3384006.3914999999</v>
      </c>
      <c r="G40" s="84">
        <f t="shared" si="30"/>
        <v>2237228.469</v>
      </c>
      <c r="H40" s="84">
        <f t="shared" si="30"/>
        <v>2256004.0440000002</v>
      </c>
      <c r="I40" s="84">
        <f t="shared" si="30"/>
        <v>1491485.4990000001</v>
      </c>
      <c r="J40" s="84">
        <f t="shared" si="30"/>
        <v>0</v>
      </c>
      <c r="K40" s="84">
        <f t="shared" si="30"/>
        <v>745742.74950000003</v>
      </c>
      <c r="L40" s="84">
        <f t="shared" si="30"/>
        <v>10500</v>
      </c>
      <c r="M40" s="84">
        <f t="shared" si="30"/>
        <v>0</v>
      </c>
      <c r="N40" s="84">
        <f t="shared" si="30"/>
        <v>223722.82800000001</v>
      </c>
      <c r="O40" s="84">
        <f t="shared" si="30"/>
        <v>0</v>
      </c>
      <c r="P40" s="84">
        <f t="shared" si="30"/>
        <v>0</v>
      </c>
      <c r="Q40" s="84">
        <f t="shared" si="30"/>
        <v>372871.38</v>
      </c>
      <c r="R40" s="84">
        <f t="shared" si="30"/>
        <v>10500</v>
      </c>
      <c r="S40" s="84">
        <f t="shared" si="30"/>
        <v>0</v>
      </c>
      <c r="T40" s="84">
        <f t="shared" si="30"/>
        <v>149148.552</v>
      </c>
      <c r="U40" s="84">
        <f t="shared" si="30"/>
        <v>0</v>
      </c>
      <c r="V40" s="84">
        <f t="shared" ref="V40" si="31">V37*1.05</f>
        <v>1458737.2275</v>
      </c>
    </row>
    <row r="41" spans="1:24" x14ac:dyDescent="0.25">
      <c r="B41" s="84">
        <f t="shared" ref="B41:U41" si="32">B40*1.05</f>
        <v>5922010.9572750004</v>
      </c>
      <c r="C41" s="84">
        <f t="shared" si="32"/>
        <v>0</v>
      </c>
      <c r="D41" s="84">
        <f t="shared" si="32"/>
        <v>0</v>
      </c>
      <c r="E41" s="84">
        <f t="shared" si="32"/>
        <v>0</v>
      </c>
      <c r="F41" s="84">
        <f t="shared" si="32"/>
        <v>3553206.711075</v>
      </c>
      <c r="G41" s="84">
        <f t="shared" si="32"/>
        <v>2349089.8924500002</v>
      </c>
      <c r="H41" s="84">
        <f>H40*1.05</f>
        <v>2368804.2461999999</v>
      </c>
      <c r="I41" s="84">
        <f t="shared" si="32"/>
        <v>1566059.7739500001</v>
      </c>
      <c r="J41" s="84">
        <f t="shared" si="32"/>
        <v>0</v>
      </c>
      <c r="K41" s="84">
        <f>K40*1.05</f>
        <v>783029.88697500003</v>
      </c>
      <c r="L41" s="84">
        <f t="shared" si="32"/>
        <v>11025</v>
      </c>
      <c r="M41" s="84">
        <f t="shared" si="32"/>
        <v>0</v>
      </c>
      <c r="N41" s="84">
        <f t="shared" si="32"/>
        <v>234908.9694</v>
      </c>
      <c r="O41" s="84">
        <f t="shared" si="32"/>
        <v>0</v>
      </c>
      <c r="P41" s="84">
        <f t="shared" si="32"/>
        <v>0</v>
      </c>
      <c r="Q41" s="84">
        <f t="shared" si="32"/>
        <v>391514.94900000002</v>
      </c>
      <c r="R41" s="84">
        <f t="shared" si="32"/>
        <v>11025</v>
      </c>
      <c r="S41" s="84">
        <f t="shared" si="32"/>
        <v>0</v>
      </c>
      <c r="T41" s="84">
        <f t="shared" si="32"/>
        <v>156605.97959999999</v>
      </c>
      <c r="U41" s="84">
        <f t="shared" si="32"/>
        <v>0</v>
      </c>
      <c r="V41" s="84">
        <f>V40*1.05</f>
        <v>1531674.0888749999</v>
      </c>
    </row>
    <row r="42" spans="1:24" x14ac:dyDescent="0.25">
      <c r="V42" s="84">
        <f>V38*1.05</f>
        <v>3695965.6965000001</v>
      </c>
    </row>
    <row r="43" spans="1:24" x14ac:dyDescent="0.25">
      <c r="V43" s="84">
        <f>V42*1.05</f>
        <v>3880763.9813250001</v>
      </c>
    </row>
  </sheetData>
  <mergeCells count="19">
    <mergeCell ref="W4:W5"/>
    <mergeCell ref="H3:I3"/>
    <mergeCell ref="A1:V1"/>
    <mergeCell ref="F3:G3"/>
    <mergeCell ref="A4:A5"/>
    <mergeCell ref="B4:B5"/>
    <mergeCell ref="D4:D5"/>
    <mergeCell ref="F4:F5"/>
    <mergeCell ref="G4:G5"/>
    <mergeCell ref="H4:H5"/>
    <mergeCell ref="V4:V5"/>
    <mergeCell ref="C3:D3"/>
    <mergeCell ref="C4:C5"/>
    <mergeCell ref="I4:I5"/>
    <mergeCell ref="E4:E5"/>
    <mergeCell ref="J4:L4"/>
    <mergeCell ref="M4:O4"/>
    <mergeCell ref="P4:R4"/>
    <mergeCell ref="S4:U4"/>
  </mergeCells>
  <conditionalFormatting sqref="J6 J8:J37">
    <cfRule type="cellIs" dxfId="16" priority="50" stopIfTrue="1" operator="greaterThan">
      <formula>10</formula>
    </cfRule>
  </conditionalFormatting>
  <conditionalFormatting sqref="M6:M36">
    <cfRule type="cellIs" dxfId="15" priority="17" stopIfTrue="1" operator="greaterThan">
      <formula>100</formula>
    </cfRule>
  </conditionalFormatting>
  <conditionalFormatting sqref="P9">
    <cfRule type="cellIs" dxfId="14" priority="13" stopIfTrue="1" operator="greaterThan">
      <formula>100</formula>
    </cfRule>
  </conditionalFormatting>
  <conditionalFormatting sqref="P12">
    <cfRule type="cellIs" priority="10" stopIfTrue="1" operator="greaterThan">
      <formula>1000</formula>
    </cfRule>
    <cfRule type="cellIs" dxfId="13" priority="11" stopIfTrue="1" operator="greaterThan">
      <formula>1000</formula>
    </cfRule>
  </conditionalFormatting>
  <conditionalFormatting sqref="P16">
    <cfRule type="cellIs" priority="8" stopIfTrue="1" operator="greaterThan">
      <formula>1000</formula>
    </cfRule>
    <cfRule type="cellIs" dxfId="12" priority="9" stopIfTrue="1" operator="greaterThan">
      <formula>1000</formula>
    </cfRule>
  </conditionalFormatting>
  <conditionalFormatting sqref="P17:P36 P6:P8 P10:P11 P13:P15">
    <cfRule type="cellIs" dxfId="11" priority="16" stopIfTrue="1" operator="greaterThan">
      <formula>30</formula>
    </cfRule>
  </conditionalFormatting>
  <conditionalFormatting sqref="P22:P23">
    <cfRule type="cellIs" priority="6" stopIfTrue="1" operator="greaterThan">
      <formula>1000</formula>
    </cfRule>
    <cfRule type="cellIs" dxfId="10" priority="7" stopIfTrue="1" operator="greaterThan">
      <formula>1000</formula>
    </cfRule>
  </conditionalFormatting>
  <conditionalFormatting sqref="P29:P30">
    <cfRule type="cellIs" priority="4" stopIfTrue="1" operator="greaterThan">
      <formula>1000</formula>
    </cfRule>
    <cfRule type="cellIs" dxfId="9" priority="5" stopIfTrue="1" operator="greaterThan">
      <formula>1000</formula>
    </cfRule>
  </conditionalFormatting>
  <conditionalFormatting sqref="S6:S36">
    <cfRule type="cellIs" priority="14" stopIfTrue="1" operator="greaterThan">
      <formula>1000</formula>
    </cfRule>
    <cfRule type="cellIs" dxfId="8" priority="15" stopIfTrue="1" operator="greaterThan">
      <formula>1000</formula>
    </cfRule>
  </conditionalFormatting>
  <pageMargins left="0.25" right="0.25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43"/>
  <sheetViews>
    <sheetView zoomScaleNormal="100" workbookViewId="0">
      <pane xSplit="1" ySplit="1" topLeftCell="M21" activePane="bottomRight" state="frozen"/>
      <selection activeCell="H29" sqref="H29"/>
      <selection pane="topRight" activeCell="H29" sqref="H29"/>
      <selection pane="bottomLeft" activeCell="H29" sqref="H29"/>
      <selection pane="bottomRight" activeCell="Y39" sqref="Y39"/>
    </sheetView>
  </sheetViews>
  <sheetFormatPr defaultColWidth="9.140625" defaultRowHeight="15.75" x14ac:dyDescent="0.25"/>
  <cols>
    <col min="1" max="1" width="11.42578125" style="93" customWidth="1"/>
    <col min="2" max="2" width="13.42578125" style="93" customWidth="1"/>
    <col min="3" max="3" width="9.42578125" style="93" bestFit="1" customWidth="1"/>
    <col min="4" max="4" width="9.28515625" style="93" bestFit="1" customWidth="1"/>
    <col min="5" max="5" width="11" style="93" bestFit="1" customWidth="1"/>
    <col min="6" max="6" width="11.7109375" style="93" bestFit="1" customWidth="1"/>
    <col min="7" max="7" width="12.7109375" style="93" bestFit="1" customWidth="1"/>
    <col min="8" max="8" width="11.7109375" style="93" bestFit="1" customWidth="1"/>
    <col min="9" max="9" width="12.7109375" style="93" bestFit="1" customWidth="1"/>
    <col min="10" max="10" width="9.42578125" style="93" customWidth="1"/>
    <col min="11" max="11" width="10.7109375" style="93" bestFit="1" customWidth="1"/>
    <col min="12" max="12" width="10.7109375" style="93" customWidth="1"/>
    <col min="13" max="13" width="9" style="93" customWidth="1"/>
    <col min="14" max="14" width="10.7109375" style="93" bestFit="1" customWidth="1"/>
    <col min="15" max="15" width="10.7109375" style="93" customWidth="1"/>
    <col min="16" max="16" width="9.42578125" style="93" customWidth="1"/>
    <col min="17" max="17" width="10.7109375" style="93" bestFit="1" customWidth="1"/>
    <col min="18" max="18" width="10.7109375" style="93" customWidth="1"/>
    <col min="19" max="19" width="9.7109375" style="93" customWidth="1"/>
    <col min="20" max="20" width="10.7109375" style="93" bestFit="1" customWidth="1"/>
    <col min="21" max="21" width="10.7109375" style="93" customWidth="1"/>
    <col min="22" max="22" width="13.7109375" style="93" customWidth="1"/>
    <col min="23" max="23" width="10.5703125" bestFit="1" customWidth="1"/>
    <col min="24" max="24" width="9.28515625" style="86" bestFit="1" customWidth="1"/>
    <col min="25" max="29" width="9.28515625" bestFit="1" customWidth="1"/>
    <col min="30" max="30" width="10.5703125" bestFit="1" customWidth="1"/>
  </cols>
  <sheetData>
    <row r="1" spans="1:30" ht="18.75" customHeight="1" x14ac:dyDescent="0.3">
      <c r="A1" s="131" t="str">
        <f>'30 MLD'!A1:V1</f>
        <v>Gorakhpur Payment for the month of MARCH 2023 (As Per VoL -1, Section IV, Clause 39)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85"/>
      <c r="Y1" s="10"/>
      <c r="Z1" s="10"/>
      <c r="AA1" s="10"/>
      <c r="AB1" s="10"/>
      <c r="AC1" s="10"/>
      <c r="AD1" s="10"/>
    </row>
    <row r="2" spans="1:30" ht="15" customHeight="1" x14ac:dyDescent="0.3">
      <c r="A2" s="66">
        <v>1</v>
      </c>
      <c r="B2" s="66">
        <v>2</v>
      </c>
      <c r="C2" s="66">
        <v>3</v>
      </c>
      <c r="D2" s="66">
        <v>4</v>
      </c>
      <c r="E2" s="66">
        <v>5</v>
      </c>
      <c r="F2" s="66">
        <v>6</v>
      </c>
      <c r="G2" s="66">
        <v>7</v>
      </c>
      <c r="H2" s="66">
        <v>8</v>
      </c>
      <c r="I2" s="66">
        <v>9</v>
      </c>
      <c r="J2" s="66">
        <v>10</v>
      </c>
      <c r="K2" s="66">
        <v>11</v>
      </c>
      <c r="L2" s="66">
        <v>12</v>
      </c>
      <c r="M2" s="66">
        <v>13</v>
      </c>
      <c r="N2" s="66">
        <v>14</v>
      </c>
      <c r="O2" s="66">
        <v>15</v>
      </c>
      <c r="P2" s="66">
        <v>16</v>
      </c>
      <c r="Q2" s="66">
        <v>17</v>
      </c>
      <c r="R2" s="66">
        <v>18</v>
      </c>
      <c r="S2" s="66">
        <v>19</v>
      </c>
      <c r="T2" s="66">
        <v>20</v>
      </c>
      <c r="U2" s="66">
        <v>21</v>
      </c>
      <c r="V2" s="66">
        <v>22</v>
      </c>
      <c r="W2" s="66">
        <v>23</v>
      </c>
      <c r="Y2" s="10"/>
      <c r="Z2" s="10"/>
      <c r="AA2" s="10"/>
      <c r="AB2" s="10"/>
      <c r="AC2" s="10"/>
      <c r="AD2" s="10"/>
    </row>
    <row r="3" spans="1:30" ht="15.75" customHeight="1" x14ac:dyDescent="0.3">
      <c r="A3" s="69"/>
      <c r="B3" s="69"/>
      <c r="C3" s="127" t="s">
        <v>21</v>
      </c>
      <c r="D3" s="129"/>
      <c r="E3" s="70"/>
      <c r="F3" s="130" t="s">
        <v>24</v>
      </c>
      <c r="G3" s="130"/>
      <c r="H3" s="130" t="s">
        <v>61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Y3" s="10"/>
      <c r="Z3" s="10"/>
      <c r="AA3" s="10"/>
      <c r="AB3" s="10"/>
      <c r="AC3" s="10"/>
      <c r="AD3" s="10"/>
    </row>
    <row r="4" spans="1:30" ht="21.95" customHeight="1" x14ac:dyDescent="0.3">
      <c r="A4" s="132" t="s">
        <v>20</v>
      </c>
      <c r="B4" s="113" t="s">
        <v>34</v>
      </c>
      <c r="C4" s="113" t="s">
        <v>27</v>
      </c>
      <c r="D4" s="113" t="s">
        <v>30</v>
      </c>
      <c r="E4" s="113" t="s">
        <v>28</v>
      </c>
      <c r="F4" s="130" t="s">
        <v>22</v>
      </c>
      <c r="G4" s="130" t="s">
        <v>23</v>
      </c>
      <c r="H4" s="130" t="s">
        <v>26</v>
      </c>
      <c r="I4" s="130" t="s">
        <v>23</v>
      </c>
      <c r="J4" s="127" t="s">
        <v>12</v>
      </c>
      <c r="K4" s="128"/>
      <c r="L4" s="128"/>
      <c r="M4" s="127" t="s">
        <v>14</v>
      </c>
      <c r="N4" s="128"/>
      <c r="O4" s="128"/>
      <c r="P4" s="127" t="s">
        <v>13</v>
      </c>
      <c r="Q4" s="128"/>
      <c r="R4" s="128"/>
      <c r="S4" s="127" t="s">
        <v>19</v>
      </c>
      <c r="T4" s="128"/>
      <c r="U4" s="129"/>
      <c r="V4" s="133" t="s">
        <v>60</v>
      </c>
      <c r="W4" s="130" t="s">
        <v>36</v>
      </c>
      <c r="Y4" s="10"/>
      <c r="Z4" s="10"/>
      <c r="AA4" s="10"/>
      <c r="AB4" s="10"/>
      <c r="AC4" s="10"/>
      <c r="AD4" s="10"/>
    </row>
    <row r="5" spans="1:30" ht="30" customHeight="1" x14ac:dyDescent="0.3">
      <c r="A5" s="126"/>
      <c r="B5" s="114"/>
      <c r="C5" s="114"/>
      <c r="D5" s="126"/>
      <c r="E5" s="126"/>
      <c r="F5" s="130"/>
      <c r="G5" s="130"/>
      <c r="H5" s="130"/>
      <c r="I5" s="130"/>
      <c r="J5" s="13" t="s">
        <v>35</v>
      </c>
      <c r="K5" s="73">
        <v>0.5</v>
      </c>
      <c r="L5" s="73" t="s">
        <v>36</v>
      </c>
      <c r="M5" s="13" t="s">
        <v>35</v>
      </c>
      <c r="N5" s="73">
        <v>0.15</v>
      </c>
      <c r="O5" s="73" t="s">
        <v>36</v>
      </c>
      <c r="P5" s="13" t="s">
        <v>35</v>
      </c>
      <c r="Q5" s="73">
        <v>0.25</v>
      </c>
      <c r="R5" s="73" t="s">
        <v>36</v>
      </c>
      <c r="S5" s="13" t="s">
        <v>35</v>
      </c>
      <c r="T5" s="73">
        <v>0.1</v>
      </c>
      <c r="U5" s="87" t="s">
        <v>36</v>
      </c>
      <c r="V5" s="133"/>
      <c r="W5" s="130"/>
      <c r="Y5" s="10"/>
      <c r="Z5" s="10"/>
      <c r="AA5" s="10"/>
      <c r="AB5" s="10"/>
      <c r="AC5" s="10"/>
      <c r="AD5" s="10"/>
    </row>
    <row r="6" spans="1:30" ht="15.75" customHeight="1" x14ac:dyDescent="0.3">
      <c r="A6" s="74">
        <v>44986</v>
      </c>
      <c r="B6" s="75">
        <f>ROUND(Summary!$G$9/31,2)</f>
        <v>86636.1</v>
      </c>
      <c r="C6" s="75">
        <v>15</v>
      </c>
      <c r="D6" s="75">
        <v>9.11</v>
      </c>
      <c r="E6" s="75">
        <f>MIN(D6,C6)</f>
        <v>9.11</v>
      </c>
      <c r="F6" s="75">
        <f>B6*60%</f>
        <v>51981.66</v>
      </c>
      <c r="G6" s="75">
        <f>(F6*E6)/C6</f>
        <v>31570.19</v>
      </c>
      <c r="H6" s="75">
        <f t="shared" ref="H6:H29" si="0">B6*40%</f>
        <v>34654.44</v>
      </c>
      <c r="I6" s="75">
        <f>(H6*E6)/C6</f>
        <v>21046.799999999999</v>
      </c>
      <c r="J6" s="88">
        <v>8</v>
      </c>
      <c r="K6" s="75">
        <f>I6*50%</f>
        <v>10523.4</v>
      </c>
      <c r="L6" s="75">
        <f t="shared" ref="L6:L30" si="1">IF(J6&gt;10,(MAX($B$37*0.1/100,10000)),0)</f>
        <v>0</v>
      </c>
      <c r="M6" s="88">
        <v>36</v>
      </c>
      <c r="N6" s="75">
        <f t="shared" ref="N6:N30" si="2">I6*15%</f>
        <v>3157.02</v>
      </c>
      <c r="O6" s="75">
        <f t="shared" ref="O6:O30" si="3">IF(M6&gt;100,(MAX($B$37*0.1/100,10000)),0)</f>
        <v>0</v>
      </c>
      <c r="P6" s="88">
        <v>14</v>
      </c>
      <c r="Q6" s="75">
        <f t="shared" ref="Q6:Q30" si="4">I6*25%</f>
        <v>5261.7</v>
      </c>
      <c r="R6" s="75">
        <f t="shared" ref="R6:R30" si="5">IF(P6&gt;30,(MAX($B$37*0.1/100,10000)),0)</f>
        <v>0</v>
      </c>
      <c r="S6" s="88">
        <v>540</v>
      </c>
      <c r="T6" s="75">
        <f t="shared" ref="T6:T30" si="6">I6*10%</f>
        <v>2104.6799999999998</v>
      </c>
      <c r="U6" s="75">
        <f t="shared" ref="U6:U30" si="7">IF(S6&gt;1000,(MAX(+$B$37*0.1/100,10000)),0)</f>
        <v>0</v>
      </c>
      <c r="V6" s="75">
        <f>T6+Q6+N6+K6</f>
        <v>21046.799999999999</v>
      </c>
      <c r="W6" s="75">
        <f>U6+R6+O6+L6</f>
        <v>0</v>
      </c>
      <c r="Y6" s="10"/>
      <c r="Z6" s="10"/>
      <c r="AA6" s="10"/>
      <c r="AB6" s="10"/>
      <c r="AC6" s="10"/>
      <c r="AD6" s="10"/>
    </row>
    <row r="7" spans="1:30" ht="15.75" customHeight="1" x14ac:dyDescent="0.3">
      <c r="A7" s="74">
        <v>44987</v>
      </c>
      <c r="B7" s="75">
        <f>ROUND(Summary!$G$9/31,2)</f>
        <v>86636.1</v>
      </c>
      <c r="C7" s="75">
        <v>15</v>
      </c>
      <c r="D7" s="75">
        <v>10.33</v>
      </c>
      <c r="E7" s="75">
        <f t="shared" ref="E7:E36" si="8">MIN(D7,C7)</f>
        <v>10.33</v>
      </c>
      <c r="F7" s="75">
        <f t="shared" ref="F7:F29" si="9">B7*60%</f>
        <v>51981.66</v>
      </c>
      <c r="G7" s="75">
        <f t="shared" ref="G7:G36" si="10">(F7*E7)/C7</f>
        <v>35798.04</v>
      </c>
      <c r="H7" s="75">
        <f t="shared" si="0"/>
        <v>34654.44</v>
      </c>
      <c r="I7" s="75">
        <f t="shared" ref="I7:I36" si="11">(H7*E7)/C7</f>
        <v>23865.360000000001</v>
      </c>
      <c r="J7" s="88">
        <v>7</v>
      </c>
      <c r="K7" s="75">
        <f t="shared" ref="K7:K36" si="12">I7*50%</f>
        <v>11932.68</v>
      </c>
      <c r="L7" s="75">
        <f t="shared" ref="L7:L36" si="13">IF(J7&gt;10,(MAX($B$37*0.1/100,10000)),0)</f>
        <v>0</v>
      </c>
      <c r="M7" s="88">
        <v>32</v>
      </c>
      <c r="N7" s="75">
        <f t="shared" ref="N7:N36" si="14">I7*15%</f>
        <v>3579.8</v>
      </c>
      <c r="O7" s="75">
        <f t="shared" ref="O7:O36" si="15">IF(M7&gt;100,(MAX($B$37*0.1/100,10000)),0)</f>
        <v>0</v>
      </c>
      <c r="P7" s="88">
        <v>12</v>
      </c>
      <c r="Q7" s="75">
        <f t="shared" ref="Q7:Q36" si="16">I7*25%</f>
        <v>5966.34</v>
      </c>
      <c r="R7" s="75">
        <f t="shared" ref="R7:R36" si="17">IF(P7&gt;30,(MAX($B$37*0.1/100,10000)),0)</f>
        <v>0</v>
      </c>
      <c r="S7" s="88">
        <v>240</v>
      </c>
      <c r="T7" s="75">
        <f t="shared" ref="T7:T36" si="18">I7*10%</f>
        <v>2386.54</v>
      </c>
      <c r="U7" s="75">
        <f t="shared" ref="U7:U36" si="19">IF(S7&gt;1000,(MAX(+$B$37*0.1/100,10000)),0)</f>
        <v>0</v>
      </c>
      <c r="V7" s="75">
        <f t="shared" ref="V7:V36" si="20">T7+Q7+N7+K7</f>
        <v>23865.360000000001</v>
      </c>
      <c r="W7" s="75">
        <f t="shared" ref="W7:W36" si="21">U7+R7+O7+L7</f>
        <v>0</v>
      </c>
      <c r="Y7" s="10"/>
      <c r="Z7" s="10"/>
      <c r="AA7" s="10"/>
      <c r="AB7" s="10"/>
      <c r="AC7" s="10"/>
      <c r="AD7" s="10"/>
    </row>
    <row r="8" spans="1:30" ht="15.75" customHeight="1" x14ac:dyDescent="0.3">
      <c r="A8" s="74">
        <v>44988</v>
      </c>
      <c r="B8" s="75">
        <f>ROUND(Summary!$G$9/31,2)</f>
        <v>86636.1</v>
      </c>
      <c r="C8" s="75">
        <v>15</v>
      </c>
      <c r="D8" s="75">
        <v>10.33</v>
      </c>
      <c r="E8" s="75">
        <f t="shared" si="8"/>
        <v>10.33</v>
      </c>
      <c r="F8" s="75">
        <f t="shared" si="9"/>
        <v>51981.66</v>
      </c>
      <c r="G8" s="75">
        <f t="shared" si="10"/>
        <v>35798.04</v>
      </c>
      <c r="H8" s="75">
        <f t="shared" si="0"/>
        <v>34654.44</v>
      </c>
      <c r="I8" s="75">
        <f t="shared" si="11"/>
        <v>23865.360000000001</v>
      </c>
      <c r="J8" s="88">
        <v>7</v>
      </c>
      <c r="K8" s="75">
        <f t="shared" si="12"/>
        <v>11932.68</v>
      </c>
      <c r="L8" s="75">
        <f t="shared" si="13"/>
        <v>0</v>
      </c>
      <c r="M8" s="88">
        <v>24</v>
      </c>
      <c r="N8" s="75">
        <f t="shared" si="14"/>
        <v>3579.8</v>
      </c>
      <c r="O8" s="75">
        <f t="shared" si="15"/>
        <v>0</v>
      </c>
      <c r="P8" s="88">
        <v>10</v>
      </c>
      <c r="Q8" s="75">
        <f t="shared" si="16"/>
        <v>5966.34</v>
      </c>
      <c r="R8" s="75">
        <f t="shared" si="17"/>
        <v>0</v>
      </c>
      <c r="S8" s="88">
        <v>920</v>
      </c>
      <c r="T8" s="75">
        <f t="shared" si="18"/>
        <v>2386.54</v>
      </c>
      <c r="U8" s="75">
        <f t="shared" si="19"/>
        <v>0</v>
      </c>
      <c r="V8" s="75">
        <f t="shared" si="20"/>
        <v>23865.360000000001</v>
      </c>
      <c r="W8" s="75">
        <f t="shared" si="21"/>
        <v>0</v>
      </c>
      <c r="Y8" s="10"/>
      <c r="Z8" s="10"/>
      <c r="AA8" s="10"/>
      <c r="AB8" s="10"/>
      <c r="AC8" s="10"/>
      <c r="AD8" s="10"/>
    </row>
    <row r="9" spans="1:30" ht="15.75" customHeight="1" x14ac:dyDescent="0.3">
      <c r="A9" s="74">
        <v>44989</v>
      </c>
      <c r="B9" s="75">
        <f>ROUND(Summary!$G$9/31,2)</f>
        <v>86636.1</v>
      </c>
      <c r="C9" s="75">
        <v>15</v>
      </c>
      <c r="D9" s="75">
        <v>10.17</v>
      </c>
      <c r="E9" s="75">
        <f t="shared" si="8"/>
        <v>10.17</v>
      </c>
      <c r="F9" s="75">
        <f t="shared" si="9"/>
        <v>51981.66</v>
      </c>
      <c r="G9" s="75">
        <f t="shared" si="10"/>
        <v>35243.57</v>
      </c>
      <c r="H9" s="75">
        <f t="shared" si="0"/>
        <v>34654.44</v>
      </c>
      <c r="I9" s="75">
        <f t="shared" si="11"/>
        <v>23495.71</v>
      </c>
      <c r="J9" s="88">
        <v>6</v>
      </c>
      <c r="K9" s="75">
        <f t="shared" si="12"/>
        <v>11747.86</v>
      </c>
      <c r="L9" s="75">
        <f t="shared" si="13"/>
        <v>0</v>
      </c>
      <c r="M9" s="88">
        <v>23</v>
      </c>
      <c r="N9" s="75">
        <f t="shared" si="14"/>
        <v>3524.36</v>
      </c>
      <c r="O9" s="75">
        <f t="shared" si="15"/>
        <v>0</v>
      </c>
      <c r="P9" s="88">
        <v>14</v>
      </c>
      <c r="Q9" s="75">
        <f t="shared" si="16"/>
        <v>5873.93</v>
      </c>
      <c r="R9" s="75">
        <f t="shared" si="17"/>
        <v>0</v>
      </c>
      <c r="S9" s="88">
        <v>350</v>
      </c>
      <c r="T9" s="75">
        <f t="shared" si="18"/>
        <v>2349.5700000000002</v>
      </c>
      <c r="U9" s="75">
        <f t="shared" si="19"/>
        <v>0</v>
      </c>
      <c r="V9" s="75">
        <f t="shared" si="20"/>
        <v>23495.72</v>
      </c>
      <c r="W9" s="75">
        <f t="shared" si="21"/>
        <v>0</v>
      </c>
      <c r="Y9" s="10"/>
      <c r="Z9" s="10"/>
      <c r="AA9" s="10"/>
      <c r="AB9" s="10"/>
      <c r="AC9" s="10"/>
      <c r="AD9" s="10"/>
    </row>
    <row r="10" spans="1:30" ht="15.75" customHeight="1" x14ac:dyDescent="0.3">
      <c r="A10" s="74">
        <v>44990</v>
      </c>
      <c r="B10" s="75">
        <f>ROUND(Summary!$G$9/31,2)</f>
        <v>86636.1</v>
      </c>
      <c r="C10" s="75">
        <v>15</v>
      </c>
      <c r="D10" s="75">
        <v>10.43</v>
      </c>
      <c r="E10" s="75">
        <f t="shared" si="8"/>
        <v>10.43</v>
      </c>
      <c r="F10" s="75">
        <f t="shared" si="9"/>
        <v>51981.66</v>
      </c>
      <c r="G10" s="75">
        <f t="shared" si="10"/>
        <v>36144.58</v>
      </c>
      <c r="H10" s="75">
        <f t="shared" si="0"/>
        <v>34654.44</v>
      </c>
      <c r="I10" s="75">
        <f t="shared" si="11"/>
        <v>24096.39</v>
      </c>
      <c r="J10" s="88">
        <v>7</v>
      </c>
      <c r="K10" s="75">
        <f t="shared" si="12"/>
        <v>12048.2</v>
      </c>
      <c r="L10" s="75">
        <f t="shared" si="13"/>
        <v>0</v>
      </c>
      <c r="M10" s="88">
        <v>24</v>
      </c>
      <c r="N10" s="75">
        <f t="shared" si="14"/>
        <v>3614.46</v>
      </c>
      <c r="O10" s="75">
        <f t="shared" si="15"/>
        <v>0</v>
      </c>
      <c r="P10" s="88">
        <v>12</v>
      </c>
      <c r="Q10" s="75">
        <f t="shared" si="16"/>
        <v>6024.1</v>
      </c>
      <c r="R10" s="75">
        <f t="shared" si="17"/>
        <v>0</v>
      </c>
      <c r="S10" s="88">
        <v>540</v>
      </c>
      <c r="T10" s="75">
        <f t="shared" si="18"/>
        <v>2409.64</v>
      </c>
      <c r="U10" s="75">
        <f t="shared" si="19"/>
        <v>0</v>
      </c>
      <c r="V10" s="75">
        <f t="shared" si="20"/>
        <v>24096.400000000001</v>
      </c>
      <c r="W10" s="75">
        <f t="shared" si="21"/>
        <v>0</v>
      </c>
      <c r="X10" s="89"/>
      <c r="Y10" s="10"/>
      <c r="Z10" s="10"/>
      <c r="AA10" s="10"/>
      <c r="AB10" s="10"/>
      <c r="AC10" s="10"/>
      <c r="AD10" s="10"/>
    </row>
    <row r="11" spans="1:30" ht="15.75" customHeight="1" x14ac:dyDescent="0.3">
      <c r="A11" s="74">
        <v>44991</v>
      </c>
      <c r="B11" s="75">
        <f>ROUND(Summary!$G$9/31,2)</f>
        <v>86636.1</v>
      </c>
      <c r="C11" s="75">
        <v>15</v>
      </c>
      <c r="D11" s="75">
        <v>3.27</v>
      </c>
      <c r="E11" s="75">
        <f t="shared" si="8"/>
        <v>3.27</v>
      </c>
      <c r="F11" s="75">
        <f t="shared" si="9"/>
        <v>51981.66</v>
      </c>
      <c r="G11" s="75">
        <f t="shared" si="10"/>
        <v>11332</v>
      </c>
      <c r="H11" s="75">
        <f t="shared" si="0"/>
        <v>34654.44</v>
      </c>
      <c r="I11" s="75">
        <f t="shared" si="11"/>
        <v>7554.67</v>
      </c>
      <c r="J11" s="88">
        <v>8</v>
      </c>
      <c r="K11" s="75">
        <f t="shared" si="12"/>
        <v>3777.34</v>
      </c>
      <c r="L11" s="75">
        <f t="shared" si="13"/>
        <v>0</v>
      </c>
      <c r="M11" s="88">
        <v>32</v>
      </c>
      <c r="N11" s="75">
        <f t="shared" si="14"/>
        <v>1133.2</v>
      </c>
      <c r="O11" s="75">
        <f t="shared" si="15"/>
        <v>0</v>
      </c>
      <c r="P11" s="88">
        <v>11</v>
      </c>
      <c r="Q11" s="75">
        <f t="shared" si="16"/>
        <v>1888.67</v>
      </c>
      <c r="R11" s="75">
        <f t="shared" si="17"/>
        <v>0</v>
      </c>
      <c r="S11" s="88">
        <v>280</v>
      </c>
      <c r="T11" s="75">
        <f t="shared" si="18"/>
        <v>755.47</v>
      </c>
      <c r="U11" s="75">
        <f t="shared" si="19"/>
        <v>0</v>
      </c>
      <c r="V11" s="75">
        <f t="shared" si="20"/>
        <v>7554.68</v>
      </c>
      <c r="W11" s="75">
        <f t="shared" si="21"/>
        <v>0</v>
      </c>
      <c r="Y11" s="10"/>
      <c r="Z11" s="10"/>
      <c r="AA11" s="10"/>
      <c r="AB11" s="10"/>
      <c r="AC11" s="10"/>
      <c r="AD11" s="10"/>
    </row>
    <row r="12" spans="1:30" s="31" customFormat="1" ht="15.75" customHeight="1" x14ac:dyDescent="0.3">
      <c r="A12" s="26">
        <v>44992</v>
      </c>
      <c r="B12" s="27">
        <f>ROUND(Summary!$G$9/31,2)</f>
        <v>86636.1</v>
      </c>
      <c r="C12" s="27">
        <v>15</v>
      </c>
      <c r="D12" s="27">
        <v>9.06</v>
      </c>
      <c r="E12" s="75">
        <f t="shared" si="8"/>
        <v>9.06</v>
      </c>
      <c r="F12" s="27">
        <f t="shared" si="9"/>
        <v>51981.66</v>
      </c>
      <c r="G12" s="75">
        <f t="shared" si="10"/>
        <v>31396.92</v>
      </c>
      <c r="H12" s="27">
        <f t="shared" si="0"/>
        <v>34654.44</v>
      </c>
      <c r="I12" s="75">
        <f t="shared" si="11"/>
        <v>20931.28</v>
      </c>
      <c r="J12" s="28">
        <v>10</v>
      </c>
      <c r="K12" s="75">
        <f t="shared" si="12"/>
        <v>10465.64</v>
      </c>
      <c r="L12" s="75">
        <f t="shared" si="13"/>
        <v>0</v>
      </c>
      <c r="M12" s="28">
        <v>25</v>
      </c>
      <c r="N12" s="75">
        <f t="shared" si="14"/>
        <v>3139.69</v>
      </c>
      <c r="O12" s="75">
        <f t="shared" si="15"/>
        <v>0</v>
      </c>
      <c r="P12" s="28">
        <v>28</v>
      </c>
      <c r="Q12" s="75">
        <f t="shared" si="16"/>
        <v>5232.82</v>
      </c>
      <c r="R12" s="75">
        <f t="shared" si="17"/>
        <v>0</v>
      </c>
      <c r="S12" s="28">
        <v>800</v>
      </c>
      <c r="T12" s="75">
        <f t="shared" si="18"/>
        <v>2093.13</v>
      </c>
      <c r="U12" s="75">
        <f t="shared" si="19"/>
        <v>0</v>
      </c>
      <c r="V12" s="75">
        <f t="shared" si="20"/>
        <v>20931.28</v>
      </c>
      <c r="W12" s="75">
        <f t="shared" si="21"/>
        <v>0</v>
      </c>
      <c r="X12" s="29" t="s">
        <v>72</v>
      </c>
      <c r="Y12" s="30"/>
      <c r="Z12" s="30"/>
      <c r="AA12" s="30"/>
      <c r="AB12" s="30"/>
      <c r="AC12" s="30"/>
      <c r="AD12" s="30"/>
    </row>
    <row r="13" spans="1:30" ht="15.75" customHeight="1" x14ac:dyDescent="0.3">
      <c r="A13" s="74">
        <v>44993</v>
      </c>
      <c r="B13" s="75">
        <f>ROUND(Summary!$G$9/31,2)</f>
        <v>86636.1</v>
      </c>
      <c r="C13" s="75">
        <v>15</v>
      </c>
      <c r="D13" s="75">
        <v>11.87</v>
      </c>
      <c r="E13" s="75">
        <f t="shared" si="8"/>
        <v>11.87</v>
      </c>
      <c r="F13" s="75">
        <f t="shared" si="9"/>
        <v>51981.66</v>
      </c>
      <c r="G13" s="75">
        <f t="shared" si="10"/>
        <v>41134.82</v>
      </c>
      <c r="H13" s="75">
        <f t="shared" si="0"/>
        <v>34654.44</v>
      </c>
      <c r="I13" s="75">
        <f t="shared" si="11"/>
        <v>27423.21</v>
      </c>
      <c r="J13" s="88">
        <v>7</v>
      </c>
      <c r="K13" s="75">
        <f t="shared" si="12"/>
        <v>13711.61</v>
      </c>
      <c r="L13" s="75">
        <f t="shared" si="13"/>
        <v>0</v>
      </c>
      <c r="M13" s="88">
        <v>40</v>
      </c>
      <c r="N13" s="75">
        <f t="shared" si="14"/>
        <v>4113.4799999999996</v>
      </c>
      <c r="O13" s="75">
        <f t="shared" si="15"/>
        <v>0</v>
      </c>
      <c r="P13" s="88">
        <v>10</v>
      </c>
      <c r="Q13" s="75">
        <f t="shared" si="16"/>
        <v>6855.8</v>
      </c>
      <c r="R13" s="75">
        <f t="shared" si="17"/>
        <v>0</v>
      </c>
      <c r="S13" s="88">
        <v>170</v>
      </c>
      <c r="T13" s="75">
        <f t="shared" si="18"/>
        <v>2742.32</v>
      </c>
      <c r="U13" s="75">
        <f t="shared" si="19"/>
        <v>0</v>
      </c>
      <c r="V13" s="75">
        <f t="shared" si="20"/>
        <v>27423.21</v>
      </c>
      <c r="W13" s="75">
        <f t="shared" si="21"/>
        <v>0</v>
      </c>
      <c r="Y13" s="10"/>
      <c r="Z13" s="10"/>
      <c r="AA13" s="10"/>
      <c r="AB13" s="10"/>
      <c r="AC13" s="10"/>
      <c r="AD13" s="10"/>
    </row>
    <row r="14" spans="1:30" ht="15.75" customHeight="1" x14ac:dyDescent="0.3">
      <c r="A14" s="74">
        <v>44994</v>
      </c>
      <c r="B14" s="75">
        <f>ROUND(Summary!$G$9/31,2)</f>
        <v>86636.1</v>
      </c>
      <c r="C14" s="75">
        <v>15</v>
      </c>
      <c r="D14" s="75">
        <v>10.130000000000001</v>
      </c>
      <c r="E14" s="75">
        <f t="shared" si="8"/>
        <v>10.130000000000001</v>
      </c>
      <c r="F14" s="75">
        <f t="shared" si="9"/>
        <v>51981.66</v>
      </c>
      <c r="G14" s="75">
        <f t="shared" si="10"/>
        <v>35104.949999999997</v>
      </c>
      <c r="H14" s="75">
        <f t="shared" si="0"/>
        <v>34654.44</v>
      </c>
      <c r="I14" s="75">
        <f t="shared" si="11"/>
        <v>23403.3</v>
      </c>
      <c r="J14" s="88">
        <v>8</v>
      </c>
      <c r="K14" s="75">
        <f t="shared" si="12"/>
        <v>11701.65</v>
      </c>
      <c r="L14" s="75">
        <f t="shared" si="13"/>
        <v>0</v>
      </c>
      <c r="M14" s="88">
        <v>36</v>
      </c>
      <c r="N14" s="75">
        <f t="shared" si="14"/>
        <v>3510.5</v>
      </c>
      <c r="O14" s="75">
        <f t="shared" si="15"/>
        <v>0</v>
      </c>
      <c r="P14" s="88">
        <v>11</v>
      </c>
      <c r="Q14" s="75">
        <f t="shared" si="16"/>
        <v>5850.83</v>
      </c>
      <c r="R14" s="75">
        <f t="shared" si="17"/>
        <v>0</v>
      </c>
      <c r="S14" s="88">
        <v>170</v>
      </c>
      <c r="T14" s="75">
        <f t="shared" si="18"/>
        <v>2340.33</v>
      </c>
      <c r="U14" s="75">
        <f t="shared" si="19"/>
        <v>0</v>
      </c>
      <c r="V14" s="75">
        <f t="shared" si="20"/>
        <v>23403.31</v>
      </c>
      <c r="W14" s="75">
        <f t="shared" si="21"/>
        <v>0</v>
      </c>
      <c r="Y14" s="10"/>
      <c r="Z14" s="10"/>
      <c r="AA14" s="10"/>
      <c r="AB14" s="10"/>
      <c r="AC14" s="10"/>
      <c r="AD14" s="10"/>
    </row>
    <row r="15" spans="1:30" s="24" customFormat="1" ht="15.75" customHeight="1" x14ac:dyDescent="0.3">
      <c r="A15" s="20">
        <v>44995</v>
      </c>
      <c r="B15" s="21">
        <f>ROUND(Summary!$G$9/31,2)</f>
        <v>86636.1</v>
      </c>
      <c r="C15" s="21">
        <v>15</v>
      </c>
      <c r="D15" s="21">
        <v>7.95</v>
      </c>
      <c r="E15" s="75">
        <f t="shared" si="8"/>
        <v>7.95</v>
      </c>
      <c r="F15" s="21">
        <f t="shared" si="9"/>
        <v>51981.66</v>
      </c>
      <c r="G15" s="75">
        <f t="shared" si="10"/>
        <v>27550.28</v>
      </c>
      <c r="H15" s="21">
        <f t="shared" si="0"/>
        <v>34654.44</v>
      </c>
      <c r="I15" s="75">
        <f t="shared" si="11"/>
        <v>18366.849999999999</v>
      </c>
      <c r="J15" s="22">
        <v>10</v>
      </c>
      <c r="K15" s="75">
        <f t="shared" si="12"/>
        <v>9183.43</v>
      </c>
      <c r="L15" s="75">
        <f t="shared" si="13"/>
        <v>0</v>
      </c>
      <c r="M15" s="22">
        <v>32</v>
      </c>
      <c r="N15" s="75">
        <f t="shared" si="14"/>
        <v>2755.03</v>
      </c>
      <c r="O15" s="75">
        <f t="shared" si="15"/>
        <v>0</v>
      </c>
      <c r="P15" s="102">
        <v>43</v>
      </c>
      <c r="Q15" s="75">
        <v>0</v>
      </c>
      <c r="R15" s="75">
        <f t="shared" si="17"/>
        <v>10000</v>
      </c>
      <c r="S15" s="22">
        <v>33</v>
      </c>
      <c r="T15" s="75">
        <f t="shared" si="18"/>
        <v>1836.69</v>
      </c>
      <c r="U15" s="75">
        <f t="shared" si="19"/>
        <v>0</v>
      </c>
      <c r="V15" s="75">
        <f t="shared" si="20"/>
        <v>13775.15</v>
      </c>
      <c r="W15" s="75">
        <f t="shared" si="21"/>
        <v>10000</v>
      </c>
      <c r="X15" s="25" t="s">
        <v>71</v>
      </c>
      <c r="Y15" s="23"/>
      <c r="Z15" s="23"/>
      <c r="AA15" s="23"/>
      <c r="AB15" s="23"/>
      <c r="AC15" s="23"/>
      <c r="AD15" s="23"/>
    </row>
    <row r="16" spans="1:30" ht="15.75" customHeight="1" x14ac:dyDescent="0.3">
      <c r="A16" s="74">
        <v>44996</v>
      </c>
      <c r="B16" s="75">
        <f>ROUND(Summary!$G$9/31,2)</f>
        <v>86636.1</v>
      </c>
      <c r="C16" s="75">
        <v>15</v>
      </c>
      <c r="D16" s="75">
        <v>10.4</v>
      </c>
      <c r="E16" s="75">
        <f t="shared" si="8"/>
        <v>10.4</v>
      </c>
      <c r="F16" s="75">
        <f t="shared" si="9"/>
        <v>51981.66</v>
      </c>
      <c r="G16" s="75">
        <f t="shared" si="10"/>
        <v>36040.620000000003</v>
      </c>
      <c r="H16" s="75">
        <f t="shared" si="0"/>
        <v>34654.44</v>
      </c>
      <c r="I16" s="75">
        <f t="shared" si="11"/>
        <v>24027.08</v>
      </c>
      <c r="J16" s="88">
        <v>9</v>
      </c>
      <c r="K16" s="75">
        <f t="shared" si="12"/>
        <v>12013.54</v>
      </c>
      <c r="L16" s="75">
        <f t="shared" si="13"/>
        <v>0</v>
      </c>
      <c r="M16" s="88">
        <v>24</v>
      </c>
      <c r="N16" s="75">
        <f t="shared" si="14"/>
        <v>3604.06</v>
      </c>
      <c r="O16" s="75">
        <f t="shared" si="15"/>
        <v>0</v>
      </c>
      <c r="P16" s="88">
        <v>12</v>
      </c>
      <c r="Q16" s="75">
        <f t="shared" si="16"/>
        <v>6006.77</v>
      </c>
      <c r="R16" s="75">
        <f t="shared" si="17"/>
        <v>0</v>
      </c>
      <c r="S16" s="88">
        <v>110</v>
      </c>
      <c r="T16" s="75">
        <f t="shared" si="18"/>
        <v>2402.71</v>
      </c>
      <c r="U16" s="75">
        <f t="shared" si="19"/>
        <v>0</v>
      </c>
      <c r="V16" s="75">
        <f t="shared" si="20"/>
        <v>24027.08</v>
      </c>
      <c r="W16" s="75">
        <f t="shared" si="21"/>
        <v>0</v>
      </c>
      <c r="Y16" s="10"/>
      <c r="Z16" s="10"/>
      <c r="AA16" s="10"/>
      <c r="AB16" s="10"/>
      <c r="AC16" s="10"/>
      <c r="AD16" s="10"/>
    </row>
    <row r="17" spans="1:24" ht="15.75" customHeight="1" x14ac:dyDescent="0.25">
      <c r="A17" s="74">
        <v>44997</v>
      </c>
      <c r="B17" s="75">
        <f>ROUND(Summary!$G$9/31,2)</f>
        <v>86636.1</v>
      </c>
      <c r="C17" s="75">
        <v>15</v>
      </c>
      <c r="D17" s="75">
        <v>11.11</v>
      </c>
      <c r="E17" s="75">
        <f t="shared" si="8"/>
        <v>11.11</v>
      </c>
      <c r="F17" s="75">
        <f t="shared" si="9"/>
        <v>51981.66</v>
      </c>
      <c r="G17" s="75">
        <f t="shared" si="10"/>
        <v>38501.08</v>
      </c>
      <c r="H17" s="75">
        <f t="shared" si="0"/>
        <v>34654.44</v>
      </c>
      <c r="I17" s="75">
        <f t="shared" si="11"/>
        <v>25667.39</v>
      </c>
      <c r="J17" s="90">
        <v>8</v>
      </c>
      <c r="K17" s="75">
        <f t="shared" si="12"/>
        <v>12833.7</v>
      </c>
      <c r="L17" s="75">
        <f t="shared" si="13"/>
        <v>0</v>
      </c>
      <c r="M17" s="88">
        <v>36</v>
      </c>
      <c r="N17" s="75">
        <f t="shared" si="14"/>
        <v>3850.11</v>
      </c>
      <c r="O17" s="75">
        <f t="shared" si="15"/>
        <v>0</v>
      </c>
      <c r="P17" s="88">
        <v>13</v>
      </c>
      <c r="Q17" s="75">
        <f t="shared" si="16"/>
        <v>6416.85</v>
      </c>
      <c r="R17" s="75">
        <f t="shared" si="17"/>
        <v>0</v>
      </c>
      <c r="S17" s="88">
        <v>540</v>
      </c>
      <c r="T17" s="75">
        <f t="shared" si="18"/>
        <v>2566.7399999999998</v>
      </c>
      <c r="U17" s="75">
        <f t="shared" si="19"/>
        <v>0</v>
      </c>
      <c r="V17" s="75">
        <f t="shared" si="20"/>
        <v>25667.4</v>
      </c>
      <c r="W17" s="75">
        <f t="shared" si="21"/>
        <v>0</v>
      </c>
    </row>
    <row r="18" spans="1:24" ht="15.75" customHeight="1" x14ac:dyDescent="0.25">
      <c r="A18" s="74">
        <v>44998</v>
      </c>
      <c r="B18" s="75">
        <f>ROUND(Summary!$G$9/31,2)</f>
        <v>86636.1</v>
      </c>
      <c r="C18" s="75">
        <v>15</v>
      </c>
      <c r="D18" s="75">
        <v>10.97</v>
      </c>
      <c r="E18" s="75">
        <f t="shared" si="8"/>
        <v>10.97</v>
      </c>
      <c r="F18" s="75">
        <f t="shared" si="9"/>
        <v>51981.66</v>
      </c>
      <c r="G18" s="75">
        <f t="shared" si="10"/>
        <v>38015.919999999998</v>
      </c>
      <c r="H18" s="75">
        <f t="shared" si="0"/>
        <v>34654.44</v>
      </c>
      <c r="I18" s="75">
        <f t="shared" si="11"/>
        <v>25343.95</v>
      </c>
      <c r="J18" s="88">
        <v>9</v>
      </c>
      <c r="K18" s="75">
        <f t="shared" si="12"/>
        <v>12671.98</v>
      </c>
      <c r="L18" s="75">
        <f t="shared" si="13"/>
        <v>0</v>
      </c>
      <c r="M18" s="90">
        <v>40</v>
      </c>
      <c r="N18" s="75">
        <f t="shared" si="14"/>
        <v>3801.59</v>
      </c>
      <c r="O18" s="75">
        <f t="shared" si="15"/>
        <v>0</v>
      </c>
      <c r="P18" s="90">
        <v>10</v>
      </c>
      <c r="Q18" s="75">
        <f t="shared" si="16"/>
        <v>6335.99</v>
      </c>
      <c r="R18" s="75">
        <f t="shared" si="17"/>
        <v>0</v>
      </c>
      <c r="S18" s="88">
        <v>350</v>
      </c>
      <c r="T18" s="75">
        <f t="shared" si="18"/>
        <v>2534.4</v>
      </c>
      <c r="U18" s="75">
        <f t="shared" si="19"/>
        <v>0</v>
      </c>
      <c r="V18" s="75">
        <f t="shared" si="20"/>
        <v>25343.96</v>
      </c>
      <c r="W18" s="75">
        <f t="shared" si="21"/>
        <v>0</v>
      </c>
    </row>
    <row r="19" spans="1:24" s="31" customFormat="1" ht="15.75" customHeight="1" x14ac:dyDescent="0.25">
      <c r="A19" s="26">
        <v>44999</v>
      </c>
      <c r="B19" s="27">
        <f>ROUND(Summary!$G$9/31,2)</f>
        <v>86636.1</v>
      </c>
      <c r="C19" s="27">
        <v>15</v>
      </c>
      <c r="D19" s="27">
        <v>13.19</v>
      </c>
      <c r="E19" s="75">
        <f t="shared" si="8"/>
        <v>13.19</v>
      </c>
      <c r="F19" s="27">
        <f t="shared" si="9"/>
        <v>51981.66</v>
      </c>
      <c r="G19" s="75">
        <f t="shared" si="10"/>
        <v>45709.21</v>
      </c>
      <c r="H19" s="27">
        <f t="shared" si="0"/>
        <v>34654.44</v>
      </c>
      <c r="I19" s="75">
        <f t="shared" si="11"/>
        <v>30472.799999999999</v>
      </c>
      <c r="J19" s="63">
        <v>9</v>
      </c>
      <c r="K19" s="75">
        <f t="shared" si="12"/>
        <v>15236.4</v>
      </c>
      <c r="L19" s="75">
        <f t="shared" si="13"/>
        <v>0</v>
      </c>
      <c r="M19" s="28">
        <v>24</v>
      </c>
      <c r="N19" s="75">
        <f t="shared" si="14"/>
        <v>4570.92</v>
      </c>
      <c r="O19" s="75">
        <f t="shared" si="15"/>
        <v>0</v>
      </c>
      <c r="P19" s="28">
        <v>26</v>
      </c>
      <c r="Q19" s="75">
        <f t="shared" si="16"/>
        <v>7618.2</v>
      </c>
      <c r="R19" s="75">
        <f t="shared" si="17"/>
        <v>0</v>
      </c>
      <c r="S19" s="28">
        <v>900</v>
      </c>
      <c r="T19" s="75">
        <f t="shared" si="18"/>
        <v>3047.28</v>
      </c>
      <c r="U19" s="75">
        <f t="shared" si="19"/>
        <v>0</v>
      </c>
      <c r="V19" s="75">
        <f t="shared" si="20"/>
        <v>30472.799999999999</v>
      </c>
      <c r="W19" s="75">
        <f t="shared" si="21"/>
        <v>0</v>
      </c>
      <c r="X19" s="29" t="s">
        <v>72</v>
      </c>
    </row>
    <row r="20" spans="1:24" ht="15.75" customHeight="1" x14ac:dyDescent="0.25">
      <c r="A20" s="74">
        <v>45000</v>
      </c>
      <c r="B20" s="75">
        <f>ROUND(Summary!$G$9/31,2)</f>
        <v>86636.1</v>
      </c>
      <c r="C20" s="75">
        <v>15</v>
      </c>
      <c r="D20" s="75">
        <v>15.59</v>
      </c>
      <c r="E20" s="75">
        <f t="shared" si="8"/>
        <v>15</v>
      </c>
      <c r="F20" s="75">
        <f t="shared" si="9"/>
        <v>51981.66</v>
      </c>
      <c r="G20" s="75">
        <f t="shared" si="10"/>
        <v>51981.66</v>
      </c>
      <c r="H20" s="75">
        <f t="shared" si="0"/>
        <v>34654.44</v>
      </c>
      <c r="I20" s="75">
        <f t="shared" si="11"/>
        <v>34654.44</v>
      </c>
      <c r="J20" s="91">
        <v>8</v>
      </c>
      <c r="K20" s="75">
        <f t="shared" si="12"/>
        <v>17327.22</v>
      </c>
      <c r="L20" s="75">
        <f t="shared" si="13"/>
        <v>0</v>
      </c>
      <c r="M20" s="88">
        <v>32</v>
      </c>
      <c r="N20" s="75">
        <f t="shared" si="14"/>
        <v>5198.17</v>
      </c>
      <c r="O20" s="75">
        <f t="shared" si="15"/>
        <v>0</v>
      </c>
      <c r="P20" s="88">
        <v>10</v>
      </c>
      <c r="Q20" s="75">
        <f t="shared" si="16"/>
        <v>8663.61</v>
      </c>
      <c r="R20" s="75">
        <f t="shared" si="17"/>
        <v>0</v>
      </c>
      <c r="S20" s="88">
        <v>540</v>
      </c>
      <c r="T20" s="75">
        <f t="shared" si="18"/>
        <v>3465.44</v>
      </c>
      <c r="U20" s="75">
        <f t="shared" si="19"/>
        <v>0</v>
      </c>
      <c r="V20" s="75">
        <f t="shared" si="20"/>
        <v>34654.44</v>
      </c>
      <c r="W20" s="75">
        <f t="shared" si="21"/>
        <v>0</v>
      </c>
    </row>
    <row r="21" spans="1:24" ht="15.75" customHeight="1" x14ac:dyDescent="0.25">
      <c r="A21" s="74">
        <v>45001</v>
      </c>
      <c r="B21" s="75">
        <f>ROUND(Summary!$G$9/31,2)</f>
        <v>86636.1</v>
      </c>
      <c r="C21" s="75">
        <v>15</v>
      </c>
      <c r="D21" s="75">
        <v>12.83</v>
      </c>
      <c r="E21" s="75">
        <f t="shared" si="8"/>
        <v>12.83</v>
      </c>
      <c r="F21" s="75">
        <f t="shared" si="9"/>
        <v>51981.66</v>
      </c>
      <c r="G21" s="75">
        <f t="shared" si="10"/>
        <v>44461.65</v>
      </c>
      <c r="H21" s="75">
        <f t="shared" si="0"/>
        <v>34654.44</v>
      </c>
      <c r="I21" s="75">
        <f t="shared" si="11"/>
        <v>29641.1</v>
      </c>
      <c r="J21" s="91">
        <v>7</v>
      </c>
      <c r="K21" s="75">
        <f t="shared" si="12"/>
        <v>14820.55</v>
      </c>
      <c r="L21" s="75">
        <f t="shared" si="13"/>
        <v>0</v>
      </c>
      <c r="M21" s="88">
        <v>32</v>
      </c>
      <c r="N21" s="75">
        <f t="shared" si="14"/>
        <v>4446.17</v>
      </c>
      <c r="O21" s="75">
        <f t="shared" si="15"/>
        <v>0</v>
      </c>
      <c r="P21" s="88">
        <v>13</v>
      </c>
      <c r="Q21" s="75">
        <f t="shared" si="16"/>
        <v>7410.28</v>
      </c>
      <c r="R21" s="75">
        <f t="shared" si="17"/>
        <v>0</v>
      </c>
      <c r="S21" s="88">
        <v>280</v>
      </c>
      <c r="T21" s="75">
        <f t="shared" si="18"/>
        <v>2964.11</v>
      </c>
      <c r="U21" s="75">
        <f t="shared" si="19"/>
        <v>0</v>
      </c>
      <c r="V21" s="75">
        <f t="shared" si="20"/>
        <v>29641.11</v>
      </c>
      <c r="W21" s="75">
        <f t="shared" si="21"/>
        <v>0</v>
      </c>
    </row>
    <row r="22" spans="1:24" ht="15.75" customHeight="1" x14ac:dyDescent="0.25">
      <c r="A22" s="74">
        <v>45002</v>
      </c>
      <c r="B22" s="75">
        <f>ROUND(Summary!$G$9/31,2)</f>
        <v>86636.1</v>
      </c>
      <c r="C22" s="75">
        <v>15</v>
      </c>
      <c r="D22" s="75">
        <v>12.67</v>
      </c>
      <c r="E22" s="75">
        <f t="shared" si="8"/>
        <v>12.67</v>
      </c>
      <c r="F22" s="75">
        <f t="shared" si="9"/>
        <v>51981.66</v>
      </c>
      <c r="G22" s="75">
        <f t="shared" si="10"/>
        <v>43907.18</v>
      </c>
      <c r="H22" s="75">
        <f t="shared" si="0"/>
        <v>34654.44</v>
      </c>
      <c r="I22" s="75">
        <f t="shared" si="11"/>
        <v>29271.45</v>
      </c>
      <c r="J22" s="88">
        <v>8</v>
      </c>
      <c r="K22" s="75">
        <f t="shared" si="12"/>
        <v>14635.73</v>
      </c>
      <c r="L22" s="75">
        <f t="shared" si="13"/>
        <v>0</v>
      </c>
      <c r="M22" s="88">
        <v>28</v>
      </c>
      <c r="N22" s="75">
        <f t="shared" si="14"/>
        <v>4390.72</v>
      </c>
      <c r="O22" s="75">
        <f t="shared" si="15"/>
        <v>0</v>
      </c>
      <c r="P22" s="88">
        <v>10</v>
      </c>
      <c r="Q22" s="75">
        <f t="shared" si="16"/>
        <v>7317.86</v>
      </c>
      <c r="R22" s="75">
        <f t="shared" si="17"/>
        <v>0</v>
      </c>
      <c r="S22" s="88">
        <v>170</v>
      </c>
      <c r="T22" s="75">
        <f t="shared" si="18"/>
        <v>2927.15</v>
      </c>
      <c r="U22" s="75">
        <f t="shared" si="19"/>
        <v>0</v>
      </c>
      <c r="V22" s="75">
        <f t="shared" si="20"/>
        <v>29271.46</v>
      </c>
      <c r="W22" s="75">
        <f t="shared" si="21"/>
        <v>0</v>
      </c>
    </row>
    <row r="23" spans="1:24" ht="15.75" customHeight="1" x14ac:dyDescent="0.25">
      <c r="A23" s="74">
        <v>45003</v>
      </c>
      <c r="B23" s="75">
        <f>ROUND(Summary!$G$9/31,2)</f>
        <v>86636.1</v>
      </c>
      <c r="C23" s="75">
        <v>15</v>
      </c>
      <c r="D23" s="75">
        <v>15.89</v>
      </c>
      <c r="E23" s="75">
        <f t="shared" si="8"/>
        <v>15</v>
      </c>
      <c r="F23" s="75">
        <f t="shared" si="9"/>
        <v>51981.66</v>
      </c>
      <c r="G23" s="75">
        <f t="shared" si="10"/>
        <v>51981.66</v>
      </c>
      <c r="H23" s="75">
        <f t="shared" si="0"/>
        <v>34654.44</v>
      </c>
      <c r="I23" s="75">
        <f t="shared" si="11"/>
        <v>34654.44</v>
      </c>
      <c r="J23" s="91">
        <v>7</v>
      </c>
      <c r="K23" s="75">
        <f t="shared" si="12"/>
        <v>17327.22</v>
      </c>
      <c r="L23" s="75">
        <f t="shared" si="13"/>
        <v>0</v>
      </c>
      <c r="M23" s="88">
        <v>36</v>
      </c>
      <c r="N23" s="75">
        <f t="shared" si="14"/>
        <v>5198.17</v>
      </c>
      <c r="O23" s="75">
        <f t="shared" si="15"/>
        <v>0</v>
      </c>
      <c r="P23" s="88">
        <v>14</v>
      </c>
      <c r="Q23" s="75">
        <f t="shared" si="16"/>
        <v>8663.61</v>
      </c>
      <c r="R23" s="75">
        <f t="shared" si="17"/>
        <v>0</v>
      </c>
      <c r="S23" s="88">
        <v>240</v>
      </c>
      <c r="T23" s="75">
        <f t="shared" si="18"/>
        <v>3465.44</v>
      </c>
      <c r="U23" s="75">
        <f t="shared" si="19"/>
        <v>0</v>
      </c>
      <c r="V23" s="75">
        <f t="shared" si="20"/>
        <v>34654.44</v>
      </c>
      <c r="W23" s="75">
        <f t="shared" si="21"/>
        <v>0</v>
      </c>
    </row>
    <row r="24" spans="1:24" ht="15.75" customHeight="1" x14ac:dyDescent="0.25">
      <c r="A24" s="74">
        <v>45004</v>
      </c>
      <c r="B24" s="75">
        <f>ROUND(Summary!$G$9/31,2)</f>
        <v>86636.1</v>
      </c>
      <c r="C24" s="75">
        <v>15</v>
      </c>
      <c r="D24" s="75">
        <v>15.52</v>
      </c>
      <c r="E24" s="75">
        <f t="shared" si="8"/>
        <v>15</v>
      </c>
      <c r="F24" s="75">
        <f t="shared" si="9"/>
        <v>51981.66</v>
      </c>
      <c r="G24" s="75">
        <f t="shared" si="10"/>
        <v>51981.66</v>
      </c>
      <c r="H24" s="75">
        <f t="shared" si="0"/>
        <v>34654.44</v>
      </c>
      <c r="I24" s="75">
        <f t="shared" si="11"/>
        <v>34654.44</v>
      </c>
      <c r="J24" s="91">
        <v>9</v>
      </c>
      <c r="K24" s="75">
        <f t="shared" si="12"/>
        <v>17327.22</v>
      </c>
      <c r="L24" s="75">
        <f t="shared" si="13"/>
        <v>0</v>
      </c>
      <c r="M24" s="88">
        <v>24</v>
      </c>
      <c r="N24" s="75">
        <f t="shared" si="14"/>
        <v>5198.17</v>
      </c>
      <c r="O24" s="75">
        <f t="shared" si="15"/>
        <v>0</v>
      </c>
      <c r="P24" s="88">
        <v>13</v>
      </c>
      <c r="Q24" s="75">
        <f t="shared" si="16"/>
        <v>8663.61</v>
      </c>
      <c r="R24" s="75">
        <f t="shared" si="17"/>
        <v>0</v>
      </c>
      <c r="S24" s="88">
        <v>920</v>
      </c>
      <c r="T24" s="75">
        <f t="shared" si="18"/>
        <v>3465.44</v>
      </c>
      <c r="U24" s="75">
        <f t="shared" si="19"/>
        <v>0</v>
      </c>
      <c r="V24" s="75">
        <f t="shared" si="20"/>
        <v>34654.44</v>
      </c>
      <c r="W24" s="75">
        <f t="shared" si="21"/>
        <v>0</v>
      </c>
    </row>
    <row r="25" spans="1:24" ht="15.75" customHeight="1" x14ac:dyDescent="0.25">
      <c r="A25" s="74">
        <v>45005</v>
      </c>
      <c r="B25" s="75">
        <f>ROUND(Summary!$G$9/31,2)</f>
        <v>86636.1</v>
      </c>
      <c r="C25" s="75">
        <v>15</v>
      </c>
      <c r="D25" s="75">
        <v>12.74</v>
      </c>
      <c r="E25" s="75">
        <f t="shared" si="8"/>
        <v>12.74</v>
      </c>
      <c r="F25" s="75">
        <f t="shared" si="9"/>
        <v>51981.66</v>
      </c>
      <c r="G25" s="75">
        <f t="shared" si="10"/>
        <v>44149.760000000002</v>
      </c>
      <c r="H25" s="75">
        <f t="shared" si="0"/>
        <v>34654.44</v>
      </c>
      <c r="I25" s="75">
        <f t="shared" si="11"/>
        <v>29433.17</v>
      </c>
      <c r="J25" s="91">
        <v>6</v>
      </c>
      <c r="K25" s="75">
        <f t="shared" si="12"/>
        <v>14716.59</v>
      </c>
      <c r="L25" s="75">
        <f t="shared" si="13"/>
        <v>0</v>
      </c>
      <c r="M25" s="88">
        <v>36</v>
      </c>
      <c r="N25" s="75">
        <f t="shared" si="14"/>
        <v>4414.9799999999996</v>
      </c>
      <c r="O25" s="75">
        <f t="shared" si="15"/>
        <v>0</v>
      </c>
      <c r="P25" s="88">
        <v>11</v>
      </c>
      <c r="Q25" s="75">
        <f t="shared" si="16"/>
        <v>7358.29</v>
      </c>
      <c r="R25" s="75">
        <f t="shared" si="17"/>
        <v>0</v>
      </c>
      <c r="S25" s="88">
        <v>220</v>
      </c>
      <c r="T25" s="75">
        <f t="shared" si="18"/>
        <v>2943.32</v>
      </c>
      <c r="U25" s="75">
        <f t="shared" si="19"/>
        <v>0</v>
      </c>
      <c r="V25" s="75">
        <f t="shared" si="20"/>
        <v>29433.18</v>
      </c>
      <c r="W25" s="75">
        <f t="shared" si="21"/>
        <v>0</v>
      </c>
    </row>
    <row r="26" spans="1:24" s="31" customFormat="1" ht="15.75" customHeight="1" x14ac:dyDescent="0.25">
      <c r="A26" s="26">
        <v>45006</v>
      </c>
      <c r="B26" s="27">
        <f>ROUND(Summary!$G$9/31,2)</f>
        <v>86636.1</v>
      </c>
      <c r="C26" s="27">
        <v>15</v>
      </c>
      <c r="D26" s="27">
        <v>14.74</v>
      </c>
      <c r="E26" s="75">
        <f t="shared" si="8"/>
        <v>14.74</v>
      </c>
      <c r="F26" s="27">
        <f t="shared" si="9"/>
        <v>51981.66</v>
      </c>
      <c r="G26" s="75">
        <f t="shared" si="10"/>
        <v>51080.639999999999</v>
      </c>
      <c r="H26" s="27">
        <f t="shared" si="0"/>
        <v>34654.44</v>
      </c>
      <c r="I26" s="75">
        <f t="shared" si="11"/>
        <v>34053.760000000002</v>
      </c>
      <c r="J26" s="28">
        <v>10</v>
      </c>
      <c r="K26" s="75">
        <f t="shared" si="12"/>
        <v>17026.88</v>
      </c>
      <c r="L26" s="75">
        <f t="shared" si="13"/>
        <v>0</v>
      </c>
      <c r="M26" s="28">
        <v>24</v>
      </c>
      <c r="N26" s="75">
        <f t="shared" si="14"/>
        <v>5108.0600000000004</v>
      </c>
      <c r="O26" s="75">
        <f t="shared" si="15"/>
        <v>0</v>
      </c>
      <c r="P26" s="28">
        <v>28</v>
      </c>
      <c r="Q26" s="75">
        <f t="shared" si="16"/>
        <v>8513.44</v>
      </c>
      <c r="R26" s="75">
        <f t="shared" si="17"/>
        <v>0</v>
      </c>
      <c r="S26" s="28">
        <v>900</v>
      </c>
      <c r="T26" s="75">
        <f t="shared" si="18"/>
        <v>3405.38</v>
      </c>
      <c r="U26" s="75">
        <f t="shared" si="19"/>
        <v>0</v>
      </c>
      <c r="V26" s="75">
        <f t="shared" si="20"/>
        <v>34053.760000000002</v>
      </c>
      <c r="W26" s="75">
        <f t="shared" si="21"/>
        <v>0</v>
      </c>
      <c r="X26" s="29" t="s">
        <v>72</v>
      </c>
    </row>
    <row r="27" spans="1:24" ht="15.75" customHeight="1" x14ac:dyDescent="0.25">
      <c r="A27" s="74">
        <v>45007</v>
      </c>
      <c r="B27" s="75">
        <f>ROUND(Summary!$G$9/31,2)</f>
        <v>86636.1</v>
      </c>
      <c r="C27" s="75">
        <v>15</v>
      </c>
      <c r="D27" s="75">
        <v>15.26</v>
      </c>
      <c r="E27" s="75">
        <f t="shared" si="8"/>
        <v>15</v>
      </c>
      <c r="F27" s="75">
        <f t="shared" si="9"/>
        <v>51981.66</v>
      </c>
      <c r="G27" s="75">
        <f t="shared" si="10"/>
        <v>51981.66</v>
      </c>
      <c r="H27" s="75">
        <f t="shared" si="0"/>
        <v>34654.44</v>
      </c>
      <c r="I27" s="75">
        <f t="shared" si="11"/>
        <v>34654.44</v>
      </c>
      <c r="J27" s="88">
        <v>9</v>
      </c>
      <c r="K27" s="75">
        <f t="shared" si="12"/>
        <v>17327.22</v>
      </c>
      <c r="L27" s="75">
        <f t="shared" si="13"/>
        <v>0</v>
      </c>
      <c r="M27" s="88">
        <v>36</v>
      </c>
      <c r="N27" s="75">
        <f t="shared" si="14"/>
        <v>5198.17</v>
      </c>
      <c r="O27" s="75">
        <f t="shared" si="15"/>
        <v>0</v>
      </c>
      <c r="P27" s="88">
        <v>10</v>
      </c>
      <c r="Q27" s="75">
        <f t="shared" si="16"/>
        <v>8663.61</v>
      </c>
      <c r="R27" s="75">
        <f t="shared" si="17"/>
        <v>0</v>
      </c>
      <c r="S27" s="88">
        <v>280</v>
      </c>
      <c r="T27" s="75">
        <f t="shared" si="18"/>
        <v>3465.44</v>
      </c>
      <c r="U27" s="75">
        <f t="shared" si="19"/>
        <v>0</v>
      </c>
      <c r="V27" s="75">
        <f t="shared" si="20"/>
        <v>34654.44</v>
      </c>
      <c r="W27" s="75">
        <f t="shared" si="21"/>
        <v>0</v>
      </c>
    </row>
    <row r="28" spans="1:24" ht="15.75" customHeight="1" x14ac:dyDescent="0.25">
      <c r="A28" s="74">
        <v>45008</v>
      </c>
      <c r="B28" s="75">
        <f>ROUND(Summary!$G$9/31,2)</f>
        <v>86636.1</v>
      </c>
      <c r="C28" s="75">
        <v>15</v>
      </c>
      <c r="D28" s="75">
        <v>10.62</v>
      </c>
      <c r="E28" s="75">
        <f t="shared" si="8"/>
        <v>10.62</v>
      </c>
      <c r="F28" s="75">
        <f t="shared" si="9"/>
        <v>51981.66</v>
      </c>
      <c r="G28" s="75">
        <f t="shared" si="10"/>
        <v>36803.019999999997</v>
      </c>
      <c r="H28" s="75">
        <f t="shared" si="0"/>
        <v>34654.44</v>
      </c>
      <c r="I28" s="75">
        <f t="shared" si="11"/>
        <v>24535.34</v>
      </c>
      <c r="J28" s="88">
        <v>8</v>
      </c>
      <c r="K28" s="75">
        <f t="shared" si="12"/>
        <v>12267.67</v>
      </c>
      <c r="L28" s="75">
        <f t="shared" si="13"/>
        <v>0</v>
      </c>
      <c r="M28" s="92">
        <v>38</v>
      </c>
      <c r="N28" s="75">
        <f t="shared" si="14"/>
        <v>3680.3</v>
      </c>
      <c r="O28" s="75">
        <f t="shared" si="15"/>
        <v>0</v>
      </c>
      <c r="P28" s="92">
        <v>11</v>
      </c>
      <c r="Q28" s="75">
        <f t="shared" si="16"/>
        <v>6133.84</v>
      </c>
      <c r="R28" s="75">
        <f t="shared" si="17"/>
        <v>0</v>
      </c>
      <c r="S28" s="88">
        <v>220</v>
      </c>
      <c r="T28" s="75">
        <f t="shared" si="18"/>
        <v>2453.5300000000002</v>
      </c>
      <c r="U28" s="75">
        <f t="shared" si="19"/>
        <v>0</v>
      </c>
      <c r="V28" s="75">
        <f t="shared" si="20"/>
        <v>24535.34</v>
      </c>
      <c r="W28" s="75">
        <f t="shared" si="21"/>
        <v>0</v>
      </c>
    </row>
    <row r="29" spans="1:24" ht="15.75" customHeight="1" x14ac:dyDescent="0.25">
      <c r="A29" s="74">
        <v>45009</v>
      </c>
      <c r="B29" s="75">
        <f>ROUND(Summary!$G$9/31,2)</f>
        <v>86636.1</v>
      </c>
      <c r="C29" s="75">
        <v>15</v>
      </c>
      <c r="D29" s="75">
        <v>0</v>
      </c>
      <c r="E29" s="75">
        <f t="shared" si="8"/>
        <v>0</v>
      </c>
      <c r="F29" s="75">
        <f t="shared" si="9"/>
        <v>51981.66</v>
      </c>
      <c r="G29" s="75">
        <f t="shared" si="10"/>
        <v>0</v>
      </c>
      <c r="H29" s="75">
        <f t="shared" si="0"/>
        <v>34654.44</v>
      </c>
      <c r="I29" s="75">
        <f t="shared" si="11"/>
        <v>0</v>
      </c>
      <c r="J29" s="88"/>
      <c r="K29" s="75">
        <f t="shared" si="12"/>
        <v>0</v>
      </c>
      <c r="L29" s="75">
        <f t="shared" si="13"/>
        <v>0</v>
      </c>
      <c r="M29" s="92"/>
      <c r="N29" s="75">
        <f t="shared" si="14"/>
        <v>0</v>
      </c>
      <c r="O29" s="75">
        <f t="shared" si="15"/>
        <v>0</v>
      </c>
      <c r="P29" s="92"/>
      <c r="Q29" s="75">
        <f t="shared" si="16"/>
        <v>0</v>
      </c>
      <c r="R29" s="75">
        <f t="shared" si="17"/>
        <v>0</v>
      </c>
      <c r="S29" s="88"/>
      <c r="T29" s="75">
        <f t="shared" si="18"/>
        <v>0</v>
      </c>
      <c r="U29" s="75">
        <f t="shared" si="19"/>
        <v>0</v>
      </c>
      <c r="V29" s="75">
        <f t="shared" si="20"/>
        <v>0</v>
      </c>
      <c r="W29" s="75">
        <f t="shared" si="21"/>
        <v>0</v>
      </c>
    </row>
    <row r="30" spans="1:24" ht="15.75" customHeight="1" x14ac:dyDescent="0.25">
      <c r="A30" s="74">
        <v>45010</v>
      </c>
      <c r="B30" s="75">
        <f>ROUND(Summary!$G$9/31,2)</f>
        <v>86636.1</v>
      </c>
      <c r="C30" s="75">
        <v>15</v>
      </c>
      <c r="D30" s="75">
        <v>0</v>
      </c>
      <c r="E30" s="75">
        <f t="shared" si="8"/>
        <v>0</v>
      </c>
      <c r="F30" s="75">
        <f t="shared" ref="F30" si="22">B30*60%</f>
        <v>51981.66</v>
      </c>
      <c r="G30" s="75">
        <f t="shared" si="10"/>
        <v>0</v>
      </c>
      <c r="H30" s="75">
        <f t="shared" ref="H30" si="23">B30*40%</f>
        <v>34654.44</v>
      </c>
      <c r="I30" s="75">
        <f t="shared" si="11"/>
        <v>0</v>
      </c>
      <c r="J30" s="88"/>
      <c r="K30" s="75">
        <f t="shared" si="12"/>
        <v>0</v>
      </c>
      <c r="L30" s="75">
        <f t="shared" si="13"/>
        <v>0</v>
      </c>
      <c r="M30" s="88"/>
      <c r="N30" s="75">
        <f t="shared" si="14"/>
        <v>0</v>
      </c>
      <c r="O30" s="75">
        <f t="shared" si="15"/>
        <v>0</v>
      </c>
      <c r="P30" s="92"/>
      <c r="Q30" s="75">
        <f t="shared" si="16"/>
        <v>0</v>
      </c>
      <c r="R30" s="75">
        <f t="shared" si="17"/>
        <v>0</v>
      </c>
      <c r="S30" s="88"/>
      <c r="T30" s="75">
        <f t="shared" si="18"/>
        <v>0</v>
      </c>
      <c r="U30" s="75">
        <f t="shared" si="19"/>
        <v>0</v>
      </c>
      <c r="V30" s="75">
        <f t="shared" si="20"/>
        <v>0</v>
      </c>
      <c r="W30" s="75">
        <f t="shared" si="21"/>
        <v>0</v>
      </c>
    </row>
    <row r="31" spans="1:24" ht="15.75" customHeight="1" x14ac:dyDescent="0.25">
      <c r="A31" s="74">
        <v>45011</v>
      </c>
      <c r="B31" s="75">
        <f>ROUND(Summary!$G$9/31,2)</f>
        <v>86636.1</v>
      </c>
      <c r="C31" s="75">
        <v>15</v>
      </c>
      <c r="D31" s="75">
        <v>7.25</v>
      </c>
      <c r="E31" s="75">
        <f t="shared" si="8"/>
        <v>7.25</v>
      </c>
      <c r="F31" s="75">
        <f t="shared" ref="F31:F36" si="24">B31*60%</f>
        <v>51981.66</v>
      </c>
      <c r="G31" s="75">
        <f t="shared" si="10"/>
        <v>25124.47</v>
      </c>
      <c r="H31" s="75">
        <f t="shared" ref="H31:H36" si="25">B31*40%</f>
        <v>34654.44</v>
      </c>
      <c r="I31" s="75">
        <f t="shared" si="11"/>
        <v>16749.650000000001</v>
      </c>
      <c r="J31" s="88">
        <v>8</v>
      </c>
      <c r="K31" s="75">
        <f t="shared" si="12"/>
        <v>8374.83</v>
      </c>
      <c r="L31" s="75">
        <f t="shared" si="13"/>
        <v>0</v>
      </c>
      <c r="M31" s="88">
        <v>40</v>
      </c>
      <c r="N31" s="75">
        <f t="shared" si="14"/>
        <v>2512.4499999999998</v>
      </c>
      <c r="O31" s="75">
        <f t="shared" si="15"/>
        <v>0</v>
      </c>
      <c r="P31" s="92">
        <v>13</v>
      </c>
      <c r="Q31" s="75">
        <f t="shared" si="16"/>
        <v>4187.41</v>
      </c>
      <c r="R31" s="75">
        <f t="shared" si="17"/>
        <v>0</v>
      </c>
      <c r="S31" s="88">
        <v>920</v>
      </c>
      <c r="T31" s="75">
        <f t="shared" si="18"/>
        <v>1674.97</v>
      </c>
      <c r="U31" s="75">
        <f t="shared" si="19"/>
        <v>0</v>
      </c>
      <c r="V31" s="75">
        <f t="shared" si="20"/>
        <v>16749.66</v>
      </c>
      <c r="W31" s="75">
        <f t="shared" si="21"/>
        <v>0</v>
      </c>
    </row>
    <row r="32" spans="1:24" ht="15.75" customHeight="1" x14ac:dyDescent="0.25">
      <c r="A32" s="74">
        <v>45012</v>
      </c>
      <c r="B32" s="75">
        <f>ROUND(Summary!$G$9/31,2)</f>
        <v>86636.1</v>
      </c>
      <c r="C32" s="75">
        <v>15</v>
      </c>
      <c r="D32" s="75">
        <v>15.13</v>
      </c>
      <c r="E32" s="75">
        <f t="shared" si="8"/>
        <v>15</v>
      </c>
      <c r="F32" s="75">
        <f t="shared" si="24"/>
        <v>51981.66</v>
      </c>
      <c r="G32" s="75">
        <f t="shared" si="10"/>
        <v>51981.66</v>
      </c>
      <c r="H32" s="75">
        <f t="shared" si="25"/>
        <v>34654.44</v>
      </c>
      <c r="I32" s="75">
        <f t="shared" si="11"/>
        <v>34654.44</v>
      </c>
      <c r="J32" s="88">
        <v>7</v>
      </c>
      <c r="K32" s="75">
        <f t="shared" si="12"/>
        <v>17327.22</v>
      </c>
      <c r="L32" s="75">
        <f t="shared" si="13"/>
        <v>0</v>
      </c>
      <c r="M32" s="88">
        <v>32</v>
      </c>
      <c r="N32" s="75">
        <f t="shared" si="14"/>
        <v>5198.17</v>
      </c>
      <c r="O32" s="75">
        <f t="shared" si="15"/>
        <v>0</v>
      </c>
      <c r="P32" s="92">
        <v>11</v>
      </c>
      <c r="Q32" s="75">
        <f t="shared" si="16"/>
        <v>8663.61</v>
      </c>
      <c r="R32" s="75">
        <f t="shared" si="17"/>
        <v>0</v>
      </c>
      <c r="S32" s="88">
        <v>280</v>
      </c>
      <c r="T32" s="75">
        <f t="shared" si="18"/>
        <v>3465.44</v>
      </c>
      <c r="U32" s="75">
        <f t="shared" si="19"/>
        <v>0</v>
      </c>
      <c r="V32" s="75">
        <f t="shared" si="20"/>
        <v>34654.44</v>
      </c>
      <c r="W32" s="75">
        <f t="shared" si="21"/>
        <v>0</v>
      </c>
    </row>
    <row r="33" spans="1:24" s="31" customFormat="1" ht="15.75" customHeight="1" x14ac:dyDescent="0.25">
      <c r="A33" s="26">
        <v>45013</v>
      </c>
      <c r="B33" s="27">
        <f>ROUND(Summary!$G$9/31,2)</f>
        <v>86636.1</v>
      </c>
      <c r="C33" s="27">
        <v>15</v>
      </c>
      <c r="D33" s="27">
        <v>11.77</v>
      </c>
      <c r="E33" s="75">
        <f t="shared" si="8"/>
        <v>11.77</v>
      </c>
      <c r="F33" s="27">
        <f t="shared" si="24"/>
        <v>51981.66</v>
      </c>
      <c r="G33" s="75">
        <f t="shared" si="10"/>
        <v>40788.28</v>
      </c>
      <c r="H33" s="27">
        <f t="shared" si="25"/>
        <v>34654.44</v>
      </c>
      <c r="I33" s="75">
        <f t="shared" si="11"/>
        <v>27192.18</v>
      </c>
      <c r="J33" s="28">
        <v>9</v>
      </c>
      <c r="K33" s="75">
        <f t="shared" si="12"/>
        <v>13596.09</v>
      </c>
      <c r="L33" s="75">
        <f t="shared" si="13"/>
        <v>0</v>
      </c>
      <c r="M33" s="28">
        <v>30</v>
      </c>
      <c r="N33" s="75">
        <f t="shared" si="14"/>
        <v>4078.83</v>
      </c>
      <c r="O33" s="75">
        <f t="shared" si="15"/>
        <v>0</v>
      </c>
      <c r="P33" s="32">
        <v>24</v>
      </c>
      <c r="Q33" s="75">
        <f t="shared" si="16"/>
        <v>6798.05</v>
      </c>
      <c r="R33" s="75">
        <f t="shared" si="17"/>
        <v>0</v>
      </c>
      <c r="S33" s="28">
        <v>800</v>
      </c>
      <c r="T33" s="75">
        <f t="shared" si="18"/>
        <v>2719.22</v>
      </c>
      <c r="U33" s="75">
        <f t="shared" si="19"/>
        <v>0</v>
      </c>
      <c r="V33" s="75">
        <f t="shared" si="20"/>
        <v>27192.19</v>
      </c>
      <c r="W33" s="75">
        <f t="shared" si="21"/>
        <v>0</v>
      </c>
      <c r="X33" s="29" t="s">
        <v>72</v>
      </c>
    </row>
    <row r="34" spans="1:24" ht="15.75" customHeight="1" x14ac:dyDescent="0.25">
      <c r="A34" s="74">
        <v>45014</v>
      </c>
      <c r="B34" s="75">
        <f>ROUND(Summary!$G$9/31,2)</f>
        <v>86636.1</v>
      </c>
      <c r="C34" s="75">
        <v>15</v>
      </c>
      <c r="D34" s="75">
        <v>8.51</v>
      </c>
      <c r="E34" s="75">
        <f t="shared" si="8"/>
        <v>8.51</v>
      </c>
      <c r="F34" s="75">
        <f t="shared" si="24"/>
        <v>51981.66</v>
      </c>
      <c r="G34" s="75">
        <f t="shared" si="10"/>
        <v>29490.93</v>
      </c>
      <c r="H34" s="75">
        <f t="shared" si="25"/>
        <v>34654.44</v>
      </c>
      <c r="I34" s="75">
        <f t="shared" si="11"/>
        <v>19660.62</v>
      </c>
      <c r="J34" s="88">
        <v>7</v>
      </c>
      <c r="K34" s="75">
        <f t="shared" si="12"/>
        <v>9830.31</v>
      </c>
      <c r="L34" s="75">
        <f t="shared" si="13"/>
        <v>0</v>
      </c>
      <c r="M34" s="88">
        <v>32</v>
      </c>
      <c r="N34" s="75">
        <f t="shared" si="14"/>
        <v>2949.09</v>
      </c>
      <c r="O34" s="75">
        <f t="shared" si="15"/>
        <v>0</v>
      </c>
      <c r="P34" s="92">
        <v>12</v>
      </c>
      <c r="Q34" s="75">
        <f t="shared" si="16"/>
        <v>4915.16</v>
      </c>
      <c r="R34" s="75">
        <f t="shared" si="17"/>
        <v>0</v>
      </c>
      <c r="S34" s="88">
        <v>170</v>
      </c>
      <c r="T34" s="75">
        <f t="shared" si="18"/>
        <v>1966.06</v>
      </c>
      <c r="U34" s="75">
        <f t="shared" si="19"/>
        <v>0</v>
      </c>
      <c r="V34" s="75">
        <f t="shared" si="20"/>
        <v>19660.62</v>
      </c>
      <c r="W34" s="75">
        <f t="shared" si="21"/>
        <v>0</v>
      </c>
    </row>
    <row r="35" spans="1:24" ht="15.75" customHeight="1" x14ac:dyDescent="0.25">
      <c r="A35" s="74">
        <v>45015</v>
      </c>
      <c r="B35" s="75">
        <f>ROUND(Summary!$G$9/31,2)</f>
        <v>86636.1</v>
      </c>
      <c r="C35" s="75">
        <v>15</v>
      </c>
      <c r="D35" s="75">
        <v>15.29</v>
      </c>
      <c r="E35" s="75">
        <f t="shared" si="8"/>
        <v>15</v>
      </c>
      <c r="F35" s="75">
        <f t="shared" si="24"/>
        <v>51981.66</v>
      </c>
      <c r="G35" s="75">
        <f t="shared" si="10"/>
        <v>51981.66</v>
      </c>
      <c r="H35" s="75">
        <f t="shared" si="25"/>
        <v>34654.44</v>
      </c>
      <c r="I35" s="75">
        <f t="shared" si="11"/>
        <v>34654.44</v>
      </c>
      <c r="J35" s="88">
        <v>7</v>
      </c>
      <c r="K35" s="75">
        <f t="shared" si="12"/>
        <v>17327.22</v>
      </c>
      <c r="L35" s="75">
        <f t="shared" si="13"/>
        <v>0</v>
      </c>
      <c r="M35" s="88">
        <v>40</v>
      </c>
      <c r="N35" s="75">
        <f t="shared" si="14"/>
        <v>5198.17</v>
      </c>
      <c r="O35" s="75">
        <f t="shared" si="15"/>
        <v>0</v>
      </c>
      <c r="P35" s="92">
        <v>11</v>
      </c>
      <c r="Q35" s="75">
        <f t="shared" si="16"/>
        <v>8663.61</v>
      </c>
      <c r="R35" s="75">
        <f t="shared" si="17"/>
        <v>0</v>
      </c>
      <c r="S35" s="88">
        <v>240</v>
      </c>
      <c r="T35" s="75">
        <f t="shared" si="18"/>
        <v>3465.44</v>
      </c>
      <c r="U35" s="75">
        <f t="shared" si="19"/>
        <v>0</v>
      </c>
      <c r="V35" s="75">
        <f t="shared" si="20"/>
        <v>34654.44</v>
      </c>
      <c r="W35" s="75">
        <f t="shared" si="21"/>
        <v>0</v>
      </c>
    </row>
    <row r="36" spans="1:24" s="24" customFormat="1" ht="15.75" customHeight="1" x14ac:dyDescent="0.25">
      <c r="A36" s="20">
        <v>45016</v>
      </c>
      <c r="B36" s="21">
        <f>ROUND(Summary!$G$9/31,2)</f>
        <v>86636.1</v>
      </c>
      <c r="C36" s="21">
        <v>15</v>
      </c>
      <c r="D36" s="21">
        <v>15.88</v>
      </c>
      <c r="E36" s="75">
        <f t="shared" si="8"/>
        <v>15</v>
      </c>
      <c r="F36" s="21">
        <f t="shared" si="24"/>
        <v>51981.66</v>
      </c>
      <c r="G36" s="75">
        <f t="shared" si="10"/>
        <v>51981.66</v>
      </c>
      <c r="H36" s="21">
        <f t="shared" si="25"/>
        <v>34654.44</v>
      </c>
      <c r="I36" s="75">
        <f t="shared" si="11"/>
        <v>34654.44</v>
      </c>
      <c r="J36" s="22">
        <v>6</v>
      </c>
      <c r="K36" s="75">
        <f t="shared" si="12"/>
        <v>17327.22</v>
      </c>
      <c r="L36" s="75">
        <f t="shared" si="13"/>
        <v>0</v>
      </c>
      <c r="M36" s="22">
        <v>16</v>
      </c>
      <c r="N36" s="75">
        <f t="shared" si="14"/>
        <v>5198.17</v>
      </c>
      <c r="O36" s="75">
        <f t="shared" si="15"/>
        <v>0</v>
      </c>
      <c r="P36" s="101">
        <v>8</v>
      </c>
      <c r="Q36" s="75">
        <f t="shared" si="16"/>
        <v>8663.61</v>
      </c>
      <c r="R36" s="75">
        <f t="shared" si="17"/>
        <v>0</v>
      </c>
      <c r="S36" s="22">
        <v>20</v>
      </c>
      <c r="T36" s="75">
        <f t="shared" si="18"/>
        <v>3465.44</v>
      </c>
      <c r="U36" s="75">
        <f t="shared" si="19"/>
        <v>0</v>
      </c>
      <c r="V36" s="75">
        <f t="shared" si="20"/>
        <v>34654.44</v>
      </c>
      <c r="W36" s="75">
        <f t="shared" si="21"/>
        <v>0</v>
      </c>
      <c r="X36" s="25" t="s">
        <v>71</v>
      </c>
    </row>
    <row r="37" spans="1:24" ht="15.75" customHeight="1" x14ac:dyDescent="0.25">
      <c r="A37" s="69" t="s">
        <v>25</v>
      </c>
      <c r="B37" s="81">
        <f>SUM(B6:B36)</f>
        <v>2685719.1</v>
      </c>
      <c r="C37" s="75"/>
      <c r="D37" s="81"/>
      <c r="E37" s="81"/>
      <c r="F37" s="81">
        <f>SUM(F6:F36)</f>
        <v>1611431.46</v>
      </c>
      <c r="G37" s="81">
        <f>SUM(G6:G36)</f>
        <v>1159017.77</v>
      </c>
      <c r="H37" s="81">
        <f>SUM(H6:H36)</f>
        <v>1074287.6399999999</v>
      </c>
      <c r="I37" s="81">
        <f>SUM(I6:I36)</f>
        <v>772678.5</v>
      </c>
      <c r="J37" s="81"/>
      <c r="K37" s="81">
        <f>SUM(K6:K36)</f>
        <v>386339.3</v>
      </c>
      <c r="L37" s="81">
        <f>SUM(L6:L36)</f>
        <v>0</v>
      </c>
      <c r="M37" s="81"/>
      <c r="N37" s="81">
        <f>SUM(N6:N36)</f>
        <v>115901.81</v>
      </c>
      <c r="O37" s="81">
        <f>SUM(O6:O36)</f>
        <v>0</v>
      </c>
      <c r="P37" s="81"/>
      <c r="Q37" s="81">
        <f>SUM(Q6:Q36)</f>
        <v>188577.94</v>
      </c>
      <c r="R37" s="81">
        <f>SUM(R6:R36)</f>
        <v>10000</v>
      </c>
      <c r="S37" s="81"/>
      <c r="T37" s="81">
        <f>SUM(T6:T36)</f>
        <v>77267.86</v>
      </c>
      <c r="U37" s="81">
        <f>SUM(U6:U36)</f>
        <v>0</v>
      </c>
      <c r="V37" s="81">
        <f>SUM(V6:V36)</f>
        <v>768086.91</v>
      </c>
      <c r="W37" s="81">
        <f>SUM(W6:W36)</f>
        <v>10000</v>
      </c>
    </row>
    <row r="38" spans="1:24" x14ac:dyDescent="0.25">
      <c r="A38" s="69"/>
      <c r="B38" s="81" t="s">
        <v>65</v>
      </c>
      <c r="C38" s="75"/>
      <c r="D38" s="69"/>
      <c r="E38" s="69"/>
      <c r="F38" s="7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81">
        <f>V37+G37</f>
        <v>1927104.68</v>
      </c>
      <c r="W38" s="81"/>
    </row>
    <row r="40" spans="1:24" x14ac:dyDescent="0.25">
      <c r="B40" s="84">
        <f t="shared" ref="B40:U40" si="26">B37*1.05</f>
        <v>2820005.0550000002</v>
      </c>
      <c r="C40" s="84">
        <f t="shared" si="26"/>
        <v>0</v>
      </c>
      <c r="D40" s="84">
        <f t="shared" si="26"/>
        <v>0</v>
      </c>
      <c r="E40" s="84">
        <f t="shared" si="26"/>
        <v>0</v>
      </c>
      <c r="F40" s="84">
        <f t="shared" si="26"/>
        <v>1692003.0330000001</v>
      </c>
      <c r="G40" s="84">
        <f t="shared" si="26"/>
        <v>1216968.6584999999</v>
      </c>
      <c r="H40" s="84">
        <f t="shared" si="26"/>
        <v>1128002.0220000001</v>
      </c>
      <c r="I40" s="84">
        <f t="shared" si="26"/>
        <v>811312.42500000005</v>
      </c>
      <c r="J40" s="84">
        <f t="shared" si="26"/>
        <v>0</v>
      </c>
      <c r="K40" s="84">
        <f t="shared" si="26"/>
        <v>405656.26500000001</v>
      </c>
      <c r="L40" s="84">
        <f t="shared" si="26"/>
        <v>0</v>
      </c>
      <c r="M40" s="84">
        <f t="shared" si="26"/>
        <v>0</v>
      </c>
      <c r="N40" s="84">
        <f t="shared" si="26"/>
        <v>121696.9005</v>
      </c>
      <c r="O40" s="84">
        <f t="shared" si="26"/>
        <v>0</v>
      </c>
      <c r="P40" s="84">
        <f t="shared" si="26"/>
        <v>0</v>
      </c>
      <c r="Q40" s="84">
        <f t="shared" si="26"/>
        <v>198006.837</v>
      </c>
      <c r="R40" s="84">
        <f t="shared" si="26"/>
        <v>10500</v>
      </c>
      <c r="S40" s="84">
        <f t="shared" si="26"/>
        <v>0</v>
      </c>
      <c r="T40" s="84">
        <f t="shared" si="26"/>
        <v>81131.252999999997</v>
      </c>
      <c r="U40" s="84">
        <f t="shared" si="26"/>
        <v>0</v>
      </c>
      <c r="V40" s="84">
        <f t="shared" ref="V40" si="27">V37*1.05</f>
        <v>806491.25549999997</v>
      </c>
      <c r="W40" s="93"/>
    </row>
    <row r="41" spans="1:24" x14ac:dyDescent="0.25">
      <c r="B41" s="84">
        <f>B40*1.05</f>
        <v>2961005.3077500002</v>
      </c>
      <c r="C41" s="84">
        <f t="shared" ref="C41:U41" si="28">C40*1.05</f>
        <v>0</v>
      </c>
      <c r="D41" s="84">
        <f t="shared" si="28"/>
        <v>0</v>
      </c>
      <c r="E41" s="84">
        <f t="shared" si="28"/>
        <v>0</v>
      </c>
      <c r="F41" s="84">
        <f t="shared" si="28"/>
        <v>1776603.18465</v>
      </c>
      <c r="G41" s="84">
        <f t="shared" si="28"/>
        <v>1277817.091425</v>
      </c>
      <c r="H41" s="84">
        <f t="shared" si="28"/>
        <v>1184402.1231</v>
      </c>
      <c r="I41" s="84">
        <f t="shared" si="28"/>
        <v>851878.04625000001</v>
      </c>
      <c r="J41" s="84">
        <f t="shared" si="28"/>
        <v>0</v>
      </c>
      <c r="K41" s="84">
        <f t="shared" si="28"/>
        <v>425939.07825000002</v>
      </c>
      <c r="L41" s="84">
        <f t="shared" si="28"/>
        <v>0</v>
      </c>
      <c r="M41" s="84">
        <f t="shared" si="28"/>
        <v>0</v>
      </c>
      <c r="N41" s="84">
        <f t="shared" si="28"/>
        <v>127781.74552500001</v>
      </c>
      <c r="O41" s="84">
        <f t="shared" si="28"/>
        <v>0</v>
      </c>
      <c r="P41" s="84">
        <f t="shared" si="28"/>
        <v>0</v>
      </c>
      <c r="Q41" s="84">
        <f t="shared" si="28"/>
        <v>207907.17885</v>
      </c>
      <c r="R41" s="84">
        <f t="shared" si="28"/>
        <v>11025</v>
      </c>
      <c r="S41" s="84">
        <f t="shared" si="28"/>
        <v>0</v>
      </c>
      <c r="T41" s="84">
        <f t="shared" si="28"/>
        <v>85187.815650000004</v>
      </c>
      <c r="U41" s="84">
        <f t="shared" si="28"/>
        <v>0</v>
      </c>
      <c r="V41" s="84">
        <f t="shared" ref="V41" si="29">V40*1.05</f>
        <v>846815.81827499997</v>
      </c>
      <c r="W41" s="93"/>
    </row>
    <row r="42" spans="1:24" x14ac:dyDescent="0.25">
      <c r="C42" s="94"/>
      <c r="V42" s="84">
        <f>V38*1.05</f>
        <v>2023459.9140000001</v>
      </c>
    </row>
    <row r="43" spans="1:24" x14ac:dyDescent="0.25">
      <c r="V43" s="84">
        <f>V42*1.05</f>
        <v>2124632.9097000002</v>
      </c>
    </row>
  </sheetData>
  <mergeCells count="19">
    <mergeCell ref="M4:O4"/>
    <mergeCell ref="P4:R4"/>
    <mergeCell ref="S4:U4"/>
    <mergeCell ref="W4:W5"/>
    <mergeCell ref="H3:W3"/>
    <mergeCell ref="D4:D5"/>
    <mergeCell ref="V4:V5"/>
    <mergeCell ref="A1:V1"/>
    <mergeCell ref="F3:G3"/>
    <mergeCell ref="B4:B5"/>
    <mergeCell ref="A4:A5"/>
    <mergeCell ref="F4:F5"/>
    <mergeCell ref="G4:G5"/>
    <mergeCell ref="H4:H5"/>
    <mergeCell ref="C3:D3"/>
    <mergeCell ref="C4:C5"/>
    <mergeCell ref="I4:I5"/>
    <mergeCell ref="E4:E5"/>
    <mergeCell ref="J4:L4"/>
  </mergeCells>
  <conditionalFormatting sqref="J9:J36">
    <cfRule type="cellIs" dxfId="7" priority="1" stopIfTrue="1" operator="greaterThan">
      <formula>10</formula>
    </cfRule>
  </conditionalFormatting>
  <conditionalFormatting sqref="M6:M27">
    <cfRule type="cellIs" dxfId="6" priority="13" stopIfTrue="1" operator="greaterThan">
      <formula>100</formula>
    </cfRule>
  </conditionalFormatting>
  <conditionalFormatting sqref="M29:M36">
    <cfRule type="cellIs" dxfId="5" priority="17" stopIfTrue="1" operator="greaterThan">
      <formula>100</formula>
    </cfRule>
  </conditionalFormatting>
  <conditionalFormatting sqref="P6:P27">
    <cfRule type="cellIs" dxfId="4" priority="32" stopIfTrue="1" operator="greaterThan">
      <formula>100</formula>
    </cfRule>
  </conditionalFormatting>
  <conditionalFormatting sqref="P29:P36">
    <cfRule type="cellIs" dxfId="3" priority="36" stopIfTrue="1" operator="greaterThan">
      <formula>100</formula>
    </cfRule>
  </conditionalFormatting>
  <conditionalFormatting sqref="S6:S27">
    <cfRule type="cellIs" priority="3" stopIfTrue="1" operator="greaterThan">
      <formula>1000</formula>
    </cfRule>
    <cfRule type="cellIs" dxfId="2" priority="4" stopIfTrue="1" operator="greaterThan">
      <formula>1000</formula>
    </cfRule>
  </conditionalFormatting>
  <conditionalFormatting sqref="S29:S36">
    <cfRule type="cellIs" priority="11" stopIfTrue="1" operator="greaterThan">
      <formula>1000</formula>
    </cfRule>
    <cfRule type="cellIs" dxfId="1" priority="12" stopIfTrue="1" operator="greaterThan">
      <formula>1000</formula>
    </cfRule>
  </conditionalFormatting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tabSelected="1" zoomScaleNormal="100" workbookViewId="0">
      <pane xSplit="9" ySplit="5" topLeftCell="O24" activePane="bottomRight" state="frozen"/>
      <selection activeCell="H29" sqref="H29"/>
      <selection pane="topRight" activeCell="H29" sqref="H29"/>
      <selection pane="bottomLeft" activeCell="H29" sqref="H29"/>
      <selection pane="bottomRight" activeCell="V6" sqref="V6:W36"/>
    </sheetView>
  </sheetViews>
  <sheetFormatPr defaultColWidth="9.140625" defaultRowHeight="15.75" x14ac:dyDescent="0.25"/>
  <cols>
    <col min="1" max="1" width="10.42578125" style="84" bestFit="1" customWidth="1"/>
    <col min="2" max="2" width="14.28515625" style="84" customWidth="1"/>
    <col min="3" max="3" width="9.42578125" style="84" bestFit="1" customWidth="1"/>
    <col min="4" max="4" width="9.42578125" style="84" customWidth="1"/>
    <col min="5" max="5" width="11" style="84" customWidth="1"/>
    <col min="6" max="6" width="11.85546875" style="84" bestFit="1" customWidth="1"/>
    <col min="7" max="7" width="12.7109375" style="84" bestFit="1" customWidth="1"/>
    <col min="8" max="8" width="11.5703125" style="84" bestFit="1" customWidth="1"/>
    <col min="9" max="9" width="12.7109375" style="84" bestFit="1" customWidth="1"/>
    <col min="10" max="10" width="9.28515625" style="84" customWidth="1"/>
    <col min="11" max="11" width="11.5703125" style="84" bestFit="1" customWidth="1"/>
    <col min="12" max="12" width="9.5703125" style="84" bestFit="1" customWidth="1"/>
    <col min="13" max="13" width="9.140625" style="84" customWidth="1"/>
    <col min="14" max="14" width="10.7109375" style="84" bestFit="1" customWidth="1"/>
    <col min="15" max="15" width="8.5703125" style="84" bestFit="1" customWidth="1"/>
    <col min="16" max="16" width="9.140625" style="84" customWidth="1"/>
    <col min="17" max="17" width="10.7109375" style="84" bestFit="1" customWidth="1"/>
    <col min="18" max="18" width="8" style="84" customWidth="1"/>
    <col min="19" max="19" width="9.7109375" style="84" customWidth="1"/>
    <col min="20" max="20" width="10.42578125" style="84" bestFit="1" customWidth="1"/>
    <col min="21" max="21" width="9.5703125" style="84" customWidth="1"/>
    <col min="22" max="22" width="13.7109375" style="84" customWidth="1"/>
    <col min="23" max="23" width="10.7109375" style="96" customWidth="1"/>
    <col min="24" max="24" width="7.42578125" style="65" customWidth="1"/>
    <col min="25" max="29" width="9.28515625" style="96" bestFit="1" customWidth="1"/>
    <col min="30" max="30" width="9.5703125" style="96" bestFit="1" customWidth="1"/>
    <col min="31" max="16384" width="9.140625" style="96"/>
  </cols>
  <sheetData>
    <row r="1" spans="1:30" ht="18.75" customHeight="1" x14ac:dyDescent="0.25">
      <c r="A1" s="131" t="str">
        <f>'30 MLD'!A1:V1</f>
        <v>Gorakhpur Payment for the month of MARCH 2023 (As Per VoL -1, Section IV, Clause 39)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95"/>
      <c r="Y1" s="95"/>
      <c r="Z1" s="95"/>
      <c r="AA1" s="95"/>
      <c r="AB1" s="95"/>
      <c r="AC1" s="95"/>
      <c r="AD1" s="95"/>
    </row>
    <row r="2" spans="1:30" ht="15" customHeight="1" x14ac:dyDescent="0.25">
      <c r="A2" s="66">
        <v>1</v>
      </c>
      <c r="B2" s="66">
        <v>2</v>
      </c>
      <c r="C2" s="66">
        <v>3</v>
      </c>
      <c r="D2" s="66">
        <v>4</v>
      </c>
      <c r="E2" s="66">
        <v>5</v>
      </c>
      <c r="F2" s="66">
        <v>6</v>
      </c>
      <c r="G2" s="66">
        <v>7</v>
      </c>
      <c r="H2" s="66">
        <v>8</v>
      </c>
      <c r="I2" s="66">
        <v>9</v>
      </c>
      <c r="J2" s="66">
        <v>10</v>
      </c>
      <c r="K2" s="66">
        <v>11</v>
      </c>
      <c r="L2" s="66">
        <v>12</v>
      </c>
      <c r="M2" s="66">
        <v>13</v>
      </c>
      <c r="N2" s="66">
        <v>14</v>
      </c>
      <c r="O2" s="66">
        <v>15</v>
      </c>
      <c r="P2" s="66">
        <v>16</v>
      </c>
      <c r="Q2" s="66">
        <v>17</v>
      </c>
      <c r="R2" s="66">
        <v>18</v>
      </c>
      <c r="S2" s="66">
        <v>19</v>
      </c>
      <c r="T2" s="66">
        <v>20</v>
      </c>
      <c r="U2" s="66">
        <v>21</v>
      </c>
      <c r="V2" s="66">
        <v>22</v>
      </c>
      <c r="W2" s="66">
        <v>23</v>
      </c>
      <c r="Y2" s="95"/>
      <c r="Z2" s="95"/>
      <c r="AA2" s="95"/>
      <c r="AB2" s="95"/>
      <c r="AC2" s="95"/>
      <c r="AD2" s="95"/>
    </row>
    <row r="3" spans="1:30" ht="15.75" customHeight="1" x14ac:dyDescent="0.25">
      <c r="A3" s="69"/>
      <c r="B3" s="69"/>
      <c r="C3" s="127" t="s">
        <v>21</v>
      </c>
      <c r="D3" s="129"/>
      <c r="E3" s="70"/>
      <c r="F3" s="130" t="s">
        <v>64</v>
      </c>
      <c r="G3" s="130"/>
      <c r="H3" s="130" t="s">
        <v>61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Y3" s="95"/>
      <c r="Z3" s="95"/>
      <c r="AA3" s="95"/>
      <c r="AB3" s="95"/>
      <c r="AC3" s="95"/>
      <c r="AD3" s="95"/>
    </row>
    <row r="4" spans="1:30" ht="15" customHeight="1" x14ac:dyDescent="0.25">
      <c r="A4" s="130" t="s">
        <v>20</v>
      </c>
      <c r="B4" s="133" t="s">
        <v>38</v>
      </c>
      <c r="C4" s="113" t="s">
        <v>39</v>
      </c>
      <c r="D4" s="113" t="s">
        <v>30</v>
      </c>
      <c r="E4" s="113" t="s">
        <v>28</v>
      </c>
      <c r="F4" s="130" t="s">
        <v>22</v>
      </c>
      <c r="G4" s="130" t="s">
        <v>23</v>
      </c>
      <c r="H4" s="130" t="s">
        <v>22</v>
      </c>
      <c r="I4" s="130" t="s">
        <v>23</v>
      </c>
      <c r="J4" s="127" t="s">
        <v>12</v>
      </c>
      <c r="K4" s="128"/>
      <c r="L4" s="128"/>
      <c r="M4" s="127" t="s">
        <v>14</v>
      </c>
      <c r="N4" s="128"/>
      <c r="O4" s="128"/>
      <c r="P4" s="127" t="s">
        <v>13</v>
      </c>
      <c r="Q4" s="128"/>
      <c r="R4" s="128"/>
      <c r="S4" s="127" t="s">
        <v>19</v>
      </c>
      <c r="T4" s="128"/>
      <c r="U4" s="129"/>
      <c r="V4" s="133" t="s">
        <v>60</v>
      </c>
      <c r="W4" s="130" t="s">
        <v>36</v>
      </c>
      <c r="Y4" s="95"/>
      <c r="Z4" s="95"/>
      <c r="AA4" s="95"/>
      <c r="AB4" s="95"/>
      <c r="AC4" s="95"/>
      <c r="AD4" s="95"/>
    </row>
    <row r="5" spans="1:30" ht="28.5" customHeight="1" x14ac:dyDescent="0.25">
      <c r="A5" s="130"/>
      <c r="B5" s="133"/>
      <c r="C5" s="114"/>
      <c r="D5" s="126"/>
      <c r="E5" s="126"/>
      <c r="F5" s="130"/>
      <c r="G5" s="130"/>
      <c r="H5" s="130"/>
      <c r="I5" s="130"/>
      <c r="J5" s="13" t="s">
        <v>35</v>
      </c>
      <c r="K5" s="73">
        <v>0.5</v>
      </c>
      <c r="L5" s="73" t="s">
        <v>36</v>
      </c>
      <c r="M5" s="13" t="s">
        <v>35</v>
      </c>
      <c r="N5" s="73">
        <v>0.15</v>
      </c>
      <c r="O5" s="73" t="s">
        <v>36</v>
      </c>
      <c r="P5" s="13" t="s">
        <v>35</v>
      </c>
      <c r="Q5" s="73">
        <v>0.25</v>
      </c>
      <c r="R5" s="73" t="s">
        <v>36</v>
      </c>
      <c r="S5" s="13" t="s">
        <v>35</v>
      </c>
      <c r="T5" s="73">
        <v>0.1</v>
      </c>
      <c r="U5" s="13" t="s">
        <v>36</v>
      </c>
      <c r="V5" s="133"/>
      <c r="W5" s="130"/>
      <c r="Y5" s="95"/>
      <c r="Z5" s="95"/>
      <c r="AA5" s="95"/>
      <c r="AB5" s="95"/>
      <c r="AC5" s="95"/>
      <c r="AD5" s="95"/>
    </row>
    <row r="6" spans="1:30" ht="15.75" customHeight="1" x14ac:dyDescent="0.25">
      <c r="A6" s="74">
        <v>44986</v>
      </c>
      <c r="B6" s="75">
        <f>ROUND(Summary!$G$10/31,2)</f>
        <v>69308.88</v>
      </c>
      <c r="C6" s="75">
        <v>12</v>
      </c>
      <c r="D6" s="75">
        <v>12.83</v>
      </c>
      <c r="E6" s="75">
        <f>MIN(D6,C6)</f>
        <v>12</v>
      </c>
      <c r="F6" s="75">
        <f t="shared" ref="F6:F29" si="0">B6*60%</f>
        <v>41585.33</v>
      </c>
      <c r="G6" s="75">
        <f>(F6*E6)/C6</f>
        <v>41585.33</v>
      </c>
      <c r="H6" s="75">
        <f>B6*40%</f>
        <v>27723.55</v>
      </c>
      <c r="I6" s="75">
        <f>(H6*E6)/C6</f>
        <v>27723.55</v>
      </c>
      <c r="J6" s="79">
        <v>18</v>
      </c>
      <c r="K6" s="75">
        <f>I6*50%</f>
        <v>13861.78</v>
      </c>
      <c r="L6" s="75">
        <f t="shared" ref="L6:L30" si="1">IF(J6&gt;50,(MAX($B$37*0.1/100,10000)),0)</f>
        <v>0</v>
      </c>
      <c r="M6" s="79">
        <v>64</v>
      </c>
      <c r="N6" s="75">
        <f t="shared" ref="N6:N30" si="2">I6*15%</f>
        <v>4158.53</v>
      </c>
      <c r="O6" s="75">
        <f t="shared" ref="O6:O30" si="3">IF(M6&gt;100,(MAX($B$37*0.1/100,10000)),0)</f>
        <v>0</v>
      </c>
      <c r="P6" s="79">
        <v>30</v>
      </c>
      <c r="Q6" s="75">
        <f t="shared" ref="Q6:Q30" si="4">I6*25%</f>
        <v>6930.89</v>
      </c>
      <c r="R6" s="75">
        <f t="shared" ref="R6:R30" si="5">IF(P6&gt;100,(MAX($B$37*0.1/100,10000)),0)</f>
        <v>0</v>
      </c>
      <c r="S6" s="79">
        <v>348</v>
      </c>
      <c r="T6" s="75">
        <f>I6*10%</f>
        <v>2772.36</v>
      </c>
      <c r="U6" s="75">
        <f t="shared" ref="U6:U30" si="6">IF(S6&gt;1000,(MAX(+$B$37*0.1/100,10000)),0)</f>
        <v>0</v>
      </c>
      <c r="V6" s="75">
        <f>T6+Q6+N6+K6</f>
        <v>27723.56</v>
      </c>
      <c r="W6" s="75">
        <f>U6+R6+O6+L6</f>
        <v>0</v>
      </c>
      <c r="Y6" s="95"/>
      <c r="Z6" s="95"/>
      <c r="AA6" s="95"/>
      <c r="AB6" s="95"/>
      <c r="AC6" s="95"/>
      <c r="AD6" s="95"/>
    </row>
    <row r="7" spans="1:30" ht="15.75" customHeight="1" x14ac:dyDescent="0.25">
      <c r="A7" s="74">
        <v>44987</v>
      </c>
      <c r="B7" s="75">
        <f>ROUND(Summary!$G$10/31,2)</f>
        <v>69308.88</v>
      </c>
      <c r="C7" s="75">
        <v>12</v>
      </c>
      <c r="D7" s="75">
        <v>12.12</v>
      </c>
      <c r="E7" s="75">
        <f t="shared" ref="E7:E36" si="7">MIN(D7,C7)</f>
        <v>12</v>
      </c>
      <c r="F7" s="75">
        <f t="shared" si="0"/>
        <v>41585.33</v>
      </c>
      <c r="G7" s="75">
        <f t="shared" ref="G7:G36" si="8">(F7*E7)/C7</f>
        <v>41585.33</v>
      </c>
      <c r="H7" s="75">
        <f t="shared" ref="H7:H29" si="9">B7*40%</f>
        <v>27723.55</v>
      </c>
      <c r="I7" s="75">
        <f t="shared" ref="I7:I36" si="10">(H7*E7)/C7</f>
        <v>27723.55</v>
      </c>
      <c r="J7" s="79">
        <v>16</v>
      </c>
      <c r="K7" s="75">
        <f t="shared" ref="K7:K36" si="11">I7*50%</f>
        <v>13861.78</v>
      </c>
      <c r="L7" s="75">
        <f t="shared" ref="L7:L36" si="12">IF(J7&gt;50,(MAX($B$37*0.1/100,10000)),0)</f>
        <v>0</v>
      </c>
      <c r="M7" s="79">
        <v>56</v>
      </c>
      <c r="N7" s="75">
        <f t="shared" ref="N7:N36" si="13">I7*15%</f>
        <v>4158.53</v>
      </c>
      <c r="O7" s="75">
        <f t="shared" ref="O7:O36" si="14">IF(M7&gt;100,(MAX($B$37*0.1/100,10000)),0)</f>
        <v>0</v>
      </c>
      <c r="P7" s="79">
        <v>33</v>
      </c>
      <c r="Q7" s="75">
        <f t="shared" ref="Q7:Q36" si="15">I7*25%</f>
        <v>6930.89</v>
      </c>
      <c r="R7" s="75">
        <f t="shared" ref="R7:R36" si="16">IF(P7&gt;100,(MAX($B$37*0.1/100,10000)),0)</f>
        <v>0</v>
      </c>
      <c r="S7" s="79">
        <v>345</v>
      </c>
      <c r="T7" s="75">
        <f t="shared" ref="T7:T36" si="17">I7*10%</f>
        <v>2772.36</v>
      </c>
      <c r="U7" s="75">
        <f t="shared" ref="U7:U36" si="18">IF(S7&gt;1000,(MAX(+$B$37*0.1/100,10000)),0)</f>
        <v>0</v>
      </c>
      <c r="V7" s="75">
        <f t="shared" ref="V7:V36" si="19">T7+Q7+N7+K7</f>
        <v>27723.56</v>
      </c>
      <c r="W7" s="75">
        <f t="shared" ref="W7:W36" si="20">U7+R7+O7+L7</f>
        <v>0</v>
      </c>
      <c r="Y7" s="95"/>
      <c r="Z7" s="95"/>
      <c r="AA7" s="95"/>
      <c r="AB7" s="95"/>
      <c r="AC7" s="95"/>
      <c r="AD7" s="95"/>
    </row>
    <row r="8" spans="1:30" ht="15.75" customHeight="1" x14ac:dyDescent="0.25">
      <c r="A8" s="74">
        <v>44988</v>
      </c>
      <c r="B8" s="75">
        <f>ROUND(Summary!$G$10/31,2)</f>
        <v>69308.88</v>
      </c>
      <c r="C8" s="75">
        <v>12</v>
      </c>
      <c r="D8" s="75">
        <v>12</v>
      </c>
      <c r="E8" s="75">
        <f t="shared" si="7"/>
        <v>12</v>
      </c>
      <c r="F8" s="75">
        <f t="shared" si="0"/>
        <v>41585.33</v>
      </c>
      <c r="G8" s="75">
        <f t="shared" si="8"/>
        <v>41585.33</v>
      </c>
      <c r="H8" s="75">
        <f t="shared" si="9"/>
        <v>27723.55</v>
      </c>
      <c r="I8" s="75">
        <f t="shared" si="10"/>
        <v>27723.55</v>
      </c>
      <c r="J8" s="79">
        <v>20</v>
      </c>
      <c r="K8" s="75">
        <f t="shared" si="11"/>
        <v>13861.78</v>
      </c>
      <c r="L8" s="75">
        <f t="shared" si="12"/>
        <v>0</v>
      </c>
      <c r="M8" s="79">
        <v>72</v>
      </c>
      <c r="N8" s="75">
        <f t="shared" si="13"/>
        <v>4158.53</v>
      </c>
      <c r="O8" s="75">
        <f t="shared" si="14"/>
        <v>0</v>
      </c>
      <c r="P8" s="79">
        <v>29</v>
      </c>
      <c r="Q8" s="75">
        <f t="shared" si="15"/>
        <v>6930.89</v>
      </c>
      <c r="R8" s="75">
        <f t="shared" si="16"/>
        <v>0</v>
      </c>
      <c r="S8" s="79">
        <v>426</v>
      </c>
      <c r="T8" s="75">
        <f t="shared" si="17"/>
        <v>2772.36</v>
      </c>
      <c r="U8" s="75">
        <f t="shared" si="18"/>
        <v>0</v>
      </c>
      <c r="V8" s="75">
        <f t="shared" si="19"/>
        <v>27723.56</v>
      </c>
      <c r="W8" s="75">
        <f t="shared" si="20"/>
        <v>0</v>
      </c>
      <c r="Y8" s="95"/>
      <c r="Z8" s="95"/>
      <c r="AA8" s="95"/>
      <c r="AB8" s="95"/>
      <c r="AC8" s="95"/>
      <c r="AD8" s="95"/>
    </row>
    <row r="9" spans="1:30" ht="15.75" customHeight="1" x14ac:dyDescent="0.25">
      <c r="A9" s="74">
        <v>44989</v>
      </c>
      <c r="B9" s="75">
        <f>ROUND(Summary!$G$10/31,2)</f>
        <v>69308.88</v>
      </c>
      <c r="C9" s="75">
        <v>12</v>
      </c>
      <c r="D9" s="75">
        <v>12.25</v>
      </c>
      <c r="E9" s="75">
        <f t="shared" si="7"/>
        <v>12</v>
      </c>
      <c r="F9" s="75">
        <f t="shared" si="0"/>
        <v>41585.33</v>
      </c>
      <c r="G9" s="75">
        <f t="shared" si="8"/>
        <v>41585.33</v>
      </c>
      <c r="H9" s="75">
        <f t="shared" si="9"/>
        <v>27723.55</v>
      </c>
      <c r="I9" s="75">
        <f t="shared" si="10"/>
        <v>27723.55</v>
      </c>
      <c r="J9" s="79">
        <v>16</v>
      </c>
      <c r="K9" s="75">
        <f t="shared" si="11"/>
        <v>13861.78</v>
      </c>
      <c r="L9" s="75">
        <f t="shared" si="12"/>
        <v>0</v>
      </c>
      <c r="M9" s="79">
        <v>64</v>
      </c>
      <c r="N9" s="75">
        <f t="shared" si="13"/>
        <v>4158.53</v>
      </c>
      <c r="O9" s="75">
        <f t="shared" si="14"/>
        <v>0</v>
      </c>
      <c r="P9" s="79">
        <v>27</v>
      </c>
      <c r="Q9" s="75">
        <f t="shared" si="15"/>
        <v>6930.89</v>
      </c>
      <c r="R9" s="75">
        <f t="shared" si="16"/>
        <v>0</v>
      </c>
      <c r="S9" s="79">
        <v>540</v>
      </c>
      <c r="T9" s="75">
        <f t="shared" si="17"/>
        <v>2772.36</v>
      </c>
      <c r="U9" s="75">
        <f t="shared" si="18"/>
        <v>0</v>
      </c>
      <c r="V9" s="75">
        <f t="shared" si="19"/>
        <v>27723.56</v>
      </c>
      <c r="W9" s="75">
        <f t="shared" si="20"/>
        <v>0</v>
      </c>
      <c r="Y9" s="95"/>
      <c r="Z9" s="95"/>
      <c r="AA9" s="95"/>
      <c r="AB9" s="95"/>
      <c r="AC9" s="95"/>
      <c r="AD9" s="95"/>
    </row>
    <row r="10" spans="1:30" ht="15" customHeight="1" x14ac:dyDescent="0.25">
      <c r="A10" s="74">
        <v>44990</v>
      </c>
      <c r="B10" s="75">
        <f>ROUND(Summary!$G$10/31,2)</f>
        <v>69308.88</v>
      </c>
      <c r="C10" s="75">
        <v>12</v>
      </c>
      <c r="D10" s="75">
        <v>12.2</v>
      </c>
      <c r="E10" s="75">
        <f t="shared" si="7"/>
        <v>12</v>
      </c>
      <c r="F10" s="75">
        <f t="shared" si="0"/>
        <v>41585.33</v>
      </c>
      <c r="G10" s="75">
        <f t="shared" si="8"/>
        <v>41585.33</v>
      </c>
      <c r="H10" s="75">
        <f t="shared" si="9"/>
        <v>27723.55</v>
      </c>
      <c r="I10" s="75">
        <f t="shared" si="10"/>
        <v>27723.55</v>
      </c>
      <c r="J10" s="79">
        <v>19</v>
      </c>
      <c r="K10" s="75">
        <f t="shared" si="11"/>
        <v>13861.78</v>
      </c>
      <c r="L10" s="75">
        <f t="shared" si="12"/>
        <v>0</v>
      </c>
      <c r="M10" s="79">
        <v>72</v>
      </c>
      <c r="N10" s="75">
        <f t="shared" si="13"/>
        <v>4158.53</v>
      </c>
      <c r="O10" s="75">
        <f t="shared" si="14"/>
        <v>0</v>
      </c>
      <c r="P10" s="79">
        <v>36</v>
      </c>
      <c r="Q10" s="75">
        <f t="shared" si="15"/>
        <v>6930.89</v>
      </c>
      <c r="R10" s="75">
        <f t="shared" si="16"/>
        <v>0</v>
      </c>
      <c r="S10" s="79">
        <v>920</v>
      </c>
      <c r="T10" s="75">
        <f t="shared" si="17"/>
        <v>2772.36</v>
      </c>
      <c r="U10" s="75">
        <f t="shared" si="18"/>
        <v>0</v>
      </c>
      <c r="V10" s="75">
        <f t="shared" si="19"/>
        <v>27723.56</v>
      </c>
      <c r="W10" s="75">
        <f t="shared" si="20"/>
        <v>0</v>
      </c>
      <c r="Y10" s="95"/>
      <c r="Z10" s="95"/>
      <c r="AA10" s="95"/>
      <c r="AB10" s="95"/>
      <c r="AC10" s="95"/>
      <c r="AD10" s="95"/>
    </row>
    <row r="11" spans="1:30" s="41" customFormat="1" ht="15" customHeight="1" x14ac:dyDescent="0.25">
      <c r="A11" s="26">
        <v>44991</v>
      </c>
      <c r="B11" s="27">
        <f>ROUND(Summary!$G$10/31,2)</f>
        <v>69308.88</v>
      </c>
      <c r="C11" s="27">
        <v>12</v>
      </c>
      <c r="D11" s="27">
        <v>13.61</v>
      </c>
      <c r="E11" s="75">
        <f t="shared" si="7"/>
        <v>12</v>
      </c>
      <c r="F11" s="27">
        <f t="shared" si="0"/>
        <v>41585.33</v>
      </c>
      <c r="G11" s="75">
        <f t="shared" si="8"/>
        <v>41585.33</v>
      </c>
      <c r="H11" s="27">
        <f t="shared" si="9"/>
        <v>27723.55</v>
      </c>
      <c r="I11" s="75">
        <f t="shared" si="10"/>
        <v>27723.55</v>
      </c>
      <c r="J11" s="37">
        <v>16</v>
      </c>
      <c r="K11" s="75">
        <f t="shared" si="11"/>
        <v>13861.78</v>
      </c>
      <c r="L11" s="75">
        <f t="shared" si="12"/>
        <v>0</v>
      </c>
      <c r="M11" s="37">
        <v>78</v>
      </c>
      <c r="N11" s="75">
        <f t="shared" si="13"/>
        <v>4158.53</v>
      </c>
      <c r="O11" s="75">
        <f t="shared" si="14"/>
        <v>0</v>
      </c>
      <c r="P11" s="37">
        <v>38</v>
      </c>
      <c r="Q11" s="75">
        <f t="shared" si="15"/>
        <v>6930.89</v>
      </c>
      <c r="R11" s="75">
        <f t="shared" si="16"/>
        <v>0</v>
      </c>
      <c r="S11" s="64">
        <v>79000</v>
      </c>
      <c r="T11" s="75">
        <v>0</v>
      </c>
      <c r="U11" s="75">
        <f t="shared" si="18"/>
        <v>10000</v>
      </c>
      <c r="V11" s="75">
        <f t="shared" si="19"/>
        <v>24951.200000000001</v>
      </c>
      <c r="W11" s="75">
        <f t="shared" si="20"/>
        <v>10000</v>
      </c>
      <c r="X11" s="38" t="s">
        <v>72</v>
      </c>
      <c r="Y11" s="40"/>
      <c r="Z11" s="40"/>
      <c r="AA11" s="40"/>
      <c r="AB11" s="40"/>
      <c r="AC11" s="40"/>
      <c r="AD11" s="40"/>
    </row>
    <row r="12" spans="1:30" ht="15" customHeight="1" x14ac:dyDescent="0.25">
      <c r="A12" s="74">
        <v>44992</v>
      </c>
      <c r="B12" s="75">
        <f>ROUND(Summary!$G$10/31,2)</f>
        <v>69308.88</v>
      </c>
      <c r="C12" s="75">
        <v>12</v>
      </c>
      <c r="D12" s="75">
        <v>14.75</v>
      </c>
      <c r="E12" s="75">
        <f t="shared" si="7"/>
        <v>12</v>
      </c>
      <c r="F12" s="75">
        <f t="shared" si="0"/>
        <v>41585.33</v>
      </c>
      <c r="G12" s="75">
        <f t="shared" si="8"/>
        <v>41585.33</v>
      </c>
      <c r="H12" s="75">
        <f t="shared" si="9"/>
        <v>27723.55</v>
      </c>
      <c r="I12" s="75">
        <f t="shared" si="10"/>
        <v>27723.55</v>
      </c>
      <c r="J12" s="79">
        <v>21</v>
      </c>
      <c r="K12" s="75">
        <f t="shared" si="11"/>
        <v>13861.78</v>
      </c>
      <c r="L12" s="75">
        <f t="shared" si="12"/>
        <v>0</v>
      </c>
      <c r="M12" s="79">
        <v>72</v>
      </c>
      <c r="N12" s="75">
        <f t="shared" si="13"/>
        <v>4158.53</v>
      </c>
      <c r="O12" s="75">
        <f t="shared" si="14"/>
        <v>0</v>
      </c>
      <c r="P12" s="79">
        <v>30</v>
      </c>
      <c r="Q12" s="75">
        <f t="shared" si="15"/>
        <v>6930.89</v>
      </c>
      <c r="R12" s="75">
        <f t="shared" si="16"/>
        <v>0</v>
      </c>
      <c r="S12" s="79">
        <v>426</v>
      </c>
      <c r="T12" s="75">
        <f t="shared" si="17"/>
        <v>2772.36</v>
      </c>
      <c r="U12" s="75">
        <f t="shared" si="18"/>
        <v>0</v>
      </c>
      <c r="V12" s="75">
        <f t="shared" si="19"/>
        <v>27723.56</v>
      </c>
      <c r="W12" s="75">
        <f t="shared" si="20"/>
        <v>0</v>
      </c>
      <c r="Y12" s="95"/>
      <c r="Z12" s="95"/>
      <c r="AA12" s="95"/>
      <c r="AB12" s="95"/>
      <c r="AC12" s="95"/>
      <c r="AD12" s="95"/>
    </row>
    <row r="13" spans="1:30" ht="15.75" customHeight="1" x14ac:dyDescent="0.25">
      <c r="A13" s="74">
        <v>44993</v>
      </c>
      <c r="B13" s="75">
        <f>ROUND(Summary!$G$10/31,2)</f>
        <v>69308.88</v>
      </c>
      <c r="C13" s="75">
        <v>12</v>
      </c>
      <c r="D13" s="75">
        <v>12.75</v>
      </c>
      <c r="E13" s="75">
        <f t="shared" si="7"/>
        <v>12</v>
      </c>
      <c r="F13" s="75">
        <f t="shared" si="0"/>
        <v>41585.33</v>
      </c>
      <c r="G13" s="75">
        <f t="shared" si="8"/>
        <v>41585.33</v>
      </c>
      <c r="H13" s="75">
        <f t="shared" si="9"/>
        <v>27723.55</v>
      </c>
      <c r="I13" s="75">
        <f t="shared" si="10"/>
        <v>27723.55</v>
      </c>
      <c r="J13" s="79">
        <v>18</v>
      </c>
      <c r="K13" s="75">
        <f t="shared" si="11"/>
        <v>13861.78</v>
      </c>
      <c r="L13" s="75">
        <f t="shared" si="12"/>
        <v>0</v>
      </c>
      <c r="M13" s="79">
        <v>64</v>
      </c>
      <c r="N13" s="75">
        <f t="shared" si="13"/>
        <v>4158.53</v>
      </c>
      <c r="O13" s="75">
        <f t="shared" si="14"/>
        <v>0</v>
      </c>
      <c r="P13" s="79">
        <v>39</v>
      </c>
      <c r="Q13" s="75">
        <f t="shared" si="15"/>
        <v>6930.89</v>
      </c>
      <c r="R13" s="75">
        <f t="shared" si="16"/>
        <v>0</v>
      </c>
      <c r="S13" s="79">
        <v>540</v>
      </c>
      <c r="T13" s="75">
        <f t="shared" si="17"/>
        <v>2772.36</v>
      </c>
      <c r="U13" s="75">
        <f t="shared" si="18"/>
        <v>0</v>
      </c>
      <c r="V13" s="75">
        <f t="shared" si="19"/>
        <v>27723.56</v>
      </c>
      <c r="W13" s="75">
        <f t="shared" si="20"/>
        <v>0</v>
      </c>
      <c r="Y13" s="95"/>
      <c r="Z13" s="95"/>
      <c r="AA13" s="95"/>
      <c r="AB13" s="95"/>
      <c r="AC13" s="95"/>
      <c r="AD13" s="95"/>
    </row>
    <row r="14" spans="1:30" ht="15.75" customHeight="1" x14ac:dyDescent="0.25">
      <c r="A14" s="74">
        <v>44994</v>
      </c>
      <c r="B14" s="75">
        <f>ROUND(Summary!$G$10/31,2)</f>
        <v>69308.88</v>
      </c>
      <c r="C14" s="75">
        <v>12</v>
      </c>
      <c r="D14" s="75">
        <v>13</v>
      </c>
      <c r="E14" s="75">
        <f t="shared" si="7"/>
        <v>12</v>
      </c>
      <c r="F14" s="75">
        <f t="shared" si="0"/>
        <v>41585.33</v>
      </c>
      <c r="G14" s="75">
        <f t="shared" si="8"/>
        <v>41585.33</v>
      </c>
      <c r="H14" s="75">
        <f t="shared" si="9"/>
        <v>27723.55</v>
      </c>
      <c r="I14" s="75">
        <f t="shared" si="10"/>
        <v>27723.55</v>
      </c>
      <c r="J14" s="79">
        <v>21</v>
      </c>
      <c r="K14" s="75">
        <f t="shared" si="11"/>
        <v>13861.78</v>
      </c>
      <c r="L14" s="75">
        <f t="shared" si="12"/>
        <v>0</v>
      </c>
      <c r="M14" s="79">
        <v>72</v>
      </c>
      <c r="N14" s="75">
        <f t="shared" si="13"/>
        <v>4158.53</v>
      </c>
      <c r="O14" s="75">
        <f t="shared" si="14"/>
        <v>0</v>
      </c>
      <c r="P14" s="79">
        <v>24</v>
      </c>
      <c r="Q14" s="75">
        <f t="shared" si="15"/>
        <v>6930.89</v>
      </c>
      <c r="R14" s="75">
        <f t="shared" si="16"/>
        <v>0</v>
      </c>
      <c r="S14" s="79">
        <v>426</v>
      </c>
      <c r="T14" s="75">
        <f t="shared" si="17"/>
        <v>2772.36</v>
      </c>
      <c r="U14" s="75">
        <f t="shared" si="18"/>
        <v>0</v>
      </c>
      <c r="V14" s="75">
        <f t="shared" si="19"/>
        <v>27723.56</v>
      </c>
      <c r="W14" s="75">
        <f t="shared" si="20"/>
        <v>0</v>
      </c>
      <c r="Y14" s="95"/>
      <c r="Z14" s="95"/>
      <c r="AA14" s="95"/>
      <c r="AB14" s="95"/>
      <c r="AC14" s="95"/>
      <c r="AD14" s="95"/>
    </row>
    <row r="15" spans="1:30" s="44" customFormat="1" ht="15.75" customHeight="1" x14ac:dyDescent="0.25">
      <c r="A15" s="20">
        <v>44995</v>
      </c>
      <c r="B15" s="21">
        <f>ROUND(Summary!$G$10/31,2)</f>
        <v>69308.88</v>
      </c>
      <c r="C15" s="21">
        <v>12</v>
      </c>
      <c r="D15" s="21">
        <v>14</v>
      </c>
      <c r="E15" s="75">
        <f t="shared" si="7"/>
        <v>12</v>
      </c>
      <c r="F15" s="21">
        <f t="shared" si="0"/>
        <v>41585.33</v>
      </c>
      <c r="G15" s="75">
        <f t="shared" si="8"/>
        <v>41585.33</v>
      </c>
      <c r="H15" s="21">
        <f t="shared" si="9"/>
        <v>27723.55</v>
      </c>
      <c r="I15" s="75">
        <f t="shared" si="10"/>
        <v>27723.55</v>
      </c>
      <c r="J15" s="33">
        <v>18</v>
      </c>
      <c r="K15" s="75">
        <f t="shared" si="11"/>
        <v>13861.78</v>
      </c>
      <c r="L15" s="75">
        <f t="shared" si="12"/>
        <v>0</v>
      </c>
      <c r="M15" s="33">
        <v>40</v>
      </c>
      <c r="N15" s="75">
        <f t="shared" si="13"/>
        <v>4158.53</v>
      </c>
      <c r="O15" s="75">
        <f t="shared" si="14"/>
        <v>0</v>
      </c>
      <c r="P15" s="33">
        <v>32</v>
      </c>
      <c r="Q15" s="75">
        <f t="shared" si="15"/>
        <v>6930.89</v>
      </c>
      <c r="R15" s="75">
        <f t="shared" si="16"/>
        <v>0</v>
      </c>
      <c r="S15" s="33">
        <v>540</v>
      </c>
      <c r="T15" s="75">
        <f t="shared" si="17"/>
        <v>2772.36</v>
      </c>
      <c r="U15" s="75">
        <f t="shared" si="18"/>
        <v>0</v>
      </c>
      <c r="V15" s="75">
        <f t="shared" si="19"/>
        <v>27723.56</v>
      </c>
      <c r="W15" s="75">
        <f t="shared" si="20"/>
        <v>0</v>
      </c>
      <c r="X15" s="34" t="s">
        <v>71</v>
      </c>
      <c r="Y15" s="43"/>
      <c r="Z15" s="43"/>
      <c r="AA15" s="43"/>
      <c r="AB15" s="43"/>
      <c r="AC15" s="43"/>
      <c r="AD15" s="43"/>
    </row>
    <row r="16" spans="1:30" ht="15.75" customHeight="1" x14ac:dyDescent="0.25">
      <c r="A16" s="74">
        <v>44996</v>
      </c>
      <c r="B16" s="75">
        <f>ROUND(Summary!$G$10/31,2)</f>
        <v>69308.88</v>
      </c>
      <c r="C16" s="75">
        <v>12</v>
      </c>
      <c r="D16" s="75">
        <v>12.72</v>
      </c>
      <c r="E16" s="75">
        <f t="shared" si="7"/>
        <v>12</v>
      </c>
      <c r="F16" s="75">
        <f t="shared" si="0"/>
        <v>41585.33</v>
      </c>
      <c r="G16" s="75">
        <f t="shared" si="8"/>
        <v>41585.33</v>
      </c>
      <c r="H16" s="75">
        <f t="shared" si="9"/>
        <v>27723.55</v>
      </c>
      <c r="I16" s="75">
        <f t="shared" si="10"/>
        <v>27723.55</v>
      </c>
      <c r="J16" s="79">
        <v>15</v>
      </c>
      <c r="K16" s="75">
        <f t="shared" si="11"/>
        <v>13861.78</v>
      </c>
      <c r="L16" s="75">
        <f t="shared" si="12"/>
        <v>0</v>
      </c>
      <c r="M16" s="79">
        <v>56</v>
      </c>
      <c r="N16" s="75">
        <f t="shared" si="13"/>
        <v>4158.53</v>
      </c>
      <c r="O16" s="75">
        <f t="shared" si="14"/>
        <v>0</v>
      </c>
      <c r="P16" s="79">
        <v>22</v>
      </c>
      <c r="Q16" s="75">
        <f t="shared" si="15"/>
        <v>6930.89</v>
      </c>
      <c r="R16" s="75">
        <f t="shared" si="16"/>
        <v>0</v>
      </c>
      <c r="S16" s="79">
        <v>345</v>
      </c>
      <c r="T16" s="75">
        <f t="shared" si="17"/>
        <v>2772.36</v>
      </c>
      <c r="U16" s="75">
        <f t="shared" si="18"/>
        <v>0</v>
      </c>
      <c r="V16" s="75">
        <f t="shared" si="19"/>
        <v>27723.56</v>
      </c>
      <c r="W16" s="75">
        <f t="shared" si="20"/>
        <v>0</v>
      </c>
      <c r="Y16" s="95"/>
      <c r="Z16" s="95"/>
      <c r="AA16" s="95"/>
      <c r="AB16" s="95"/>
      <c r="AC16" s="95"/>
      <c r="AD16" s="95"/>
    </row>
    <row r="17" spans="1:24" x14ac:dyDescent="0.25">
      <c r="A17" s="74">
        <v>44997</v>
      </c>
      <c r="B17" s="75">
        <f>ROUND(Summary!$G$10/31,2)</f>
        <v>69308.88</v>
      </c>
      <c r="C17" s="75">
        <v>12</v>
      </c>
      <c r="D17" s="75">
        <v>12.77</v>
      </c>
      <c r="E17" s="75">
        <f t="shared" si="7"/>
        <v>12</v>
      </c>
      <c r="F17" s="75">
        <f t="shared" si="0"/>
        <v>41585.33</v>
      </c>
      <c r="G17" s="75">
        <f t="shared" si="8"/>
        <v>41585.33</v>
      </c>
      <c r="H17" s="75">
        <f t="shared" si="9"/>
        <v>27723.55</v>
      </c>
      <c r="I17" s="75">
        <f t="shared" si="10"/>
        <v>27723.55</v>
      </c>
      <c r="J17" s="79">
        <v>18</v>
      </c>
      <c r="K17" s="75">
        <f t="shared" si="11"/>
        <v>13861.78</v>
      </c>
      <c r="L17" s="75">
        <f t="shared" si="12"/>
        <v>0</v>
      </c>
      <c r="M17" s="79">
        <v>64</v>
      </c>
      <c r="N17" s="75">
        <f t="shared" si="13"/>
        <v>4158.53</v>
      </c>
      <c r="O17" s="75">
        <f t="shared" si="14"/>
        <v>0</v>
      </c>
      <c r="P17" s="79">
        <v>31</v>
      </c>
      <c r="Q17" s="75">
        <f t="shared" si="15"/>
        <v>6930.89</v>
      </c>
      <c r="R17" s="75">
        <f t="shared" si="16"/>
        <v>0</v>
      </c>
      <c r="S17" s="79">
        <v>440</v>
      </c>
      <c r="T17" s="75">
        <f t="shared" si="17"/>
        <v>2772.36</v>
      </c>
      <c r="U17" s="75">
        <f t="shared" si="18"/>
        <v>0</v>
      </c>
      <c r="V17" s="75">
        <f t="shared" si="19"/>
        <v>27723.56</v>
      </c>
      <c r="W17" s="75">
        <f t="shared" si="20"/>
        <v>0</v>
      </c>
    </row>
    <row r="18" spans="1:24" x14ac:dyDescent="0.25">
      <c r="A18" s="74">
        <v>44998</v>
      </c>
      <c r="B18" s="75">
        <f>ROUND(Summary!$G$10/31,2)</f>
        <v>69308.88</v>
      </c>
      <c r="C18" s="75">
        <v>12</v>
      </c>
      <c r="D18" s="75">
        <v>14.25</v>
      </c>
      <c r="E18" s="75">
        <f t="shared" si="7"/>
        <v>12</v>
      </c>
      <c r="F18" s="75">
        <f t="shared" si="0"/>
        <v>41585.33</v>
      </c>
      <c r="G18" s="75">
        <f t="shared" si="8"/>
        <v>41585.33</v>
      </c>
      <c r="H18" s="75">
        <f t="shared" si="9"/>
        <v>27723.55</v>
      </c>
      <c r="I18" s="75">
        <f t="shared" si="10"/>
        <v>27723.55</v>
      </c>
      <c r="J18" s="79">
        <v>22</v>
      </c>
      <c r="K18" s="75">
        <f t="shared" si="11"/>
        <v>13861.78</v>
      </c>
      <c r="L18" s="75">
        <f t="shared" si="12"/>
        <v>0</v>
      </c>
      <c r="M18" s="79">
        <v>72</v>
      </c>
      <c r="N18" s="75">
        <f t="shared" si="13"/>
        <v>4158.53</v>
      </c>
      <c r="O18" s="75">
        <f t="shared" si="14"/>
        <v>0</v>
      </c>
      <c r="P18" s="79">
        <v>24</v>
      </c>
      <c r="Q18" s="75">
        <f t="shared" si="15"/>
        <v>6930.89</v>
      </c>
      <c r="R18" s="75">
        <f t="shared" si="16"/>
        <v>0</v>
      </c>
      <c r="S18" s="79">
        <v>426</v>
      </c>
      <c r="T18" s="75">
        <f t="shared" si="17"/>
        <v>2772.36</v>
      </c>
      <c r="U18" s="75">
        <f t="shared" si="18"/>
        <v>0</v>
      </c>
      <c r="V18" s="75">
        <f t="shared" si="19"/>
        <v>27723.56</v>
      </c>
      <c r="W18" s="75">
        <f t="shared" si="20"/>
        <v>0</v>
      </c>
    </row>
    <row r="19" spans="1:24" s="41" customFormat="1" x14ac:dyDescent="0.25">
      <c r="A19" s="26">
        <v>44999</v>
      </c>
      <c r="B19" s="27">
        <f>ROUND(Summary!$G$10/31,2)</f>
        <v>69308.88</v>
      </c>
      <c r="C19" s="27">
        <v>12</v>
      </c>
      <c r="D19" s="27">
        <v>14</v>
      </c>
      <c r="E19" s="75">
        <f t="shared" si="7"/>
        <v>12</v>
      </c>
      <c r="F19" s="27">
        <f t="shared" si="0"/>
        <v>41585.33</v>
      </c>
      <c r="G19" s="75">
        <f t="shared" si="8"/>
        <v>41585.33</v>
      </c>
      <c r="H19" s="27">
        <f t="shared" si="9"/>
        <v>27723.55</v>
      </c>
      <c r="I19" s="75">
        <f t="shared" si="10"/>
        <v>27723.55</v>
      </c>
      <c r="J19" s="37">
        <v>14</v>
      </c>
      <c r="K19" s="75">
        <f t="shared" si="11"/>
        <v>13861.78</v>
      </c>
      <c r="L19" s="75">
        <f t="shared" si="12"/>
        <v>0</v>
      </c>
      <c r="M19" s="37">
        <v>48</v>
      </c>
      <c r="N19" s="75">
        <f t="shared" si="13"/>
        <v>4158.53</v>
      </c>
      <c r="O19" s="75">
        <f t="shared" si="14"/>
        <v>0</v>
      </c>
      <c r="P19" s="37">
        <v>38</v>
      </c>
      <c r="Q19" s="75">
        <f t="shared" si="15"/>
        <v>6930.89</v>
      </c>
      <c r="R19" s="75">
        <f t="shared" si="16"/>
        <v>0</v>
      </c>
      <c r="S19" s="64">
        <v>22000</v>
      </c>
      <c r="T19" s="75">
        <v>0</v>
      </c>
      <c r="U19" s="75">
        <f t="shared" si="18"/>
        <v>10000</v>
      </c>
      <c r="V19" s="75">
        <f t="shared" si="19"/>
        <v>24951.200000000001</v>
      </c>
      <c r="W19" s="75">
        <f t="shared" si="20"/>
        <v>10000</v>
      </c>
      <c r="X19" s="38" t="s">
        <v>72</v>
      </c>
    </row>
    <row r="20" spans="1:24" ht="15.75" customHeight="1" x14ac:dyDescent="0.25">
      <c r="A20" s="74">
        <v>45000</v>
      </c>
      <c r="B20" s="75">
        <f>ROUND(Summary!$G$10/31,2)</f>
        <v>69308.88</v>
      </c>
      <c r="C20" s="75">
        <v>12</v>
      </c>
      <c r="D20" s="75">
        <v>14.62</v>
      </c>
      <c r="E20" s="75">
        <f t="shared" si="7"/>
        <v>12</v>
      </c>
      <c r="F20" s="75">
        <f t="shared" si="0"/>
        <v>41585.33</v>
      </c>
      <c r="G20" s="75">
        <f t="shared" si="8"/>
        <v>41585.33</v>
      </c>
      <c r="H20" s="75">
        <f t="shared" si="9"/>
        <v>27723.55</v>
      </c>
      <c r="I20" s="75">
        <f t="shared" si="10"/>
        <v>27723.55</v>
      </c>
      <c r="J20" s="79">
        <v>16</v>
      </c>
      <c r="K20" s="75">
        <f t="shared" si="11"/>
        <v>13861.78</v>
      </c>
      <c r="L20" s="75">
        <f t="shared" si="12"/>
        <v>0</v>
      </c>
      <c r="M20" s="79">
        <v>56</v>
      </c>
      <c r="N20" s="75">
        <f t="shared" si="13"/>
        <v>4158.53</v>
      </c>
      <c r="O20" s="75">
        <f t="shared" si="14"/>
        <v>0</v>
      </c>
      <c r="P20" s="79">
        <v>31</v>
      </c>
      <c r="Q20" s="75">
        <f t="shared" si="15"/>
        <v>6930.89</v>
      </c>
      <c r="R20" s="75">
        <f t="shared" si="16"/>
        <v>0</v>
      </c>
      <c r="S20" s="79">
        <v>345</v>
      </c>
      <c r="T20" s="75">
        <f t="shared" si="17"/>
        <v>2772.36</v>
      </c>
      <c r="U20" s="75">
        <f t="shared" si="18"/>
        <v>0</v>
      </c>
      <c r="V20" s="75">
        <f t="shared" si="19"/>
        <v>27723.56</v>
      </c>
      <c r="W20" s="75">
        <f t="shared" si="20"/>
        <v>0</v>
      </c>
    </row>
    <row r="21" spans="1:24" x14ac:dyDescent="0.25">
      <c r="A21" s="74">
        <v>45001</v>
      </c>
      <c r="B21" s="75">
        <f>ROUND(Summary!$G$10/31,2)</f>
        <v>69308.88</v>
      </c>
      <c r="C21" s="75">
        <v>12</v>
      </c>
      <c r="D21" s="75">
        <v>14</v>
      </c>
      <c r="E21" s="75">
        <f t="shared" si="7"/>
        <v>12</v>
      </c>
      <c r="F21" s="75">
        <f t="shared" si="0"/>
        <v>41585.33</v>
      </c>
      <c r="G21" s="75">
        <f t="shared" si="8"/>
        <v>41585.33</v>
      </c>
      <c r="H21" s="75">
        <f t="shared" si="9"/>
        <v>27723.55</v>
      </c>
      <c r="I21" s="75">
        <f t="shared" si="10"/>
        <v>27723.55</v>
      </c>
      <c r="J21" s="79">
        <v>20</v>
      </c>
      <c r="K21" s="75">
        <f t="shared" si="11"/>
        <v>13861.78</v>
      </c>
      <c r="L21" s="75">
        <f t="shared" si="12"/>
        <v>0</v>
      </c>
      <c r="M21" s="79">
        <v>72</v>
      </c>
      <c r="N21" s="75">
        <f t="shared" si="13"/>
        <v>4158.53</v>
      </c>
      <c r="O21" s="75">
        <f t="shared" si="14"/>
        <v>0</v>
      </c>
      <c r="P21" s="79">
        <v>22</v>
      </c>
      <c r="Q21" s="75">
        <f t="shared" si="15"/>
        <v>6930.89</v>
      </c>
      <c r="R21" s="75">
        <f t="shared" si="16"/>
        <v>0</v>
      </c>
      <c r="S21" s="79">
        <v>426</v>
      </c>
      <c r="T21" s="75">
        <f t="shared" si="17"/>
        <v>2772.36</v>
      </c>
      <c r="U21" s="75">
        <f t="shared" si="18"/>
        <v>0</v>
      </c>
      <c r="V21" s="75">
        <f t="shared" si="19"/>
        <v>27723.56</v>
      </c>
      <c r="W21" s="75">
        <f t="shared" si="20"/>
        <v>0</v>
      </c>
    </row>
    <row r="22" spans="1:24" x14ac:dyDescent="0.25">
      <c r="A22" s="74">
        <v>45002</v>
      </c>
      <c r="B22" s="75">
        <f>ROUND(Summary!$G$10/31,2)</f>
        <v>69308.88</v>
      </c>
      <c r="C22" s="75">
        <v>12</v>
      </c>
      <c r="D22" s="75">
        <v>12.42</v>
      </c>
      <c r="E22" s="75">
        <f t="shared" si="7"/>
        <v>12</v>
      </c>
      <c r="F22" s="75">
        <f t="shared" si="0"/>
        <v>41585.33</v>
      </c>
      <c r="G22" s="75">
        <f t="shared" si="8"/>
        <v>41585.33</v>
      </c>
      <c r="H22" s="75">
        <f t="shared" si="9"/>
        <v>27723.55</v>
      </c>
      <c r="I22" s="75">
        <f t="shared" si="10"/>
        <v>27723.55</v>
      </c>
      <c r="J22" s="79">
        <v>17</v>
      </c>
      <c r="K22" s="75">
        <f t="shared" si="11"/>
        <v>13861.78</v>
      </c>
      <c r="L22" s="75">
        <f t="shared" si="12"/>
        <v>0</v>
      </c>
      <c r="M22" s="79">
        <v>64</v>
      </c>
      <c r="N22" s="75">
        <f t="shared" si="13"/>
        <v>4158.53</v>
      </c>
      <c r="O22" s="75">
        <f t="shared" si="14"/>
        <v>0</v>
      </c>
      <c r="P22" s="79">
        <v>28</v>
      </c>
      <c r="Q22" s="75">
        <f t="shared" si="15"/>
        <v>6930.89</v>
      </c>
      <c r="R22" s="75">
        <f t="shared" si="16"/>
        <v>0</v>
      </c>
      <c r="S22" s="79">
        <v>345</v>
      </c>
      <c r="T22" s="75">
        <f t="shared" si="17"/>
        <v>2772.36</v>
      </c>
      <c r="U22" s="75">
        <f t="shared" si="18"/>
        <v>0</v>
      </c>
      <c r="V22" s="75">
        <f t="shared" si="19"/>
        <v>27723.56</v>
      </c>
      <c r="W22" s="75">
        <f t="shared" si="20"/>
        <v>0</v>
      </c>
    </row>
    <row r="23" spans="1:24" x14ac:dyDescent="0.25">
      <c r="A23" s="74">
        <v>45003</v>
      </c>
      <c r="B23" s="75">
        <f>ROUND(Summary!$G$10/31,2)</f>
        <v>69308.88</v>
      </c>
      <c r="C23" s="75">
        <v>12</v>
      </c>
      <c r="D23" s="75">
        <v>12.06</v>
      </c>
      <c r="E23" s="75">
        <f t="shared" si="7"/>
        <v>12</v>
      </c>
      <c r="F23" s="75">
        <f t="shared" si="0"/>
        <v>41585.33</v>
      </c>
      <c r="G23" s="75">
        <f t="shared" si="8"/>
        <v>41585.33</v>
      </c>
      <c r="H23" s="75">
        <f t="shared" si="9"/>
        <v>27723.55</v>
      </c>
      <c r="I23" s="75">
        <f t="shared" si="10"/>
        <v>27723.55</v>
      </c>
      <c r="J23" s="79">
        <v>21</v>
      </c>
      <c r="K23" s="75">
        <f t="shared" si="11"/>
        <v>13861.78</v>
      </c>
      <c r="L23" s="75">
        <f t="shared" si="12"/>
        <v>0</v>
      </c>
      <c r="M23" s="79">
        <v>72</v>
      </c>
      <c r="N23" s="75">
        <f t="shared" si="13"/>
        <v>4158.53</v>
      </c>
      <c r="O23" s="75">
        <f t="shared" si="14"/>
        <v>0</v>
      </c>
      <c r="P23" s="79">
        <v>37</v>
      </c>
      <c r="Q23" s="75">
        <f t="shared" si="15"/>
        <v>6930.89</v>
      </c>
      <c r="R23" s="75">
        <f t="shared" si="16"/>
        <v>0</v>
      </c>
      <c r="S23" s="79">
        <v>426</v>
      </c>
      <c r="T23" s="75">
        <f t="shared" si="17"/>
        <v>2772.36</v>
      </c>
      <c r="U23" s="75">
        <f t="shared" si="18"/>
        <v>0</v>
      </c>
      <c r="V23" s="75">
        <f t="shared" si="19"/>
        <v>27723.56</v>
      </c>
      <c r="W23" s="75">
        <f t="shared" si="20"/>
        <v>0</v>
      </c>
    </row>
    <row r="24" spans="1:24" x14ac:dyDescent="0.25">
      <c r="A24" s="74">
        <v>45004</v>
      </c>
      <c r="B24" s="75">
        <f>ROUND(Summary!$G$10/31,2)</f>
        <v>69308.88</v>
      </c>
      <c r="C24" s="75">
        <v>12</v>
      </c>
      <c r="D24" s="75">
        <v>12.16</v>
      </c>
      <c r="E24" s="75">
        <f t="shared" si="7"/>
        <v>12</v>
      </c>
      <c r="F24" s="75">
        <f t="shared" si="0"/>
        <v>41585.33</v>
      </c>
      <c r="G24" s="75">
        <f t="shared" si="8"/>
        <v>41585.33</v>
      </c>
      <c r="H24" s="75">
        <f t="shared" si="9"/>
        <v>27723.55</v>
      </c>
      <c r="I24" s="75">
        <f t="shared" si="10"/>
        <v>27723.55</v>
      </c>
      <c r="J24" s="79">
        <v>20</v>
      </c>
      <c r="K24" s="75">
        <f t="shared" si="11"/>
        <v>13861.78</v>
      </c>
      <c r="L24" s="75">
        <f t="shared" si="12"/>
        <v>0</v>
      </c>
      <c r="M24" s="79">
        <v>64</v>
      </c>
      <c r="N24" s="75">
        <f t="shared" si="13"/>
        <v>4158.53</v>
      </c>
      <c r="O24" s="75">
        <f t="shared" si="14"/>
        <v>0</v>
      </c>
      <c r="P24" s="79">
        <v>39</v>
      </c>
      <c r="Q24" s="75">
        <f t="shared" si="15"/>
        <v>6930.89</v>
      </c>
      <c r="R24" s="75">
        <f t="shared" si="16"/>
        <v>0</v>
      </c>
      <c r="S24" s="79">
        <v>348</v>
      </c>
      <c r="T24" s="75">
        <f t="shared" si="17"/>
        <v>2772.36</v>
      </c>
      <c r="U24" s="75">
        <f t="shared" si="18"/>
        <v>0</v>
      </c>
      <c r="V24" s="75">
        <f t="shared" si="19"/>
        <v>27723.56</v>
      </c>
      <c r="W24" s="75">
        <f t="shared" si="20"/>
        <v>0</v>
      </c>
    </row>
    <row r="25" spans="1:24" s="41" customFormat="1" x14ac:dyDescent="0.25">
      <c r="A25" s="26">
        <v>45005</v>
      </c>
      <c r="B25" s="27">
        <f>ROUND(Summary!$G$10/31,2)</f>
        <v>69308.88</v>
      </c>
      <c r="C25" s="27">
        <v>12</v>
      </c>
      <c r="D25" s="27">
        <v>12.89</v>
      </c>
      <c r="E25" s="75">
        <f t="shared" si="7"/>
        <v>12</v>
      </c>
      <c r="F25" s="27">
        <f t="shared" si="0"/>
        <v>41585.33</v>
      </c>
      <c r="G25" s="75">
        <f t="shared" si="8"/>
        <v>41585.33</v>
      </c>
      <c r="H25" s="27">
        <f t="shared" si="9"/>
        <v>27723.55</v>
      </c>
      <c r="I25" s="75">
        <f t="shared" si="10"/>
        <v>27723.55</v>
      </c>
      <c r="J25" s="37">
        <v>16</v>
      </c>
      <c r="K25" s="75">
        <f t="shared" si="11"/>
        <v>13861.78</v>
      </c>
      <c r="L25" s="75">
        <f t="shared" si="12"/>
        <v>0</v>
      </c>
      <c r="M25" s="37">
        <v>54</v>
      </c>
      <c r="N25" s="75">
        <f t="shared" si="13"/>
        <v>4158.53</v>
      </c>
      <c r="O25" s="75">
        <f t="shared" si="14"/>
        <v>0</v>
      </c>
      <c r="P25" s="37">
        <v>42</v>
      </c>
      <c r="Q25" s="75">
        <f t="shared" si="15"/>
        <v>6930.89</v>
      </c>
      <c r="R25" s="75">
        <f t="shared" si="16"/>
        <v>0</v>
      </c>
      <c r="S25" s="37">
        <v>680</v>
      </c>
      <c r="T25" s="75">
        <f t="shared" si="17"/>
        <v>2772.36</v>
      </c>
      <c r="U25" s="75">
        <f t="shared" si="18"/>
        <v>0</v>
      </c>
      <c r="V25" s="75">
        <f t="shared" si="19"/>
        <v>27723.56</v>
      </c>
      <c r="W25" s="75">
        <f t="shared" si="20"/>
        <v>0</v>
      </c>
      <c r="X25" s="38" t="s">
        <v>72</v>
      </c>
    </row>
    <row r="26" spans="1:24" x14ac:dyDescent="0.25">
      <c r="A26" s="74">
        <v>45006</v>
      </c>
      <c r="B26" s="75">
        <f>ROUND(Summary!$G$10/31,2)</f>
        <v>69308.88</v>
      </c>
      <c r="C26" s="75">
        <v>12</v>
      </c>
      <c r="D26" s="75">
        <v>13.5</v>
      </c>
      <c r="E26" s="75">
        <f t="shared" si="7"/>
        <v>12</v>
      </c>
      <c r="F26" s="75">
        <f t="shared" si="0"/>
        <v>41585.33</v>
      </c>
      <c r="G26" s="75">
        <f t="shared" si="8"/>
        <v>41585.33</v>
      </c>
      <c r="H26" s="75">
        <f t="shared" si="9"/>
        <v>27723.55</v>
      </c>
      <c r="I26" s="75">
        <f t="shared" si="10"/>
        <v>27723.55</v>
      </c>
      <c r="J26" s="79">
        <v>19</v>
      </c>
      <c r="K26" s="75">
        <f t="shared" si="11"/>
        <v>13861.78</v>
      </c>
      <c r="L26" s="75">
        <f t="shared" si="12"/>
        <v>0</v>
      </c>
      <c r="M26" s="79">
        <v>64</v>
      </c>
      <c r="N26" s="75">
        <f t="shared" si="13"/>
        <v>4158.53</v>
      </c>
      <c r="O26" s="75">
        <f t="shared" si="14"/>
        <v>0</v>
      </c>
      <c r="P26" s="79">
        <v>29</v>
      </c>
      <c r="Q26" s="75">
        <f t="shared" si="15"/>
        <v>6930.89</v>
      </c>
      <c r="R26" s="75">
        <f t="shared" si="16"/>
        <v>0</v>
      </c>
      <c r="S26" s="79">
        <v>348</v>
      </c>
      <c r="T26" s="75">
        <f t="shared" si="17"/>
        <v>2772.36</v>
      </c>
      <c r="U26" s="75">
        <f t="shared" si="18"/>
        <v>0</v>
      </c>
      <c r="V26" s="75">
        <f t="shared" si="19"/>
        <v>27723.56</v>
      </c>
      <c r="W26" s="75">
        <f t="shared" si="20"/>
        <v>0</v>
      </c>
    </row>
    <row r="27" spans="1:24" x14ac:dyDescent="0.25">
      <c r="A27" s="74">
        <v>45007</v>
      </c>
      <c r="B27" s="75">
        <f>ROUND(Summary!$G$10/31,2)</f>
        <v>69308.88</v>
      </c>
      <c r="C27" s="75">
        <v>12</v>
      </c>
      <c r="D27" s="75">
        <v>13.12</v>
      </c>
      <c r="E27" s="75">
        <f t="shared" si="7"/>
        <v>12</v>
      </c>
      <c r="F27" s="75">
        <f t="shared" si="0"/>
        <v>41585.33</v>
      </c>
      <c r="G27" s="75">
        <f t="shared" si="8"/>
        <v>41585.33</v>
      </c>
      <c r="H27" s="75">
        <f t="shared" si="9"/>
        <v>27723.55</v>
      </c>
      <c r="I27" s="75">
        <f t="shared" si="10"/>
        <v>27723.55</v>
      </c>
      <c r="J27" s="79">
        <v>20</v>
      </c>
      <c r="K27" s="75">
        <f t="shared" si="11"/>
        <v>13861.78</v>
      </c>
      <c r="L27" s="75">
        <f t="shared" si="12"/>
        <v>0</v>
      </c>
      <c r="M27" s="79">
        <v>72</v>
      </c>
      <c r="N27" s="75">
        <f t="shared" si="13"/>
        <v>4158.53</v>
      </c>
      <c r="O27" s="75">
        <f t="shared" si="14"/>
        <v>0</v>
      </c>
      <c r="P27" s="79">
        <v>25</v>
      </c>
      <c r="Q27" s="75">
        <f t="shared" si="15"/>
        <v>6930.89</v>
      </c>
      <c r="R27" s="75">
        <f t="shared" si="16"/>
        <v>0</v>
      </c>
      <c r="S27" s="79">
        <v>440</v>
      </c>
      <c r="T27" s="75">
        <f t="shared" si="17"/>
        <v>2772.36</v>
      </c>
      <c r="U27" s="75">
        <f t="shared" si="18"/>
        <v>0</v>
      </c>
      <c r="V27" s="75">
        <f t="shared" si="19"/>
        <v>27723.56</v>
      </c>
      <c r="W27" s="75">
        <f t="shared" si="20"/>
        <v>0</v>
      </c>
    </row>
    <row r="28" spans="1:24" x14ac:dyDescent="0.25">
      <c r="A28" s="74">
        <v>45008</v>
      </c>
      <c r="B28" s="75">
        <f>ROUND(Summary!$G$10/31,2)</f>
        <v>69308.88</v>
      </c>
      <c r="C28" s="75">
        <v>12</v>
      </c>
      <c r="D28" s="75">
        <v>13.68</v>
      </c>
      <c r="E28" s="75">
        <f t="shared" si="7"/>
        <v>12</v>
      </c>
      <c r="F28" s="75">
        <f t="shared" si="0"/>
        <v>41585.33</v>
      </c>
      <c r="G28" s="75">
        <f t="shared" si="8"/>
        <v>41585.33</v>
      </c>
      <c r="H28" s="75">
        <f t="shared" si="9"/>
        <v>27723.55</v>
      </c>
      <c r="I28" s="75">
        <f t="shared" si="10"/>
        <v>27723.55</v>
      </c>
      <c r="J28" s="79">
        <v>17</v>
      </c>
      <c r="K28" s="75">
        <f t="shared" si="11"/>
        <v>13861.78</v>
      </c>
      <c r="L28" s="75">
        <f t="shared" si="12"/>
        <v>0</v>
      </c>
      <c r="M28" s="79">
        <v>56</v>
      </c>
      <c r="N28" s="75">
        <f t="shared" si="13"/>
        <v>4158.53</v>
      </c>
      <c r="O28" s="75">
        <f t="shared" si="14"/>
        <v>0</v>
      </c>
      <c r="P28" s="79">
        <v>29</v>
      </c>
      <c r="Q28" s="75">
        <f t="shared" si="15"/>
        <v>6930.89</v>
      </c>
      <c r="R28" s="75">
        <f t="shared" si="16"/>
        <v>0</v>
      </c>
      <c r="S28" s="79">
        <v>348</v>
      </c>
      <c r="T28" s="75">
        <f t="shared" si="17"/>
        <v>2772.36</v>
      </c>
      <c r="U28" s="75">
        <f t="shared" si="18"/>
        <v>0</v>
      </c>
      <c r="V28" s="75">
        <f t="shared" si="19"/>
        <v>27723.56</v>
      </c>
      <c r="W28" s="75">
        <f t="shared" si="20"/>
        <v>0</v>
      </c>
    </row>
    <row r="29" spans="1:24" s="44" customFormat="1" x14ac:dyDescent="0.25">
      <c r="A29" s="20">
        <v>45009</v>
      </c>
      <c r="B29" s="21">
        <f>ROUND(Summary!$G$10/31,2)</f>
        <v>69308.88</v>
      </c>
      <c r="C29" s="21">
        <v>12</v>
      </c>
      <c r="D29" s="21">
        <v>14</v>
      </c>
      <c r="E29" s="75">
        <f t="shared" si="7"/>
        <v>12</v>
      </c>
      <c r="F29" s="21">
        <f t="shared" si="0"/>
        <v>41585.33</v>
      </c>
      <c r="G29" s="75">
        <f t="shared" si="8"/>
        <v>41585.33</v>
      </c>
      <c r="H29" s="21">
        <f t="shared" si="9"/>
        <v>27723.55</v>
      </c>
      <c r="I29" s="75">
        <f t="shared" si="10"/>
        <v>27723.55</v>
      </c>
      <c r="J29" s="33">
        <v>12</v>
      </c>
      <c r="K29" s="75">
        <f t="shared" si="11"/>
        <v>13861.78</v>
      </c>
      <c r="L29" s="75">
        <f t="shared" si="12"/>
        <v>0</v>
      </c>
      <c r="M29" s="33">
        <v>32</v>
      </c>
      <c r="N29" s="75">
        <f t="shared" si="13"/>
        <v>4158.53</v>
      </c>
      <c r="O29" s="75">
        <f t="shared" si="14"/>
        <v>0</v>
      </c>
      <c r="P29" s="33">
        <v>74</v>
      </c>
      <c r="Q29" s="75">
        <f t="shared" si="15"/>
        <v>6930.89</v>
      </c>
      <c r="R29" s="75">
        <f t="shared" si="16"/>
        <v>0</v>
      </c>
      <c r="S29" s="33">
        <v>400</v>
      </c>
      <c r="T29" s="75">
        <f t="shared" si="17"/>
        <v>2772.36</v>
      </c>
      <c r="U29" s="75">
        <f t="shared" si="18"/>
        <v>0</v>
      </c>
      <c r="V29" s="75">
        <f t="shared" si="19"/>
        <v>27723.56</v>
      </c>
      <c r="W29" s="75">
        <f t="shared" si="20"/>
        <v>0</v>
      </c>
      <c r="X29" s="34" t="s">
        <v>71</v>
      </c>
    </row>
    <row r="30" spans="1:24" x14ac:dyDescent="0.25">
      <c r="A30" s="74">
        <v>45010</v>
      </c>
      <c r="B30" s="75">
        <f>ROUND(Summary!$G$10/31,2)</f>
        <v>69308.88</v>
      </c>
      <c r="C30" s="75">
        <v>12</v>
      </c>
      <c r="D30" s="75">
        <v>12.75</v>
      </c>
      <c r="E30" s="75">
        <f t="shared" si="7"/>
        <v>12</v>
      </c>
      <c r="F30" s="75">
        <f t="shared" ref="F30" si="21">B30*60%</f>
        <v>41585.33</v>
      </c>
      <c r="G30" s="75">
        <f t="shared" si="8"/>
        <v>41585.33</v>
      </c>
      <c r="H30" s="75">
        <f t="shared" ref="H30" si="22">B30*40%</f>
        <v>27723.55</v>
      </c>
      <c r="I30" s="75">
        <f t="shared" si="10"/>
        <v>27723.55</v>
      </c>
      <c r="J30" s="79">
        <v>23</v>
      </c>
      <c r="K30" s="75">
        <f t="shared" si="11"/>
        <v>13861.78</v>
      </c>
      <c r="L30" s="75">
        <f t="shared" si="12"/>
        <v>0</v>
      </c>
      <c r="M30" s="79">
        <v>72</v>
      </c>
      <c r="N30" s="75">
        <f t="shared" si="13"/>
        <v>4158.53</v>
      </c>
      <c r="O30" s="75">
        <f t="shared" si="14"/>
        <v>0</v>
      </c>
      <c r="P30" s="79">
        <v>34</v>
      </c>
      <c r="Q30" s="75">
        <f t="shared" si="15"/>
        <v>6930.89</v>
      </c>
      <c r="R30" s="75">
        <f t="shared" si="16"/>
        <v>0</v>
      </c>
      <c r="S30" s="79">
        <v>426</v>
      </c>
      <c r="T30" s="75">
        <f t="shared" si="17"/>
        <v>2772.36</v>
      </c>
      <c r="U30" s="75">
        <f t="shared" si="18"/>
        <v>0</v>
      </c>
      <c r="V30" s="75">
        <f t="shared" si="19"/>
        <v>27723.56</v>
      </c>
      <c r="W30" s="75">
        <f t="shared" si="20"/>
        <v>0</v>
      </c>
    </row>
    <row r="31" spans="1:24" x14ac:dyDescent="0.25">
      <c r="A31" s="74">
        <v>45011</v>
      </c>
      <c r="B31" s="75">
        <f>ROUND(Summary!$G$10/31,2)</f>
        <v>69308.88</v>
      </c>
      <c r="C31" s="75">
        <v>12</v>
      </c>
      <c r="D31" s="75">
        <v>13.04</v>
      </c>
      <c r="E31" s="75">
        <f t="shared" si="7"/>
        <v>12</v>
      </c>
      <c r="F31" s="75">
        <f t="shared" ref="F31:F36" si="23">B31*60%</f>
        <v>41585.33</v>
      </c>
      <c r="G31" s="75">
        <f t="shared" si="8"/>
        <v>41585.33</v>
      </c>
      <c r="H31" s="75">
        <f t="shared" ref="H31:H36" si="24">B31*40%</f>
        <v>27723.55</v>
      </c>
      <c r="I31" s="75">
        <f t="shared" si="10"/>
        <v>27723.55</v>
      </c>
      <c r="J31" s="79">
        <v>22</v>
      </c>
      <c r="K31" s="75">
        <f t="shared" si="11"/>
        <v>13861.78</v>
      </c>
      <c r="L31" s="75">
        <f t="shared" si="12"/>
        <v>0</v>
      </c>
      <c r="M31" s="79">
        <v>64</v>
      </c>
      <c r="N31" s="75">
        <f t="shared" si="13"/>
        <v>4158.53</v>
      </c>
      <c r="O31" s="75">
        <f t="shared" si="14"/>
        <v>0</v>
      </c>
      <c r="P31" s="79">
        <v>24</v>
      </c>
      <c r="Q31" s="75">
        <f t="shared" si="15"/>
        <v>6930.89</v>
      </c>
      <c r="R31" s="75">
        <f t="shared" si="16"/>
        <v>0</v>
      </c>
      <c r="S31" s="79">
        <v>348</v>
      </c>
      <c r="T31" s="75">
        <f t="shared" si="17"/>
        <v>2772.36</v>
      </c>
      <c r="U31" s="75">
        <f t="shared" si="18"/>
        <v>0</v>
      </c>
      <c r="V31" s="75">
        <f t="shared" si="19"/>
        <v>27723.56</v>
      </c>
      <c r="W31" s="75">
        <f t="shared" si="20"/>
        <v>0</v>
      </c>
    </row>
    <row r="32" spans="1:24" s="41" customFormat="1" x14ac:dyDescent="0.25">
      <c r="A32" s="26">
        <v>45012</v>
      </c>
      <c r="B32" s="27">
        <f>ROUND(Summary!$G$10/31,2)</f>
        <v>69308.88</v>
      </c>
      <c r="C32" s="27">
        <v>12</v>
      </c>
      <c r="D32" s="27">
        <v>14.46</v>
      </c>
      <c r="E32" s="75">
        <f t="shared" si="7"/>
        <v>12</v>
      </c>
      <c r="F32" s="27">
        <f t="shared" si="23"/>
        <v>41585.33</v>
      </c>
      <c r="G32" s="75">
        <f t="shared" si="8"/>
        <v>41585.33</v>
      </c>
      <c r="H32" s="27">
        <f t="shared" si="24"/>
        <v>27723.55</v>
      </c>
      <c r="I32" s="75">
        <f t="shared" si="10"/>
        <v>27723.55</v>
      </c>
      <c r="J32" s="37">
        <v>18</v>
      </c>
      <c r="K32" s="75">
        <f t="shared" si="11"/>
        <v>13861.78</v>
      </c>
      <c r="L32" s="75">
        <f t="shared" si="12"/>
        <v>0</v>
      </c>
      <c r="M32" s="37">
        <v>52</v>
      </c>
      <c r="N32" s="75">
        <f t="shared" si="13"/>
        <v>4158.53</v>
      </c>
      <c r="O32" s="75">
        <f t="shared" si="14"/>
        <v>0</v>
      </c>
      <c r="P32" s="37">
        <v>38</v>
      </c>
      <c r="Q32" s="75">
        <f t="shared" si="15"/>
        <v>6930.89</v>
      </c>
      <c r="R32" s="75">
        <f t="shared" si="16"/>
        <v>0</v>
      </c>
      <c r="S32" s="64">
        <v>4900</v>
      </c>
      <c r="T32" s="75">
        <v>0</v>
      </c>
      <c r="U32" s="75">
        <f t="shared" si="18"/>
        <v>10000</v>
      </c>
      <c r="V32" s="75">
        <f t="shared" si="19"/>
        <v>24951.200000000001</v>
      </c>
      <c r="W32" s="75">
        <f t="shared" si="20"/>
        <v>10000</v>
      </c>
      <c r="X32" s="38" t="s">
        <v>72</v>
      </c>
    </row>
    <row r="33" spans="1:26" x14ac:dyDescent="0.25">
      <c r="A33" s="74">
        <v>45013</v>
      </c>
      <c r="B33" s="75">
        <f>ROUND(Summary!$G$10/31,2)</f>
        <v>69308.88</v>
      </c>
      <c r="C33" s="75">
        <v>12</v>
      </c>
      <c r="D33" s="75">
        <v>13</v>
      </c>
      <c r="E33" s="75">
        <f t="shared" si="7"/>
        <v>12</v>
      </c>
      <c r="F33" s="75">
        <f t="shared" si="23"/>
        <v>41585.33</v>
      </c>
      <c r="G33" s="75">
        <f t="shared" si="8"/>
        <v>41585.33</v>
      </c>
      <c r="H33" s="75">
        <f t="shared" si="24"/>
        <v>27723.55</v>
      </c>
      <c r="I33" s="75">
        <f t="shared" si="10"/>
        <v>27723.55</v>
      </c>
      <c r="J33" s="79">
        <v>20</v>
      </c>
      <c r="K33" s="75">
        <f t="shared" si="11"/>
        <v>13861.78</v>
      </c>
      <c r="L33" s="75">
        <f t="shared" si="12"/>
        <v>0</v>
      </c>
      <c r="M33" s="79">
        <v>64</v>
      </c>
      <c r="N33" s="75">
        <f t="shared" si="13"/>
        <v>4158.53</v>
      </c>
      <c r="O33" s="75">
        <f t="shared" si="14"/>
        <v>0</v>
      </c>
      <c r="P33" s="79">
        <v>28</v>
      </c>
      <c r="Q33" s="75">
        <f t="shared" si="15"/>
        <v>6930.89</v>
      </c>
      <c r="R33" s="75">
        <f t="shared" si="16"/>
        <v>0</v>
      </c>
      <c r="S33" s="79">
        <v>426</v>
      </c>
      <c r="T33" s="75">
        <f t="shared" si="17"/>
        <v>2772.36</v>
      </c>
      <c r="U33" s="75">
        <f t="shared" si="18"/>
        <v>0</v>
      </c>
      <c r="V33" s="75">
        <f t="shared" si="19"/>
        <v>27723.56</v>
      </c>
      <c r="W33" s="75">
        <f t="shared" si="20"/>
        <v>0</v>
      </c>
    </row>
    <row r="34" spans="1:26" x14ac:dyDescent="0.25">
      <c r="A34" s="74">
        <v>45014</v>
      </c>
      <c r="B34" s="75">
        <f>ROUND(Summary!$G$10/31,2)</f>
        <v>69308.88</v>
      </c>
      <c r="C34" s="75">
        <v>12</v>
      </c>
      <c r="D34" s="75">
        <v>14.18</v>
      </c>
      <c r="E34" s="75">
        <f t="shared" si="7"/>
        <v>12</v>
      </c>
      <c r="F34" s="75">
        <f t="shared" si="23"/>
        <v>41585.33</v>
      </c>
      <c r="G34" s="75">
        <f t="shared" si="8"/>
        <v>41585.33</v>
      </c>
      <c r="H34" s="75">
        <f t="shared" si="24"/>
        <v>27723.55</v>
      </c>
      <c r="I34" s="75">
        <f t="shared" si="10"/>
        <v>27723.55</v>
      </c>
      <c r="J34" s="79">
        <v>22</v>
      </c>
      <c r="K34" s="75">
        <f t="shared" si="11"/>
        <v>13861.78</v>
      </c>
      <c r="L34" s="75">
        <f t="shared" si="12"/>
        <v>0</v>
      </c>
      <c r="M34" s="79">
        <v>72</v>
      </c>
      <c r="N34" s="75">
        <f t="shared" si="13"/>
        <v>4158.53</v>
      </c>
      <c r="O34" s="75">
        <f t="shared" si="14"/>
        <v>0</v>
      </c>
      <c r="P34" s="79">
        <v>36</v>
      </c>
      <c r="Q34" s="75">
        <f t="shared" si="15"/>
        <v>6930.89</v>
      </c>
      <c r="R34" s="75">
        <f t="shared" si="16"/>
        <v>0</v>
      </c>
      <c r="S34" s="79">
        <v>348</v>
      </c>
      <c r="T34" s="75">
        <f t="shared" si="17"/>
        <v>2772.36</v>
      </c>
      <c r="U34" s="75">
        <f t="shared" si="18"/>
        <v>0</v>
      </c>
      <c r="V34" s="75">
        <f t="shared" si="19"/>
        <v>27723.56</v>
      </c>
      <c r="W34" s="75">
        <f t="shared" si="20"/>
        <v>0</v>
      </c>
    </row>
    <row r="35" spans="1:26" x14ac:dyDescent="0.25">
      <c r="A35" s="74">
        <v>45015</v>
      </c>
      <c r="B35" s="75">
        <f>ROUND(Summary!$G$10/31,2)</f>
        <v>69308.88</v>
      </c>
      <c r="C35" s="75">
        <v>12</v>
      </c>
      <c r="D35" s="75">
        <v>13</v>
      </c>
      <c r="E35" s="75">
        <f t="shared" si="7"/>
        <v>12</v>
      </c>
      <c r="F35" s="75">
        <f t="shared" si="23"/>
        <v>41585.33</v>
      </c>
      <c r="G35" s="75">
        <f t="shared" si="8"/>
        <v>41585.33</v>
      </c>
      <c r="H35" s="75">
        <f t="shared" si="24"/>
        <v>27723.55</v>
      </c>
      <c r="I35" s="75">
        <f t="shared" si="10"/>
        <v>27723.55</v>
      </c>
      <c r="J35" s="79">
        <v>20</v>
      </c>
      <c r="K35" s="75">
        <f t="shared" si="11"/>
        <v>13861.78</v>
      </c>
      <c r="L35" s="75">
        <f t="shared" si="12"/>
        <v>0</v>
      </c>
      <c r="M35" s="79">
        <v>64</v>
      </c>
      <c r="N35" s="75">
        <f t="shared" si="13"/>
        <v>4158.53</v>
      </c>
      <c r="O35" s="75">
        <f t="shared" si="14"/>
        <v>0</v>
      </c>
      <c r="P35" s="79">
        <v>33</v>
      </c>
      <c r="Q35" s="75">
        <f t="shared" si="15"/>
        <v>6930.89</v>
      </c>
      <c r="R35" s="75">
        <f t="shared" si="16"/>
        <v>0</v>
      </c>
      <c r="S35" s="79">
        <v>540</v>
      </c>
      <c r="T35" s="75">
        <f t="shared" si="17"/>
        <v>2772.36</v>
      </c>
      <c r="U35" s="75">
        <f t="shared" si="18"/>
        <v>0</v>
      </c>
      <c r="V35" s="75">
        <f t="shared" si="19"/>
        <v>27723.56</v>
      </c>
      <c r="W35" s="75">
        <f t="shared" si="20"/>
        <v>0</v>
      </c>
    </row>
    <row r="36" spans="1:26" x14ac:dyDescent="0.25">
      <c r="A36" s="74">
        <v>45016</v>
      </c>
      <c r="B36" s="75">
        <f>ROUND(Summary!$G$10/31,2)</f>
        <v>69308.88</v>
      </c>
      <c r="C36" s="75">
        <v>12</v>
      </c>
      <c r="D36" s="75">
        <v>14.81</v>
      </c>
      <c r="E36" s="75">
        <f t="shared" si="7"/>
        <v>12</v>
      </c>
      <c r="F36" s="75">
        <f t="shared" si="23"/>
        <v>41585.33</v>
      </c>
      <c r="G36" s="75">
        <f t="shared" si="8"/>
        <v>41585.33</v>
      </c>
      <c r="H36" s="75">
        <f t="shared" si="24"/>
        <v>27723.55</v>
      </c>
      <c r="I36" s="75">
        <f t="shared" si="10"/>
        <v>27723.55</v>
      </c>
      <c r="J36" s="79">
        <v>21</v>
      </c>
      <c r="K36" s="75">
        <f t="shared" si="11"/>
        <v>13861.78</v>
      </c>
      <c r="L36" s="75">
        <f t="shared" si="12"/>
        <v>0</v>
      </c>
      <c r="M36" s="79">
        <v>72</v>
      </c>
      <c r="N36" s="75">
        <f t="shared" si="13"/>
        <v>4158.53</v>
      </c>
      <c r="O36" s="75">
        <f t="shared" si="14"/>
        <v>0</v>
      </c>
      <c r="P36" s="79">
        <v>25</v>
      </c>
      <c r="Q36" s="75">
        <f t="shared" si="15"/>
        <v>6930.89</v>
      </c>
      <c r="R36" s="75">
        <f t="shared" si="16"/>
        <v>0</v>
      </c>
      <c r="S36" s="79">
        <v>426</v>
      </c>
      <c r="T36" s="75">
        <f t="shared" si="17"/>
        <v>2772.36</v>
      </c>
      <c r="U36" s="75">
        <f t="shared" si="18"/>
        <v>0</v>
      </c>
      <c r="V36" s="75">
        <f t="shared" si="19"/>
        <v>27723.56</v>
      </c>
      <c r="W36" s="75">
        <f t="shared" si="20"/>
        <v>0</v>
      </c>
    </row>
    <row r="37" spans="1:26" x14ac:dyDescent="0.25">
      <c r="A37" s="69" t="s">
        <v>25</v>
      </c>
      <c r="B37" s="81">
        <f>SUM(B6:B36)</f>
        <v>2148575.2799999998</v>
      </c>
      <c r="C37" s="81"/>
      <c r="D37" s="81"/>
      <c r="E37" s="81"/>
      <c r="F37" s="81">
        <f>SUM(F6:F36)</f>
        <v>1289145.23</v>
      </c>
      <c r="G37" s="81">
        <f>SUM(G6:G36)</f>
        <v>1289145.23</v>
      </c>
      <c r="H37" s="81">
        <f>SUM(H6:H36)</f>
        <v>859430.05</v>
      </c>
      <c r="I37" s="81">
        <f>SUM(I6:I36)</f>
        <v>859430.05</v>
      </c>
      <c r="J37" s="81"/>
      <c r="K37" s="81">
        <f>SUM(K6:K36)</f>
        <v>429715.18</v>
      </c>
      <c r="L37" s="81">
        <f>SUM(L6:L36)</f>
        <v>0</v>
      </c>
      <c r="M37" s="81"/>
      <c r="N37" s="81">
        <f>SUM(N6:N36)</f>
        <v>128914.43</v>
      </c>
      <c r="O37" s="81">
        <f>SUM(O6:O36)</f>
        <v>0</v>
      </c>
      <c r="P37" s="81"/>
      <c r="Q37" s="81">
        <f>SUM(Q6:Q36)</f>
        <v>214857.59</v>
      </c>
      <c r="R37" s="81">
        <f>SUM(R6:R36)</f>
        <v>0</v>
      </c>
      <c r="S37" s="81"/>
      <c r="T37" s="81">
        <f>SUM(T6:T36)</f>
        <v>77626.080000000002</v>
      </c>
      <c r="U37" s="81">
        <f>SUM(U6:U36)</f>
        <v>30000</v>
      </c>
      <c r="V37" s="81">
        <f>SUM(V6:V36)</f>
        <v>851113.28</v>
      </c>
      <c r="W37" s="81">
        <f>SUM(W6:W36)</f>
        <v>30000</v>
      </c>
    </row>
    <row r="38" spans="1:26" x14ac:dyDescent="0.25">
      <c r="A38" s="79"/>
      <c r="B38" s="69" t="s">
        <v>65</v>
      </c>
      <c r="C38" s="69"/>
      <c r="D38" s="69"/>
      <c r="E38" s="69"/>
      <c r="F38" s="69"/>
      <c r="G38" s="69"/>
      <c r="H38" s="69"/>
      <c r="I38" s="69"/>
      <c r="J38" s="69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>
        <f>V37+G37</f>
        <v>2140258.5099999998</v>
      </c>
      <c r="W38" s="81"/>
    </row>
    <row r="40" spans="1:26" x14ac:dyDescent="0.25">
      <c r="B40" s="84">
        <f>B37*1.05</f>
        <v>2256004.0440000002</v>
      </c>
      <c r="C40" s="84">
        <f t="shared" ref="C40:V40" si="25">C37*1.05</f>
        <v>0</v>
      </c>
      <c r="D40" s="84">
        <f t="shared" si="25"/>
        <v>0</v>
      </c>
      <c r="E40" s="84">
        <f t="shared" si="25"/>
        <v>0</v>
      </c>
      <c r="F40" s="84">
        <f t="shared" si="25"/>
        <v>1353602.4915</v>
      </c>
      <c r="G40" s="84">
        <f t="shared" si="25"/>
        <v>1353602.4915</v>
      </c>
      <c r="H40" s="84">
        <f t="shared" si="25"/>
        <v>902401.55249999999</v>
      </c>
      <c r="I40" s="84">
        <f t="shared" si="25"/>
        <v>902401.55249999999</v>
      </c>
      <c r="J40" s="84">
        <f t="shared" si="25"/>
        <v>0</v>
      </c>
      <c r="K40" s="84">
        <f t="shared" si="25"/>
        <v>451200.93900000001</v>
      </c>
      <c r="L40" s="84">
        <f t="shared" si="25"/>
        <v>0</v>
      </c>
      <c r="M40" s="84">
        <f t="shared" si="25"/>
        <v>0</v>
      </c>
      <c r="N40" s="84">
        <f t="shared" si="25"/>
        <v>135360.15150000001</v>
      </c>
      <c r="O40" s="84">
        <f t="shared" si="25"/>
        <v>0</v>
      </c>
      <c r="P40" s="84">
        <f t="shared" si="25"/>
        <v>0</v>
      </c>
      <c r="Q40" s="84">
        <f t="shared" si="25"/>
        <v>225600.46950000001</v>
      </c>
      <c r="R40" s="84">
        <f t="shared" si="25"/>
        <v>0</v>
      </c>
      <c r="S40" s="84">
        <f t="shared" si="25"/>
        <v>0</v>
      </c>
      <c r="T40" s="84">
        <f t="shared" si="25"/>
        <v>81507.384000000005</v>
      </c>
      <c r="U40" s="84">
        <f t="shared" si="25"/>
        <v>31500</v>
      </c>
      <c r="V40" s="84">
        <f t="shared" si="25"/>
        <v>893668.94400000002</v>
      </c>
      <c r="W40" s="84"/>
      <c r="Z40" s="96">
        <f>31*10000</f>
        <v>310000</v>
      </c>
    </row>
    <row r="41" spans="1:26" x14ac:dyDescent="0.25">
      <c r="B41" s="84">
        <f>B40*1.05</f>
        <v>2368804.2461999999</v>
      </c>
      <c r="C41" s="84">
        <f t="shared" ref="C41:V41" si="26">C40*1.05</f>
        <v>0</v>
      </c>
      <c r="D41" s="84">
        <f t="shared" si="26"/>
        <v>0</v>
      </c>
      <c r="E41" s="84">
        <f t="shared" si="26"/>
        <v>0</v>
      </c>
      <c r="F41" s="84">
        <f t="shared" si="26"/>
        <v>1421282.616075</v>
      </c>
      <c r="G41" s="84">
        <f t="shared" si="26"/>
        <v>1421282.616075</v>
      </c>
      <c r="H41" s="84">
        <f t="shared" si="26"/>
        <v>947521.63012500003</v>
      </c>
      <c r="I41" s="84">
        <f t="shared" si="26"/>
        <v>947521.63012500003</v>
      </c>
      <c r="J41" s="84">
        <f t="shared" si="26"/>
        <v>0</v>
      </c>
      <c r="K41" s="84">
        <f t="shared" si="26"/>
        <v>473760.98595</v>
      </c>
      <c r="L41" s="84">
        <f t="shared" si="26"/>
        <v>0</v>
      </c>
      <c r="M41" s="84">
        <f t="shared" si="26"/>
        <v>0</v>
      </c>
      <c r="N41" s="84">
        <f t="shared" si="26"/>
        <v>142128.159075</v>
      </c>
      <c r="O41" s="84">
        <f t="shared" si="26"/>
        <v>0</v>
      </c>
      <c r="P41" s="84">
        <f t="shared" si="26"/>
        <v>0</v>
      </c>
      <c r="Q41" s="84">
        <f t="shared" si="26"/>
        <v>236880.492975</v>
      </c>
      <c r="R41" s="84">
        <f t="shared" si="26"/>
        <v>0</v>
      </c>
      <c r="S41" s="84">
        <f t="shared" si="26"/>
        <v>0</v>
      </c>
      <c r="T41" s="84">
        <f t="shared" si="26"/>
        <v>85582.753200000006</v>
      </c>
      <c r="U41" s="84">
        <f t="shared" si="26"/>
        <v>33075</v>
      </c>
      <c r="V41" s="84">
        <f t="shared" si="26"/>
        <v>938352.39119999995</v>
      </c>
      <c r="W41" s="84"/>
    </row>
    <row r="42" spans="1:26" x14ac:dyDescent="0.25">
      <c r="G42" s="97"/>
      <c r="V42" s="84">
        <f>V38*1.05</f>
        <v>2247271.4355000001</v>
      </c>
    </row>
    <row r="43" spans="1:26" x14ac:dyDescent="0.25">
      <c r="V43" s="84">
        <f>V42*1.05</f>
        <v>2359635.0072750002</v>
      </c>
    </row>
  </sheetData>
  <mergeCells count="19">
    <mergeCell ref="M4:O4"/>
    <mergeCell ref="P4:R4"/>
    <mergeCell ref="S4:U4"/>
    <mergeCell ref="W4:W5"/>
    <mergeCell ref="H3:W3"/>
    <mergeCell ref="D4:D5"/>
    <mergeCell ref="V4:V5"/>
    <mergeCell ref="A1:V1"/>
    <mergeCell ref="F3:G3"/>
    <mergeCell ref="B4:B5"/>
    <mergeCell ref="A4:A5"/>
    <mergeCell ref="F4:F5"/>
    <mergeCell ref="G4:G5"/>
    <mergeCell ref="I4:I5"/>
    <mergeCell ref="C3:D3"/>
    <mergeCell ref="C4:C5"/>
    <mergeCell ref="H4:H5"/>
    <mergeCell ref="E4:E5"/>
    <mergeCell ref="J4:L4"/>
  </mergeCells>
  <conditionalFormatting sqref="E6:E36">
    <cfRule type="cellIs" dxfId="0" priority="1" operator="greaterThan">
      <formula>12</formula>
    </cfRule>
  </conditionalFormatting>
  <pageMargins left="0.25" right="0.25" top="0.75" bottom="0.75" header="0.3" footer="0.3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0256-C923-430B-AAFB-989D9A3FC672}">
  <dimension ref="A2:J11"/>
  <sheetViews>
    <sheetView workbookViewId="0">
      <selection activeCell="I6" sqref="I6"/>
    </sheetView>
  </sheetViews>
  <sheetFormatPr defaultRowHeight="15" x14ac:dyDescent="0.25"/>
  <cols>
    <col min="2" max="2" width="24.140625" customWidth="1"/>
    <col min="3" max="3" width="19.7109375" customWidth="1"/>
    <col min="4" max="4" width="18.140625" customWidth="1"/>
    <col min="5" max="5" width="10.85546875" bestFit="1" customWidth="1"/>
    <col min="6" max="6" width="16" bestFit="1" customWidth="1"/>
    <col min="10" max="10" width="14.85546875" bestFit="1" customWidth="1"/>
  </cols>
  <sheetData>
    <row r="2" spans="1:10" ht="47.25" x14ac:dyDescent="0.25">
      <c r="A2" s="134" t="s">
        <v>73</v>
      </c>
      <c r="B2" s="45" t="s">
        <v>74</v>
      </c>
      <c r="C2" s="46" t="s">
        <v>76</v>
      </c>
      <c r="D2" s="135" t="s">
        <v>78</v>
      </c>
      <c r="E2" s="60"/>
    </row>
    <row r="3" spans="1:10" ht="18.75" x14ac:dyDescent="0.25">
      <c r="A3" s="134"/>
      <c r="B3" s="45" t="s">
        <v>75</v>
      </c>
      <c r="C3" s="47" t="s">
        <v>77</v>
      </c>
      <c r="D3" s="135"/>
      <c r="E3" s="60"/>
    </row>
    <row r="4" spans="1:10" ht="56.25" x14ac:dyDescent="0.25">
      <c r="A4" s="46">
        <v>1</v>
      </c>
      <c r="B4" s="48" t="s">
        <v>79</v>
      </c>
      <c r="C4" s="51">
        <f>[1]Summary!$N$26</f>
        <v>560628.69999999995</v>
      </c>
      <c r="D4" s="53">
        <f>Summary!K25</f>
        <v>8713826</v>
      </c>
      <c r="E4" s="53">
        <f>[2]Gorakhpur!$E$5</f>
        <v>7427357.25</v>
      </c>
      <c r="F4" s="58">
        <f>C4+D4+E4</f>
        <v>16701811.949999999</v>
      </c>
    </row>
    <row r="5" spans="1:10" ht="18.75" x14ac:dyDescent="0.25">
      <c r="A5" s="46">
        <v>2</v>
      </c>
      <c r="B5" s="48" t="s">
        <v>80</v>
      </c>
      <c r="C5" s="49">
        <f>C4*0.18</f>
        <v>100913.166</v>
      </c>
      <c r="D5" s="54">
        <f>D4*0.18</f>
        <v>1568488.68</v>
      </c>
      <c r="E5" s="53">
        <f>E4*0.18</f>
        <v>1336924.31</v>
      </c>
      <c r="F5" s="58">
        <f>+F4*0.18</f>
        <v>3006326.15</v>
      </c>
    </row>
    <row r="6" spans="1:10" ht="34.5" x14ac:dyDescent="0.25">
      <c r="A6" s="46">
        <v>3</v>
      </c>
      <c r="B6" s="48" t="s">
        <v>81</v>
      </c>
      <c r="C6" s="49">
        <v>0</v>
      </c>
      <c r="D6" s="55">
        <f>Summary!K28</f>
        <v>58526</v>
      </c>
      <c r="E6" s="55">
        <f>[2]Gorakhpur!$E$8</f>
        <v>95322</v>
      </c>
      <c r="F6" s="58">
        <f t="shared" ref="F6" si="0">SUM(C6:E6)</f>
        <v>153848</v>
      </c>
    </row>
    <row r="7" spans="1:10" ht="56.25" x14ac:dyDescent="0.25">
      <c r="A7" s="46">
        <v>4</v>
      </c>
      <c r="B7" s="48" t="s">
        <v>82</v>
      </c>
      <c r="C7" s="49">
        <f>+C4*0.1</f>
        <v>56062.87</v>
      </c>
      <c r="D7" s="54">
        <f>+D4*0.1</f>
        <v>871382.6</v>
      </c>
      <c r="E7" s="54">
        <f>+E4*0.1</f>
        <v>742735.72499999998</v>
      </c>
      <c r="F7" s="58">
        <f>+F4*0.1</f>
        <v>1670181.2</v>
      </c>
    </row>
    <row r="8" spans="1:10" ht="18.75" x14ac:dyDescent="0.25">
      <c r="A8" s="46">
        <v>5</v>
      </c>
      <c r="B8" s="50" t="s">
        <v>83</v>
      </c>
      <c r="C8" s="52">
        <v>3986692.95</v>
      </c>
      <c r="D8" s="56">
        <f>SUM(D4:D7)</f>
        <v>11212223.279999999</v>
      </c>
      <c r="E8" s="56">
        <f>SUM(E4:E7)</f>
        <v>9602339.2899999991</v>
      </c>
      <c r="F8" s="59">
        <f>+F4+F7+F6+F5</f>
        <v>21532167.300000001</v>
      </c>
    </row>
    <row r="9" spans="1:10" ht="56.25" x14ac:dyDescent="0.25">
      <c r="A9" s="46">
        <v>6</v>
      </c>
      <c r="B9" s="48" t="s">
        <v>84</v>
      </c>
      <c r="C9" s="136">
        <f>F8</f>
        <v>21532167.300000001</v>
      </c>
      <c r="D9" s="137"/>
      <c r="E9" s="61"/>
      <c r="J9" s="57">
        <v>31859828.789999999</v>
      </c>
    </row>
    <row r="10" spans="1:10" ht="56.25" x14ac:dyDescent="0.25">
      <c r="A10" s="46">
        <v>7</v>
      </c>
      <c r="B10" s="48" t="s">
        <v>85</v>
      </c>
      <c r="C10" s="138">
        <f>'[3]Escrow Acoount Amount'!$L$58</f>
        <v>11825201.800000001</v>
      </c>
      <c r="D10" s="138"/>
      <c r="E10" s="62"/>
      <c r="J10" s="57">
        <v>56901832</v>
      </c>
    </row>
    <row r="11" spans="1:10" x14ac:dyDescent="0.25">
      <c r="J11" s="57">
        <f>J10+J9</f>
        <v>88761660.790000007</v>
      </c>
    </row>
  </sheetData>
  <mergeCells count="4">
    <mergeCell ref="A2:A3"/>
    <mergeCell ref="D2:D3"/>
    <mergeCell ref="C9:D9"/>
    <mergeCell ref="C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30 MLD</vt:lpstr>
      <vt:lpstr>15 MLD</vt:lpstr>
      <vt:lpstr>12 MLD</vt:lpstr>
      <vt:lpstr>Sheet1</vt:lpstr>
      <vt:lpstr>'12 MLD'!Print_Area</vt:lpstr>
      <vt:lpstr>'15 MLD'!Print_Area</vt:lpstr>
      <vt:lpstr>'30 MLD'!Print_Area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Jalnigam</cp:lastModifiedBy>
  <cp:lastPrinted>2023-04-17T12:18:39Z</cp:lastPrinted>
  <dcterms:created xsi:type="dcterms:W3CDTF">2020-05-29T08:02:13Z</dcterms:created>
  <dcterms:modified xsi:type="dcterms:W3CDTF">2023-06-17T10:53:21Z</dcterms:modified>
</cp:coreProperties>
</file>