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OCOP\upcoming meeting\apr 23\to be checked\"/>
    </mc:Choice>
  </mc:AlternateContent>
  <xr:revisionPtr revIDLastSave="0" documentId="13_ncr:1_{9994FD90-BE2F-4793-9B02-FB66617EA55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mmary" sheetId="1" r:id="rId1"/>
    <sheet name="345 MLD" sheetId="12" r:id="rId2"/>
    <sheet name="42 MLd" sheetId="14" r:id="rId3"/>
    <sheet name="14 MLD" sheetId="15" r:id="rId4"/>
    <sheet name="Sheet1" sheetId="16" r:id="rId5"/>
  </sheets>
  <externalReferences>
    <externalReference r:id="rId6"/>
    <externalReference r:id="rId7"/>
  </externalReferences>
  <definedNames>
    <definedName name="_Hlk111731114" localSheetId="4">Sheet1!$B$6</definedName>
    <definedName name="_xlnm.Print_Area" localSheetId="3">'14 MLD'!$A$1:$X$38</definedName>
    <definedName name="_xlnm.Print_Area" localSheetId="1">'345 MLD'!$A$1:$Y$38</definedName>
    <definedName name="_xlnm.Print_Area" localSheetId="2">'42 MLd'!$A$1:$X$38</definedName>
    <definedName name="_xlnm.Print_Area" localSheetId="0">Summary!$A$1:$K$29</definedName>
  </definedNames>
  <calcPr calcId="191029" fullPrecision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7" i="15" l="1"/>
  <c r="W7" i="15"/>
  <c r="V8" i="15"/>
  <c r="W8" i="15"/>
  <c r="V9" i="15"/>
  <c r="W9" i="15"/>
  <c r="V10" i="15"/>
  <c r="W10" i="15"/>
  <c r="V11" i="15"/>
  <c r="W11" i="15"/>
  <c r="V12" i="15"/>
  <c r="W12" i="15"/>
  <c r="V13" i="15"/>
  <c r="W13" i="15"/>
  <c r="V14" i="15"/>
  <c r="W14" i="15"/>
  <c r="V15" i="15"/>
  <c r="W15" i="15"/>
  <c r="V16" i="15"/>
  <c r="W16" i="15"/>
  <c r="V17" i="15"/>
  <c r="W17" i="15"/>
  <c r="V18" i="15"/>
  <c r="W18" i="15"/>
  <c r="V19" i="15"/>
  <c r="W19" i="15"/>
  <c r="V20" i="15"/>
  <c r="W20" i="15"/>
  <c r="V21" i="15"/>
  <c r="W21" i="15"/>
  <c r="V22" i="15"/>
  <c r="W22" i="15"/>
  <c r="V23" i="15"/>
  <c r="W23" i="15"/>
  <c r="V24" i="15"/>
  <c r="W24" i="15"/>
  <c r="V25" i="15"/>
  <c r="W25" i="15"/>
  <c r="V26" i="15"/>
  <c r="W26" i="15"/>
  <c r="V27" i="15"/>
  <c r="W27" i="15"/>
  <c r="V28" i="15"/>
  <c r="W28" i="15"/>
  <c r="V29" i="15"/>
  <c r="W29" i="15"/>
  <c r="V30" i="15"/>
  <c r="W30" i="15"/>
  <c r="V31" i="15"/>
  <c r="W31" i="15"/>
  <c r="V32" i="15"/>
  <c r="W32" i="15"/>
  <c r="V33" i="15"/>
  <c r="W33" i="15"/>
  <c r="V34" i="15"/>
  <c r="W34" i="15"/>
  <c r="V35" i="15"/>
  <c r="W35" i="15"/>
  <c r="V36" i="15"/>
  <c r="W36" i="15"/>
  <c r="W6" i="15"/>
  <c r="V6" i="15"/>
  <c r="T7" i="15"/>
  <c r="U7" i="15"/>
  <c r="T8" i="15"/>
  <c r="U8" i="15"/>
  <c r="T9" i="15"/>
  <c r="U9" i="15"/>
  <c r="T10" i="15"/>
  <c r="U10" i="15"/>
  <c r="T11" i="15"/>
  <c r="U11" i="15"/>
  <c r="T12" i="15"/>
  <c r="U12" i="15"/>
  <c r="T13" i="15"/>
  <c r="U13" i="15"/>
  <c r="T14" i="15"/>
  <c r="U14" i="15"/>
  <c r="T15" i="15"/>
  <c r="U15" i="15"/>
  <c r="T16" i="15"/>
  <c r="U16" i="15"/>
  <c r="T17" i="15"/>
  <c r="U17" i="15"/>
  <c r="T18" i="15"/>
  <c r="U18" i="15"/>
  <c r="T19" i="15"/>
  <c r="U19" i="15"/>
  <c r="T20" i="15"/>
  <c r="U20" i="15"/>
  <c r="T21" i="15"/>
  <c r="U21" i="15"/>
  <c r="T22" i="15"/>
  <c r="U22" i="15"/>
  <c r="T23" i="15"/>
  <c r="U23" i="15"/>
  <c r="T24" i="15"/>
  <c r="U24" i="15"/>
  <c r="T25" i="15"/>
  <c r="U25" i="15"/>
  <c r="T26" i="15"/>
  <c r="U26" i="15"/>
  <c r="T27" i="15"/>
  <c r="U27" i="15"/>
  <c r="T28" i="15"/>
  <c r="U28" i="15"/>
  <c r="T29" i="15"/>
  <c r="U29" i="15"/>
  <c r="T30" i="15"/>
  <c r="U30" i="15"/>
  <c r="T31" i="15"/>
  <c r="U31" i="15"/>
  <c r="T32" i="15"/>
  <c r="U32" i="15"/>
  <c r="T33" i="15"/>
  <c r="U33" i="15"/>
  <c r="T34" i="15"/>
  <c r="U34" i="15"/>
  <c r="T35" i="15"/>
  <c r="U35" i="15"/>
  <c r="T36" i="15"/>
  <c r="U36" i="15"/>
  <c r="Q7" i="15"/>
  <c r="R7" i="15"/>
  <c r="Q8" i="15"/>
  <c r="R8" i="15"/>
  <c r="Q9" i="15"/>
  <c r="R9" i="15"/>
  <c r="Q10" i="15"/>
  <c r="R10" i="15"/>
  <c r="Q11" i="15"/>
  <c r="R11" i="15"/>
  <c r="Q12" i="15"/>
  <c r="R12" i="15"/>
  <c r="Q13" i="15"/>
  <c r="R13" i="15"/>
  <c r="Q14" i="15"/>
  <c r="R14" i="15"/>
  <c r="Q15" i="15"/>
  <c r="R15" i="15"/>
  <c r="Q16" i="15"/>
  <c r="R16" i="15"/>
  <c r="Q17" i="15"/>
  <c r="R17" i="15"/>
  <c r="Q18" i="15"/>
  <c r="R18" i="15"/>
  <c r="Q19" i="15"/>
  <c r="R19" i="15"/>
  <c r="Q20" i="15"/>
  <c r="R20" i="15"/>
  <c r="Q21" i="15"/>
  <c r="R21" i="15"/>
  <c r="Q22" i="15"/>
  <c r="R22" i="15"/>
  <c r="Q23" i="15"/>
  <c r="R23" i="15"/>
  <c r="Q24" i="15"/>
  <c r="R24" i="15"/>
  <c r="Q25" i="15"/>
  <c r="R25" i="15"/>
  <c r="Q26" i="15"/>
  <c r="R26" i="15"/>
  <c r="Q27" i="15"/>
  <c r="R27" i="15"/>
  <c r="Q28" i="15"/>
  <c r="R28" i="15"/>
  <c r="Q29" i="15"/>
  <c r="R29" i="15"/>
  <c r="Q30" i="15"/>
  <c r="R30" i="15"/>
  <c r="Q31" i="15"/>
  <c r="R31" i="15"/>
  <c r="Q32" i="15"/>
  <c r="R32" i="15"/>
  <c r="Q33" i="15"/>
  <c r="R33" i="15"/>
  <c r="Q34" i="15"/>
  <c r="R34" i="15"/>
  <c r="Q35" i="15"/>
  <c r="R35" i="15"/>
  <c r="Q36" i="15"/>
  <c r="R36" i="15"/>
  <c r="N7" i="15"/>
  <c r="O7" i="15"/>
  <c r="N8" i="15"/>
  <c r="O8" i="15"/>
  <c r="N9" i="15"/>
  <c r="O9" i="15"/>
  <c r="N10" i="15"/>
  <c r="O10" i="15"/>
  <c r="N11" i="15"/>
  <c r="O11" i="15"/>
  <c r="N12" i="15"/>
  <c r="O12" i="15"/>
  <c r="N13" i="15"/>
  <c r="O13" i="15"/>
  <c r="N14" i="15"/>
  <c r="O14" i="15"/>
  <c r="N15" i="15"/>
  <c r="O15" i="15"/>
  <c r="N16" i="15"/>
  <c r="O16" i="15"/>
  <c r="N17" i="15"/>
  <c r="O17" i="15"/>
  <c r="N18" i="15"/>
  <c r="O18" i="15"/>
  <c r="N19" i="15"/>
  <c r="O19" i="15"/>
  <c r="N20" i="15"/>
  <c r="O20" i="15"/>
  <c r="N21" i="15"/>
  <c r="O21" i="15"/>
  <c r="N22" i="15"/>
  <c r="O22" i="15"/>
  <c r="N23" i="15"/>
  <c r="O23" i="15"/>
  <c r="N24" i="15"/>
  <c r="O24" i="15"/>
  <c r="N25" i="15"/>
  <c r="O25" i="15"/>
  <c r="N26" i="15"/>
  <c r="O26" i="15"/>
  <c r="N27" i="15"/>
  <c r="O27" i="15"/>
  <c r="N28" i="15"/>
  <c r="O28" i="15"/>
  <c r="N29" i="15"/>
  <c r="O29" i="15"/>
  <c r="N30" i="15"/>
  <c r="O30" i="15"/>
  <c r="N31" i="15"/>
  <c r="O31" i="15"/>
  <c r="N32" i="15"/>
  <c r="O32" i="15"/>
  <c r="N33" i="15"/>
  <c r="O33" i="15"/>
  <c r="N34" i="15"/>
  <c r="O34" i="15"/>
  <c r="N35" i="15"/>
  <c r="O35" i="15"/>
  <c r="N36" i="15"/>
  <c r="O36" i="15"/>
  <c r="K7" i="15"/>
  <c r="L7" i="15"/>
  <c r="K8" i="15"/>
  <c r="L8" i="15"/>
  <c r="K9" i="15"/>
  <c r="L9" i="15"/>
  <c r="K10" i="15"/>
  <c r="L10" i="15"/>
  <c r="K11" i="15"/>
  <c r="L11" i="15"/>
  <c r="K12" i="15"/>
  <c r="L12" i="15"/>
  <c r="K13" i="15"/>
  <c r="L13" i="15"/>
  <c r="K14" i="15"/>
  <c r="L14" i="15"/>
  <c r="K15" i="15"/>
  <c r="L15" i="15"/>
  <c r="K16" i="15"/>
  <c r="L16" i="15"/>
  <c r="K17" i="15"/>
  <c r="L17" i="15"/>
  <c r="K18" i="15"/>
  <c r="L18" i="15"/>
  <c r="K19" i="15"/>
  <c r="L19" i="15"/>
  <c r="K20" i="15"/>
  <c r="L20" i="15"/>
  <c r="K21" i="15"/>
  <c r="L21" i="15"/>
  <c r="K22" i="15"/>
  <c r="L22" i="15"/>
  <c r="K23" i="15"/>
  <c r="L23" i="15"/>
  <c r="K24" i="15"/>
  <c r="L24" i="15"/>
  <c r="K25" i="15"/>
  <c r="L25" i="15"/>
  <c r="K26" i="15"/>
  <c r="L26" i="15"/>
  <c r="K27" i="15"/>
  <c r="L27" i="15"/>
  <c r="K28" i="15"/>
  <c r="L28" i="15"/>
  <c r="K29" i="15"/>
  <c r="L29" i="15"/>
  <c r="K30" i="15"/>
  <c r="L30" i="15"/>
  <c r="K31" i="15"/>
  <c r="L31" i="15"/>
  <c r="K32" i="15"/>
  <c r="L32" i="15"/>
  <c r="K33" i="15"/>
  <c r="L33" i="15"/>
  <c r="K34" i="15"/>
  <c r="L34" i="15"/>
  <c r="K35" i="15"/>
  <c r="L35" i="15"/>
  <c r="K36" i="15"/>
  <c r="L3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G7" i="15"/>
  <c r="G8" i="15"/>
  <c r="G9" i="15"/>
  <c r="G10" i="15"/>
  <c r="G11" i="15"/>
  <c r="G12" i="15"/>
  <c r="G13" i="15"/>
  <c r="G14" i="15"/>
  <c r="G15" i="15"/>
  <c r="G16" i="15"/>
  <c r="G17" i="15"/>
  <c r="G18" i="15"/>
  <c r="G19" i="15"/>
  <c r="G20" i="15"/>
  <c r="G21" i="15"/>
  <c r="G22" i="15"/>
  <c r="G23" i="15"/>
  <c r="G24" i="15"/>
  <c r="G25" i="15"/>
  <c r="G26" i="15"/>
  <c r="G27" i="15"/>
  <c r="G28" i="15"/>
  <c r="G29" i="15"/>
  <c r="G30" i="15"/>
  <c r="G31" i="15"/>
  <c r="G32" i="15"/>
  <c r="G33" i="15"/>
  <c r="G34" i="15"/>
  <c r="G35" i="15"/>
  <c r="G3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V7" i="14"/>
  <c r="W7" i="14"/>
  <c r="V8" i="14"/>
  <c r="W8" i="14"/>
  <c r="V9" i="14"/>
  <c r="W9" i="14"/>
  <c r="V10" i="14"/>
  <c r="W10" i="14"/>
  <c r="V11" i="14"/>
  <c r="W11" i="14"/>
  <c r="V12" i="14"/>
  <c r="W12" i="14"/>
  <c r="V13" i="14"/>
  <c r="W13" i="14"/>
  <c r="V14" i="14"/>
  <c r="W14" i="14"/>
  <c r="V15" i="14"/>
  <c r="W15" i="14"/>
  <c r="V16" i="14"/>
  <c r="W16" i="14"/>
  <c r="V17" i="14"/>
  <c r="W17" i="14"/>
  <c r="V18" i="14"/>
  <c r="W18" i="14"/>
  <c r="V19" i="14"/>
  <c r="W19" i="14"/>
  <c r="V20" i="14"/>
  <c r="W20" i="14"/>
  <c r="V21" i="14"/>
  <c r="W21" i="14"/>
  <c r="V22" i="14"/>
  <c r="W22" i="14"/>
  <c r="V23" i="14"/>
  <c r="W23" i="14"/>
  <c r="V24" i="14"/>
  <c r="W24" i="14"/>
  <c r="V25" i="14"/>
  <c r="W25" i="14"/>
  <c r="V26" i="14"/>
  <c r="W26" i="14"/>
  <c r="V27" i="14"/>
  <c r="W27" i="14"/>
  <c r="V28" i="14"/>
  <c r="W28" i="14"/>
  <c r="V29" i="14"/>
  <c r="W29" i="14"/>
  <c r="V30" i="14"/>
  <c r="W30" i="14"/>
  <c r="V31" i="14"/>
  <c r="W31" i="14"/>
  <c r="V32" i="14"/>
  <c r="W32" i="14"/>
  <c r="V33" i="14"/>
  <c r="W33" i="14"/>
  <c r="V34" i="14"/>
  <c r="W34" i="14"/>
  <c r="V35" i="14"/>
  <c r="W35" i="14"/>
  <c r="V36" i="14"/>
  <c r="W36" i="14"/>
  <c r="T7" i="14"/>
  <c r="U7" i="14"/>
  <c r="T8" i="14"/>
  <c r="U8" i="14"/>
  <c r="T9" i="14"/>
  <c r="U9" i="14"/>
  <c r="T10" i="14"/>
  <c r="U10" i="14"/>
  <c r="T11" i="14"/>
  <c r="U11" i="14"/>
  <c r="T12" i="14"/>
  <c r="U12" i="14"/>
  <c r="T13" i="14"/>
  <c r="U13" i="14"/>
  <c r="T14" i="14"/>
  <c r="U14" i="14"/>
  <c r="T15" i="14"/>
  <c r="U15" i="14"/>
  <c r="T16" i="14"/>
  <c r="U16" i="14"/>
  <c r="T17" i="14"/>
  <c r="U17" i="14"/>
  <c r="T18" i="14"/>
  <c r="U18" i="14"/>
  <c r="T19" i="14"/>
  <c r="U19" i="14"/>
  <c r="T20" i="14"/>
  <c r="U20" i="14"/>
  <c r="T21" i="14"/>
  <c r="U21" i="14"/>
  <c r="T22" i="14"/>
  <c r="U22" i="14"/>
  <c r="T23" i="14"/>
  <c r="U23" i="14"/>
  <c r="T24" i="14"/>
  <c r="U24" i="14"/>
  <c r="T25" i="14"/>
  <c r="U25" i="14"/>
  <c r="T26" i="14"/>
  <c r="U26" i="14"/>
  <c r="T27" i="14"/>
  <c r="U27" i="14"/>
  <c r="T28" i="14"/>
  <c r="U28" i="14"/>
  <c r="T29" i="14"/>
  <c r="U29" i="14"/>
  <c r="T30" i="14"/>
  <c r="U30" i="14"/>
  <c r="T31" i="14"/>
  <c r="U31" i="14"/>
  <c r="T32" i="14"/>
  <c r="U32" i="14"/>
  <c r="T33" i="14"/>
  <c r="U33" i="14"/>
  <c r="T34" i="14"/>
  <c r="U34" i="14"/>
  <c r="T35" i="14"/>
  <c r="U35" i="14"/>
  <c r="T36" i="14"/>
  <c r="U36" i="14"/>
  <c r="Q7" i="14"/>
  <c r="R7" i="14"/>
  <c r="Q8" i="14"/>
  <c r="R8" i="14"/>
  <c r="Q9" i="14"/>
  <c r="R9" i="14"/>
  <c r="Q10" i="14"/>
  <c r="R10" i="14"/>
  <c r="Q11" i="14"/>
  <c r="R11" i="14"/>
  <c r="Q12" i="14"/>
  <c r="R12" i="14"/>
  <c r="Q13" i="14"/>
  <c r="R13" i="14"/>
  <c r="Q14" i="14"/>
  <c r="R14" i="14"/>
  <c r="Q15" i="14"/>
  <c r="R15" i="14"/>
  <c r="Q16" i="14"/>
  <c r="R16" i="14"/>
  <c r="Q17" i="14"/>
  <c r="R17" i="14"/>
  <c r="Q18" i="14"/>
  <c r="R18" i="14"/>
  <c r="Q19" i="14"/>
  <c r="R19" i="14"/>
  <c r="Q20" i="14"/>
  <c r="R20" i="14"/>
  <c r="Q21" i="14"/>
  <c r="R21" i="14"/>
  <c r="Q22" i="14"/>
  <c r="R22" i="14"/>
  <c r="Q23" i="14"/>
  <c r="R23" i="14"/>
  <c r="Q24" i="14"/>
  <c r="R24" i="14"/>
  <c r="Q25" i="14"/>
  <c r="R25" i="14"/>
  <c r="Q26" i="14"/>
  <c r="R26" i="14"/>
  <c r="Q27" i="14"/>
  <c r="R27" i="14"/>
  <c r="Q28" i="14"/>
  <c r="R28" i="14"/>
  <c r="Q29" i="14"/>
  <c r="R29" i="14"/>
  <c r="Q30" i="14"/>
  <c r="R30" i="14"/>
  <c r="Q31" i="14"/>
  <c r="R31" i="14"/>
  <c r="Q32" i="14"/>
  <c r="R32" i="14"/>
  <c r="Q33" i="14"/>
  <c r="R33" i="14"/>
  <c r="Q34" i="14"/>
  <c r="R34" i="14"/>
  <c r="Q35" i="14"/>
  <c r="R35" i="14"/>
  <c r="Q36" i="14"/>
  <c r="R36" i="14"/>
  <c r="N7" i="14"/>
  <c r="O7" i="14"/>
  <c r="N8" i="14"/>
  <c r="O8" i="14"/>
  <c r="N9" i="14"/>
  <c r="O9" i="14"/>
  <c r="N10" i="14"/>
  <c r="O10" i="14"/>
  <c r="N11" i="14"/>
  <c r="O11" i="14"/>
  <c r="N12" i="14"/>
  <c r="O12" i="14"/>
  <c r="N13" i="14"/>
  <c r="O13" i="14"/>
  <c r="N14" i="14"/>
  <c r="O14" i="14"/>
  <c r="N15" i="14"/>
  <c r="O15" i="14"/>
  <c r="N16" i="14"/>
  <c r="O16" i="14"/>
  <c r="N17" i="14"/>
  <c r="O17" i="14"/>
  <c r="N18" i="14"/>
  <c r="O18" i="14"/>
  <c r="N19" i="14"/>
  <c r="O19" i="14"/>
  <c r="N20" i="14"/>
  <c r="O20" i="14"/>
  <c r="N21" i="14"/>
  <c r="O21" i="14"/>
  <c r="N22" i="14"/>
  <c r="O22" i="14"/>
  <c r="N23" i="14"/>
  <c r="O23" i="14"/>
  <c r="N24" i="14"/>
  <c r="O24" i="14"/>
  <c r="N25" i="14"/>
  <c r="O25" i="14"/>
  <c r="N26" i="14"/>
  <c r="O26" i="14"/>
  <c r="N27" i="14"/>
  <c r="O27" i="14"/>
  <c r="N28" i="14"/>
  <c r="O28" i="14"/>
  <c r="N29" i="14"/>
  <c r="O29" i="14"/>
  <c r="N30" i="14"/>
  <c r="O30" i="14"/>
  <c r="N31" i="14"/>
  <c r="O31" i="14"/>
  <c r="N32" i="14"/>
  <c r="O32" i="14"/>
  <c r="N33" i="14"/>
  <c r="O33" i="14"/>
  <c r="N34" i="14"/>
  <c r="O34" i="14"/>
  <c r="N35" i="14"/>
  <c r="O35" i="14"/>
  <c r="N36" i="14"/>
  <c r="O36" i="14"/>
  <c r="K7" i="14"/>
  <c r="L7" i="14"/>
  <c r="K8" i="14"/>
  <c r="L8" i="14"/>
  <c r="K9" i="14"/>
  <c r="L9" i="14"/>
  <c r="K10" i="14"/>
  <c r="L10" i="14"/>
  <c r="K11" i="14"/>
  <c r="L11" i="14"/>
  <c r="K12" i="14"/>
  <c r="L12" i="14"/>
  <c r="K13" i="14"/>
  <c r="L13" i="14"/>
  <c r="K14" i="14"/>
  <c r="L14" i="14"/>
  <c r="K15" i="14"/>
  <c r="L15" i="14"/>
  <c r="K16" i="14"/>
  <c r="L16" i="14"/>
  <c r="K17" i="14"/>
  <c r="L17" i="14"/>
  <c r="K18" i="14"/>
  <c r="L18" i="14"/>
  <c r="K19" i="14"/>
  <c r="L19" i="14"/>
  <c r="K20" i="14"/>
  <c r="L20" i="14"/>
  <c r="K21" i="14"/>
  <c r="L21" i="14"/>
  <c r="K22" i="14"/>
  <c r="L22" i="14"/>
  <c r="K23" i="14"/>
  <c r="L23" i="14"/>
  <c r="K24" i="14"/>
  <c r="L24" i="14"/>
  <c r="K25" i="14"/>
  <c r="L25" i="14"/>
  <c r="K26" i="14"/>
  <c r="L26" i="14"/>
  <c r="K27" i="14"/>
  <c r="L27" i="14"/>
  <c r="K28" i="14"/>
  <c r="L28" i="14"/>
  <c r="K29" i="14"/>
  <c r="L29" i="14"/>
  <c r="K30" i="14"/>
  <c r="L30" i="14"/>
  <c r="K31" i="14"/>
  <c r="L31" i="14"/>
  <c r="K32" i="14"/>
  <c r="L32" i="14"/>
  <c r="K33" i="14"/>
  <c r="L33" i="14"/>
  <c r="K34" i="14"/>
  <c r="L34" i="14"/>
  <c r="K35" i="14"/>
  <c r="L35" i="14"/>
  <c r="K36" i="14"/>
  <c r="L3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G7" i="14"/>
  <c r="G8" i="14"/>
  <c r="G9" i="14"/>
  <c r="G10" i="14"/>
  <c r="G11" i="14"/>
  <c r="G12" i="14"/>
  <c r="G13" i="14"/>
  <c r="G14" i="14"/>
  <c r="G15" i="14"/>
  <c r="G16" i="14"/>
  <c r="G17" i="14"/>
  <c r="G18" i="14"/>
  <c r="G19" i="14"/>
  <c r="G20" i="14"/>
  <c r="G21" i="14"/>
  <c r="G22" i="14"/>
  <c r="G23" i="14"/>
  <c r="G24" i="14"/>
  <c r="G25" i="14"/>
  <c r="G26" i="14"/>
  <c r="G27" i="14"/>
  <c r="G28" i="14"/>
  <c r="G29" i="14"/>
  <c r="G30" i="14"/>
  <c r="G31" i="14"/>
  <c r="G32" i="14"/>
  <c r="G33" i="14"/>
  <c r="G34" i="14"/>
  <c r="G35" i="14"/>
  <c r="G3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V7" i="12"/>
  <c r="W7" i="12"/>
  <c r="V8" i="12"/>
  <c r="W8" i="12"/>
  <c r="V9" i="12"/>
  <c r="W9" i="12"/>
  <c r="V10" i="12"/>
  <c r="W10" i="12"/>
  <c r="V11" i="12"/>
  <c r="W11" i="12"/>
  <c r="V12" i="12"/>
  <c r="W12" i="12"/>
  <c r="V13" i="12"/>
  <c r="W13" i="12"/>
  <c r="V14" i="12"/>
  <c r="W14" i="12"/>
  <c r="V15" i="12"/>
  <c r="W15" i="12"/>
  <c r="V16" i="12"/>
  <c r="W16" i="12"/>
  <c r="V17" i="12"/>
  <c r="W17" i="12"/>
  <c r="V18" i="12"/>
  <c r="W18" i="12"/>
  <c r="V19" i="12"/>
  <c r="W19" i="12"/>
  <c r="V20" i="12"/>
  <c r="W20" i="12"/>
  <c r="V21" i="12"/>
  <c r="W21" i="12"/>
  <c r="V22" i="12"/>
  <c r="W22" i="12"/>
  <c r="V23" i="12"/>
  <c r="W23" i="12"/>
  <c r="V24" i="12"/>
  <c r="W24" i="12"/>
  <c r="V25" i="12"/>
  <c r="W25" i="12"/>
  <c r="V26" i="12"/>
  <c r="W26" i="12"/>
  <c r="V27" i="12"/>
  <c r="W27" i="12"/>
  <c r="V28" i="12"/>
  <c r="W28" i="12"/>
  <c r="V29" i="12"/>
  <c r="W29" i="12"/>
  <c r="V30" i="12"/>
  <c r="W30" i="12"/>
  <c r="V31" i="12"/>
  <c r="W31" i="12"/>
  <c r="V32" i="12"/>
  <c r="W32" i="12"/>
  <c r="V33" i="12"/>
  <c r="W33" i="12"/>
  <c r="V34" i="12"/>
  <c r="W34" i="12"/>
  <c r="V35" i="12"/>
  <c r="W35" i="12"/>
  <c r="V36" i="12"/>
  <c r="W36" i="12"/>
  <c r="W6" i="12"/>
  <c r="V6" i="12"/>
  <c r="T7" i="12"/>
  <c r="U7" i="12"/>
  <c r="T8" i="12"/>
  <c r="U8" i="12"/>
  <c r="T9" i="12"/>
  <c r="U9" i="12"/>
  <c r="T10" i="12"/>
  <c r="U10" i="12"/>
  <c r="T11" i="12"/>
  <c r="U11" i="12"/>
  <c r="T12" i="12"/>
  <c r="U12" i="12"/>
  <c r="T13" i="12"/>
  <c r="U13" i="12"/>
  <c r="T14" i="12"/>
  <c r="U14" i="12"/>
  <c r="T15" i="12"/>
  <c r="U15" i="12"/>
  <c r="T16" i="12"/>
  <c r="U16" i="12"/>
  <c r="T17" i="12"/>
  <c r="U17" i="12"/>
  <c r="T18" i="12"/>
  <c r="U18" i="12"/>
  <c r="T19" i="12"/>
  <c r="U19" i="12"/>
  <c r="T20" i="12"/>
  <c r="U20" i="12"/>
  <c r="T21" i="12"/>
  <c r="U21" i="12"/>
  <c r="T22" i="12"/>
  <c r="U22" i="12"/>
  <c r="T23" i="12"/>
  <c r="U23" i="12"/>
  <c r="T24" i="12"/>
  <c r="U24" i="12"/>
  <c r="T25" i="12"/>
  <c r="U25" i="12"/>
  <c r="T26" i="12"/>
  <c r="U26" i="12"/>
  <c r="T27" i="12"/>
  <c r="U27" i="12"/>
  <c r="T28" i="12"/>
  <c r="U28" i="12"/>
  <c r="T29" i="12"/>
  <c r="U29" i="12"/>
  <c r="T30" i="12"/>
  <c r="U30" i="12"/>
  <c r="T31" i="12"/>
  <c r="U31" i="12"/>
  <c r="T32" i="12"/>
  <c r="U32" i="12"/>
  <c r="T33" i="12"/>
  <c r="U33" i="12"/>
  <c r="T34" i="12"/>
  <c r="U34" i="12"/>
  <c r="T35" i="12"/>
  <c r="U35" i="12"/>
  <c r="T36" i="12"/>
  <c r="U36" i="12"/>
  <c r="Q7" i="12"/>
  <c r="R7" i="12"/>
  <c r="Q8" i="12"/>
  <c r="R8" i="12"/>
  <c r="Q9" i="12"/>
  <c r="R9" i="12"/>
  <c r="Q10" i="12"/>
  <c r="R10" i="12"/>
  <c r="Q11" i="12"/>
  <c r="R11" i="12"/>
  <c r="Q12" i="12"/>
  <c r="R12" i="12"/>
  <c r="Q13" i="12"/>
  <c r="R13" i="12"/>
  <c r="Q14" i="12"/>
  <c r="R14" i="12"/>
  <c r="Q15" i="12"/>
  <c r="R15" i="12"/>
  <c r="Q16" i="12"/>
  <c r="R16" i="12"/>
  <c r="Q17" i="12"/>
  <c r="R17" i="12"/>
  <c r="Q18" i="12"/>
  <c r="R18" i="12"/>
  <c r="Q19" i="12"/>
  <c r="R19" i="12"/>
  <c r="Q20" i="12"/>
  <c r="R20" i="12"/>
  <c r="Q21" i="12"/>
  <c r="R21" i="12"/>
  <c r="Q22" i="12"/>
  <c r="R22" i="12"/>
  <c r="Q23" i="12"/>
  <c r="R23" i="12"/>
  <c r="Q24" i="12"/>
  <c r="R24" i="12"/>
  <c r="Q25" i="12"/>
  <c r="R25" i="12"/>
  <c r="Q26" i="12"/>
  <c r="R26" i="12"/>
  <c r="Q27" i="12"/>
  <c r="R27" i="12"/>
  <c r="Q28" i="12"/>
  <c r="R28" i="12"/>
  <c r="Q29" i="12"/>
  <c r="R29" i="12"/>
  <c r="Q30" i="12"/>
  <c r="R30" i="12"/>
  <c r="Q31" i="12"/>
  <c r="R31" i="12"/>
  <c r="Q32" i="12"/>
  <c r="R32" i="12"/>
  <c r="Q33" i="12"/>
  <c r="R33" i="12"/>
  <c r="Q34" i="12"/>
  <c r="R34" i="12"/>
  <c r="Q35" i="12"/>
  <c r="R35" i="12"/>
  <c r="Q36" i="12"/>
  <c r="R36" i="12"/>
  <c r="N7" i="12"/>
  <c r="O7" i="12"/>
  <c r="N8" i="12"/>
  <c r="O8" i="12"/>
  <c r="N9" i="12"/>
  <c r="O9" i="12"/>
  <c r="N10" i="12"/>
  <c r="O10" i="12"/>
  <c r="N11" i="12"/>
  <c r="O11" i="12"/>
  <c r="N12" i="12"/>
  <c r="O12" i="12"/>
  <c r="N13" i="12"/>
  <c r="O13" i="12"/>
  <c r="N14" i="12"/>
  <c r="O14" i="12"/>
  <c r="N15" i="12"/>
  <c r="O15" i="12"/>
  <c r="N16" i="12"/>
  <c r="O16" i="12"/>
  <c r="N17" i="12"/>
  <c r="O17" i="12"/>
  <c r="N18" i="12"/>
  <c r="O18" i="12"/>
  <c r="N19" i="12"/>
  <c r="O19" i="12"/>
  <c r="N20" i="12"/>
  <c r="O20" i="12"/>
  <c r="N21" i="12"/>
  <c r="O21" i="12"/>
  <c r="N22" i="12"/>
  <c r="O22" i="12"/>
  <c r="N23" i="12"/>
  <c r="O23" i="12"/>
  <c r="N24" i="12"/>
  <c r="O24" i="12"/>
  <c r="O25" i="12"/>
  <c r="N26" i="12"/>
  <c r="O26" i="12"/>
  <c r="N27" i="12"/>
  <c r="O27" i="12"/>
  <c r="N28" i="12"/>
  <c r="O28" i="12"/>
  <c r="N29" i="12"/>
  <c r="O29" i="12"/>
  <c r="N30" i="12"/>
  <c r="O30" i="12"/>
  <c r="N31" i="12"/>
  <c r="O31" i="12"/>
  <c r="N32" i="12"/>
  <c r="O32" i="12"/>
  <c r="N33" i="12"/>
  <c r="O33" i="12"/>
  <c r="N34" i="12"/>
  <c r="O34" i="12"/>
  <c r="N35" i="12"/>
  <c r="O35" i="12"/>
  <c r="N36" i="12"/>
  <c r="O3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K30" i="12"/>
  <c r="L30" i="12"/>
  <c r="K31" i="12"/>
  <c r="L31" i="12"/>
  <c r="K32" i="12"/>
  <c r="L32" i="12"/>
  <c r="K33" i="12"/>
  <c r="L33" i="12"/>
  <c r="K34" i="12"/>
  <c r="L34" i="12"/>
  <c r="K35" i="12"/>
  <c r="L35" i="12"/>
  <c r="K36" i="12"/>
  <c r="L3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G7" i="12"/>
  <c r="G8" i="12"/>
  <c r="G9" i="12"/>
  <c r="G10" i="12"/>
  <c r="G11" i="12"/>
  <c r="G12" i="12"/>
  <c r="G13" i="12"/>
  <c r="G14" i="12"/>
  <c r="G15" i="12"/>
  <c r="G16" i="12"/>
  <c r="G17" i="12"/>
  <c r="G18" i="12"/>
  <c r="G19" i="12"/>
  <c r="G20" i="12"/>
  <c r="G21" i="12"/>
  <c r="G22" i="12"/>
  <c r="G23" i="12"/>
  <c r="G24" i="12"/>
  <c r="G25" i="12"/>
  <c r="G26" i="12"/>
  <c r="G27" i="12"/>
  <c r="G28" i="12"/>
  <c r="G29" i="12"/>
  <c r="G30" i="12"/>
  <c r="G31" i="12"/>
  <c r="G32" i="12"/>
  <c r="G33" i="12"/>
  <c r="G34" i="12"/>
  <c r="G35" i="12"/>
  <c r="G3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F10" i="16"/>
  <c r="F8" i="16"/>
  <c r="E10" i="16"/>
  <c r="D8" i="16"/>
  <c r="D11" i="16" s="1"/>
  <c r="G10" i="16" l="1"/>
  <c r="D9" i="16"/>
  <c r="F9" i="16"/>
  <c r="F11" i="16"/>
  <c r="M26" i="1"/>
  <c r="F12" i="16" l="1"/>
  <c r="M22" i="1"/>
  <c r="M40" i="15"/>
  <c r="M41" i="15" s="1"/>
  <c r="M42" i="15" s="1"/>
  <c r="P40" i="15"/>
  <c r="P41" i="15" s="1"/>
  <c r="P42" i="15" s="1"/>
  <c r="S40" i="15"/>
  <c r="S41" i="15" s="1"/>
  <c r="S42" i="15" s="1"/>
  <c r="M46" i="12"/>
  <c r="M47" i="12" s="1"/>
  <c r="M48" i="12" s="1"/>
  <c r="P46" i="12"/>
  <c r="P47" i="12" s="1"/>
  <c r="P48" i="12" s="1"/>
  <c r="S46" i="12"/>
  <c r="S47" i="12" s="1"/>
  <c r="S48" i="12" s="1"/>
  <c r="C40" i="15"/>
  <c r="C41" i="15" s="1"/>
  <c r="C42" i="15" s="1"/>
  <c r="E40" i="15"/>
  <c r="E41" i="15" s="1"/>
  <c r="E42" i="15" s="1"/>
  <c r="C40" i="14"/>
  <c r="C41" i="14" s="1"/>
  <c r="C42" i="14" s="1"/>
  <c r="E40" i="14"/>
  <c r="E41" i="14" s="1"/>
  <c r="E42" i="14" s="1"/>
  <c r="C46" i="12"/>
  <c r="C47" i="12" s="1"/>
  <c r="C48" i="12" s="1"/>
  <c r="D46" i="12"/>
  <c r="D47" i="12" s="1"/>
  <c r="D48" i="12" s="1"/>
  <c r="E46" i="12"/>
  <c r="E47" i="12" s="1"/>
  <c r="E48" i="12" s="1"/>
  <c r="J46" i="12"/>
  <c r="J47" i="12" s="1"/>
  <c r="J48" i="12" s="1"/>
  <c r="D37" i="15" l="1"/>
  <c r="D40" i="15" s="1"/>
  <c r="D41" i="15" s="1"/>
  <c r="D42" i="15" s="1"/>
  <c r="J39" i="12"/>
  <c r="J40" i="12" s="1"/>
  <c r="M39" i="12"/>
  <c r="M40" i="12" s="1"/>
  <c r="P39" i="12"/>
  <c r="P40" i="12" s="1"/>
  <c r="J40" i="15"/>
  <c r="J41" i="15" s="1"/>
  <c r="J42" i="15" s="1"/>
  <c r="S40" i="14"/>
  <c r="S41" i="14" s="1"/>
  <c r="S42" i="14" s="1"/>
  <c r="P40" i="14"/>
  <c r="P41" i="14" s="1"/>
  <c r="P42" i="14" s="1"/>
  <c r="M37" i="14"/>
  <c r="M40" i="14" s="1"/>
  <c r="M41" i="14" s="1"/>
  <c r="M42" i="14" s="1"/>
  <c r="J40" i="14"/>
  <c r="J41" i="14" s="1"/>
  <c r="J42" i="14" s="1"/>
  <c r="D37" i="14"/>
  <c r="D40" i="14" s="1"/>
  <c r="D41" i="14" s="1"/>
  <c r="D42" i="14" s="1"/>
  <c r="S39" i="12"/>
  <c r="S40" i="12" s="1"/>
  <c r="A1" i="12" l="1"/>
  <c r="A1" i="14" s="1"/>
  <c r="A1" i="15" s="1"/>
  <c r="L6" i="14" l="1"/>
  <c r="U6" i="12"/>
  <c r="L6" i="12"/>
  <c r="L37" i="12" s="1"/>
  <c r="L6" i="15"/>
  <c r="R6" i="12"/>
  <c r="R6" i="15"/>
  <c r="R6" i="14"/>
  <c r="U6" i="15"/>
  <c r="U6" i="14"/>
  <c r="O6" i="15"/>
  <c r="E6" i="15"/>
  <c r="L37" i="15" l="1"/>
  <c r="L40" i="15" s="1"/>
  <c r="L41" i="15" s="1"/>
  <c r="L42" i="15" s="1"/>
  <c r="W37" i="15"/>
  <c r="L37" i="14"/>
  <c r="L40" i="14" s="1"/>
  <c r="L41" i="14" s="1"/>
  <c r="L42" i="14" s="1"/>
  <c r="AA17" i="1"/>
  <c r="AA18" i="1" s="1"/>
  <c r="AA19" i="1" s="1"/>
  <c r="L39" i="12" l="1"/>
  <c r="L40" i="12" s="1"/>
  <c r="L46" i="12"/>
  <c r="L47" i="12" s="1"/>
  <c r="L48" i="12" s="1"/>
  <c r="AA22" i="1"/>
  <c r="AA20" i="1"/>
  <c r="AA26" i="1" l="1"/>
  <c r="E6" i="12"/>
  <c r="O6" i="14" l="1"/>
  <c r="W6" i="14" s="1"/>
  <c r="O6" i="12"/>
  <c r="O37" i="12" s="1"/>
  <c r="E6" i="14"/>
  <c r="W37" i="12" l="1"/>
  <c r="D11" i="1"/>
  <c r="F8" i="1" s="1"/>
  <c r="F11" i="1" s="1"/>
  <c r="G8" i="1" s="1"/>
  <c r="E11" i="1"/>
  <c r="B8" i="12" l="1"/>
  <c r="B12" i="12"/>
  <c r="B16" i="12"/>
  <c r="B20" i="12"/>
  <c r="F20" i="12" s="1"/>
  <c r="B24" i="12"/>
  <c r="B28" i="12"/>
  <c r="B32" i="12"/>
  <c r="B36" i="12"/>
  <c r="B26" i="12"/>
  <c r="B7" i="12"/>
  <c r="B11" i="12"/>
  <c r="B15" i="12"/>
  <c r="F15" i="12" s="1"/>
  <c r="B19" i="12"/>
  <c r="B27" i="12"/>
  <c r="F27" i="12" s="1"/>
  <c r="B9" i="12"/>
  <c r="F9" i="12" s="1"/>
  <c r="B13" i="12"/>
  <c r="F13" i="12" s="1"/>
  <c r="B17" i="12"/>
  <c r="B21" i="12"/>
  <c r="B25" i="12"/>
  <c r="F25" i="12" s="1"/>
  <c r="B29" i="12"/>
  <c r="F29" i="12" s="1"/>
  <c r="B33" i="12"/>
  <c r="B6" i="12"/>
  <c r="B10" i="12"/>
  <c r="F10" i="12" s="1"/>
  <c r="B14" i="12"/>
  <c r="F14" i="12" s="1"/>
  <c r="B18" i="12"/>
  <c r="B30" i="12"/>
  <c r="B31" i="12"/>
  <c r="F31" i="12" s="1"/>
  <c r="B22" i="12"/>
  <c r="F22" i="12" s="1"/>
  <c r="B34" i="12"/>
  <c r="B23" i="12"/>
  <c r="B35" i="12"/>
  <c r="F24" i="12"/>
  <c r="F26" i="12"/>
  <c r="F34" i="12"/>
  <c r="F19" i="12"/>
  <c r="F12" i="12"/>
  <c r="F28" i="12"/>
  <c r="F7" i="12"/>
  <c r="F16" i="12"/>
  <c r="F11" i="12"/>
  <c r="F17" i="12"/>
  <c r="F23" i="12"/>
  <c r="F18" i="12"/>
  <c r="F30" i="12"/>
  <c r="F8" i="12"/>
  <c r="F32" i="12"/>
  <c r="F21" i="12"/>
  <c r="F33" i="12"/>
  <c r="G10" i="1"/>
  <c r="G9" i="1"/>
  <c r="F36" i="12" l="1"/>
  <c r="H36" i="12"/>
  <c r="F35" i="12"/>
  <c r="H35" i="12"/>
  <c r="B7" i="14"/>
  <c r="B11" i="14"/>
  <c r="B15" i="14"/>
  <c r="B19" i="14"/>
  <c r="B23" i="14"/>
  <c r="B27" i="14"/>
  <c r="B31" i="14"/>
  <c r="B35" i="14"/>
  <c r="B9" i="14"/>
  <c r="B17" i="14"/>
  <c r="B25" i="14"/>
  <c r="B6" i="14"/>
  <c r="B10" i="14"/>
  <c r="B22" i="14"/>
  <c r="B34" i="14"/>
  <c r="B8" i="14"/>
  <c r="B12" i="14"/>
  <c r="B16" i="14"/>
  <c r="B20" i="14"/>
  <c r="B24" i="14"/>
  <c r="B28" i="14"/>
  <c r="B32" i="14"/>
  <c r="B36" i="14"/>
  <c r="B13" i="14"/>
  <c r="B33" i="14"/>
  <c r="B14" i="14"/>
  <c r="B26" i="14"/>
  <c r="B21" i="14"/>
  <c r="B29" i="14"/>
  <c r="B18" i="14"/>
  <c r="B30" i="14"/>
  <c r="B7" i="15"/>
  <c r="B11" i="15"/>
  <c r="B15" i="15"/>
  <c r="B19" i="15"/>
  <c r="B23" i="15"/>
  <c r="B27" i="15"/>
  <c r="B31" i="15"/>
  <c r="B35" i="15"/>
  <c r="B13" i="15"/>
  <c r="B25" i="15"/>
  <c r="B6" i="15"/>
  <c r="B14" i="15"/>
  <c r="B30" i="15"/>
  <c r="B8" i="15"/>
  <c r="B12" i="15"/>
  <c r="B16" i="15"/>
  <c r="B20" i="15"/>
  <c r="B24" i="15"/>
  <c r="B28" i="15"/>
  <c r="B32" i="15"/>
  <c r="B36" i="15"/>
  <c r="B17" i="15"/>
  <c r="B29" i="15"/>
  <c r="B10" i="15"/>
  <c r="B22" i="15"/>
  <c r="B34" i="15"/>
  <c r="B9" i="15"/>
  <c r="B21" i="15"/>
  <c r="B33" i="15"/>
  <c r="B18" i="15"/>
  <c r="B26" i="15"/>
  <c r="B37" i="12"/>
  <c r="F36" i="15" l="1"/>
  <c r="H36" i="15"/>
  <c r="F35" i="14"/>
  <c r="H35" i="14"/>
  <c r="B46" i="12"/>
  <c r="B47" i="12" s="1"/>
  <c r="B48" i="12" s="1"/>
  <c r="R37" i="12"/>
  <c r="R46" i="12" s="1"/>
  <c r="R47" i="12" s="1"/>
  <c r="R48" i="12" s="1"/>
  <c r="F35" i="15"/>
  <c r="H35" i="15"/>
  <c r="F36" i="14"/>
  <c r="H36" i="14"/>
  <c r="B37" i="15"/>
  <c r="B37" i="14"/>
  <c r="F6" i="15"/>
  <c r="H6" i="15"/>
  <c r="H10" i="14"/>
  <c r="F10" i="14"/>
  <c r="H31" i="12"/>
  <c r="H33" i="14"/>
  <c r="F33" i="14"/>
  <c r="H8" i="14"/>
  <c r="F8" i="14"/>
  <c r="H14" i="14"/>
  <c r="F14" i="14"/>
  <c r="H6" i="12"/>
  <c r="F6" i="12"/>
  <c r="H11" i="12"/>
  <c r="H17" i="12"/>
  <c r="H25" i="12"/>
  <c r="H27" i="14"/>
  <c r="F27" i="14"/>
  <c r="H25" i="14"/>
  <c r="F25" i="14"/>
  <c r="H29" i="14"/>
  <c r="F29" i="14"/>
  <c r="H30" i="12"/>
  <c r="H28" i="12"/>
  <c r="H15" i="12"/>
  <c r="H9" i="12"/>
  <c r="H19" i="14"/>
  <c r="F19" i="14"/>
  <c r="H17" i="14"/>
  <c r="F17" i="14"/>
  <c r="H31" i="14"/>
  <c r="F31" i="14"/>
  <c r="H22" i="12"/>
  <c r="H20" i="12"/>
  <c r="H34" i="12"/>
  <c r="H7" i="12"/>
  <c r="H16" i="14"/>
  <c r="F16" i="14"/>
  <c r="H19" i="12"/>
  <c r="H6" i="14"/>
  <c r="F6" i="14"/>
  <c r="H11" i="14"/>
  <c r="F11" i="14"/>
  <c r="H9" i="14"/>
  <c r="F9" i="14"/>
  <c r="H23" i="14"/>
  <c r="F23" i="14"/>
  <c r="H14" i="12"/>
  <c r="H12" i="12"/>
  <c r="H26" i="12"/>
  <c r="H32" i="12"/>
  <c r="H21" i="14"/>
  <c r="F21" i="14"/>
  <c r="H28" i="14"/>
  <c r="F28" i="14"/>
  <c r="H34" i="14"/>
  <c r="F34" i="14"/>
  <c r="H13" i="14"/>
  <c r="F13" i="14"/>
  <c r="H15" i="14"/>
  <c r="F15" i="14"/>
  <c r="H29" i="12"/>
  <c r="H23" i="12"/>
  <c r="H18" i="12"/>
  <c r="H24" i="12"/>
  <c r="H22" i="14"/>
  <c r="F22" i="14"/>
  <c r="H20" i="14"/>
  <c r="F20" i="14"/>
  <c r="F26" i="14"/>
  <c r="H26" i="14"/>
  <c r="H32" i="14"/>
  <c r="F32" i="14"/>
  <c r="H7" i="14"/>
  <c r="F7" i="14"/>
  <c r="H21" i="12"/>
  <c r="H10" i="12"/>
  <c r="H16" i="12"/>
  <c r="H12" i="14"/>
  <c r="F12" i="14"/>
  <c r="F18" i="14"/>
  <c r="H18" i="14"/>
  <c r="H24" i="14"/>
  <c r="F24" i="14"/>
  <c r="F30" i="14"/>
  <c r="H30" i="14"/>
  <c r="H13" i="12"/>
  <c r="H27" i="12"/>
  <c r="H33" i="12"/>
  <c r="H8" i="12"/>
  <c r="B40" i="15" l="1"/>
  <c r="B41" i="15" s="1"/>
  <c r="B42" i="15" s="1"/>
  <c r="J8" i="1"/>
  <c r="U37" i="12"/>
  <c r="U46" i="12" s="1"/>
  <c r="U47" i="12" s="1"/>
  <c r="U48" i="12" s="1"/>
  <c r="O46" i="12"/>
  <c r="O47" i="12" s="1"/>
  <c r="O48" i="12" s="1"/>
  <c r="B40" i="14"/>
  <c r="B41" i="14" s="1"/>
  <c r="B42" i="14" s="1"/>
  <c r="H37" i="12"/>
  <c r="F37" i="12"/>
  <c r="F46" i="12" s="1"/>
  <c r="F47" i="12" s="1"/>
  <c r="F48" i="12" s="1"/>
  <c r="G6" i="12"/>
  <c r="G37" i="12" s="1"/>
  <c r="R39" i="12"/>
  <c r="R40" i="12" s="1"/>
  <c r="I6" i="15"/>
  <c r="G6" i="15"/>
  <c r="F37" i="14"/>
  <c r="F40" i="14" s="1"/>
  <c r="F41" i="14" s="1"/>
  <c r="F42" i="14" s="1"/>
  <c r="H37" i="14"/>
  <c r="H40" i="14" s="1"/>
  <c r="H41" i="14" s="1"/>
  <c r="H42" i="14" s="1"/>
  <c r="H7" i="15"/>
  <c r="F7" i="15"/>
  <c r="G6" i="14"/>
  <c r="I6" i="14"/>
  <c r="I37" i="14" s="1"/>
  <c r="I40" i="14" s="1"/>
  <c r="I41" i="14" s="1"/>
  <c r="I42" i="14" s="1"/>
  <c r="I6" i="12"/>
  <c r="U37" i="15" l="1"/>
  <c r="U40" i="15" s="1"/>
  <c r="U41" i="15" s="1"/>
  <c r="U42" i="15" s="1"/>
  <c r="U39" i="12"/>
  <c r="U40" i="12" s="1"/>
  <c r="O37" i="15"/>
  <c r="O40" i="15" s="1"/>
  <c r="O41" i="15" s="1"/>
  <c r="O42" i="15" s="1"/>
  <c r="O39" i="12"/>
  <c r="O40" i="12" s="1"/>
  <c r="R37" i="15"/>
  <c r="R40" i="15" s="1"/>
  <c r="R41" i="15" s="1"/>
  <c r="R42" i="15" s="1"/>
  <c r="H39" i="12"/>
  <c r="H40" i="12" s="1"/>
  <c r="H46" i="12"/>
  <c r="H47" i="12" s="1"/>
  <c r="H48" i="12" s="1"/>
  <c r="G39" i="12"/>
  <c r="G40" i="12" s="1"/>
  <c r="G46" i="12"/>
  <c r="G47" i="12" s="1"/>
  <c r="G48" i="12" s="1"/>
  <c r="F39" i="12"/>
  <c r="F40" i="12" s="1"/>
  <c r="I37" i="12"/>
  <c r="W39" i="12"/>
  <c r="W40" i="12" s="1"/>
  <c r="N6" i="15"/>
  <c r="Q6" i="15"/>
  <c r="U37" i="14"/>
  <c r="U40" i="14" s="1"/>
  <c r="U41" i="14" s="1"/>
  <c r="U42" i="14" s="1"/>
  <c r="O37" i="14"/>
  <c r="O40" i="14" s="1"/>
  <c r="O41" i="14" s="1"/>
  <c r="O42" i="14" s="1"/>
  <c r="R37" i="14"/>
  <c r="R40" i="14" s="1"/>
  <c r="R41" i="14" s="1"/>
  <c r="R42" i="14" s="1"/>
  <c r="T6" i="15"/>
  <c r="V37" i="15" s="1"/>
  <c r="K6" i="15"/>
  <c r="G37" i="14"/>
  <c r="G40" i="14" s="1"/>
  <c r="G41" i="14" s="1"/>
  <c r="G42" i="14" s="1"/>
  <c r="H8" i="1"/>
  <c r="F8" i="15"/>
  <c r="H8" i="15"/>
  <c r="Q6" i="12"/>
  <c r="Q37" i="12" s="1"/>
  <c r="T6" i="12"/>
  <c r="T37" i="12" s="1"/>
  <c r="K6" i="12"/>
  <c r="K37" i="12" s="1"/>
  <c r="N6" i="12"/>
  <c r="N37" i="12" s="1"/>
  <c r="N6" i="14"/>
  <c r="N37" i="14" s="1"/>
  <c r="N40" i="14" s="1"/>
  <c r="N41" i="14" s="1"/>
  <c r="N42" i="14" s="1"/>
  <c r="T6" i="14"/>
  <c r="Q6" i="14"/>
  <c r="Q37" i="14" s="1"/>
  <c r="Q40" i="14" s="1"/>
  <c r="Q41" i="14" s="1"/>
  <c r="Q42" i="14" s="1"/>
  <c r="K6" i="14"/>
  <c r="K37" i="14" s="1"/>
  <c r="K40" i="14" s="1"/>
  <c r="K41" i="14" s="1"/>
  <c r="K42" i="14" s="1"/>
  <c r="G11" i="1"/>
  <c r="I39" i="12" l="1"/>
  <c r="I40" i="12" s="1"/>
  <c r="I46" i="12"/>
  <c r="I47" i="12" s="1"/>
  <c r="I48" i="12" s="1"/>
  <c r="V6" i="14"/>
  <c r="V37" i="14" s="1"/>
  <c r="V40" i="14" s="1"/>
  <c r="V41" i="14" s="1"/>
  <c r="V42" i="14" s="1"/>
  <c r="V37" i="12"/>
  <c r="H9" i="1"/>
  <c r="W37" i="14"/>
  <c r="T37" i="14"/>
  <c r="T40" i="14" s="1"/>
  <c r="T41" i="14" s="1"/>
  <c r="T42" i="14" s="1"/>
  <c r="H9" i="15"/>
  <c r="F9" i="15"/>
  <c r="V46" i="12" l="1"/>
  <c r="V47" i="12" s="1"/>
  <c r="V48" i="12" s="1"/>
  <c r="V49" i="12" s="1"/>
  <c r="N39" i="12"/>
  <c r="N40" i="12" s="1"/>
  <c r="N46" i="12"/>
  <c r="N47" i="12" s="1"/>
  <c r="N48" i="12" s="1"/>
  <c r="Q39" i="12"/>
  <c r="Q40" i="12" s="1"/>
  <c r="Q46" i="12"/>
  <c r="Q47" i="12" s="1"/>
  <c r="Q48" i="12" s="1"/>
  <c r="K39" i="12"/>
  <c r="K40" i="12" s="1"/>
  <c r="K46" i="12"/>
  <c r="K47" i="12" s="1"/>
  <c r="K48" i="12" s="1"/>
  <c r="T39" i="12"/>
  <c r="T40" i="12" s="1"/>
  <c r="T46" i="12"/>
  <c r="T47" i="12" s="1"/>
  <c r="T48" i="12" s="1"/>
  <c r="J9" i="1"/>
  <c r="H10" i="15"/>
  <c r="F10" i="15"/>
  <c r="V38" i="12" l="1"/>
  <c r="V39" i="12"/>
  <c r="V40" i="12" s="1"/>
  <c r="V42" i="12" s="1"/>
  <c r="F11" i="15"/>
  <c r="H11" i="15"/>
  <c r="I9" i="1"/>
  <c r="K9" i="1" s="1"/>
  <c r="V38" i="14"/>
  <c r="V43" i="14" s="1"/>
  <c r="V44" i="14" s="1"/>
  <c r="V45" i="14" s="1"/>
  <c r="I8" i="1"/>
  <c r="K8" i="1" s="1"/>
  <c r="U42" i="12" l="1"/>
  <c r="U43" i="12" s="1"/>
  <c r="V50" i="12"/>
  <c r="V51" i="12" s="1"/>
  <c r="V52" i="12" s="1"/>
  <c r="H12" i="15"/>
  <c r="F12" i="15"/>
  <c r="H13" i="15" l="1"/>
  <c r="F13" i="15"/>
  <c r="F14" i="15" l="1"/>
  <c r="H14" i="15"/>
  <c r="H15" i="15" l="1"/>
  <c r="F15" i="15"/>
  <c r="H16" i="15" l="1"/>
  <c r="F16" i="15"/>
  <c r="H17" i="15" l="1"/>
  <c r="F17" i="15"/>
  <c r="H18" i="15" l="1"/>
  <c r="F18" i="15"/>
  <c r="H19" i="15" l="1"/>
  <c r="F19" i="15"/>
  <c r="F20" i="15" l="1"/>
  <c r="H20" i="15"/>
  <c r="F21" i="15" l="1"/>
  <c r="H21" i="15"/>
  <c r="F22" i="15" l="1"/>
  <c r="H22" i="15"/>
  <c r="F23" i="15" l="1"/>
  <c r="H23" i="15"/>
  <c r="H24" i="15" l="1"/>
  <c r="F24" i="15"/>
  <c r="F25" i="15" l="1"/>
  <c r="H25" i="15"/>
  <c r="F26" i="15" l="1"/>
  <c r="H26" i="15"/>
  <c r="H27" i="15" l="1"/>
  <c r="F27" i="15"/>
  <c r="F28" i="15" l="1"/>
  <c r="H28" i="15"/>
  <c r="F29" i="15" l="1"/>
  <c r="H29" i="15"/>
  <c r="F30" i="15" l="1"/>
  <c r="H30" i="15"/>
  <c r="F31" i="15" l="1"/>
  <c r="H31" i="15"/>
  <c r="H32" i="15" l="1"/>
  <c r="F32" i="15"/>
  <c r="H33" i="15" l="1"/>
  <c r="F33" i="15"/>
  <c r="F34" i="15" l="1"/>
  <c r="H34" i="15"/>
  <c r="N37" i="15" l="1"/>
  <c r="N40" i="15" s="1"/>
  <c r="N41" i="15" s="1"/>
  <c r="N42" i="15" s="1"/>
  <c r="Q37" i="15"/>
  <c r="Q40" i="15" s="1"/>
  <c r="Q41" i="15" s="1"/>
  <c r="Q42" i="15" s="1"/>
  <c r="H37" i="15"/>
  <c r="H40" i="15" s="1"/>
  <c r="H41" i="15" s="1"/>
  <c r="H42" i="15" s="1"/>
  <c r="G37" i="15"/>
  <c r="G40" i="15" s="1"/>
  <c r="G41" i="15" s="1"/>
  <c r="G42" i="15" s="1"/>
  <c r="F37" i="15"/>
  <c r="F40" i="15" s="1"/>
  <c r="F41" i="15" s="1"/>
  <c r="F42" i="15" s="1"/>
  <c r="V40" i="15" l="1"/>
  <c r="V41" i="15" s="1"/>
  <c r="V42" i="15" s="1"/>
  <c r="T37" i="15"/>
  <c r="T40" i="15" s="1"/>
  <c r="T41" i="15" s="1"/>
  <c r="T42" i="15" s="1"/>
  <c r="H10" i="1"/>
  <c r="H11" i="1" s="1"/>
  <c r="K37" i="15"/>
  <c r="K40" i="15" s="1"/>
  <c r="K41" i="15" s="1"/>
  <c r="K42" i="15" s="1"/>
  <c r="I37" i="15"/>
  <c r="I40" i="15" s="1"/>
  <c r="I41" i="15" s="1"/>
  <c r="I42" i="15" s="1"/>
  <c r="J10" i="1" l="1"/>
  <c r="J11" i="1" s="1"/>
  <c r="K15" i="1" s="1"/>
  <c r="V38" i="15" l="1"/>
  <c r="V43" i="15" s="1"/>
  <c r="V44" i="15" s="1"/>
  <c r="V45" i="15" s="1"/>
  <c r="I10" i="1" l="1"/>
  <c r="K10" i="1" s="1"/>
  <c r="K11" i="1" l="1"/>
  <c r="L11" i="1" s="1"/>
  <c r="I11" i="1"/>
  <c r="K14" i="1" l="1"/>
  <c r="K18" i="1" l="1"/>
  <c r="K19" i="1" s="1"/>
  <c r="K20" i="1" l="1"/>
  <c r="K21" i="1" s="1"/>
  <c r="K22" i="1" l="1"/>
  <c r="K24" i="1" s="1"/>
  <c r="E8" i="16" s="1"/>
  <c r="E9" i="16" s="1"/>
  <c r="G9" i="16" s="1"/>
  <c r="K26" i="1" l="1"/>
  <c r="G8" i="16"/>
  <c r="K25" i="1"/>
  <c r="E11" i="16"/>
  <c r="G11" i="16" s="1"/>
  <c r="K29" i="1" l="1"/>
  <c r="E12" i="16"/>
  <c r="D13" i="16" s="1"/>
  <c r="G12" i="16" l="1"/>
</calcChain>
</file>

<file path=xl/sharedStrings.xml><?xml version="1.0" encoding="utf-8"?>
<sst xmlns="http://schemas.openxmlformats.org/spreadsheetml/2006/main" count="193" uniqueCount="111">
  <si>
    <t>Sl No</t>
  </si>
  <si>
    <t xml:space="preserve">Name of Zone </t>
  </si>
  <si>
    <t>Name of city</t>
  </si>
  <si>
    <t>a</t>
  </si>
  <si>
    <t>b</t>
  </si>
  <si>
    <t>c</t>
  </si>
  <si>
    <t>d</t>
  </si>
  <si>
    <t>e</t>
  </si>
  <si>
    <t>f</t>
  </si>
  <si>
    <t>g</t>
  </si>
  <si>
    <t>h</t>
  </si>
  <si>
    <t>GST @ 12 %</t>
  </si>
  <si>
    <t xml:space="preserve">10% Centage/ Supervion  charge to UP Jal Nigam </t>
  </si>
  <si>
    <t>Grand Total</t>
  </si>
  <si>
    <t>BOD</t>
  </si>
  <si>
    <t>TSS</t>
  </si>
  <si>
    <t>COD</t>
  </si>
  <si>
    <t>Month wise Contract  Cost VoL -1, Section IV, Clause 39</t>
  </si>
  <si>
    <t>Contract Amount (Rs)</t>
  </si>
  <si>
    <t>Contract Amount/Month/MLD (Rs)</t>
  </si>
  <si>
    <t xml:space="preserve"> STP wise Cost (Rs)/month</t>
  </si>
  <si>
    <t>FC</t>
  </si>
  <si>
    <t>Dates</t>
  </si>
  <si>
    <t>Flow</t>
  </si>
  <si>
    <t>As Per CB</t>
  </si>
  <si>
    <t>As Per Actual</t>
  </si>
  <si>
    <t>Fix Charges(60%)</t>
  </si>
  <si>
    <t>Total</t>
  </si>
  <si>
    <t>AS Per CB</t>
  </si>
  <si>
    <t>Capicity</t>
  </si>
  <si>
    <t>Treated for
 Payement</t>
  </si>
  <si>
    <t>Treated for
 Payement
 MLD</t>
  </si>
  <si>
    <t>Actual
Achieved</t>
  </si>
  <si>
    <t>Grand Total(7+14)</t>
  </si>
  <si>
    <t>Fixed Cost(60%)</t>
  </si>
  <si>
    <t>Reported Value</t>
  </si>
  <si>
    <t>LD</t>
  </si>
  <si>
    <t>Amount Of 
30 Mld Stp</t>
  </si>
  <si>
    <t>4 (3*5%)</t>
  </si>
  <si>
    <t>5 (3+4)</t>
  </si>
  <si>
    <t>6 (5*12%)</t>
  </si>
  <si>
    <t>7 (5*10%)</t>
  </si>
  <si>
    <t>Fuel</t>
  </si>
  <si>
    <t>Amount Recommended By OM&amp;M Cell</t>
  </si>
  <si>
    <t>Amount Proposed By UPJN</t>
  </si>
  <si>
    <t>Total Verified Amount</t>
  </si>
  <si>
    <t>LD for quality, conveyance system by UPJN and Jal Kal</t>
  </si>
  <si>
    <t>Withheld if any</t>
  </si>
  <si>
    <t>3  (1-2)</t>
  </si>
  <si>
    <t>Sub Total</t>
  </si>
  <si>
    <t>5 (1-2-3-4)</t>
  </si>
  <si>
    <t>Payable amount</t>
  </si>
  <si>
    <t>Escalation @ 5%</t>
  </si>
  <si>
    <t>6 (5% * 5)</t>
  </si>
  <si>
    <t xml:space="preserve">Sub Total </t>
  </si>
  <si>
    <r>
      <t xml:space="preserve">Release of withheld amount </t>
    </r>
    <r>
      <rPr>
        <b/>
        <sz val="12"/>
        <color theme="1"/>
        <rFont val="Times New Roman"/>
        <family val="1"/>
      </rPr>
      <t>(amount whitheld in month…......, year …......)</t>
    </r>
  </si>
  <si>
    <t>10% Centage to UPJN</t>
  </si>
  <si>
    <t>Sub total</t>
  </si>
  <si>
    <t xml:space="preserve">Deduction of mobilization advance </t>
  </si>
  <si>
    <t>Release of withheld amount (amount whitheld in month…......, year …......)</t>
  </si>
  <si>
    <t>Fuel Charges as certified by UPJN</t>
  </si>
  <si>
    <t>11 
(5+6+7+8-9+10)</t>
  </si>
  <si>
    <t>Deduct Mobilization advance</t>
  </si>
  <si>
    <t>Grand total certified by OM&amp;M Cell</t>
  </si>
  <si>
    <t>Verified amount by OM&amp;M Cell</t>
  </si>
  <si>
    <t>LD recommended by OM&amp;M Cell</t>
  </si>
  <si>
    <t>Total verified amount</t>
  </si>
  <si>
    <t>Variable cost</t>
  </si>
  <si>
    <t>i</t>
  </si>
  <si>
    <t>Fixed Cost</t>
  </si>
  <si>
    <t>STP Capacity (MLD)</t>
  </si>
  <si>
    <t>Verified amount 
(11+14+17+20)</t>
  </si>
  <si>
    <t>Variable Cost (40%)</t>
  </si>
  <si>
    <t>j = (g+h)</t>
  </si>
  <si>
    <t>Escalation @ 5% 1st Year</t>
  </si>
  <si>
    <t>7 (5+6)*5%</t>
  </si>
  <si>
    <t>Escalation @ 5% 2nd Year</t>
  </si>
  <si>
    <t>Lucknow</t>
  </si>
  <si>
    <t>Amount Of 
42 Mld Stp</t>
  </si>
  <si>
    <t>Grand Total(7+22)</t>
  </si>
  <si>
    <t>Amount Of 
14 Mld Stp</t>
  </si>
  <si>
    <t>Grand Total (7+22)</t>
  </si>
  <si>
    <t>LD as recommeded by OM&amp;M cell on quality parameters (rounded off to next thousand)</t>
  </si>
  <si>
    <t>Ø-l-</t>
  </si>
  <si>
    <t>isesUV lfVZfQdsV@fcy dk fooj.k</t>
  </si>
  <si>
    <t xml:space="preserve">isesUV lfVZfQdsV@fcy ds lkis{k voeqDr dh tkus okyh /kujkf'k </t>
  </si>
  <si>
    <r>
      <t xml:space="preserve">¶;wy pktsZl </t>
    </r>
    <r>
      <rPr>
        <sz val="10"/>
        <color theme="1"/>
        <rFont val="Times New Roman"/>
        <family val="1"/>
      </rPr>
      <t>(As per actual Certified by UPJN)</t>
    </r>
  </si>
  <si>
    <t>;ksx ¼1$2$3$4½</t>
  </si>
  <si>
    <t>m0ç0 ty fuxe dks vkoafVr dh tkus okyh /kujkf'k</t>
  </si>
  <si>
    <t>vkoafVr dh tkus okyh /kujkf'k esa ls ,LØks ,dkmaV esa çcU/k funs'kd] m0ç0 ty fuxe }kjk tek dh tkus okyh /kujkf'k dk fooj.k</t>
  </si>
  <si>
    <t xml:space="preserve">Other LD recommended by UPJN and Jal Kal </t>
  </si>
  <si>
    <t xml:space="preserve"> Total vertified Amount</t>
  </si>
  <si>
    <t>GST @ 18 %</t>
  </si>
  <si>
    <t>TPI</t>
  </si>
  <si>
    <t>UPPCB</t>
  </si>
  <si>
    <t>Escalation @ 5% 3rd Year</t>
  </si>
  <si>
    <t>8=(5+6+7)*5%</t>
  </si>
  <si>
    <t>9= (5+6+7_8)</t>
  </si>
  <si>
    <t>11 (9+10)</t>
  </si>
  <si>
    <t>12 (18% * 11)</t>
  </si>
  <si>
    <t>13 (10% * 11)</t>
  </si>
  <si>
    <t>16 (11+12+13+14-15)</t>
  </si>
  <si>
    <r>
      <t>38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Payment Certificate/ Bill-</t>
    </r>
    <r>
      <rPr>
        <b/>
        <sz val="11"/>
        <color theme="1"/>
        <rFont val="Times New Roman"/>
        <family val="1"/>
      </rPr>
      <t>December- 2022</t>
    </r>
  </si>
  <si>
    <t>(Balance Payment)</t>
  </si>
  <si>
    <r>
      <t>39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Payment Certificate/ Bill-</t>
    </r>
    <r>
      <rPr>
        <b/>
        <sz val="11"/>
        <color theme="1"/>
        <rFont val="Times New Roman"/>
        <family val="1"/>
      </rPr>
      <t>January- 2023</t>
    </r>
  </si>
  <si>
    <r>
      <t>40</t>
    </r>
    <r>
      <rPr>
        <vertAlign val="superscript"/>
        <sz val="11"/>
        <color theme="1"/>
        <rFont val="Times New Roman"/>
        <family val="1"/>
      </rPr>
      <t>th</t>
    </r>
    <r>
      <rPr>
        <sz val="11"/>
        <color theme="1"/>
        <rFont val="Times New Roman"/>
        <family val="1"/>
      </rPr>
      <t xml:space="preserve"> Payment Certificate/ Bill-</t>
    </r>
    <r>
      <rPr>
        <b/>
        <sz val="11"/>
        <color theme="1"/>
        <rFont val="Times New Roman"/>
        <family val="1"/>
      </rPr>
      <t>February- 2023</t>
    </r>
  </si>
  <si>
    <r>
      <t xml:space="preserve">th0,l0Vh0 </t>
    </r>
    <r>
      <rPr>
        <b/>
        <sz val="10"/>
        <color theme="1"/>
        <rFont val="Times New Roman"/>
        <family val="1"/>
      </rPr>
      <t>(18%)</t>
    </r>
  </si>
  <si>
    <r>
      <t xml:space="preserve">m0iz0 ty fuxe dks ns; lasVst @lqijohtu pktsZl </t>
    </r>
    <r>
      <rPr>
        <b/>
        <sz val="10"/>
        <color theme="1"/>
        <rFont val="Times New Roman"/>
        <family val="1"/>
      </rPr>
      <t>(10%)</t>
    </r>
  </si>
  <si>
    <t>Lucknow Payment for the month of MARCH 2023 (As Per VoL -1, Section IV, Clause 39)</t>
  </si>
  <si>
    <t>Fix Charges (60%)</t>
  </si>
  <si>
    <t>Releasing withheld amount Rs. 40,00,000.00 vide EE, C.D. (E/M), UPJN (U), Lko. Letter No-485/W-6/61 dated 19.04.2023 which was withheld from the bill of month August-2022 vide letter no- 1273/W-6/186 dated 16.09.2022 (RA Bill No-41th -March-2023)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</si>
</sst>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 * #,##0.00_ ;_ * \-#,##0.00_ ;_ * &quot;-&quot;??_ ;_ @_ "/>
    <numFmt numFmtId="164" formatCode="0.000"/>
    <numFmt numFmtId="165" formatCode="[$-409]d\-mmm\-yy;@"/>
  </numFmts>
  <fonts count="2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sz val="12"/>
      <name val="Times New Roman"/>
      <family val="1"/>
    </font>
    <font>
      <b/>
      <sz val="14"/>
      <color theme="1"/>
      <name val="Kruti Dev 010"/>
    </font>
    <font>
      <sz val="10"/>
      <color theme="1"/>
      <name val="Times New Roman"/>
      <family val="1"/>
    </font>
    <font>
      <b/>
      <sz val="11"/>
      <color theme="1"/>
      <name val="Times New Roman"/>
      <family val="1"/>
    </font>
    <font>
      <b/>
      <sz val="10"/>
      <color theme="1"/>
      <name val="Times New Roman"/>
      <family val="1"/>
    </font>
    <font>
      <sz val="11"/>
      <color theme="1"/>
      <name val="Times New Roman"/>
      <family val="1"/>
    </font>
    <font>
      <sz val="14"/>
      <color theme="1"/>
      <name val="Kruti Dev 010"/>
    </font>
    <font>
      <b/>
      <sz val="14"/>
      <color theme="1"/>
      <name val="Times New Roman"/>
      <family val="1"/>
    </font>
    <font>
      <sz val="11"/>
      <color theme="1"/>
      <name val="Calibri"/>
      <family val="2"/>
      <scheme val="minor"/>
    </font>
    <font>
      <vertAlign val="superscript"/>
      <sz val="11"/>
      <color theme="1"/>
      <name val="Times New Roman"/>
      <family val="1"/>
    </font>
    <font>
      <b/>
      <sz val="10.5"/>
      <color theme="1"/>
      <name val="Times New Roman"/>
      <family val="1"/>
    </font>
    <font>
      <b/>
      <sz val="10.5"/>
      <color rgb="FF000000"/>
      <name val="Times New Roman"/>
      <family val="1"/>
    </font>
    <font>
      <b/>
      <sz val="11"/>
      <color rgb="FF000000"/>
      <name val="Times New Roman"/>
      <family val="1"/>
    </font>
    <font>
      <i/>
      <sz val="12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37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1" fillId="0" borderId="0" xfId="0" applyFont="1"/>
    <xf numFmtId="2" fontId="0" fillId="0" borderId="0" xfId="0" applyNumberFormat="1"/>
    <xf numFmtId="1" fontId="1" fillId="0" borderId="0" xfId="0" applyNumberFormat="1" applyFont="1"/>
    <xf numFmtId="0" fontId="6" fillId="0" borderId="0" xfId="0" applyFont="1" applyAlignment="1">
      <alignment vertical="top" wrapText="1"/>
    </xf>
    <xf numFmtId="2" fontId="4" fillId="0" borderId="1" xfId="0" applyNumberFormat="1" applyFont="1" applyBorder="1"/>
    <xf numFmtId="0" fontId="2" fillId="0" borderId="0" xfId="0" applyFont="1"/>
    <xf numFmtId="2" fontId="0" fillId="2" borderId="1" xfId="0" applyNumberFormat="1" applyFill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vertical="center"/>
    </xf>
    <xf numFmtId="2" fontId="1" fillId="2" borderId="1" xfId="0" applyNumberFormat="1" applyFont="1" applyFill="1" applyBorder="1" applyAlignment="1">
      <alignment horizontal="center" vertical="center"/>
    </xf>
    <xf numFmtId="2" fontId="4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2" fontId="4" fillId="0" borderId="0" xfId="0" applyNumberFormat="1" applyFont="1"/>
    <xf numFmtId="2" fontId="4" fillId="0" borderId="0" xfId="0" applyNumberFormat="1" applyFont="1" applyAlignment="1">
      <alignment horizontal="right"/>
    </xf>
    <xf numFmtId="2" fontId="4" fillId="0" borderId="1" xfId="0" applyNumberFormat="1" applyFont="1" applyBorder="1" applyAlignment="1">
      <alignment horizontal="center"/>
    </xf>
    <xf numFmtId="165" fontId="0" fillId="2" borderId="1" xfId="0" applyNumberFormat="1" applyFill="1" applyBorder="1" applyAlignment="1">
      <alignment horizontal="center" vertical="center"/>
    </xf>
    <xf numFmtId="0" fontId="4" fillId="2" borderId="0" xfId="0" applyFont="1" applyFill="1"/>
    <xf numFmtId="0" fontId="0" fillId="2" borderId="0" xfId="0" applyFill="1"/>
    <xf numFmtId="165" fontId="0" fillId="3" borderId="1" xfId="0" applyNumberFormat="1" applyFill="1" applyBorder="1" applyAlignment="1">
      <alignment horizontal="center" vertical="center"/>
    </xf>
    <xf numFmtId="2" fontId="0" fillId="3" borderId="1" xfId="0" applyNumberFormat="1" applyFill="1" applyBorder="1" applyAlignment="1">
      <alignment horizontal="center" vertical="center"/>
    </xf>
    <xf numFmtId="0" fontId="4" fillId="3" borderId="0" xfId="0" applyFont="1" applyFill="1"/>
    <xf numFmtId="0" fontId="0" fillId="3" borderId="0" xfId="0" applyFill="1"/>
    <xf numFmtId="2" fontId="7" fillId="2" borderId="1" xfId="0" applyNumberFormat="1" applyFont="1" applyFill="1" applyBorder="1" applyAlignment="1">
      <alignment horizontal="center" vertical="center"/>
    </xf>
    <xf numFmtId="0" fontId="2" fillId="2" borderId="0" xfId="0" applyFont="1" applyFill="1"/>
    <xf numFmtId="2" fontId="7" fillId="3" borderId="1" xfId="0" applyNumberFormat="1" applyFont="1" applyFill="1" applyBorder="1" applyAlignment="1">
      <alignment horizontal="center" vertical="center"/>
    </xf>
    <xf numFmtId="0" fontId="2" fillId="3" borderId="0" xfId="0" applyFont="1" applyFill="1"/>
    <xf numFmtId="164" fontId="7" fillId="2" borderId="1" xfId="0" applyNumberFormat="1" applyFont="1" applyFill="1" applyBorder="1" applyAlignment="1">
      <alignment horizontal="center" vertical="center"/>
    </xf>
    <xf numFmtId="164" fontId="7" fillId="3" borderId="1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43" fontId="10" fillId="0" borderId="1" xfId="1" applyFont="1" applyBorder="1" applyAlignment="1">
      <alignment horizontal="center" vertical="center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left" vertical="center"/>
    </xf>
    <xf numFmtId="2" fontId="0" fillId="4" borderId="1" xfId="0" applyNumberFormat="1" applyFill="1" applyBorder="1" applyAlignment="1">
      <alignment horizontal="center" vertical="center"/>
    </xf>
    <xf numFmtId="43" fontId="0" fillId="0" borderId="0" xfId="0" applyNumberFormat="1"/>
    <xf numFmtId="43" fontId="12" fillId="0" borderId="1" xfId="1" applyFont="1" applyBorder="1" applyAlignment="1">
      <alignment horizontal="center" vertical="center"/>
    </xf>
    <xf numFmtId="43" fontId="11" fillId="0" borderId="1" xfId="1" applyFont="1" applyBorder="1" applyAlignment="1">
      <alignment horizontal="center" vertical="center"/>
    </xf>
    <xf numFmtId="0" fontId="17" fillId="0" borderId="14" xfId="0" applyFont="1" applyBorder="1" applyAlignment="1">
      <alignment horizontal="center" vertical="center" wrapText="1"/>
    </xf>
    <xf numFmtId="0" fontId="15" fillId="0" borderId="11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18" fillId="0" borderId="11" xfId="0" applyFont="1" applyBorder="1" applyAlignment="1">
      <alignment horizontal="justify" vertical="center" wrapText="1"/>
    </xf>
    <xf numFmtId="0" fontId="18" fillId="0" borderId="11" xfId="0" applyFont="1" applyBorder="1" applyAlignment="1">
      <alignment vertical="center" wrapText="1"/>
    </xf>
    <xf numFmtId="0" fontId="13" fillId="0" borderId="11" xfId="0" applyFont="1" applyBorder="1" applyAlignment="1">
      <alignment horizontal="right" vertical="center" wrapText="1"/>
    </xf>
    <xf numFmtId="43" fontId="14" fillId="0" borderId="11" xfId="0" applyNumberFormat="1" applyFont="1" applyBorder="1" applyAlignment="1">
      <alignment horizontal="center" vertical="center" wrapText="1"/>
    </xf>
    <xf numFmtId="43" fontId="14" fillId="0" borderId="11" xfId="1" applyFont="1" applyBorder="1" applyAlignment="1">
      <alignment vertical="center" wrapText="1"/>
    </xf>
    <xf numFmtId="43" fontId="22" fillId="0" borderId="11" xfId="0" applyNumberFormat="1" applyFont="1" applyBorder="1" applyAlignment="1">
      <alignment horizontal="center" vertical="center" wrapText="1"/>
    </xf>
    <xf numFmtId="43" fontId="14" fillId="0" borderId="17" xfId="0" applyNumberFormat="1" applyFont="1" applyBorder="1" applyAlignment="1">
      <alignment horizontal="center" vertical="center" wrapText="1"/>
    </xf>
    <xf numFmtId="43" fontId="14" fillId="0" borderId="17" xfId="1" applyFont="1" applyBorder="1" applyAlignment="1">
      <alignment vertical="center" wrapText="1"/>
    </xf>
    <xf numFmtId="43" fontId="23" fillId="0" borderId="17" xfId="0" applyNumberFormat="1" applyFont="1" applyBorder="1" applyAlignment="1">
      <alignment horizontal="center" vertical="center" wrapText="1"/>
    </xf>
    <xf numFmtId="43" fontId="14" fillId="0" borderId="1" xfId="0" applyNumberFormat="1" applyFont="1" applyBorder="1" applyAlignment="1">
      <alignment horizontal="center" vertical="center" wrapText="1"/>
    </xf>
    <xf numFmtId="43" fontId="23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 applyAlignment="1">
      <alignment vertical="center"/>
    </xf>
    <xf numFmtId="9" fontId="1" fillId="0" borderId="1" xfId="0" applyNumberFormat="1" applyFon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9" fontId="1" fillId="0" borderId="1" xfId="0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/>
    </xf>
    <xf numFmtId="2" fontId="7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1" fontId="0" fillId="3" borderId="1" xfId="0" applyNumberForma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 wrapText="1"/>
    </xf>
    <xf numFmtId="0" fontId="11" fillId="0" borderId="3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9" fillId="2" borderId="8" xfId="0" applyFont="1" applyFill="1" applyBorder="1" applyAlignment="1">
      <alignment horizontal="center"/>
    </xf>
    <xf numFmtId="0" fontId="0" fillId="2" borderId="1" xfId="0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right" vertical="center"/>
    </xf>
    <xf numFmtId="2" fontId="1" fillId="2" borderId="1" xfId="0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2" fontId="7" fillId="2" borderId="1" xfId="0" applyNumberFormat="1" applyFont="1" applyFill="1" applyBorder="1" applyAlignment="1">
      <alignment horizontal="left" vertical="center"/>
    </xf>
    <xf numFmtId="2" fontId="7" fillId="2" borderId="1" xfId="0" applyNumberFormat="1" applyFont="1" applyFill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3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10" fillId="0" borderId="2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2" fontId="5" fillId="0" borderId="1" xfId="0" applyNumberFormat="1" applyFont="1" applyBorder="1" applyAlignment="1">
      <alignment horizontal="center" vertical="center" wrapText="1"/>
    </xf>
    <xf numFmtId="2" fontId="4" fillId="0" borderId="5" xfId="0" applyNumberFormat="1" applyFont="1" applyBorder="1" applyAlignment="1">
      <alignment horizontal="center" vertical="center"/>
    </xf>
    <xf numFmtId="2" fontId="4" fillId="0" borderId="7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7" fillId="0" borderId="12" xfId="0" applyFont="1" applyBorder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43" fontId="24" fillId="0" borderId="15" xfId="0" applyNumberFormat="1" applyFont="1" applyBorder="1" applyAlignment="1">
      <alignment vertical="center" wrapText="1"/>
    </xf>
    <xf numFmtId="0" fontId="24" fillId="0" borderId="16" xfId="0" applyFont="1" applyBorder="1" applyAlignment="1">
      <alignment vertical="center" wrapText="1"/>
    </xf>
    <xf numFmtId="0" fontId="24" fillId="0" borderId="10" xfId="0" applyFont="1" applyBorder="1" applyAlignment="1">
      <alignment vertical="center" wrapText="1"/>
    </xf>
    <xf numFmtId="43" fontId="15" fillId="0" borderId="15" xfId="1" applyFont="1" applyBorder="1" applyAlignment="1">
      <alignment horizontal="center" vertical="center" wrapText="1"/>
    </xf>
    <xf numFmtId="43" fontId="15" fillId="0" borderId="16" xfId="1" applyFont="1" applyBorder="1" applyAlignment="1">
      <alignment horizontal="center" vertical="center" wrapText="1"/>
    </xf>
    <xf numFmtId="43" fontId="15" fillId="0" borderId="10" xfId="1" applyFont="1" applyBorder="1" applyAlignment="1">
      <alignment horizontal="center" vertical="center" wrapText="1"/>
    </xf>
    <xf numFmtId="0" fontId="13" fillId="0" borderId="12" xfId="0" applyFont="1" applyBorder="1" applyAlignment="1">
      <alignment horizontal="center" vertical="center" wrapText="1"/>
    </xf>
    <xf numFmtId="0" fontId="13" fillId="0" borderId="13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BILL%20DETAILS\Checked%20Bill%20March-2023\12.22%20lko.xlsx" TargetMode="External"/><Relationship Id="rId1" Type="http://schemas.openxmlformats.org/officeDocument/2006/relationships/externalLinkPath" Target="file:///D:\BILL%20DETAILS\Checked%20Bill%20March-2023\12.22%20lko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OM&amp;M%20CELL\Desktop\Checked%20Bill%20March-2023\02.23%20lko.xlsx" TargetMode="External"/><Relationship Id="rId1" Type="http://schemas.openxmlformats.org/officeDocument/2006/relationships/externalLinkPath" Target="file:///D:\BILL%20DETAILS\Checked%20Bill%20March-2023\02.23%20lk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345 MLD"/>
      <sheetName val="42 MLd"/>
      <sheetName val="14 MLD"/>
      <sheetName val="Sheet1"/>
    </sheetNames>
    <sheetDataSet>
      <sheetData sheetId="0">
        <row r="24">
          <cell r="K24">
            <v>3743569.89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345 MLD"/>
      <sheetName val="42 MLd"/>
      <sheetName val="14 MLD"/>
      <sheetName val="Sheet1"/>
    </sheetNames>
    <sheetDataSet>
      <sheetData sheetId="0">
        <row r="24">
          <cell r="K24">
            <v>74705919.709999993</v>
          </cell>
        </row>
        <row r="27">
          <cell r="K27">
            <v>315840</v>
          </cell>
        </row>
      </sheetData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A31"/>
  <sheetViews>
    <sheetView tabSelected="1" topLeftCell="A20" workbookViewId="0">
      <selection activeCell="K29" sqref="K29"/>
    </sheetView>
  </sheetViews>
  <sheetFormatPr defaultRowHeight="15" x14ac:dyDescent="0.25"/>
  <cols>
    <col min="2" max="2" width="12.140625" customWidth="1"/>
    <col min="3" max="3" width="10.85546875" customWidth="1"/>
    <col min="4" max="4" width="9.28515625" bestFit="1" customWidth="1"/>
    <col min="5" max="5" width="15.42578125" bestFit="1" customWidth="1"/>
    <col min="6" max="6" width="12.85546875" customWidth="1"/>
    <col min="7" max="7" width="14.28515625" customWidth="1"/>
    <col min="8" max="8" width="13.140625" bestFit="1" customWidth="1"/>
    <col min="9" max="9" width="14.28515625" bestFit="1" customWidth="1"/>
    <col min="10" max="10" width="16.140625" customWidth="1"/>
    <col min="11" max="11" width="19" customWidth="1"/>
    <col min="12" max="16" width="20" customWidth="1"/>
    <col min="24" max="24" width="0" hidden="1" customWidth="1"/>
    <col min="25" max="25" width="19.7109375" hidden="1" customWidth="1"/>
    <col min="26" max="26" width="0" hidden="1" customWidth="1"/>
    <col min="27" max="27" width="17" hidden="1" customWidth="1"/>
  </cols>
  <sheetData>
    <row r="1" spans="1:27" ht="18.75" x14ac:dyDescent="0.3">
      <c r="A1" s="111" t="s">
        <v>108</v>
      </c>
      <c r="B1" s="111"/>
      <c r="C1" s="111"/>
      <c r="D1" s="111"/>
      <c r="E1" s="111"/>
      <c r="F1" s="111"/>
      <c r="G1" s="111"/>
      <c r="H1" s="111"/>
      <c r="I1" s="111"/>
      <c r="J1" s="111"/>
      <c r="K1" s="111"/>
      <c r="L1" s="18"/>
      <c r="M1" s="18"/>
      <c r="N1" s="18"/>
      <c r="O1" s="18"/>
      <c r="P1" s="18"/>
      <c r="Q1" s="10"/>
      <c r="R1" s="10"/>
    </row>
    <row r="2" spans="1:27" x14ac:dyDescent="0.25">
      <c r="G2" s="5"/>
      <c r="H2" s="5"/>
      <c r="I2" s="5"/>
    </row>
    <row r="4" spans="1:27" ht="18.75" customHeight="1" x14ac:dyDescent="0.25">
      <c r="A4" s="1"/>
      <c r="B4" s="1"/>
      <c r="C4" s="1"/>
      <c r="D4" s="1"/>
      <c r="E4" s="1"/>
      <c r="F4" s="1"/>
      <c r="G4" s="80" t="s">
        <v>17</v>
      </c>
      <c r="H4" s="80"/>
      <c r="I4" s="80"/>
      <c r="J4" s="80"/>
    </row>
    <row r="5" spans="1:27" ht="30" customHeight="1" x14ac:dyDescent="0.25">
      <c r="A5" s="108" t="s">
        <v>0</v>
      </c>
      <c r="B5" s="81" t="s">
        <v>1</v>
      </c>
      <c r="C5" s="81" t="s">
        <v>2</v>
      </c>
      <c r="D5" s="81" t="s">
        <v>70</v>
      </c>
      <c r="E5" s="81" t="s">
        <v>18</v>
      </c>
      <c r="F5" s="81" t="s">
        <v>19</v>
      </c>
      <c r="G5" s="81" t="s">
        <v>20</v>
      </c>
      <c r="H5" s="115" t="s">
        <v>64</v>
      </c>
      <c r="I5" s="116"/>
      <c r="J5" s="81" t="s">
        <v>65</v>
      </c>
      <c r="K5" s="81" t="s">
        <v>66</v>
      </c>
      <c r="L5" s="19"/>
      <c r="M5" s="19"/>
      <c r="N5" s="19"/>
      <c r="O5" s="19"/>
      <c r="P5" s="19"/>
    </row>
    <row r="6" spans="1:27" ht="30" customHeight="1" x14ac:dyDescent="0.25">
      <c r="A6" s="109"/>
      <c r="B6" s="82"/>
      <c r="C6" s="82"/>
      <c r="D6" s="82"/>
      <c r="E6" s="82"/>
      <c r="F6" s="82"/>
      <c r="G6" s="82"/>
      <c r="H6" s="13" t="s">
        <v>69</v>
      </c>
      <c r="I6" s="13" t="s">
        <v>67</v>
      </c>
      <c r="J6" s="82"/>
      <c r="K6" s="82"/>
      <c r="L6" s="19"/>
      <c r="M6" s="19"/>
      <c r="N6" s="19"/>
      <c r="O6" s="19"/>
      <c r="P6" s="19"/>
    </row>
    <row r="7" spans="1:27" ht="15.75" x14ac:dyDescent="0.25">
      <c r="A7" s="110"/>
      <c r="B7" s="3" t="s">
        <v>3</v>
      </c>
      <c r="C7" s="3" t="s">
        <v>4</v>
      </c>
      <c r="D7" s="3" t="s">
        <v>5</v>
      </c>
      <c r="E7" s="3" t="s">
        <v>6</v>
      </c>
      <c r="F7" s="3" t="s">
        <v>7</v>
      </c>
      <c r="G7" s="3" t="s">
        <v>8</v>
      </c>
      <c r="H7" s="3" t="s">
        <v>9</v>
      </c>
      <c r="I7" s="12" t="s">
        <v>10</v>
      </c>
      <c r="J7" s="13" t="s">
        <v>68</v>
      </c>
      <c r="K7" s="13" t="s">
        <v>73</v>
      </c>
      <c r="L7" s="19"/>
      <c r="M7" s="19"/>
      <c r="N7" s="19"/>
      <c r="O7" s="19"/>
      <c r="P7" s="19"/>
    </row>
    <row r="8" spans="1:27" ht="15.75" x14ac:dyDescent="0.25">
      <c r="A8" s="2">
        <v>1</v>
      </c>
      <c r="B8" s="108" t="s">
        <v>77</v>
      </c>
      <c r="C8" s="108" t="s">
        <v>77</v>
      </c>
      <c r="D8" s="3">
        <v>345</v>
      </c>
      <c r="E8" s="112">
        <v>775016000</v>
      </c>
      <c r="F8" s="113">
        <f>E8/D11/12</f>
        <v>161059.01999999999</v>
      </c>
      <c r="G8" s="9">
        <f>F11*D8</f>
        <v>55565361.899999999</v>
      </c>
      <c r="H8" s="9">
        <f>'345 MLD'!G37</f>
        <v>33049279.809999999</v>
      </c>
      <c r="I8" s="9">
        <f>'345 MLD'!V37</f>
        <v>21925307.25</v>
      </c>
      <c r="J8" s="9">
        <f>'345 MLD'!W37</f>
        <v>55565.36</v>
      </c>
      <c r="K8" s="9">
        <f t="shared" ref="K8:K9" si="0">I8+H8</f>
        <v>54974587.060000002</v>
      </c>
      <c r="L8" s="20"/>
      <c r="M8" s="20"/>
      <c r="N8" s="20"/>
      <c r="O8" s="20"/>
      <c r="P8" s="20"/>
    </row>
    <row r="9" spans="1:27" ht="15.75" x14ac:dyDescent="0.25">
      <c r="A9" s="2">
        <v>2</v>
      </c>
      <c r="B9" s="109"/>
      <c r="C9" s="109"/>
      <c r="D9" s="3">
        <v>42</v>
      </c>
      <c r="E9" s="112"/>
      <c r="F9" s="114"/>
      <c r="G9" s="9">
        <f>F11*D9</f>
        <v>6764478.8399999999</v>
      </c>
      <c r="H9" s="9">
        <f>'42 MLd'!G37</f>
        <v>4058687.09</v>
      </c>
      <c r="I9" s="9">
        <f>'42 MLd'!V37</f>
        <v>2705791.6</v>
      </c>
      <c r="J9" s="9">
        <f>'42 MLd'!W37</f>
        <v>0</v>
      </c>
      <c r="K9" s="9">
        <f t="shared" si="0"/>
        <v>6764478.6900000004</v>
      </c>
      <c r="L9" s="20"/>
      <c r="M9" s="20"/>
      <c r="N9" s="20"/>
      <c r="O9" s="20"/>
      <c r="P9" s="20"/>
    </row>
    <row r="10" spans="1:27" ht="15.75" x14ac:dyDescent="0.25">
      <c r="A10" s="2">
        <v>3</v>
      </c>
      <c r="B10" s="110"/>
      <c r="C10" s="110"/>
      <c r="D10" s="3">
        <v>14</v>
      </c>
      <c r="E10" s="112"/>
      <c r="F10" s="114"/>
      <c r="G10" s="9">
        <f>F11*D10</f>
        <v>2254826.2799999998</v>
      </c>
      <c r="H10" s="9">
        <f>'14 MLD'!G37</f>
        <v>1352895.8</v>
      </c>
      <c r="I10" s="9">
        <f>'14 MLD'!V37</f>
        <v>901930.43</v>
      </c>
      <c r="J10" s="9">
        <f>'14 MLD'!W37</f>
        <v>0</v>
      </c>
      <c r="K10" s="9">
        <f>I10+H10</f>
        <v>2254826.23</v>
      </c>
      <c r="L10" s="20"/>
      <c r="M10" s="20"/>
      <c r="N10" s="20"/>
      <c r="O10" s="20"/>
      <c r="P10" s="20"/>
      <c r="Q10" s="5"/>
      <c r="R10" s="5"/>
      <c r="S10" s="5"/>
      <c r="T10" s="5"/>
      <c r="U10" s="5"/>
      <c r="V10" s="5"/>
      <c r="W10" s="5"/>
      <c r="X10" s="5"/>
    </row>
    <row r="11" spans="1:27" ht="15.75" x14ac:dyDescent="0.25">
      <c r="A11" s="4"/>
      <c r="B11" s="4"/>
      <c r="C11" s="4"/>
      <c r="D11" s="2">
        <f>SUM(D8:D10)</f>
        <v>401</v>
      </c>
      <c r="E11" s="9">
        <f>SUM(E8)</f>
        <v>775016000</v>
      </c>
      <c r="F11" s="22">
        <f>SUM(F8)</f>
        <v>161059.01999999999</v>
      </c>
      <c r="G11" s="9">
        <f>SUM(G8:G10)</f>
        <v>64584667.020000003</v>
      </c>
      <c r="H11" s="9">
        <f>SUM(H8:H10)</f>
        <v>38460862.700000003</v>
      </c>
      <c r="I11" s="9">
        <f>SUM(I8:I10)</f>
        <v>25533029.280000001</v>
      </c>
      <c r="J11" s="9">
        <f>SUM(J8:J10)</f>
        <v>55565.36</v>
      </c>
      <c r="K11" s="17">
        <f>SUM(K8:K10)</f>
        <v>63993891.979999997</v>
      </c>
      <c r="L11" s="21">
        <f>G11-K11</f>
        <v>590775.04000000004</v>
      </c>
      <c r="M11" s="21"/>
      <c r="N11" s="21"/>
      <c r="O11" s="21"/>
      <c r="P11" s="21"/>
      <c r="Q11" s="8"/>
      <c r="R11" s="5"/>
      <c r="S11" s="5"/>
      <c r="T11" s="5"/>
      <c r="U11" s="5"/>
      <c r="V11" s="5"/>
      <c r="W11" s="5"/>
      <c r="X11" s="5"/>
    </row>
    <row r="12" spans="1:27" x14ac:dyDescent="0.25">
      <c r="J12" s="7"/>
      <c r="Q12" s="8"/>
    </row>
    <row r="13" spans="1:27" ht="39" customHeight="1" x14ac:dyDescent="0.35">
      <c r="B13" s="99" t="s">
        <v>43</v>
      </c>
      <c r="C13" s="100"/>
      <c r="D13" s="100"/>
      <c r="E13" s="100"/>
      <c r="F13" s="100"/>
      <c r="G13" s="100"/>
      <c r="H13" s="100"/>
      <c r="I13" s="100"/>
      <c r="J13" s="101"/>
      <c r="K13" s="36" t="s">
        <v>91</v>
      </c>
      <c r="X13" s="89" t="s">
        <v>44</v>
      </c>
      <c r="Y13" s="89"/>
      <c r="Z13" s="89"/>
      <c r="AA13" s="89"/>
    </row>
    <row r="14" spans="1:27" ht="20.25" customHeight="1" x14ac:dyDescent="0.25">
      <c r="B14" s="83">
        <v>1</v>
      </c>
      <c r="C14" s="84"/>
      <c r="D14" s="85" t="s">
        <v>45</v>
      </c>
      <c r="E14" s="86"/>
      <c r="F14" s="86"/>
      <c r="G14" s="86"/>
      <c r="H14" s="86"/>
      <c r="I14" s="86"/>
      <c r="J14" s="87"/>
      <c r="K14" s="44">
        <f>+K11</f>
        <v>63993891.979999997</v>
      </c>
      <c r="X14" s="14">
        <v>1</v>
      </c>
      <c r="Y14" s="90" t="s">
        <v>45</v>
      </c>
      <c r="Z14" s="90"/>
      <c r="AA14" s="11">
        <v>24459503.629999999</v>
      </c>
    </row>
    <row r="15" spans="1:27" ht="20.25" customHeight="1" x14ac:dyDescent="0.25">
      <c r="B15" s="83">
        <v>2</v>
      </c>
      <c r="C15" s="84"/>
      <c r="D15" s="85" t="s">
        <v>82</v>
      </c>
      <c r="E15" s="86"/>
      <c r="F15" s="86"/>
      <c r="G15" s="86"/>
      <c r="H15" s="86"/>
      <c r="I15" s="86"/>
      <c r="J15" s="87"/>
      <c r="K15" s="44">
        <f>ROUND(J11/1000,0)*1000</f>
        <v>56000</v>
      </c>
      <c r="R15" s="6"/>
      <c r="X15" s="14">
        <v>2</v>
      </c>
      <c r="Y15" s="90" t="s">
        <v>46</v>
      </c>
      <c r="Z15" s="90"/>
      <c r="AA15" s="11">
        <v>3570024</v>
      </c>
    </row>
    <row r="16" spans="1:27" ht="20.25" customHeight="1" x14ac:dyDescent="0.25">
      <c r="B16" s="83">
        <v>3</v>
      </c>
      <c r="C16" s="84"/>
      <c r="D16" s="85" t="s">
        <v>90</v>
      </c>
      <c r="E16" s="86"/>
      <c r="F16" s="86"/>
      <c r="G16" s="86"/>
      <c r="H16" s="86"/>
      <c r="I16" s="86"/>
      <c r="J16" s="87"/>
      <c r="K16" s="44">
        <v>350000</v>
      </c>
      <c r="R16" s="6"/>
      <c r="X16" s="14">
        <v>3</v>
      </c>
      <c r="Y16" s="95" t="s">
        <v>47</v>
      </c>
      <c r="Z16" s="96"/>
      <c r="AA16" s="11"/>
    </row>
    <row r="17" spans="2:27" ht="54.75" customHeight="1" x14ac:dyDescent="0.25">
      <c r="B17" s="83">
        <v>4</v>
      </c>
      <c r="C17" s="84"/>
      <c r="D17" s="102" t="s">
        <v>110</v>
      </c>
      <c r="E17" s="103"/>
      <c r="F17" s="103"/>
      <c r="G17" s="103"/>
      <c r="H17" s="103"/>
      <c r="I17" s="103"/>
      <c r="J17" s="104"/>
      <c r="K17" s="44">
        <v>4000000</v>
      </c>
      <c r="X17" s="15" t="s">
        <v>48</v>
      </c>
      <c r="Y17" s="91" t="s">
        <v>49</v>
      </c>
      <c r="Z17" s="91"/>
      <c r="AA17" s="16">
        <f>AA14-AA15-AA16</f>
        <v>20889479.629999999</v>
      </c>
    </row>
    <row r="18" spans="2:27" ht="20.25" customHeight="1" x14ac:dyDescent="0.25">
      <c r="B18" s="83" t="s">
        <v>50</v>
      </c>
      <c r="C18" s="84"/>
      <c r="D18" s="105" t="s">
        <v>51</v>
      </c>
      <c r="E18" s="106"/>
      <c r="F18" s="106"/>
      <c r="G18" s="106"/>
      <c r="H18" s="106"/>
      <c r="I18" s="106"/>
      <c r="J18" s="107"/>
      <c r="K18" s="37">
        <f>K14-K15+K17-K16</f>
        <v>67587891.980000004</v>
      </c>
      <c r="X18" s="15" t="s">
        <v>38</v>
      </c>
      <c r="Y18" s="90" t="s">
        <v>52</v>
      </c>
      <c r="Z18" s="90"/>
      <c r="AA18" s="11">
        <f>AA17*5%</f>
        <v>1044473.98</v>
      </c>
    </row>
    <row r="19" spans="2:27" ht="20.25" customHeight="1" x14ac:dyDescent="0.25">
      <c r="B19" s="83" t="s">
        <v>53</v>
      </c>
      <c r="C19" s="84"/>
      <c r="D19" s="85" t="s">
        <v>74</v>
      </c>
      <c r="E19" s="86"/>
      <c r="F19" s="86"/>
      <c r="G19" s="86"/>
      <c r="H19" s="86"/>
      <c r="I19" s="86"/>
      <c r="J19" s="87"/>
      <c r="K19" s="44">
        <f>(K18*5/100)</f>
        <v>3379394.6</v>
      </c>
      <c r="X19" s="15" t="s">
        <v>39</v>
      </c>
      <c r="Y19" s="91" t="s">
        <v>54</v>
      </c>
      <c r="Z19" s="91"/>
      <c r="AA19" s="16">
        <f>AA18+AA17</f>
        <v>21933953.609999999</v>
      </c>
    </row>
    <row r="20" spans="2:27" ht="20.25" customHeight="1" x14ac:dyDescent="0.25">
      <c r="B20" s="83" t="s">
        <v>75</v>
      </c>
      <c r="C20" s="84"/>
      <c r="D20" s="85" t="s">
        <v>76</v>
      </c>
      <c r="E20" s="86"/>
      <c r="F20" s="86"/>
      <c r="G20" s="86"/>
      <c r="H20" s="86"/>
      <c r="I20" s="86"/>
      <c r="J20" s="87"/>
      <c r="K20" s="44">
        <f>(K18+K19)*5%</f>
        <v>3548364.33</v>
      </c>
      <c r="M20">
        <v>1257000</v>
      </c>
      <c r="X20" s="15" t="s">
        <v>40</v>
      </c>
      <c r="Y20" s="97" t="s">
        <v>11</v>
      </c>
      <c r="Z20" s="97"/>
      <c r="AA20" s="11">
        <f>AA19*12%</f>
        <v>2632074.4300000002</v>
      </c>
    </row>
    <row r="21" spans="2:27" ht="20.25" customHeight="1" x14ac:dyDescent="0.25">
      <c r="B21" s="38" t="s">
        <v>96</v>
      </c>
      <c r="C21" s="39"/>
      <c r="D21" s="85" t="s">
        <v>95</v>
      </c>
      <c r="E21" s="86"/>
      <c r="F21" s="86"/>
      <c r="G21" s="86"/>
      <c r="H21" s="86"/>
      <c r="I21" s="86"/>
      <c r="J21" s="87"/>
      <c r="K21" s="44">
        <f>(K18+K19+K20)*5%</f>
        <v>3725782.55</v>
      </c>
      <c r="M21">
        <v>1194000</v>
      </c>
      <c r="X21" s="15"/>
      <c r="Y21" s="40"/>
      <c r="Z21" s="40"/>
      <c r="AA21" s="11"/>
    </row>
    <row r="22" spans="2:27" ht="20.25" customHeight="1" x14ac:dyDescent="0.25">
      <c r="B22" s="83" t="s">
        <v>97</v>
      </c>
      <c r="C22" s="84"/>
      <c r="D22" s="105" t="s">
        <v>49</v>
      </c>
      <c r="E22" s="106"/>
      <c r="F22" s="106"/>
      <c r="G22" s="106"/>
      <c r="H22" s="106"/>
      <c r="I22" s="106"/>
      <c r="J22" s="107"/>
      <c r="K22" s="37">
        <f>K19+K18+K20+K21</f>
        <v>78241433.459999993</v>
      </c>
      <c r="M22">
        <f>SUM(M20:M21)</f>
        <v>2451000</v>
      </c>
      <c r="X22" s="15" t="s">
        <v>41</v>
      </c>
      <c r="Y22" s="98" t="s">
        <v>56</v>
      </c>
      <c r="Z22" s="98"/>
      <c r="AA22" s="11">
        <f>AA19*10%</f>
        <v>2193395.36</v>
      </c>
    </row>
    <row r="23" spans="2:27" ht="20.25" customHeight="1" x14ac:dyDescent="0.25">
      <c r="B23" s="83">
        <v>10</v>
      </c>
      <c r="C23" s="84"/>
      <c r="D23" s="85" t="s">
        <v>55</v>
      </c>
      <c r="E23" s="86"/>
      <c r="F23" s="86"/>
      <c r="G23" s="86"/>
      <c r="H23" s="86"/>
      <c r="I23" s="86"/>
      <c r="J23" s="87"/>
      <c r="K23" s="44">
        <v>0</v>
      </c>
      <c r="X23" s="14">
        <v>8</v>
      </c>
      <c r="Y23" s="93" t="s">
        <v>42</v>
      </c>
      <c r="Z23" s="94"/>
      <c r="AA23" s="11">
        <v>1259314</v>
      </c>
    </row>
    <row r="24" spans="2:27" ht="20.25" customHeight="1" x14ac:dyDescent="0.25">
      <c r="B24" s="83" t="s">
        <v>98</v>
      </c>
      <c r="C24" s="84"/>
      <c r="D24" s="105" t="s">
        <v>57</v>
      </c>
      <c r="E24" s="106"/>
      <c r="F24" s="106"/>
      <c r="G24" s="106"/>
      <c r="H24" s="106"/>
      <c r="I24" s="106"/>
      <c r="J24" s="107"/>
      <c r="K24" s="37">
        <f>K23+K22</f>
        <v>78241433.459999993</v>
      </c>
      <c r="M24">
        <v>740000</v>
      </c>
      <c r="X24" s="14">
        <v>9</v>
      </c>
      <c r="Y24" s="90" t="s">
        <v>58</v>
      </c>
      <c r="Z24" s="90"/>
      <c r="AA24" s="11">
        <v>3570024.17</v>
      </c>
    </row>
    <row r="25" spans="2:27" ht="20.25" customHeight="1" x14ac:dyDescent="0.25">
      <c r="B25" s="83" t="s">
        <v>99</v>
      </c>
      <c r="C25" s="84"/>
      <c r="D25" s="85" t="s">
        <v>92</v>
      </c>
      <c r="E25" s="86"/>
      <c r="F25" s="86"/>
      <c r="G25" s="86"/>
      <c r="H25" s="86"/>
      <c r="I25" s="86"/>
      <c r="J25" s="87"/>
      <c r="K25" s="43">
        <f>K24*18%</f>
        <v>14083458.02</v>
      </c>
      <c r="M25">
        <v>833000</v>
      </c>
      <c r="X25" s="14">
        <v>10</v>
      </c>
      <c r="Y25" s="95" t="s">
        <v>59</v>
      </c>
      <c r="Z25" s="96"/>
      <c r="AA25" s="11"/>
    </row>
    <row r="26" spans="2:27" ht="20.25" customHeight="1" x14ac:dyDescent="0.25">
      <c r="B26" s="83" t="s">
        <v>100</v>
      </c>
      <c r="C26" s="84"/>
      <c r="D26" s="85" t="s">
        <v>12</v>
      </c>
      <c r="E26" s="86"/>
      <c r="F26" s="86"/>
      <c r="G26" s="86"/>
      <c r="H26" s="86"/>
      <c r="I26" s="86"/>
      <c r="J26" s="87"/>
      <c r="K26" s="43">
        <f>K24*10%</f>
        <v>7824143.3499999996</v>
      </c>
      <c r="M26">
        <f>M24+M25</f>
        <v>1573000</v>
      </c>
      <c r="X26" s="88" t="s">
        <v>61</v>
      </c>
      <c r="Y26" s="91" t="s">
        <v>13</v>
      </c>
      <c r="Z26" s="91"/>
      <c r="AA26" s="92">
        <f>AA19+AA20+AA22+AA23-AA24</f>
        <v>24448713.23</v>
      </c>
    </row>
    <row r="27" spans="2:27" ht="20.25" customHeight="1" x14ac:dyDescent="0.25">
      <c r="B27" s="83">
        <v>14</v>
      </c>
      <c r="C27" s="84"/>
      <c r="D27" s="85" t="s">
        <v>60</v>
      </c>
      <c r="E27" s="86"/>
      <c r="F27" s="86"/>
      <c r="G27" s="86"/>
      <c r="H27" s="86"/>
      <c r="I27" s="86"/>
      <c r="J27" s="87"/>
      <c r="K27" s="44">
        <v>205596</v>
      </c>
      <c r="X27" s="88"/>
      <c r="Y27" s="91"/>
      <c r="Z27" s="91"/>
      <c r="AA27" s="92"/>
    </row>
    <row r="28" spans="2:27" ht="20.25" customHeight="1" x14ac:dyDescent="0.25">
      <c r="B28" s="83">
        <v>15</v>
      </c>
      <c r="C28" s="84"/>
      <c r="D28" s="85" t="s">
        <v>62</v>
      </c>
      <c r="E28" s="86"/>
      <c r="F28" s="86"/>
      <c r="G28" s="86"/>
      <c r="H28" s="86"/>
      <c r="I28" s="86"/>
      <c r="J28" s="87"/>
      <c r="K28" s="44">
        <v>0</v>
      </c>
    </row>
    <row r="29" spans="2:27" ht="20.25" customHeight="1" x14ac:dyDescent="0.25">
      <c r="B29" s="83" t="s">
        <v>101</v>
      </c>
      <c r="C29" s="84"/>
      <c r="D29" s="105" t="s">
        <v>63</v>
      </c>
      <c r="E29" s="106"/>
      <c r="F29" s="106"/>
      <c r="G29" s="106"/>
      <c r="H29" s="106"/>
      <c r="I29" s="106"/>
      <c r="J29" s="107"/>
      <c r="K29" s="37">
        <f>K24+K25+K26+K27-K28</f>
        <v>100354630.83</v>
      </c>
    </row>
    <row r="30" spans="2:27" x14ac:dyDescent="0.25">
      <c r="J30" s="6"/>
    </row>
    <row r="31" spans="2:27" x14ac:dyDescent="0.25">
      <c r="J31" s="6"/>
      <c r="K31" s="42"/>
    </row>
  </sheetData>
  <mergeCells count="63">
    <mergeCell ref="D28:J28"/>
    <mergeCell ref="D29:J29"/>
    <mergeCell ref="C8:C10"/>
    <mergeCell ref="A1:K1"/>
    <mergeCell ref="B19:C19"/>
    <mergeCell ref="B23:C23"/>
    <mergeCell ref="A5:A7"/>
    <mergeCell ref="B8:B10"/>
    <mergeCell ref="E8:E10"/>
    <mergeCell ref="F8:F10"/>
    <mergeCell ref="B16:C16"/>
    <mergeCell ref="K5:K6"/>
    <mergeCell ref="B5:B6"/>
    <mergeCell ref="C5:C6"/>
    <mergeCell ref="D5:D6"/>
    <mergeCell ref="H5:I5"/>
    <mergeCell ref="B13:J13"/>
    <mergeCell ref="D14:J14"/>
    <mergeCell ref="B15:C15"/>
    <mergeCell ref="B14:C14"/>
    <mergeCell ref="B29:C29"/>
    <mergeCell ref="B28:C28"/>
    <mergeCell ref="D15:J15"/>
    <mergeCell ref="D16:J16"/>
    <mergeCell ref="D17:J17"/>
    <mergeCell ref="D18:J18"/>
    <mergeCell ref="D19:J19"/>
    <mergeCell ref="D20:J20"/>
    <mergeCell ref="D22:J22"/>
    <mergeCell ref="D23:J23"/>
    <mergeCell ref="D24:J24"/>
    <mergeCell ref="D25:J25"/>
    <mergeCell ref="X26:X27"/>
    <mergeCell ref="X13:AA13"/>
    <mergeCell ref="Y14:Z14"/>
    <mergeCell ref="Y15:Z15"/>
    <mergeCell ref="Y26:Z27"/>
    <mergeCell ref="AA26:AA27"/>
    <mergeCell ref="Y23:Z23"/>
    <mergeCell ref="Y24:Z24"/>
    <mergeCell ref="Y18:Z18"/>
    <mergeCell ref="Y25:Z25"/>
    <mergeCell ref="Y19:Z19"/>
    <mergeCell ref="Y20:Z20"/>
    <mergeCell ref="Y22:Z22"/>
    <mergeCell ref="Y16:Z16"/>
    <mergeCell ref="Y17:Z17"/>
    <mergeCell ref="B17:C17"/>
    <mergeCell ref="B22:C22"/>
    <mergeCell ref="B20:C20"/>
    <mergeCell ref="B25:C25"/>
    <mergeCell ref="B24:C24"/>
    <mergeCell ref="B26:C26"/>
    <mergeCell ref="B27:C27"/>
    <mergeCell ref="B18:C18"/>
    <mergeCell ref="D26:J26"/>
    <mergeCell ref="D27:J27"/>
    <mergeCell ref="D21:J21"/>
    <mergeCell ref="G4:J4"/>
    <mergeCell ref="J5:J6"/>
    <mergeCell ref="G5:G6"/>
    <mergeCell ref="E5:E6"/>
    <mergeCell ref="F5:F6"/>
  </mergeCells>
  <pageMargins left="0.39370078740157483" right="0.19685039370078741" top="0.19685039370078741" bottom="0.59055118110236227" header="0.31496062992125984" footer="0.31496062992125984"/>
  <pageSetup paperSize="9" scale="8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52"/>
  <sheetViews>
    <sheetView zoomScaleNormal="100" workbookViewId="0">
      <pane xSplit="5" ySplit="5" topLeftCell="Q25" activePane="bottomRight" state="frozen"/>
      <selection activeCell="E17" sqref="E17"/>
      <selection pane="topRight" activeCell="E17" sqref="E17"/>
      <selection pane="bottomLeft" activeCell="E17" sqref="E17"/>
      <selection pane="bottomRight" activeCell="V6" sqref="V6:W36"/>
    </sheetView>
  </sheetViews>
  <sheetFormatPr defaultColWidth="9.140625" defaultRowHeight="15.75" x14ac:dyDescent="0.25"/>
  <cols>
    <col min="1" max="1" width="11" style="62" customWidth="1"/>
    <col min="2" max="2" width="15" style="62" customWidth="1"/>
    <col min="3" max="3" width="9.28515625" style="62" customWidth="1"/>
    <col min="4" max="4" width="10.140625" style="62" customWidth="1"/>
    <col min="5" max="5" width="11" style="62" bestFit="1" customWidth="1"/>
    <col min="6" max="6" width="12.85546875" style="62" customWidth="1"/>
    <col min="7" max="7" width="12.7109375" style="62" bestFit="1" customWidth="1"/>
    <col min="8" max="8" width="13.7109375" style="62" customWidth="1"/>
    <col min="9" max="9" width="12.7109375" style="62" bestFit="1" customWidth="1"/>
    <col min="10" max="10" width="9.28515625" style="62" bestFit="1" customWidth="1"/>
    <col min="11" max="11" width="13.7109375" style="62" customWidth="1"/>
    <col min="12" max="12" width="8.42578125" style="62" customWidth="1"/>
    <col min="13" max="13" width="9.28515625" style="62" bestFit="1" customWidth="1"/>
    <col min="14" max="14" width="12.140625" style="62" customWidth="1"/>
    <col min="15" max="15" width="13" style="62" customWidth="1"/>
    <col min="16" max="16" width="9.28515625" style="62" bestFit="1" customWidth="1"/>
    <col min="17" max="17" width="11.85546875" style="62" bestFit="1" customWidth="1"/>
    <col min="18" max="18" width="10.7109375" style="62" customWidth="1"/>
    <col min="19" max="19" width="10.85546875" style="62" customWidth="1"/>
    <col min="20" max="20" width="11.5703125" style="62" customWidth="1"/>
    <col min="21" max="21" width="9.85546875" style="62" customWidth="1"/>
    <col min="22" max="22" width="14" style="62" customWidth="1"/>
    <col min="23" max="23" width="11.7109375" customWidth="1"/>
    <col min="24" max="24" width="9.140625" style="64"/>
  </cols>
  <sheetData>
    <row r="1" spans="1:29" ht="18.75" x14ac:dyDescent="0.3">
      <c r="A1" s="117" t="str">
        <f>Summary!A1</f>
        <v>Lucknow Payment for the month of MARCH 2023 (As Per VoL -1, Section IV, Clause 39)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Y1" s="10"/>
      <c r="Z1" s="10"/>
      <c r="AA1" s="10"/>
      <c r="AB1" s="10"/>
      <c r="AC1" s="10"/>
    </row>
    <row r="2" spans="1:29" ht="18.75" x14ac:dyDescent="0.3">
      <c r="A2" s="59">
        <v>1</v>
      </c>
      <c r="B2" s="59">
        <v>2</v>
      </c>
      <c r="C2" s="59">
        <v>3</v>
      </c>
      <c r="D2" s="59">
        <v>4</v>
      </c>
      <c r="E2" s="59">
        <v>5</v>
      </c>
      <c r="F2" s="59">
        <v>6</v>
      </c>
      <c r="G2" s="59">
        <v>7</v>
      </c>
      <c r="H2" s="59">
        <v>8</v>
      </c>
      <c r="I2" s="59">
        <v>9</v>
      </c>
      <c r="J2" s="59">
        <v>10</v>
      </c>
      <c r="K2" s="59">
        <v>11</v>
      </c>
      <c r="L2" s="59">
        <v>12</v>
      </c>
      <c r="M2" s="59">
        <v>13</v>
      </c>
      <c r="N2" s="59">
        <v>14</v>
      </c>
      <c r="O2" s="59">
        <v>15</v>
      </c>
      <c r="P2" s="59">
        <v>16</v>
      </c>
      <c r="Q2" s="59">
        <v>17</v>
      </c>
      <c r="R2" s="59">
        <v>18</v>
      </c>
      <c r="S2" s="59">
        <v>19</v>
      </c>
      <c r="T2" s="59">
        <v>20</v>
      </c>
      <c r="U2" s="59">
        <v>21</v>
      </c>
      <c r="V2" s="59">
        <v>22</v>
      </c>
      <c r="W2" s="59">
        <v>23</v>
      </c>
      <c r="X2" s="65"/>
      <c r="Y2" s="18"/>
      <c r="Z2" s="18"/>
      <c r="AA2" s="18"/>
      <c r="AB2" s="18"/>
      <c r="AC2" s="18"/>
    </row>
    <row r="3" spans="1:29" x14ac:dyDescent="0.25">
      <c r="A3" s="60"/>
      <c r="B3" s="60"/>
      <c r="C3" s="119" t="s">
        <v>23</v>
      </c>
      <c r="D3" s="121"/>
      <c r="E3" s="66"/>
      <c r="F3" s="123" t="s">
        <v>34</v>
      </c>
      <c r="G3" s="123"/>
      <c r="H3" s="67" t="s">
        <v>72</v>
      </c>
      <c r="I3" s="67"/>
      <c r="J3" s="67"/>
      <c r="K3" s="67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</row>
    <row r="4" spans="1:29" s="69" customFormat="1" ht="21.95" customHeight="1" x14ac:dyDescent="0.25">
      <c r="A4" s="124" t="s">
        <v>22</v>
      </c>
      <c r="B4" s="81" t="s">
        <v>37</v>
      </c>
      <c r="C4" s="81" t="s">
        <v>29</v>
      </c>
      <c r="D4" s="81" t="s">
        <v>32</v>
      </c>
      <c r="E4" s="81" t="s">
        <v>31</v>
      </c>
      <c r="F4" s="122" t="s">
        <v>24</v>
      </c>
      <c r="G4" s="122" t="s">
        <v>25</v>
      </c>
      <c r="H4" s="122" t="s">
        <v>28</v>
      </c>
      <c r="I4" s="122" t="s">
        <v>25</v>
      </c>
      <c r="J4" s="119" t="s">
        <v>14</v>
      </c>
      <c r="K4" s="120"/>
      <c r="L4" s="120"/>
      <c r="M4" s="119" t="s">
        <v>16</v>
      </c>
      <c r="N4" s="120"/>
      <c r="O4" s="120"/>
      <c r="P4" s="119" t="s">
        <v>15</v>
      </c>
      <c r="Q4" s="120"/>
      <c r="R4" s="120"/>
      <c r="S4" s="119" t="s">
        <v>21</v>
      </c>
      <c r="T4" s="120"/>
      <c r="U4" s="121"/>
      <c r="V4" s="126" t="s">
        <v>71</v>
      </c>
      <c r="W4" s="122" t="s">
        <v>36</v>
      </c>
      <c r="X4" s="68"/>
    </row>
    <row r="5" spans="1:29" s="69" customFormat="1" ht="30" customHeight="1" x14ac:dyDescent="0.25">
      <c r="A5" s="125"/>
      <c r="B5" s="82"/>
      <c r="C5" s="82"/>
      <c r="D5" s="125"/>
      <c r="E5" s="125"/>
      <c r="F5" s="122"/>
      <c r="G5" s="122"/>
      <c r="H5" s="122"/>
      <c r="I5" s="122"/>
      <c r="J5" s="13" t="s">
        <v>35</v>
      </c>
      <c r="K5" s="70">
        <v>0.5</v>
      </c>
      <c r="L5" s="70" t="s">
        <v>36</v>
      </c>
      <c r="M5" s="13" t="s">
        <v>35</v>
      </c>
      <c r="N5" s="70">
        <v>0.15</v>
      </c>
      <c r="O5" s="70" t="s">
        <v>36</v>
      </c>
      <c r="P5" s="13" t="s">
        <v>35</v>
      </c>
      <c r="Q5" s="70">
        <v>0.25</v>
      </c>
      <c r="R5" s="70" t="s">
        <v>36</v>
      </c>
      <c r="S5" s="13" t="s">
        <v>35</v>
      </c>
      <c r="T5" s="70">
        <v>0.1</v>
      </c>
      <c r="U5" s="13" t="s">
        <v>36</v>
      </c>
      <c r="V5" s="126"/>
      <c r="W5" s="122"/>
      <c r="X5" s="68"/>
    </row>
    <row r="6" spans="1:29" x14ac:dyDescent="0.25">
      <c r="A6" s="61">
        <v>44986</v>
      </c>
      <c r="B6" s="71">
        <f>ROUND(Summary!$G$8/31,2)</f>
        <v>1792431.03</v>
      </c>
      <c r="C6" s="71">
        <v>345</v>
      </c>
      <c r="D6" s="71">
        <v>357.27</v>
      </c>
      <c r="E6" s="71">
        <f>MIN(C6,D6)</f>
        <v>345</v>
      </c>
      <c r="F6" s="71">
        <f t="shared" ref="F6:F34" si="0">B6*60%</f>
        <v>1075458.6200000001</v>
      </c>
      <c r="G6" s="71">
        <f>(F6*E6)/C6</f>
        <v>1075458.6200000001</v>
      </c>
      <c r="H6" s="71">
        <f>B6*40%</f>
        <v>716972.41</v>
      </c>
      <c r="I6" s="71">
        <f t="shared" ref="I6:I36" si="1">(H6*E6)/C6</f>
        <v>716972.41</v>
      </c>
      <c r="J6" s="71">
        <v>19</v>
      </c>
      <c r="K6" s="71">
        <f>I6*50%</f>
        <v>358486.21</v>
      </c>
      <c r="L6" s="71">
        <f t="shared" ref="L6:L36" si="2">IF(J6&gt;30,(MAX($B$37*0.1/100,10000)),0)</f>
        <v>0</v>
      </c>
      <c r="M6" s="71">
        <v>78</v>
      </c>
      <c r="N6" s="71">
        <f>I6*15%</f>
        <v>107545.86</v>
      </c>
      <c r="O6" s="71">
        <f t="shared" ref="O6:O36" si="3">IF(M6&gt;100,(MAX($B$37*0.1/100,10000)),0)</f>
        <v>0</v>
      </c>
      <c r="P6" s="71">
        <v>36</v>
      </c>
      <c r="Q6" s="71">
        <f>I6*25%</f>
        <v>179243.1</v>
      </c>
      <c r="R6" s="71">
        <f t="shared" ref="R6" si="4">IF(P6&gt;50,(MAX($B$37*0.1/100,10000)),0)</f>
        <v>0</v>
      </c>
      <c r="S6" s="71">
        <v>6700</v>
      </c>
      <c r="T6" s="71">
        <f>I6*10%</f>
        <v>71697.240000000005</v>
      </c>
      <c r="U6" s="71">
        <f t="shared" ref="U6" si="5">IF(S6&gt;10000,(MAX($B$37*0.1/100,10000)),0)</f>
        <v>0</v>
      </c>
      <c r="V6" s="71">
        <f>T6+Q6+N6+K6</f>
        <v>716972.41</v>
      </c>
      <c r="W6" s="71">
        <f>U6+R6+O6+L6</f>
        <v>0</v>
      </c>
    </row>
    <row r="7" spans="1:29" x14ac:dyDescent="0.25">
      <c r="A7" s="61">
        <v>44987</v>
      </c>
      <c r="B7" s="71">
        <f>ROUND(Summary!$G$8/31,2)</f>
        <v>1792431.03</v>
      </c>
      <c r="C7" s="71">
        <v>345</v>
      </c>
      <c r="D7" s="71">
        <v>355.68</v>
      </c>
      <c r="E7" s="71">
        <f t="shared" ref="E7:E36" si="6">MIN(C7,D7)</f>
        <v>345</v>
      </c>
      <c r="F7" s="71">
        <f t="shared" si="0"/>
        <v>1075458.6200000001</v>
      </c>
      <c r="G7" s="71">
        <f t="shared" ref="G7:G36" si="7">(F7*E7)/C7</f>
        <v>1075458.6200000001</v>
      </c>
      <c r="H7" s="71">
        <f t="shared" ref="H7:H34" si="8">B7*40%</f>
        <v>716972.41</v>
      </c>
      <c r="I7" s="71">
        <f t="shared" si="1"/>
        <v>716972.41</v>
      </c>
      <c r="J7" s="71">
        <v>20</v>
      </c>
      <c r="K7" s="71">
        <f t="shared" ref="K7:K36" si="9">I7*50%</f>
        <v>358486.21</v>
      </c>
      <c r="L7" s="71">
        <f t="shared" ref="L7:L36" si="10">IF(J7&gt;30,(MAX($B$37*0.1/100,10000)),0)</f>
        <v>0</v>
      </c>
      <c r="M7" s="71">
        <v>69</v>
      </c>
      <c r="N7" s="71">
        <f t="shared" ref="N7:N36" si="11">I7*15%</f>
        <v>107545.86</v>
      </c>
      <c r="O7" s="71">
        <f t="shared" ref="O7:O36" si="12">IF(M7&gt;100,(MAX($B$37*0.1/100,10000)),0)</f>
        <v>0</v>
      </c>
      <c r="P7" s="71">
        <v>32</v>
      </c>
      <c r="Q7" s="71">
        <f t="shared" ref="Q7:Q36" si="13">I7*25%</f>
        <v>179243.1</v>
      </c>
      <c r="R7" s="71">
        <f t="shared" ref="R7:R36" si="14">IF(P7&gt;50,(MAX($B$37*0.1/100,10000)),0)</f>
        <v>0</v>
      </c>
      <c r="S7" s="71">
        <v>74</v>
      </c>
      <c r="T7" s="71">
        <f t="shared" ref="T7:T36" si="15">I7*10%</f>
        <v>71697.240000000005</v>
      </c>
      <c r="U7" s="71">
        <f t="shared" ref="U7:U36" si="16">IF(S7&gt;10000,(MAX($B$37*0.1/100,10000)),0)</f>
        <v>0</v>
      </c>
      <c r="V7" s="71">
        <f t="shared" ref="V7:V36" si="17">T7+Q7+N7+K7</f>
        <v>716972.41</v>
      </c>
      <c r="W7" s="71">
        <f t="shared" ref="W7:W36" si="18">U7+R7+O7+L7</f>
        <v>0</v>
      </c>
    </row>
    <row r="8" spans="1:29" x14ac:dyDescent="0.25">
      <c r="A8" s="61">
        <v>44988</v>
      </c>
      <c r="B8" s="71">
        <f>ROUND(Summary!$G$8/31,2)</f>
        <v>1792431.03</v>
      </c>
      <c r="C8" s="71">
        <v>345</v>
      </c>
      <c r="D8" s="71">
        <v>345.85</v>
      </c>
      <c r="E8" s="71">
        <f t="shared" si="6"/>
        <v>345</v>
      </c>
      <c r="F8" s="71">
        <f t="shared" si="0"/>
        <v>1075458.6200000001</v>
      </c>
      <c r="G8" s="71">
        <f t="shared" si="7"/>
        <v>1075458.6200000001</v>
      </c>
      <c r="H8" s="71">
        <f t="shared" si="8"/>
        <v>716972.41</v>
      </c>
      <c r="I8" s="71">
        <f t="shared" si="1"/>
        <v>716972.41</v>
      </c>
      <c r="J8" s="71">
        <v>24</v>
      </c>
      <c r="K8" s="71">
        <f t="shared" si="9"/>
        <v>358486.21</v>
      </c>
      <c r="L8" s="71">
        <f t="shared" si="10"/>
        <v>0</v>
      </c>
      <c r="M8" s="71">
        <v>73</v>
      </c>
      <c r="N8" s="71">
        <f t="shared" si="11"/>
        <v>107545.86</v>
      </c>
      <c r="O8" s="71">
        <f t="shared" si="12"/>
        <v>0</v>
      </c>
      <c r="P8" s="71">
        <v>35</v>
      </c>
      <c r="Q8" s="71">
        <f t="shared" si="13"/>
        <v>179243.1</v>
      </c>
      <c r="R8" s="71">
        <f t="shared" si="14"/>
        <v>0</v>
      </c>
      <c r="S8" s="71">
        <v>800</v>
      </c>
      <c r="T8" s="71">
        <f t="shared" si="15"/>
        <v>71697.240000000005</v>
      </c>
      <c r="U8" s="71">
        <f t="shared" si="16"/>
        <v>0</v>
      </c>
      <c r="V8" s="71">
        <f t="shared" si="17"/>
        <v>716972.41</v>
      </c>
      <c r="W8" s="71">
        <f t="shared" si="18"/>
        <v>0</v>
      </c>
    </row>
    <row r="9" spans="1:29" x14ac:dyDescent="0.25">
      <c r="A9" s="61">
        <v>44989</v>
      </c>
      <c r="B9" s="71">
        <f>ROUND(Summary!$G$8/31,2)</f>
        <v>1792431.03</v>
      </c>
      <c r="C9" s="71">
        <v>345</v>
      </c>
      <c r="D9" s="71">
        <v>346.66</v>
      </c>
      <c r="E9" s="71">
        <f t="shared" si="6"/>
        <v>345</v>
      </c>
      <c r="F9" s="71">
        <f t="shared" si="0"/>
        <v>1075458.6200000001</v>
      </c>
      <c r="G9" s="71">
        <f t="shared" si="7"/>
        <v>1075458.6200000001</v>
      </c>
      <c r="H9" s="71">
        <f t="shared" si="8"/>
        <v>716972.41</v>
      </c>
      <c r="I9" s="71">
        <f t="shared" si="1"/>
        <v>716972.41</v>
      </c>
      <c r="J9" s="71">
        <v>22</v>
      </c>
      <c r="K9" s="71">
        <f t="shared" si="9"/>
        <v>358486.21</v>
      </c>
      <c r="L9" s="71">
        <f t="shared" si="10"/>
        <v>0</v>
      </c>
      <c r="M9" s="71">
        <v>80</v>
      </c>
      <c r="N9" s="71">
        <f t="shared" si="11"/>
        <v>107545.86</v>
      </c>
      <c r="O9" s="71">
        <f t="shared" si="12"/>
        <v>0</v>
      </c>
      <c r="P9" s="71">
        <v>34</v>
      </c>
      <c r="Q9" s="71">
        <f t="shared" si="13"/>
        <v>179243.1</v>
      </c>
      <c r="R9" s="71">
        <f t="shared" si="14"/>
        <v>0</v>
      </c>
      <c r="S9" s="71">
        <v>5500</v>
      </c>
      <c r="T9" s="71">
        <f t="shared" si="15"/>
        <v>71697.240000000005</v>
      </c>
      <c r="U9" s="71">
        <f t="shared" si="16"/>
        <v>0</v>
      </c>
      <c r="V9" s="71">
        <f t="shared" si="17"/>
        <v>716972.41</v>
      </c>
      <c r="W9" s="71">
        <f t="shared" si="18"/>
        <v>0</v>
      </c>
    </row>
    <row r="10" spans="1:29" x14ac:dyDescent="0.25">
      <c r="A10" s="61">
        <v>44990</v>
      </c>
      <c r="B10" s="71">
        <f>ROUND(Summary!$G$8/31,2)</f>
        <v>1792431.03</v>
      </c>
      <c r="C10" s="71">
        <v>345</v>
      </c>
      <c r="D10" s="71">
        <v>350.25</v>
      </c>
      <c r="E10" s="71">
        <f t="shared" si="6"/>
        <v>345</v>
      </c>
      <c r="F10" s="71">
        <f t="shared" si="0"/>
        <v>1075458.6200000001</v>
      </c>
      <c r="G10" s="71">
        <f t="shared" si="7"/>
        <v>1075458.6200000001</v>
      </c>
      <c r="H10" s="71">
        <f t="shared" si="8"/>
        <v>716972.41</v>
      </c>
      <c r="I10" s="71">
        <f t="shared" si="1"/>
        <v>716972.41</v>
      </c>
      <c r="J10" s="71">
        <v>19</v>
      </c>
      <c r="K10" s="71">
        <f t="shared" si="9"/>
        <v>358486.21</v>
      </c>
      <c r="L10" s="71">
        <f t="shared" si="10"/>
        <v>0</v>
      </c>
      <c r="M10" s="71">
        <v>72</v>
      </c>
      <c r="N10" s="71">
        <f t="shared" si="11"/>
        <v>107545.86</v>
      </c>
      <c r="O10" s="71">
        <f t="shared" si="12"/>
        <v>0</v>
      </c>
      <c r="P10" s="71">
        <v>36</v>
      </c>
      <c r="Q10" s="71">
        <f t="shared" si="13"/>
        <v>179243.1</v>
      </c>
      <c r="R10" s="71">
        <f t="shared" si="14"/>
        <v>0</v>
      </c>
      <c r="S10" s="71">
        <v>7900</v>
      </c>
      <c r="T10" s="71">
        <f t="shared" si="15"/>
        <v>71697.240000000005</v>
      </c>
      <c r="U10" s="71">
        <f t="shared" si="16"/>
        <v>0</v>
      </c>
      <c r="V10" s="71">
        <f t="shared" si="17"/>
        <v>716972.41</v>
      </c>
      <c r="W10" s="71">
        <f t="shared" si="18"/>
        <v>0</v>
      </c>
    </row>
    <row r="11" spans="1:29" s="29" customFormat="1" x14ac:dyDescent="0.25">
      <c r="A11" s="26">
        <v>44991</v>
      </c>
      <c r="B11" s="27">
        <f>ROUND(Summary!$G$8/31,2)</f>
        <v>1792431.03</v>
      </c>
      <c r="C11" s="27">
        <v>345</v>
      </c>
      <c r="D11" s="27">
        <v>356.84</v>
      </c>
      <c r="E11" s="71">
        <f t="shared" si="6"/>
        <v>345</v>
      </c>
      <c r="F11" s="27">
        <f t="shared" si="0"/>
        <v>1075458.6200000001</v>
      </c>
      <c r="G11" s="71">
        <f t="shared" si="7"/>
        <v>1075458.6200000001</v>
      </c>
      <c r="H11" s="27">
        <f t="shared" si="8"/>
        <v>716972.41</v>
      </c>
      <c r="I11" s="71">
        <f t="shared" si="1"/>
        <v>716972.41</v>
      </c>
      <c r="J11" s="27">
        <v>14.6</v>
      </c>
      <c r="K11" s="71">
        <f t="shared" si="9"/>
        <v>358486.21</v>
      </c>
      <c r="L11" s="71">
        <f t="shared" si="10"/>
        <v>0</v>
      </c>
      <c r="M11" s="27">
        <v>85.6</v>
      </c>
      <c r="N11" s="71">
        <f t="shared" si="11"/>
        <v>107545.86</v>
      </c>
      <c r="O11" s="71">
        <f t="shared" si="12"/>
        <v>0</v>
      </c>
      <c r="P11" s="27">
        <v>44</v>
      </c>
      <c r="Q11" s="71">
        <f t="shared" si="13"/>
        <v>179243.1</v>
      </c>
      <c r="R11" s="71">
        <f t="shared" si="14"/>
        <v>0</v>
      </c>
      <c r="S11" s="27">
        <v>700</v>
      </c>
      <c r="T11" s="71">
        <f t="shared" si="15"/>
        <v>71697.240000000005</v>
      </c>
      <c r="U11" s="71">
        <f t="shared" si="16"/>
        <v>0</v>
      </c>
      <c r="V11" s="71">
        <f t="shared" si="17"/>
        <v>716972.41</v>
      </c>
      <c r="W11" s="71">
        <f t="shared" si="18"/>
        <v>0</v>
      </c>
      <c r="X11" s="28" t="s">
        <v>94</v>
      </c>
    </row>
    <row r="12" spans="1:29" s="25" customFormat="1" x14ac:dyDescent="0.25">
      <c r="A12" s="23">
        <v>44992</v>
      </c>
      <c r="B12" s="11">
        <f>ROUND(Summary!$G$8/31,2)</f>
        <v>1792431.03</v>
      </c>
      <c r="C12" s="11">
        <v>345</v>
      </c>
      <c r="D12" s="11">
        <v>350.13</v>
      </c>
      <c r="E12" s="71">
        <f t="shared" si="6"/>
        <v>345</v>
      </c>
      <c r="F12" s="11">
        <f t="shared" si="0"/>
        <v>1075458.6200000001</v>
      </c>
      <c r="G12" s="71">
        <f t="shared" si="7"/>
        <v>1075458.6200000001</v>
      </c>
      <c r="H12" s="11">
        <f t="shared" si="8"/>
        <v>716972.41</v>
      </c>
      <c r="I12" s="71">
        <f t="shared" si="1"/>
        <v>716972.41</v>
      </c>
      <c r="J12" s="11">
        <v>14</v>
      </c>
      <c r="K12" s="71">
        <f t="shared" si="9"/>
        <v>358486.21</v>
      </c>
      <c r="L12" s="71">
        <f t="shared" si="10"/>
        <v>0</v>
      </c>
      <c r="M12" s="11">
        <v>72</v>
      </c>
      <c r="N12" s="71">
        <f t="shared" si="11"/>
        <v>107545.86</v>
      </c>
      <c r="O12" s="71">
        <f t="shared" si="12"/>
        <v>0</v>
      </c>
      <c r="P12" s="11">
        <v>18</v>
      </c>
      <c r="Q12" s="71">
        <f t="shared" si="13"/>
        <v>179243.1</v>
      </c>
      <c r="R12" s="71">
        <f t="shared" si="14"/>
        <v>0</v>
      </c>
      <c r="S12" s="11">
        <v>2</v>
      </c>
      <c r="T12" s="71">
        <f t="shared" si="15"/>
        <v>71697.240000000005</v>
      </c>
      <c r="U12" s="71">
        <f t="shared" si="16"/>
        <v>0</v>
      </c>
      <c r="V12" s="71">
        <f t="shared" si="17"/>
        <v>716972.41</v>
      </c>
      <c r="W12" s="71">
        <f t="shared" si="18"/>
        <v>0</v>
      </c>
      <c r="X12" s="24" t="s">
        <v>93</v>
      </c>
    </row>
    <row r="13" spans="1:29" x14ac:dyDescent="0.25">
      <c r="A13" s="61">
        <v>44993</v>
      </c>
      <c r="B13" s="71">
        <f>ROUND(Summary!$G$8/31,2)</f>
        <v>1792431.03</v>
      </c>
      <c r="C13" s="71">
        <v>345</v>
      </c>
      <c r="D13" s="71">
        <v>352.19</v>
      </c>
      <c r="E13" s="71">
        <f t="shared" si="6"/>
        <v>345</v>
      </c>
      <c r="F13" s="71">
        <f t="shared" si="0"/>
        <v>1075458.6200000001</v>
      </c>
      <c r="G13" s="71">
        <f t="shared" si="7"/>
        <v>1075458.6200000001</v>
      </c>
      <c r="H13" s="71">
        <f t="shared" si="8"/>
        <v>716972.41</v>
      </c>
      <c r="I13" s="71">
        <f t="shared" si="1"/>
        <v>716972.41</v>
      </c>
      <c r="J13" s="71">
        <v>19</v>
      </c>
      <c r="K13" s="71">
        <f t="shared" si="9"/>
        <v>358486.21</v>
      </c>
      <c r="L13" s="71">
        <f t="shared" si="10"/>
        <v>0</v>
      </c>
      <c r="M13" s="71">
        <v>76</v>
      </c>
      <c r="N13" s="71">
        <f t="shared" si="11"/>
        <v>107545.86</v>
      </c>
      <c r="O13" s="71">
        <f t="shared" si="12"/>
        <v>0</v>
      </c>
      <c r="P13" s="71">
        <v>32</v>
      </c>
      <c r="Q13" s="71">
        <f t="shared" si="13"/>
        <v>179243.1</v>
      </c>
      <c r="R13" s="71">
        <f t="shared" si="14"/>
        <v>0</v>
      </c>
      <c r="S13" s="71">
        <v>5900</v>
      </c>
      <c r="T13" s="71">
        <f t="shared" si="15"/>
        <v>71697.240000000005</v>
      </c>
      <c r="U13" s="71">
        <f t="shared" si="16"/>
        <v>0</v>
      </c>
      <c r="V13" s="71">
        <f t="shared" si="17"/>
        <v>716972.41</v>
      </c>
      <c r="W13" s="71">
        <f t="shared" si="18"/>
        <v>0</v>
      </c>
    </row>
    <row r="14" spans="1:29" x14ac:dyDescent="0.25">
      <c r="A14" s="61">
        <v>44994</v>
      </c>
      <c r="B14" s="71">
        <f>ROUND(Summary!$G$8/31,2)</f>
        <v>1792431.03</v>
      </c>
      <c r="C14" s="71">
        <v>345</v>
      </c>
      <c r="D14" s="71">
        <v>352.63</v>
      </c>
      <c r="E14" s="71">
        <f t="shared" si="6"/>
        <v>345</v>
      </c>
      <c r="F14" s="71">
        <f t="shared" si="0"/>
        <v>1075458.6200000001</v>
      </c>
      <c r="G14" s="71">
        <f t="shared" si="7"/>
        <v>1075458.6200000001</v>
      </c>
      <c r="H14" s="71">
        <f t="shared" si="8"/>
        <v>716972.41</v>
      </c>
      <c r="I14" s="71">
        <f t="shared" si="1"/>
        <v>716972.41</v>
      </c>
      <c r="J14" s="71">
        <v>22</v>
      </c>
      <c r="K14" s="71">
        <f t="shared" si="9"/>
        <v>358486.21</v>
      </c>
      <c r="L14" s="71">
        <f t="shared" si="10"/>
        <v>0</v>
      </c>
      <c r="M14" s="71">
        <v>66</v>
      </c>
      <c r="N14" s="71">
        <f t="shared" si="11"/>
        <v>107545.86</v>
      </c>
      <c r="O14" s="71">
        <f t="shared" si="12"/>
        <v>0</v>
      </c>
      <c r="P14" s="71">
        <v>36</v>
      </c>
      <c r="Q14" s="71">
        <f t="shared" si="13"/>
        <v>179243.1</v>
      </c>
      <c r="R14" s="71">
        <f t="shared" si="14"/>
        <v>0</v>
      </c>
      <c r="S14" s="71">
        <v>7200</v>
      </c>
      <c r="T14" s="71">
        <f t="shared" si="15"/>
        <v>71697.240000000005</v>
      </c>
      <c r="U14" s="71">
        <f t="shared" si="16"/>
        <v>0</v>
      </c>
      <c r="V14" s="71">
        <f t="shared" si="17"/>
        <v>716972.41</v>
      </c>
      <c r="W14" s="71">
        <f t="shared" si="18"/>
        <v>0</v>
      </c>
    </row>
    <row r="15" spans="1:29" x14ac:dyDescent="0.25">
      <c r="A15" s="61">
        <v>44995</v>
      </c>
      <c r="B15" s="71">
        <f>ROUND(Summary!$G$8/31,2)</f>
        <v>1792431.03</v>
      </c>
      <c r="C15" s="71">
        <v>345</v>
      </c>
      <c r="D15" s="71">
        <v>357.57</v>
      </c>
      <c r="E15" s="71">
        <f t="shared" si="6"/>
        <v>345</v>
      </c>
      <c r="F15" s="71">
        <f t="shared" si="0"/>
        <v>1075458.6200000001</v>
      </c>
      <c r="G15" s="71">
        <f t="shared" si="7"/>
        <v>1075458.6200000001</v>
      </c>
      <c r="H15" s="71">
        <f t="shared" si="8"/>
        <v>716972.41</v>
      </c>
      <c r="I15" s="71">
        <f t="shared" si="1"/>
        <v>716972.41</v>
      </c>
      <c r="J15" s="71">
        <v>21</v>
      </c>
      <c r="K15" s="71">
        <f t="shared" si="9"/>
        <v>358486.21</v>
      </c>
      <c r="L15" s="71">
        <f t="shared" si="10"/>
        <v>0</v>
      </c>
      <c r="M15" s="71">
        <v>86</v>
      </c>
      <c r="N15" s="71">
        <f t="shared" si="11"/>
        <v>107545.86</v>
      </c>
      <c r="O15" s="71">
        <f t="shared" si="12"/>
        <v>0</v>
      </c>
      <c r="P15" s="71">
        <v>34</v>
      </c>
      <c r="Q15" s="71">
        <f t="shared" si="13"/>
        <v>179243.1</v>
      </c>
      <c r="R15" s="71">
        <f t="shared" si="14"/>
        <v>0</v>
      </c>
      <c r="S15" s="71">
        <v>5900</v>
      </c>
      <c r="T15" s="71">
        <f t="shared" si="15"/>
        <v>71697.240000000005</v>
      </c>
      <c r="U15" s="71">
        <f t="shared" si="16"/>
        <v>0</v>
      </c>
      <c r="V15" s="71">
        <f t="shared" si="17"/>
        <v>716972.41</v>
      </c>
      <c r="W15" s="71">
        <f t="shared" si="18"/>
        <v>0</v>
      </c>
    </row>
    <row r="16" spans="1:29" x14ac:dyDescent="0.25">
      <c r="A16" s="61">
        <v>44996</v>
      </c>
      <c r="B16" s="71">
        <f>ROUND(Summary!$G$8/31,2)</f>
        <v>1792431.03</v>
      </c>
      <c r="C16" s="71">
        <v>345</v>
      </c>
      <c r="D16" s="71">
        <v>360.84</v>
      </c>
      <c r="E16" s="71">
        <f t="shared" si="6"/>
        <v>345</v>
      </c>
      <c r="F16" s="71">
        <f t="shared" si="0"/>
        <v>1075458.6200000001</v>
      </c>
      <c r="G16" s="71">
        <f t="shared" si="7"/>
        <v>1075458.6200000001</v>
      </c>
      <c r="H16" s="71">
        <f t="shared" si="8"/>
        <v>716972.41</v>
      </c>
      <c r="I16" s="71">
        <f t="shared" si="1"/>
        <v>716972.41</v>
      </c>
      <c r="J16" s="71">
        <v>23</v>
      </c>
      <c r="K16" s="71">
        <f t="shared" si="9"/>
        <v>358486.21</v>
      </c>
      <c r="L16" s="71">
        <f t="shared" si="10"/>
        <v>0</v>
      </c>
      <c r="M16" s="71">
        <v>70</v>
      </c>
      <c r="N16" s="71">
        <f t="shared" si="11"/>
        <v>107545.86</v>
      </c>
      <c r="O16" s="71">
        <f t="shared" si="12"/>
        <v>0</v>
      </c>
      <c r="P16" s="71">
        <v>32</v>
      </c>
      <c r="Q16" s="71">
        <f t="shared" si="13"/>
        <v>179243.1</v>
      </c>
      <c r="R16" s="71">
        <f t="shared" si="14"/>
        <v>0</v>
      </c>
      <c r="S16" s="71">
        <v>7300</v>
      </c>
      <c r="T16" s="71">
        <f t="shared" si="15"/>
        <v>71697.240000000005</v>
      </c>
      <c r="U16" s="71">
        <f t="shared" si="16"/>
        <v>0</v>
      </c>
      <c r="V16" s="71">
        <f t="shared" si="17"/>
        <v>716972.41</v>
      </c>
      <c r="W16" s="71">
        <f t="shared" si="18"/>
        <v>0</v>
      </c>
    </row>
    <row r="17" spans="1:24" x14ac:dyDescent="0.25">
      <c r="A17" s="61">
        <v>44997</v>
      </c>
      <c r="B17" s="71">
        <f>ROUND(Summary!$G$8/31,2)</f>
        <v>1792431.03</v>
      </c>
      <c r="C17" s="71">
        <v>345</v>
      </c>
      <c r="D17" s="71">
        <v>356.7</v>
      </c>
      <c r="E17" s="71">
        <f t="shared" si="6"/>
        <v>345</v>
      </c>
      <c r="F17" s="71">
        <f t="shared" si="0"/>
        <v>1075458.6200000001</v>
      </c>
      <c r="G17" s="71">
        <f t="shared" si="7"/>
        <v>1075458.6200000001</v>
      </c>
      <c r="H17" s="71">
        <f t="shared" si="8"/>
        <v>716972.41</v>
      </c>
      <c r="I17" s="71">
        <f t="shared" si="1"/>
        <v>716972.41</v>
      </c>
      <c r="J17" s="71">
        <v>24</v>
      </c>
      <c r="K17" s="71">
        <f t="shared" si="9"/>
        <v>358486.21</v>
      </c>
      <c r="L17" s="71">
        <f t="shared" si="10"/>
        <v>0</v>
      </c>
      <c r="M17" s="71">
        <v>76</v>
      </c>
      <c r="N17" s="71">
        <f t="shared" si="11"/>
        <v>107545.86</v>
      </c>
      <c r="O17" s="71">
        <f t="shared" si="12"/>
        <v>0</v>
      </c>
      <c r="P17" s="71">
        <v>30</v>
      </c>
      <c r="Q17" s="71">
        <f t="shared" si="13"/>
        <v>179243.1</v>
      </c>
      <c r="R17" s="71">
        <f t="shared" si="14"/>
        <v>0</v>
      </c>
      <c r="S17" s="71">
        <v>6100</v>
      </c>
      <c r="T17" s="71">
        <f t="shared" si="15"/>
        <v>71697.240000000005</v>
      </c>
      <c r="U17" s="71">
        <f t="shared" si="16"/>
        <v>0</v>
      </c>
      <c r="V17" s="71">
        <f t="shared" si="17"/>
        <v>716972.41</v>
      </c>
      <c r="W17" s="71">
        <f t="shared" si="18"/>
        <v>0</v>
      </c>
    </row>
    <row r="18" spans="1:24" x14ac:dyDescent="0.25">
      <c r="A18" s="61">
        <v>44998</v>
      </c>
      <c r="B18" s="71">
        <f>ROUND(Summary!$G$8/31,2)</f>
        <v>1792431.03</v>
      </c>
      <c r="C18" s="71">
        <v>345</v>
      </c>
      <c r="D18" s="71">
        <v>355.41</v>
      </c>
      <c r="E18" s="71">
        <f t="shared" si="6"/>
        <v>345</v>
      </c>
      <c r="F18" s="71">
        <f t="shared" si="0"/>
        <v>1075458.6200000001</v>
      </c>
      <c r="G18" s="71">
        <f t="shared" si="7"/>
        <v>1075458.6200000001</v>
      </c>
      <c r="H18" s="71">
        <f t="shared" si="8"/>
        <v>716972.41</v>
      </c>
      <c r="I18" s="71">
        <f t="shared" si="1"/>
        <v>716972.41</v>
      </c>
      <c r="J18" s="71">
        <v>20</v>
      </c>
      <c r="K18" s="71">
        <f t="shared" si="9"/>
        <v>358486.21</v>
      </c>
      <c r="L18" s="71">
        <f t="shared" si="10"/>
        <v>0</v>
      </c>
      <c r="M18" s="71">
        <v>66</v>
      </c>
      <c r="N18" s="71">
        <f t="shared" si="11"/>
        <v>107545.86</v>
      </c>
      <c r="O18" s="71">
        <f t="shared" si="12"/>
        <v>0</v>
      </c>
      <c r="P18" s="71">
        <v>31</v>
      </c>
      <c r="Q18" s="71">
        <f t="shared" si="13"/>
        <v>179243.1</v>
      </c>
      <c r="R18" s="71">
        <f t="shared" si="14"/>
        <v>0</v>
      </c>
      <c r="S18" s="71">
        <v>6000</v>
      </c>
      <c r="T18" s="71">
        <f t="shared" si="15"/>
        <v>71697.240000000005</v>
      </c>
      <c r="U18" s="71">
        <f t="shared" si="16"/>
        <v>0</v>
      </c>
      <c r="V18" s="71">
        <f t="shared" si="17"/>
        <v>716972.41</v>
      </c>
      <c r="W18" s="71">
        <f t="shared" si="18"/>
        <v>0</v>
      </c>
    </row>
    <row r="19" spans="1:24" s="25" customFormat="1" x14ac:dyDescent="0.25">
      <c r="A19" s="23">
        <v>44999</v>
      </c>
      <c r="B19" s="11">
        <f>ROUND(Summary!$G$8/31,2)</f>
        <v>1792431.03</v>
      </c>
      <c r="C19" s="11">
        <v>345</v>
      </c>
      <c r="D19" s="11">
        <v>371.38</v>
      </c>
      <c r="E19" s="71">
        <f t="shared" si="6"/>
        <v>345</v>
      </c>
      <c r="F19" s="11">
        <f t="shared" si="0"/>
        <v>1075458.6200000001</v>
      </c>
      <c r="G19" s="71">
        <f t="shared" si="7"/>
        <v>1075458.6200000001</v>
      </c>
      <c r="H19" s="11">
        <f t="shared" si="8"/>
        <v>716972.41</v>
      </c>
      <c r="I19" s="71">
        <f t="shared" si="1"/>
        <v>716972.41</v>
      </c>
      <c r="J19" s="11">
        <v>10</v>
      </c>
      <c r="K19" s="71">
        <f t="shared" si="9"/>
        <v>358486.21</v>
      </c>
      <c r="L19" s="71">
        <f t="shared" si="10"/>
        <v>0</v>
      </c>
      <c r="M19" s="11">
        <v>60</v>
      </c>
      <c r="N19" s="71">
        <f t="shared" si="11"/>
        <v>107545.86</v>
      </c>
      <c r="O19" s="71">
        <f t="shared" si="12"/>
        <v>0</v>
      </c>
      <c r="P19" s="11">
        <v>14</v>
      </c>
      <c r="Q19" s="71">
        <f t="shared" si="13"/>
        <v>179243.1</v>
      </c>
      <c r="R19" s="71">
        <f t="shared" si="14"/>
        <v>0</v>
      </c>
      <c r="S19" s="11">
        <v>21</v>
      </c>
      <c r="T19" s="71">
        <f t="shared" si="15"/>
        <v>71697.240000000005</v>
      </c>
      <c r="U19" s="71">
        <f t="shared" si="16"/>
        <v>0</v>
      </c>
      <c r="V19" s="71">
        <f t="shared" si="17"/>
        <v>716972.41</v>
      </c>
      <c r="W19" s="71">
        <f t="shared" si="18"/>
        <v>0</v>
      </c>
      <c r="X19" s="24" t="s">
        <v>93</v>
      </c>
    </row>
    <row r="20" spans="1:24" x14ac:dyDescent="0.25">
      <c r="A20" s="61">
        <v>45000</v>
      </c>
      <c r="B20" s="71">
        <f>ROUND(Summary!$G$8/31,2)</f>
        <v>1792431.03</v>
      </c>
      <c r="C20" s="71">
        <v>345</v>
      </c>
      <c r="D20" s="71">
        <v>373.27</v>
      </c>
      <c r="E20" s="71">
        <f t="shared" si="6"/>
        <v>345</v>
      </c>
      <c r="F20" s="71">
        <f t="shared" si="0"/>
        <v>1075458.6200000001</v>
      </c>
      <c r="G20" s="71">
        <f t="shared" si="7"/>
        <v>1075458.6200000001</v>
      </c>
      <c r="H20" s="71">
        <f t="shared" si="8"/>
        <v>716972.41</v>
      </c>
      <c r="I20" s="71">
        <f t="shared" si="1"/>
        <v>716972.41</v>
      </c>
      <c r="J20" s="71">
        <v>21</v>
      </c>
      <c r="K20" s="71">
        <f t="shared" si="9"/>
        <v>358486.21</v>
      </c>
      <c r="L20" s="71">
        <f t="shared" si="10"/>
        <v>0</v>
      </c>
      <c r="M20" s="71">
        <v>70</v>
      </c>
      <c r="N20" s="71">
        <f t="shared" si="11"/>
        <v>107545.86</v>
      </c>
      <c r="O20" s="71">
        <f t="shared" si="12"/>
        <v>0</v>
      </c>
      <c r="P20" s="71">
        <v>31</v>
      </c>
      <c r="Q20" s="71">
        <f t="shared" si="13"/>
        <v>179243.1</v>
      </c>
      <c r="R20" s="71">
        <f t="shared" si="14"/>
        <v>0</v>
      </c>
      <c r="S20" s="71">
        <v>6000</v>
      </c>
      <c r="T20" s="71">
        <f t="shared" si="15"/>
        <v>71697.240000000005</v>
      </c>
      <c r="U20" s="71">
        <f t="shared" si="16"/>
        <v>0</v>
      </c>
      <c r="V20" s="71">
        <f t="shared" si="17"/>
        <v>716972.41</v>
      </c>
      <c r="W20" s="71">
        <f t="shared" si="18"/>
        <v>0</v>
      </c>
    </row>
    <row r="21" spans="1:24" s="29" customFormat="1" x14ac:dyDescent="0.25">
      <c r="A21" s="26">
        <v>45001</v>
      </c>
      <c r="B21" s="27">
        <f>ROUND(Summary!$G$8/31,2)</f>
        <v>1792431.03</v>
      </c>
      <c r="C21" s="27">
        <v>345</v>
      </c>
      <c r="D21" s="27">
        <v>358.52</v>
      </c>
      <c r="E21" s="71">
        <f t="shared" si="6"/>
        <v>345</v>
      </c>
      <c r="F21" s="27">
        <f t="shared" si="0"/>
        <v>1075458.6200000001</v>
      </c>
      <c r="G21" s="71">
        <f t="shared" si="7"/>
        <v>1075458.6200000001</v>
      </c>
      <c r="H21" s="27">
        <f t="shared" si="8"/>
        <v>716972.41</v>
      </c>
      <c r="I21" s="71">
        <f t="shared" si="1"/>
        <v>716972.41</v>
      </c>
      <c r="J21" s="27">
        <v>17.100000000000001</v>
      </c>
      <c r="K21" s="71">
        <f t="shared" si="9"/>
        <v>358486.21</v>
      </c>
      <c r="L21" s="71">
        <f t="shared" si="10"/>
        <v>0</v>
      </c>
      <c r="M21" s="27">
        <v>93.2</v>
      </c>
      <c r="N21" s="71">
        <f t="shared" si="11"/>
        <v>107545.86</v>
      </c>
      <c r="O21" s="71">
        <f t="shared" si="12"/>
        <v>0</v>
      </c>
      <c r="P21" s="27">
        <v>46</v>
      </c>
      <c r="Q21" s="71">
        <f t="shared" si="13"/>
        <v>179243.1</v>
      </c>
      <c r="R21" s="71">
        <f t="shared" si="14"/>
        <v>0</v>
      </c>
      <c r="S21" s="27">
        <v>7000</v>
      </c>
      <c r="T21" s="71">
        <f t="shared" si="15"/>
        <v>71697.240000000005</v>
      </c>
      <c r="U21" s="71">
        <f t="shared" si="16"/>
        <v>0</v>
      </c>
      <c r="V21" s="71">
        <f t="shared" si="17"/>
        <v>716972.41</v>
      </c>
      <c r="W21" s="71">
        <f t="shared" si="18"/>
        <v>0</v>
      </c>
      <c r="X21" s="28" t="s">
        <v>94</v>
      </c>
    </row>
    <row r="22" spans="1:24" x14ac:dyDescent="0.25">
      <c r="A22" s="61">
        <v>45002</v>
      </c>
      <c r="B22" s="71">
        <f>ROUND(Summary!$G$8/31,2)</f>
        <v>1792431.03</v>
      </c>
      <c r="C22" s="71">
        <v>345</v>
      </c>
      <c r="D22" s="71">
        <v>345.19</v>
      </c>
      <c r="E22" s="71">
        <f t="shared" si="6"/>
        <v>345</v>
      </c>
      <c r="F22" s="71">
        <f t="shared" si="0"/>
        <v>1075458.6200000001</v>
      </c>
      <c r="G22" s="71">
        <f t="shared" si="7"/>
        <v>1075458.6200000001</v>
      </c>
      <c r="H22" s="71">
        <f t="shared" si="8"/>
        <v>716972.41</v>
      </c>
      <c r="I22" s="71">
        <f t="shared" si="1"/>
        <v>716972.41</v>
      </c>
      <c r="J22" s="71">
        <v>19</v>
      </c>
      <c r="K22" s="71">
        <f t="shared" si="9"/>
        <v>358486.21</v>
      </c>
      <c r="L22" s="71">
        <f t="shared" si="10"/>
        <v>0</v>
      </c>
      <c r="M22" s="71">
        <v>71</v>
      </c>
      <c r="N22" s="71">
        <f t="shared" si="11"/>
        <v>107545.86</v>
      </c>
      <c r="O22" s="71">
        <f t="shared" si="12"/>
        <v>0</v>
      </c>
      <c r="P22" s="71">
        <v>27</v>
      </c>
      <c r="Q22" s="71">
        <f t="shared" si="13"/>
        <v>179243.1</v>
      </c>
      <c r="R22" s="71">
        <f t="shared" si="14"/>
        <v>0</v>
      </c>
      <c r="S22" s="71">
        <v>7900</v>
      </c>
      <c r="T22" s="71">
        <f t="shared" si="15"/>
        <v>71697.240000000005</v>
      </c>
      <c r="U22" s="71">
        <f t="shared" si="16"/>
        <v>0</v>
      </c>
      <c r="V22" s="71">
        <f t="shared" si="17"/>
        <v>716972.41</v>
      </c>
      <c r="W22" s="71">
        <f t="shared" si="18"/>
        <v>0</v>
      </c>
    </row>
    <row r="23" spans="1:24" x14ac:dyDescent="0.25">
      <c r="A23" s="61">
        <v>45003</v>
      </c>
      <c r="B23" s="71">
        <f>ROUND(Summary!$G$8/31,2)</f>
        <v>1792431.03</v>
      </c>
      <c r="C23" s="71">
        <v>345</v>
      </c>
      <c r="D23" s="71">
        <v>346.81</v>
      </c>
      <c r="E23" s="71">
        <f t="shared" si="6"/>
        <v>345</v>
      </c>
      <c r="F23" s="71">
        <f t="shared" si="0"/>
        <v>1075458.6200000001</v>
      </c>
      <c r="G23" s="71">
        <f t="shared" si="7"/>
        <v>1075458.6200000001</v>
      </c>
      <c r="H23" s="71">
        <f t="shared" si="8"/>
        <v>716972.41</v>
      </c>
      <c r="I23" s="71">
        <f t="shared" si="1"/>
        <v>716972.41</v>
      </c>
      <c r="J23" s="71">
        <v>23</v>
      </c>
      <c r="K23" s="71">
        <f t="shared" si="9"/>
        <v>358486.21</v>
      </c>
      <c r="L23" s="71">
        <f t="shared" si="10"/>
        <v>0</v>
      </c>
      <c r="M23" s="71">
        <v>55</v>
      </c>
      <c r="N23" s="71">
        <f t="shared" si="11"/>
        <v>107545.86</v>
      </c>
      <c r="O23" s="71">
        <f t="shared" si="12"/>
        <v>0</v>
      </c>
      <c r="P23" s="71">
        <v>36</v>
      </c>
      <c r="Q23" s="71">
        <f t="shared" si="13"/>
        <v>179243.1</v>
      </c>
      <c r="R23" s="71">
        <f t="shared" si="14"/>
        <v>0</v>
      </c>
      <c r="S23" s="71">
        <v>8000</v>
      </c>
      <c r="T23" s="71">
        <f t="shared" si="15"/>
        <v>71697.240000000005</v>
      </c>
      <c r="U23" s="71">
        <f t="shared" si="16"/>
        <v>0</v>
      </c>
      <c r="V23" s="71">
        <f t="shared" si="17"/>
        <v>716972.41</v>
      </c>
      <c r="W23" s="71">
        <f t="shared" si="18"/>
        <v>0</v>
      </c>
    </row>
    <row r="24" spans="1:24" x14ac:dyDescent="0.25">
      <c r="A24" s="61">
        <v>45004</v>
      </c>
      <c r="B24" s="71">
        <f>ROUND(Summary!$G$8/31,2)</f>
        <v>1792431.03</v>
      </c>
      <c r="C24" s="71">
        <v>345</v>
      </c>
      <c r="D24" s="71">
        <v>347.23</v>
      </c>
      <c r="E24" s="71">
        <f t="shared" si="6"/>
        <v>345</v>
      </c>
      <c r="F24" s="71">
        <f t="shared" si="0"/>
        <v>1075458.6200000001</v>
      </c>
      <c r="G24" s="71">
        <f t="shared" si="7"/>
        <v>1075458.6200000001</v>
      </c>
      <c r="H24" s="71">
        <f t="shared" si="8"/>
        <v>716972.41</v>
      </c>
      <c r="I24" s="71">
        <f t="shared" si="1"/>
        <v>716972.41</v>
      </c>
      <c r="J24" s="71">
        <v>21</v>
      </c>
      <c r="K24" s="71">
        <f t="shared" si="9"/>
        <v>358486.21</v>
      </c>
      <c r="L24" s="71">
        <f t="shared" si="10"/>
        <v>0</v>
      </c>
      <c r="M24" s="71">
        <v>75</v>
      </c>
      <c r="N24" s="71">
        <f t="shared" si="11"/>
        <v>107545.86</v>
      </c>
      <c r="O24" s="71">
        <f t="shared" si="12"/>
        <v>0</v>
      </c>
      <c r="P24" s="71">
        <v>34</v>
      </c>
      <c r="Q24" s="71">
        <f t="shared" si="13"/>
        <v>179243.1</v>
      </c>
      <c r="R24" s="71">
        <f t="shared" si="14"/>
        <v>0</v>
      </c>
      <c r="S24" s="71">
        <v>8000</v>
      </c>
      <c r="T24" s="71">
        <f t="shared" si="15"/>
        <v>71697.240000000005</v>
      </c>
      <c r="U24" s="71">
        <f t="shared" si="16"/>
        <v>0</v>
      </c>
      <c r="V24" s="71">
        <f t="shared" si="17"/>
        <v>716972.41</v>
      </c>
      <c r="W24" s="71">
        <f t="shared" si="18"/>
        <v>0</v>
      </c>
    </row>
    <row r="25" spans="1:24" s="29" customFormat="1" x14ac:dyDescent="0.25">
      <c r="A25" s="26">
        <v>45005</v>
      </c>
      <c r="B25" s="27">
        <f>ROUND(Summary!$G$8/31,2)</f>
        <v>1792431.03</v>
      </c>
      <c r="C25" s="27">
        <v>345</v>
      </c>
      <c r="D25" s="27">
        <v>345.69</v>
      </c>
      <c r="E25" s="71">
        <f t="shared" si="6"/>
        <v>345</v>
      </c>
      <c r="F25" s="27">
        <f t="shared" si="0"/>
        <v>1075458.6200000001</v>
      </c>
      <c r="G25" s="71">
        <f t="shared" si="7"/>
        <v>1075458.6200000001</v>
      </c>
      <c r="H25" s="27">
        <f t="shared" si="8"/>
        <v>716972.41</v>
      </c>
      <c r="I25" s="71">
        <f t="shared" si="1"/>
        <v>716972.41</v>
      </c>
      <c r="J25" s="27">
        <v>18</v>
      </c>
      <c r="K25" s="71">
        <f t="shared" si="9"/>
        <v>358486.21</v>
      </c>
      <c r="L25" s="71">
        <f t="shared" si="10"/>
        <v>0</v>
      </c>
      <c r="M25" s="41">
        <v>108</v>
      </c>
      <c r="N25" s="71">
        <v>0</v>
      </c>
      <c r="O25" s="71">
        <f t="shared" si="12"/>
        <v>55565.36</v>
      </c>
      <c r="P25" s="27">
        <v>42</v>
      </c>
      <c r="Q25" s="71">
        <f t="shared" si="13"/>
        <v>179243.1</v>
      </c>
      <c r="R25" s="71">
        <f t="shared" si="14"/>
        <v>0</v>
      </c>
      <c r="S25" s="27">
        <v>9300</v>
      </c>
      <c r="T25" s="71">
        <f t="shared" si="15"/>
        <v>71697.240000000005</v>
      </c>
      <c r="U25" s="71">
        <f t="shared" si="16"/>
        <v>0</v>
      </c>
      <c r="V25" s="71">
        <f t="shared" si="17"/>
        <v>609426.55000000005</v>
      </c>
      <c r="W25" s="71">
        <f t="shared" si="18"/>
        <v>55565.36</v>
      </c>
      <c r="X25" s="28" t="s">
        <v>94</v>
      </c>
    </row>
    <row r="26" spans="1:24" s="25" customFormat="1" x14ac:dyDescent="0.25">
      <c r="A26" s="23">
        <v>45006</v>
      </c>
      <c r="B26" s="11">
        <f>ROUND(Summary!$G$8/31,2)</f>
        <v>1792431.03</v>
      </c>
      <c r="C26" s="11">
        <v>345</v>
      </c>
      <c r="D26" s="11">
        <v>347.75</v>
      </c>
      <c r="E26" s="71">
        <f t="shared" si="6"/>
        <v>345</v>
      </c>
      <c r="F26" s="11">
        <f t="shared" si="0"/>
        <v>1075458.6200000001</v>
      </c>
      <c r="G26" s="71">
        <f t="shared" si="7"/>
        <v>1075458.6200000001</v>
      </c>
      <c r="H26" s="11">
        <f t="shared" si="8"/>
        <v>716972.41</v>
      </c>
      <c r="I26" s="71">
        <f t="shared" si="1"/>
        <v>716972.41</v>
      </c>
      <c r="J26" s="11">
        <v>18</v>
      </c>
      <c r="K26" s="71">
        <f t="shared" si="9"/>
        <v>358486.21</v>
      </c>
      <c r="L26" s="71">
        <f t="shared" si="10"/>
        <v>0</v>
      </c>
      <c r="M26" s="11">
        <v>88</v>
      </c>
      <c r="N26" s="71">
        <f t="shared" si="11"/>
        <v>107545.86</v>
      </c>
      <c r="O26" s="71">
        <f t="shared" si="12"/>
        <v>0</v>
      </c>
      <c r="P26" s="11">
        <v>16</v>
      </c>
      <c r="Q26" s="71">
        <f t="shared" si="13"/>
        <v>179243.1</v>
      </c>
      <c r="R26" s="71">
        <f t="shared" si="14"/>
        <v>0</v>
      </c>
      <c r="S26" s="11">
        <v>2</v>
      </c>
      <c r="T26" s="71">
        <f t="shared" si="15"/>
        <v>71697.240000000005</v>
      </c>
      <c r="U26" s="71">
        <f t="shared" si="16"/>
        <v>0</v>
      </c>
      <c r="V26" s="71">
        <f t="shared" si="17"/>
        <v>716972.41</v>
      </c>
      <c r="W26" s="71">
        <f t="shared" si="18"/>
        <v>0</v>
      </c>
      <c r="X26" s="24" t="s">
        <v>93</v>
      </c>
    </row>
    <row r="27" spans="1:24" x14ac:dyDescent="0.25">
      <c r="A27" s="61">
        <v>45007</v>
      </c>
      <c r="B27" s="71">
        <f>ROUND(Summary!$G$8/31,2)</f>
        <v>1792431.03</v>
      </c>
      <c r="C27" s="71">
        <v>345</v>
      </c>
      <c r="D27" s="71">
        <v>346.84</v>
      </c>
      <c r="E27" s="71">
        <f t="shared" si="6"/>
        <v>345</v>
      </c>
      <c r="F27" s="71">
        <f t="shared" si="0"/>
        <v>1075458.6200000001</v>
      </c>
      <c r="G27" s="71">
        <f t="shared" si="7"/>
        <v>1075458.6200000001</v>
      </c>
      <c r="H27" s="71">
        <f t="shared" si="8"/>
        <v>716972.41</v>
      </c>
      <c r="I27" s="71">
        <f t="shared" si="1"/>
        <v>716972.41</v>
      </c>
      <c r="J27" s="71">
        <v>19</v>
      </c>
      <c r="K27" s="71">
        <f t="shared" si="9"/>
        <v>358486.21</v>
      </c>
      <c r="L27" s="71">
        <f t="shared" si="10"/>
        <v>0</v>
      </c>
      <c r="M27" s="71">
        <v>71</v>
      </c>
      <c r="N27" s="71">
        <f t="shared" si="11"/>
        <v>107545.86</v>
      </c>
      <c r="O27" s="71">
        <f t="shared" si="12"/>
        <v>0</v>
      </c>
      <c r="P27" s="71">
        <v>35</v>
      </c>
      <c r="Q27" s="71">
        <f t="shared" si="13"/>
        <v>179243.1</v>
      </c>
      <c r="R27" s="71">
        <f t="shared" si="14"/>
        <v>0</v>
      </c>
      <c r="S27" s="71">
        <v>7900</v>
      </c>
      <c r="T27" s="71">
        <f t="shared" si="15"/>
        <v>71697.240000000005</v>
      </c>
      <c r="U27" s="71">
        <f t="shared" si="16"/>
        <v>0</v>
      </c>
      <c r="V27" s="71">
        <f t="shared" si="17"/>
        <v>716972.41</v>
      </c>
      <c r="W27" s="71">
        <f t="shared" si="18"/>
        <v>0</v>
      </c>
    </row>
    <row r="28" spans="1:24" x14ac:dyDescent="0.25">
      <c r="A28" s="61">
        <v>45008</v>
      </c>
      <c r="B28" s="71">
        <f>ROUND(Summary!$G$8/31,2)</f>
        <v>1792431.03</v>
      </c>
      <c r="C28" s="71">
        <v>345</v>
      </c>
      <c r="D28" s="71">
        <v>317.83999999999997</v>
      </c>
      <c r="E28" s="71">
        <f t="shared" si="6"/>
        <v>317.83999999999997</v>
      </c>
      <c r="F28" s="71">
        <f t="shared" si="0"/>
        <v>1075458.6200000001</v>
      </c>
      <c r="G28" s="71">
        <f t="shared" si="7"/>
        <v>990793.53</v>
      </c>
      <c r="H28" s="71">
        <f t="shared" si="8"/>
        <v>716972.41</v>
      </c>
      <c r="I28" s="71">
        <f t="shared" si="1"/>
        <v>660529.02</v>
      </c>
      <c r="J28" s="71">
        <v>21</v>
      </c>
      <c r="K28" s="71">
        <f t="shared" si="9"/>
        <v>330264.51</v>
      </c>
      <c r="L28" s="71">
        <f t="shared" si="10"/>
        <v>0</v>
      </c>
      <c r="M28" s="71">
        <v>77</v>
      </c>
      <c r="N28" s="71">
        <f t="shared" si="11"/>
        <v>99079.35</v>
      </c>
      <c r="O28" s="71">
        <f t="shared" si="12"/>
        <v>0</v>
      </c>
      <c r="P28" s="71">
        <v>35</v>
      </c>
      <c r="Q28" s="71">
        <f t="shared" si="13"/>
        <v>165132.26</v>
      </c>
      <c r="R28" s="71">
        <f t="shared" si="14"/>
        <v>0</v>
      </c>
      <c r="S28" s="71">
        <v>6100</v>
      </c>
      <c r="T28" s="71">
        <f t="shared" si="15"/>
        <v>66052.899999999994</v>
      </c>
      <c r="U28" s="71">
        <f t="shared" si="16"/>
        <v>0</v>
      </c>
      <c r="V28" s="71">
        <f t="shared" si="17"/>
        <v>660529.02</v>
      </c>
      <c r="W28" s="71">
        <f t="shared" si="18"/>
        <v>0</v>
      </c>
    </row>
    <row r="29" spans="1:24" x14ac:dyDescent="0.25">
      <c r="A29" s="61">
        <v>45009</v>
      </c>
      <c r="B29" s="71">
        <f>ROUND(Summary!$G$8/31,2)</f>
        <v>1792431.03</v>
      </c>
      <c r="C29" s="71">
        <v>345</v>
      </c>
      <c r="D29" s="71">
        <v>346.85</v>
      </c>
      <c r="E29" s="71">
        <f t="shared" si="6"/>
        <v>345</v>
      </c>
      <c r="F29" s="71">
        <f t="shared" si="0"/>
        <v>1075458.6200000001</v>
      </c>
      <c r="G29" s="71">
        <f t="shared" si="7"/>
        <v>1075458.6200000001</v>
      </c>
      <c r="H29" s="71">
        <f t="shared" si="8"/>
        <v>716972.41</v>
      </c>
      <c r="I29" s="71">
        <f t="shared" si="1"/>
        <v>716972.41</v>
      </c>
      <c r="J29" s="71">
        <v>20</v>
      </c>
      <c r="K29" s="71">
        <f t="shared" si="9"/>
        <v>358486.21</v>
      </c>
      <c r="L29" s="71">
        <f t="shared" si="10"/>
        <v>0</v>
      </c>
      <c r="M29" s="71">
        <v>66</v>
      </c>
      <c r="N29" s="71">
        <f t="shared" si="11"/>
        <v>107545.86</v>
      </c>
      <c r="O29" s="71">
        <f t="shared" si="12"/>
        <v>0</v>
      </c>
      <c r="P29" s="71">
        <v>39</v>
      </c>
      <c r="Q29" s="71">
        <f t="shared" si="13"/>
        <v>179243.1</v>
      </c>
      <c r="R29" s="71">
        <f t="shared" si="14"/>
        <v>0</v>
      </c>
      <c r="S29" s="71">
        <v>6100</v>
      </c>
      <c r="T29" s="71">
        <f t="shared" si="15"/>
        <v>71697.240000000005</v>
      </c>
      <c r="U29" s="71">
        <f t="shared" si="16"/>
        <v>0</v>
      </c>
      <c r="V29" s="71">
        <f t="shared" si="17"/>
        <v>716972.41</v>
      </c>
      <c r="W29" s="71">
        <f t="shared" si="18"/>
        <v>0</v>
      </c>
    </row>
    <row r="30" spans="1:24" x14ac:dyDescent="0.25">
      <c r="A30" s="61">
        <v>45010</v>
      </c>
      <c r="B30" s="71">
        <f>ROUND(Summary!$G$8/31,2)</f>
        <v>1792431.03</v>
      </c>
      <c r="C30" s="71">
        <v>345</v>
      </c>
      <c r="D30" s="71">
        <v>345.92</v>
      </c>
      <c r="E30" s="71">
        <f t="shared" si="6"/>
        <v>345</v>
      </c>
      <c r="F30" s="71">
        <f t="shared" si="0"/>
        <v>1075458.6200000001</v>
      </c>
      <c r="G30" s="71">
        <f t="shared" si="7"/>
        <v>1075458.6200000001</v>
      </c>
      <c r="H30" s="71">
        <f t="shared" si="8"/>
        <v>716972.41</v>
      </c>
      <c r="I30" s="71">
        <f t="shared" si="1"/>
        <v>716972.41</v>
      </c>
      <c r="J30" s="71">
        <v>22</v>
      </c>
      <c r="K30" s="71">
        <f t="shared" si="9"/>
        <v>358486.21</v>
      </c>
      <c r="L30" s="71">
        <f t="shared" si="10"/>
        <v>0</v>
      </c>
      <c r="M30" s="71">
        <v>67</v>
      </c>
      <c r="N30" s="71">
        <f t="shared" si="11"/>
        <v>107545.86</v>
      </c>
      <c r="O30" s="71">
        <f t="shared" si="12"/>
        <v>0</v>
      </c>
      <c r="P30" s="71">
        <v>38</v>
      </c>
      <c r="Q30" s="71">
        <f t="shared" si="13"/>
        <v>179243.1</v>
      </c>
      <c r="R30" s="71">
        <f t="shared" si="14"/>
        <v>0</v>
      </c>
      <c r="S30" s="71">
        <v>7900</v>
      </c>
      <c r="T30" s="71">
        <f t="shared" si="15"/>
        <v>71697.240000000005</v>
      </c>
      <c r="U30" s="71">
        <f t="shared" si="16"/>
        <v>0</v>
      </c>
      <c r="V30" s="71">
        <f t="shared" si="17"/>
        <v>716972.41</v>
      </c>
      <c r="W30" s="71">
        <f t="shared" si="18"/>
        <v>0</v>
      </c>
    </row>
    <row r="31" spans="1:24" x14ac:dyDescent="0.25">
      <c r="A31" s="61">
        <v>45011</v>
      </c>
      <c r="B31" s="71">
        <f>ROUND(Summary!$G$8/31,2)</f>
        <v>1792431.03</v>
      </c>
      <c r="C31" s="71">
        <v>345</v>
      </c>
      <c r="D31" s="71">
        <v>345.27</v>
      </c>
      <c r="E31" s="71">
        <f t="shared" si="6"/>
        <v>345</v>
      </c>
      <c r="F31" s="71">
        <f t="shared" si="0"/>
        <v>1075458.6200000001</v>
      </c>
      <c r="G31" s="71">
        <f t="shared" si="7"/>
        <v>1075458.6200000001</v>
      </c>
      <c r="H31" s="71">
        <f t="shared" si="8"/>
        <v>716972.41</v>
      </c>
      <c r="I31" s="71">
        <f t="shared" si="1"/>
        <v>716972.41</v>
      </c>
      <c r="J31" s="71">
        <v>21</v>
      </c>
      <c r="K31" s="71">
        <f t="shared" si="9"/>
        <v>358486.21</v>
      </c>
      <c r="L31" s="71">
        <f t="shared" si="10"/>
        <v>0</v>
      </c>
      <c r="M31" s="71">
        <v>84</v>
      </c>
      <c r="N31" s="71">
        <f t="shared" si="11"/>
        <v>107545.86</v>
      </c>
      <c r="O31" s="71">
        <f t="shared" si="12"/>
        <v>0</v>
      </c>
      <c r="P31" s="71">
        <v>31</v>
      </c>
      <c r="Q31" s="71">
        <f t="shared" si="13"/>
        <v>179243.1</v>
      </c>
      <c r="R31" s="71">
        <f t="shared" si="14"/>
        <v>0</v>
      </c>
      <c r="S31" s="71">
        <v>7400</v>
      </c>
      <c r="T31" s="71">
        <f t="shared" si="15"/>
        <v>71697.240000000005</v>
      </c>
      <c r="U31" s="71">
        <f t="shared" si="16"/>
        <v>0</v>
      </c>
      <c r="V31" s="71">
        <f t="shared" si="17"/>
        <v>716972.41</v>
      </c>
      <c r="W31" s="71">
        <f t="shared" si="18"/>
        <v>0</v>
      </c>
    </row>
    <row r="32" spans="1:24" s="29" customFormat="1" x14ac:dyDescent="0.25">
      <c r="A32" s="26">
        <v>45012</v>
      </c>
      <c r="B32" s="27">
        <f>ROUND(Summary!$G$8/31,2)</f>
        <v>1792431.03</v>
      </c>
      <c r="C32" s="27">
        <v>345</v>
      </c>
      <c r="D32" s="27">
        <v>306.04000000000002</v>
      </c>
      <c r="E32" s="71">
        <f t="shared" si="6"/>
        <v>306.04000000000002</v>
      </c>
      <c r="F32" s="27">
        <f t="shared" si="0"/>
        <v>1075458.6200000001</v>
      </c>
      <c r="G32" s="71">
        <f t="shared" si="7"/>
        <v>954009.73</v>
      </c>
      <c r="H32" s="27">
        <f t="shared" si="8"/>
        <v>716972.41</v>
      </c>
      <c r="I32" s="71">
        <f t="shared" si="1"/>
        <v>636006.48</v>
      </c>
      <c r="J32" s="27">
        <v>16.8</v>
      </c>
      <c r="K32" s="71">
        <f t="shared" si="9"/>
        <v>318003.24</v>
      </c>
      <c r="L32" s="71">
        <f t="shared" si="10"/>
        <v>0</v>
      </c>
      <c r="M32" s="27">
        <v>96</v>
      </c>
      <c r="N32" s="71">
        <f t="shared" si="11"/>
        <v>95400.97</v>
      </c>
      <c r="O32" s="71">
        <f t="shared" si="12"/>
        <v>0</v>
      </c>
      <c r="P32" s="27">
        <v>44</v>
      </c>
      <c r="Q32" s="71">
        <f t="shared" si="13"/>
        <v>159001.62</v>
      </c>
      <c r="R32" s="71">
        <f t="shared" si="14"/>
        <v>0</v>
      </c>
      <c r="S32" s="27">
        <v>6800</v>
      </c>
      <c r="T32" s="71">
        <f t="shared" si="15"/>
        <v>63600.65</v>
      </c>
      <c r="U32" s="71">
        <f t="shared" si="16"/>
        <v>0</v>
      </c>
      <c r="V32" s="71">
        <f t="shared" si="17"/>
        <v>636006.48</v>
      </c>
      <c r="W32" s="71">
        <f t="shared" si="18"/>
        <v>0</v>
      </c>
      <c r="X32" s="28" t="s">
        <v>94</v>
      </c>
    </row>
    <row r="33" spans="1:24" s="25" customFormat="1" x14ac:dyDescent="0.25">
      <c r="A33" s="23">
        <v>45013</v>
      </c>
      <c r="B33" s="11">
        <f>ROUND(Summary!$G$8/31,2)</f>
        <v>1792431.03</v>
      </c>
      <c r="C33" s="11">
        <v>345</v>
      </c>
      <c r="D33" s="11">
        <v>345.94</v>
      </c>
      <c r="E33" s="71">
        <f t="shared" si="6"/>
        <v>345</v>
      </c>
      <c r="F33" s="11">
        <f t="shared" si="0"/>
        <v>1075458.6200000001</v>
      </c>
      <c r="G33" s="71">
        <f t="shared" si="7"/>
        <v>1075458.6200000001</v>
      </c>
      <c r="H33" s="11">
        <f t="shared" si="8"/>
        <v>716972.41</v>
      </c>
      <c r="I33" s="71">
        <f t="shared" si="1"/>
        <v>716972.41</v>
      </c>
      <c r="J33" s="11">
        <v>21</v>
      </c>
      <c r="K33" s="71">
        <f t="shared" si="9"/>
        <v>358486.21</v>
      </c>
      <c r="L33" s="71">
        <f t="shared" si="10"/>
        <v>0</v>
      </c>
      <c r="M33" s="11">
        <v>84</v>
      </c>
      <c r="N33" s="71">
        <f t="shared" si="11"/>
        <v>107545.86</v>
      </c>
      <c r="O33" s="71">
        <f t="shared" si="12"/>
        <v>0</v>
      </c>
      <c r="P33" s="11">
        <v>37</v>
      </c>
      <c r="Q33" s="71">
        <f t="shared" si="13"/>
        <v>179243.1</v>
      </c>
      <c r="R33" s="71">
        <f t="shared" si="14"/>
        <v>0</v>
      </c>
      <c r="S33" s="11">
        <v>5900</v>
      </c>
      <c r="T33" s="71">
        <f t="shared" si="15"/>
        <v>71697.240000000005</v>
      </c>
      <c r="U33" s="71">
        <f t="shared" si="16"/>
        <v>0</v>
      </c>
      <c r="V33" s="71">
        <f t="shared" si="17"/>
        <v>716972.41</v>
      </c>
      <c r="W33" s="71">
        <f t="shared" si="18"/>
        <v>0</v>
      </c>
      <c r="X33" s="24" t="s">
        <v>93</v>
      </c>
    </row>
    <row r="34" spans="1:24" x14ac:dyDescent="0.25">
      <c r="A34" s="61">
        <v>45014</v>
      </c>
      <c r="B34" s="71">
        <f>ROUND(Summary!$G$8/31,2)</f>
        <v>1792431.03</v>
      </c>
      <c r="C34" s="71">
        <v>345</v>
      </c>
      <c r="D34" s="71">
        <v>318.11</v>
      </c>
      <c r="E34" s="71">
        <f t="shared" si="6"/>
        <v>318.11</v>
      </c>
      <c r="F34" s="71">
        <f t="shared" si="0"/>
        <v>1075458.6200000001</v>
      </c>
      <c r="G34" s="71">
        <f t="shared" si="7"/>
        <v>991635.19</v>
      </c>
      <c r="H34" s="71">
        <f t="shared" si="8"/>
        <v>716972.41</v>
      </c>
      <c r="I34" s="71">
        <f t="shared" si="1"/>
        <v>661090.13</v>
      </c>
      <c r="J34" s="71">
        <v>18</v>
      </c>
      <c r="K34" s="71">
        <f t="shared" si="9"/>
        <v>330545.07</v>
      </c>
      <c r="L34" s="71">
        <f t="shared" si="10"/>
        <v>0</v>
      </c>
      <c r="M34" s="71">
        <v>92</v>
      </c>
      <c r="N34" s="71">
        <f t="shared" si="11"/>
        <v>99163.520000000004</v>
      </c>
      <c r="O34" s="71">
        <f t="shared" si="12"/>
        <v>0</v>
      </c>
      <c r="P34" s="71">
        <v>18</v>
      </c>
      <c r="Q34" s="71">
        <f t="shared" si="13"/>
        <v>165272.53</v>
      </c>
      <c r="R34" s="71">
        <f t="shared" si="14"/>
        <v>0</v>
      </c>
      <c r="S34" s="71">
        <v>70</v>
      </c>
      <c r="T34" s="71">
        <f t="shared" si="15"/>
        <v>66109.009999999995</v>
      </c>
      <c r="U34" s="71">
        <f t="shared" si="16"/>
        <v>0</v>
      </c>
      <c r="V34" s="71">
        <f t="shared" si="17"/>
        <v>661090.13</v>
      </c>
      <c r="W34" s="71">
        <f t="shared" si="18"/>
        <v>0</v>
      </c>
    </row>
    <row r="35" spans="1:24" x14ac:dyDescent="0.25">
      <c r="A35" s="61">
        <v>45015</v>
      </c>
      <c r="B35" s="71">
        <f>ROUND(Summary!$G$8/31,2)</f>
        <v>1792431.03</v>
      </c>
      <c r="C35" s="71">
        <v>345</v>
      </c>
      <c r="D35" s="71">
        <v>345.83</v>
      </c>
      <c r="E35" s="71">
        <f t="shared" si="6"/>
        <v>345</v>
      </c>
      <c r="F35" s="71">
        <f t="shared" ref="F35:F36" si="19">B35*60%</f>
        <v>1075458.6200000001</v>
      </c>
      <c r="G35" s="71">
        <f t="shared" si="7"/>
        <v>1075458.6200000001</v>
      </c>
      <c r="H35" s="71">
        <f t="shared" ref="H35:H36" si="20">B35*40%</f>
        <v>716972.41</v>
      </c>
      <c r="I35" s="71">
        <f t="shared" si="1"/>
        <v>716972.41</v>
      </c>
      <c r="J35" s="71">
        <v>20</v>
      </c>
      <c r="K35" s="71">
        <f t="shared" si="9"/>
        <v>358486.21</v>
      </c>
      <c r="L35" s="71">
        <f t="shared" si="10"/>
        <v>0</v>
      </c>
      <c r="M35" s="71">
        <v>80</v>
      </c>
      <c r="N35" s="71">
        <f t="shared" si="11"/>
        <v>107545.86</v>
      </c>
      <c r="O35" s="71">
        <f t="shared" si="12"/>
        <v>0</v>
      </c>
      <c r="P35" s="71">
        <v>32</v>
      </c>
      <c r="Q35" s="71">
        <f t="shared" si="13"/>
        <v>179243.1</v>
      </c>
      <c r="R35" s="71">
        <f t="shared" si="14"/>
        <v>0</v>
      </c>
      <c r="S35" s="71">
        <v>6100</v>
      </c>
      <c r="T35" s="71">
        <f t="shared" si="15"/>
        <v>71697.240000000005</v>
      </c>
      <c r="U35" s="71">
        <f t="shared" si="16"/>
        <v>0</v>
      </c>
      <c r="V35" s="71">
        <f t="shared" si="17"/>
        <v>716972.41</v>
      </c>
      <c r="W35" s="71">
        <f t="shared" si="18"/>
        <v>0</v>
      </c>
    </row>
    <row r="36" spans="1:24" x14ac:dyDescent="0.25">
      <c r="A36" s="61">
        <v>45016</v>
      </c>
      <c r="B36" s="71">
        <f>ROUND(Summary!$G$8/31,2)</f>
        <v>1792431.03</v>
      </c>
      <c r="C36" s="71">
        <v>345</v>
      </c>
      <c r="D36" s="71">
        <v>347.74</v>
      </c>
      <c r="E36" s="71">
        <f t="shared" si="6"/>
        <v>345</v>
      </c>
      <c r="F36" s="71">
        <f t="shared" si="19"/>
        <v>1075458.6200000001</v>
      </c>
      <c r="G36" s="71">
        <f t="shared" si="7"/>
        <v>1075458.6200000001</v>
      </c>
      <c r="H36" s="71">
        <f t="shared" si="20"/>
        <v>716972.41</v>
      </c>
      <c r="I36" s="71">
        <f t="shared" si="1"/>
        <v>716972.41</v>
      </c>
      <c r="J36" s="71">
        <v>19</v>
      </c>
      <c r="K36" s="71">
        <f t="shared" si="9"/>
        <v>358486.21</v>
      </c>
      <c r="L36" s="71">
        <f t="shared" si="10"/>
        <v>0</v>
      </c>
      <c r="M36" s="71">
        <v>86</v>
      </c>
      <c r="N36" s="71">
        <f t="shared" si="11"/>
        <v>107545.86</v>
      </c>
      <c r="O36" s="71">
        <f t="shared" si="12"/>
        <v>0</v>
      </c>
      <c r="P36" s="71">
        <v>35</v>
      </c>
      <c r="Q36" s="71">
        <f t="shared" si="13"/>
        <v>179243.1</v>
      </c>
      <c r="R36" s="71">
        <f t="shared" si="14"/>
        <v>0</v>
      </c>
      <c r="S36" s="71">
        <v>6700</v>
      </c>
      <c r="T36" s="71">
        <f t="shared" si="15"/>
        <v>71697.240000000005</v>
      </c>
      <c r="U36" s="71">
        <f t="shared" si="16"/>
        <v>0</v>
      </c>
      <c r="V36" s="71">
        <f t="shared" si="17"/>
        <v>716972.41</v>
      </c>
      <c r="W36" s="71">
        <f t="shared" si="18"/>
        <v>0</v>
      </c>
    </row>
    <row r="37" spans="1:24" s="5" customFormat="1" x14ac:dyDescent="0.25">
      <c r="A37" s="60" t="s">
        <v>27</v>
      </c>
      <c r="B37" s="72">
        <f>SUM(B6:B36)</f>
        <v>55565361.93</v>
      </c>
      <c r="C37" s="72"/>
      <c r="D37" s="73"/>
      <c r="E37" s="72"/>
      <c r="F37" s="72">
        <f>SUM(F6:F36)</f>
        <v>33339217.219999999</v>
      </c>
      <c r="G37" s="72">
        <f>SUM(G6:G36)</f>
        <v>33049279.809999999</v>
      </c>
      <c r="H37" s="72">
        <f t="shared" ref="H37:I37" si="21">SUM(H6:H36)</f>
        <v>22226144.710000001</v>
      </c>
      <c r="I37" s="72">
        <f t="shared" si="21"/>
        <v>22032853.109999999</v>
      </c>
      <c r="J37" s="72"/>
      <c r="K37" s="72">
        <f>SUM(K6:K36)</f>
        <v>11016426.699999999</v>
      </c>
      <c r="L37" s="72">
        <f t="shared" ref="L37:U37" si="22">SUM(L6:L36)</f>
        <v>0</v>
      </c>
      <c r="M37" s="72"/>
      <c r="N37" s="72">
        <f t="shared" si="22"/>
        <v>3197382.06</v>
      </c>
      <c r="O37" s="72">
        <f>SUM(O6:O36)</f>
        <v>55565.36</v>
      </c>
      <c r="P37" s="72"/>
      <c r="Q37" s="72">
        <f t="shared" si="22"/>
        <v>5508213.21</v>
      </c>
      <c r="R37" s="72">
        <f t="shared" si="22"/>
        <v>0</v>
      </c>
      <c r="S37" s="72"/>
      <c r="T37" s="72">
        <f t="shared" si="22"/>
        <v>2203285.2799999998</v>
      </c>
      <c r="U37" s="72">
        <f t="shared" si="22"/>
        <v>0</v>
      </c>
      <c r="V37" s="72">
        <f>SUM(V6:V36)</f>
        <v>21925307.25</v>
      </c>
      <c r="W37" s="72">
        <f>SUM(W6:W36)</f>
        <v>55565.36</v>
      </c>
      <c r="X37" s="64"/>
    </row>
    <row r="38" spans="1:24" x14ac:dyDescent="0.25">
      <c r="A38" s="60"/>
      <c r="B38" s="60" t="s">
        <v>81</v>
      </c>
      <c r="C38" s="60"/>
      <c r="D38" s="60"/>
      <c r="E38" s="60"/>
      <c r="F38" s="7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72">
        <f>V37+G37</f>
        <v>54974587.060000002</v>
      </c>
      <c r="W38" s="72"/>
    </row>
    <row r="39" spans="1:24" hidden="1" x14ac:dyDescent="0.25">
      <c r="F39" s="62">
        <f>F37*1.05</f>
        <v>35006178.081</v>
      </c>
      <c r="G39" s="62">
        <f t="shared" ref="G39:W39" si="23">G37*1.05</f>
        <v>34701743.800499998</v>
      </c>
      <c r="H39" s="62">
        <f t="shared" si="23"/>
        <v>23337451.945500001</v>
      </c>
      <c r="I39" s="62">
        <f t="shared" si="23"/>
        <v>23134495.765500002</v>
      </c>
      <c r="J39" s="62">
        <f t="shared" si="23"/>
        <v>0</v>
      </c>
      <c r="K39" s="62">
        <f t="shared" si="23"/>
        <v>11567248.035</v>
      </c>
      <c r="L39" s="62">
        <f t="shared" si="23"/>
        <v>0</v>
      </c>
      <c r="M39" s="62">
        <f t="shared" si="23"/>
        <v>0</v>
      </c>
      <c r="N39" s="62">
        <f t="shared" si="23"/>
        <v>3357251.1630000002</v>
      </c>
      <c r="O39" s="62">
        <f t="shared" si="23"/>
        <v>58343.627999999997</v>
      </c>
      <c r="P39" s="62">
        <f t="shared" si="23"/>
        <v>0</v>
      </c>
      <c r="Q39" s="62">
        <f t="shared" si="23"/>
        <v>5783623.8705000002</v>
      </c>
      <c r="R39" s="62">
        <f t="shared" si="23"/>
        <v>0</v>
      </c>
      <c r="S39" s="62">
        <f t="shared" si="23"/>
        <v>0</v>
      </c>
      <c r="T39" s="62">
        <f t="shared" si="23"/>
        <v>2313449.5440000002</v>
      </c>
      <c r="U39" s="62">
        <f t="shared" si="23"/>
        <v>0</v>
      </c>
      <c r="V39" s="62">
        <f t="shared" si="23"/>
        <v>23021572.612500001</v>
      </c>
      <c r="W39" s="62">
        <f t="shared" si="23"/>
        <v>58343.627999999997</v>
      </c>
    </row>
    <row r="40" spans="1:24" hidden="1" x14ac:dyDescent="0.25">
      <c r="F40" s="62">
        <f>F39*1.05</f>
        <v>36756486.98505</v>
      </c>
      <c r="G40" s="62">
        <f t="shared" ref="G40:W40" si="24">G39*1.05</f>
        <v>36436830.990525</v>
      </c>
      <c r="H40" s="62">
        <f t="shared" si="24"/>
        <v>24504324.542775001</v>
      </c>
      <c r="I40" s="62">
        <f t="shared" si="24"/>
        <v>24291220.553775001</v>
      </c>
      <c r="J40" s="62">
        <f t="shared" si="24"/>
        <v>0</v>
      </c>
      <c r="K40" s="62">
        <f t="shared" si="24"/>
        <v>12145610.43675</v>
      </c>
      <c r="L40" s="62">
        <f t="shared" si="24"/>
        <v>0</v>
      </c>
      <c r="M40" s="62">
        <f t="shared" si="24"/>
        <v>0</v>
      </c>
      <c r="N40" s="62">
        <f t="shared" si="24"/>
        <v>3525113.7211500001</v>
      </c>
      <c r="O40" s="62">
        <f t="shared" si="24"/>
        <v>61260.809399999998</v>
      </c>
      <c r="P40" s="62">
        <f t="shared" si="24"/>
        <v>0</v>
      </c>
      <c r="Q40" s="62">
        <f t="shared" si="24"/>
        <v>6072805.0640249997</v>
      </c>
      <c r="R40" s="62">
        <f t="shared" si="24"/>
        <v>0</v>
      </c>
      <c r="S40" s="62">
        <f t="shared" si="24"/>
        <v>0</v>
      </c>
      <c r="T40" s="62">
        <f t="shared" si="24"/>
        <v>2429122.0211999998</v>
      </c>
      <c r="U40" s="62">
        <f t="shared" si="24"/>
        <v>0</v>
      </c>
      <c r="V40" s="62">
        <f t="shared" si="24"/>
        <v>24172651.243124999</v>
      </c>
      <c r="W40" s="62">
        <f t="shared" si="24"/>
        <v>61260.809399999998</v>
      </c>
    </row>
    <row r="41" spans="1:24" hidden="1" x14ac:dyDescent="0.25">
      <c r="W41" s="62"/>
    </row>
    <row r="42" spans="1:24" hidden="1" x14ac:dyDescent="0.25">
      <c r="U42" s="62">
        <f>V38*1.05</f>
        <v>57723316.413000003</v>
      </c>
      <c r="V42" s="62">
        <f>V40+G40</f>
        <v>60609482.233649999</v>
      </c>
    </row>
    <row r="43" spans="1:24" hidden="1" x14ac:dyDescent="0.25">
      <c r="U43" s="62">
        <f>U42*1.05</f>
        <v>60609482.233649999</v>
      </c>
    </row>
    <row r="44" spans="1:24" hidden="1" x14ac:dyDescent="0.25"/>
    <row r="46" spans="1:24" x14ac:dyDescent="0.25">
      <c r="B46" s="62">
        <f>B37*1.05</f>
        <v>58343630.026500002</v>
      </c>
      <c r="C46" s="62">
        <f t="shared" ref="C46:U46" si="25">C37*1.05</f>
        <v>0</v>
      </c>
      <c r="D46" s="62">
        <f t="shared" si="25"/>
        <v>0</v>
      </c>
      <c r="E46" s="62">
        <f t="shared" si="25"/>
        <v>0</v>
      </c>
      <c r="F46" s="62">
        <f>F37*1.05</f>
        <v>35006178.081</v>
      </c>
      <c r="G46" s="62">
        <f t="shared" si="25"/>
        <v>34701743.800499998</v>
      </c>
      <c r="H46" s="62">
        <f t="shared" si="25"/>
        <v>23337451.945500001</v>
      </c>
      <c r="I46" s="62">
        <f t="shared" si="25"/>
        <v>23134495.765500002</v>
      </c>
      <c r="J46" s="62">
        <f t="shared" si="25"/>
        <v>0</v>
      </c>
      <c r="K46" s="62">
        <f t="shared" si="25"/>
        <v>11567248.035</v>
      </c>
      <c r="L46" s="62">
        <f t="shared" si="25"/>
        <v>0</v>
      </c>
      <c r="M46" s="62">
        <f t="shared" si="25"/>
        <v>0</v>
      </c>
      <c r="N46" s="62">
        <f t="shared" si="25"/>
        <v>3357251.1630000002</v>
      </c>
      <c r="O46" s="62">
        <f t="shared" si="25"/>
        <v>58343.627999999997</v>
      </c>
      <c r="P46" s="62">
        <f t="shared" si="25"/>
        <v>0</v>
      </c>
      <c r="Q46" s="62">
        <f t="shared" si="25"/>
        <v>5783623.8705000002</v>
      </c>
      <c r="R46" s="62">
        <f t="shared" si="25"/>
        <v>0</v>
      </c>
      <c r="S46" s="62">
        <f t="shared" si="25"/>
        <v>0</v>
      </c>
      <c r="T46" s="62">
        <f t="shared" si="25"/>
        <v>2313449.5440000002</v>
      </c>
      <c r="U46" s="62">
        <f t="shared" si="25"/>
        <v>0</v>
      </c>
      <c r="V46" s="62">
        <f>V37*1.05</f>
        <v>23021572.612500001</v>
      </c>
    </row>
    <row r="47" spans="1:24" x14ac:dyDescent="0.25">
      <c r="B47" s="62">
        <f>B46*1.05</f>
        <v>61260811.527824998</v>
      </c>
      <c r="C47" s="62">
        <f t="shared" ref="C47:V48" si="26">C46*1.05</f>
        <v>0</v>
      </c>
      <c r="D47" s="62">
        <f t="shared" si="26"/>
        <v>0</v>
      </c>
      <c r="E47" s="62">
        <f t="shared" si="26"/>
        <v>0</v>
      </c>
      <c r="F47" s="62">
        <f t="shared" si="26"/>
        <v>36756486.98505</v>
      </c>
      <c r="G47" s="62">
        <f t="shared" si="26"/>
        <v>36436830.990525</v>
      </c>
      <c r="H47" s="62">
        <f t="shared" si="26"/>
        <v>24504324.542775001</v>
      </c>
      <c r="I47" s="62">
        <f t="shared" si="26"/>
        <v>24291220.553775001</v>
      </c>
      <c r="J47" s="62">
        <f t="shared" si="26"/>
        <v>0</v>
      </c>
      <c r="K47" s="62">
        <f t="shared" si="26"/>
        <v>12145610.43675</v>
      </c>
      <c r="L47" s="62">
        <f t="shared" si="26"/>
        <v>0</v>
      </c>
      <c r="M47" s="62">
        <f t="shared" si="26"/>
        <v>0</v>
      </c>
      <c r="N47" s="62">
        <f t="shared" si="26"/>
        <v>3525113.7211500001</v>
      </c>
      <c r="O47" s="62">
        <f t="shared" si="26"/>
        <v>61260.809399999998</v>
      </c>
      <c r="P47" s="62">
        <f t="shared" si="26"/>
        <v>0</v>
      </c>
      <c r="Q47" s="62">
        <f t="shared" si="26"/>
        <v>6072805.0640249997</v>
      </c>
      <c r="R47" s="62">
        <f t="shared" si="26"/>
        <v>0</v>
      </c>
      <c r="S47" s="62">
        <f t="shared" si="26"/>
        <v>0</v>
      </c>
      <c r="T47" s="62">
        <f t="shared" si="26"/>
        <v>2429122.0211999998</v>
      </c>
      <c r="U47" s="62">
        <f t="shared" si="26"/>
        <v>0</v>
      </c>
      <c r="V47" s="62">
        <f t="shared" si="26"/>
        <v>24172651.243124999</v>
      </c>
    </row>
    <row r="48" spans="1:24" x14ac:dyDescent="0.25">
      <c r="B48" s="62">
        <f>B47*1.05</f>
        <v>64323852.104216203</v>
      </c>
      <c r="C48" s="62">
        <f t="shared" si="26"/>
        <v>0</v>
      </c>
      <c r="D48" s="62">
        <f t="shared" si="26"/>
        <v>0</v>
      </c>
      <c r="E48" s="62">
        <f t="shared" si="26"/>
        <v>0</v>
      </c>
      <c r="F48" s="62">
        <f t="shared" si="26"/>
        <v>38594311.3343025</v>
      </c>
      <c r="G48" s="62">
        <f t="shared" si="26"/>
        <v>38258672.540051296</v>
      </c>
      <c r="H48" s="62">
        <f t="shared" si="26"/>
        <v>25729540.7699138</v>
      </c>
      <c r="I48" s="62">
        <f t="shared" si="26"/>
        <v>25505781.581463799</v>
      </c>
      <c r="J48" s="62">
        <f t="shared" si="26"/>
        <v>0</v>
      </c>
      <c r="K48" s="62">
        <f t="shared" si="26"/>
        <v>12752890.958587499</v>
      </c>
      <c r="L48" s="62">
        <f t="shared" si="26"/>
        <v>0</v>
      </c>
      <c r="M48" s="62">
        <f t="shared" si="26"/>
        <v>0</v>
      </c>
      <c r="N48" s="62">
        <f t="shared" si="26"/>
        <v>3701369.4072075002</v>
      </c>
      <c r="O48" s="62">
        <f t="shared" si="26"/>
        <v>64323.849869999998</v>
      </c>
      <c r="P48" s="62">
        <f t="shared" si="26"/>
        <v>0</v>
      </c>
      <c r="Q48" s="62">
        <f t="shared" si="26"/>
        <v>6376445.3172262497</v>
      </c>
      <c r="R48" s="62">
        <f t="shared" si="26"/>
        <v>0</v>
      </c>
      <c r="S48" s="62">
        <f t="shared" si="26"/>
        <v>0</v>
      </c>
      <c r="T48" s="62">
        <f t="shared" si="26"/>
        <v>2550578.1222600001</v>
      </c>
      <c r="U48" s="62">
        <f t="shared" si="26"/>
        <v>0</v>
      </c>
      <c r="V48" s="62">
        <f t="shared" si="26"/>
        <v>25381283.8052813</v>
      </c>
    </row>
    <row r="49" spans="22:22" x14ac:dyDescent="0.25">
      <c r="V49" s="62">
        <f>V48+G48</f>
        <v>63639956.3453326</v>
      </c>
    </row>
    <row r="50" spans="22:22" x14ac:dyDescent="0.25">
      <c r="V50" s="62">
        <f>V38*1.05</f>
        <v>57723316.413000003</v>
      </c>
    </row>
    <row r="51" spans="22:22" x14ac:dyDescent="0.25">
      <c r="V51" s="62">
        <f>V50*1.05</f>
        <v>60609482.233649999</v>
      </c>
    </row>
    <row r="52" spans="22:22" x14ac:dyDescent="0.25">
      <c r="V52" s="62">
        <f>V51*1.05</f>
        <v>63639956.345332503</v>
      </c>
    </row>
  </sheetData>
  <mergeCells count="18">
    <mergeCell ref="E4:E5"/>
    <mergeCell ref="J4:L4"/>
    <mergeCell ref="A1:W1"/>
    <mergeCell ref="M4:O4"/>
    <mergeCell ref="P4:R4"/>
    <mergeCell ref="S4:U4"/>
    <mergeCell ref="W4:W5"/>
    <mergeCell ref="F3:G3"/>
    <mergeCell ref="A4:A5"/>
    <mergeCell ref="B4:B5"/>
    <mergeCell ref="D4:D5"/>
    <mergeCell ref="F4:F5"/>
    <mergeCell ref="G4:G5"/>
    <mergeCell ref="H4:H5"/>
    <mergeCell ref="V4:V5"/>
    <mergeCell ref="C3:D3"/>
    <mergeCell ref="C4:C5"/>
    <mergeCell ref="I4:I5"/>
  </mergeCells>
  <printOptions horizontalCentered="1"/>
  <pageMargins left="0.23622047244094491" right="0.23622047244094491" top="0.74803149606299213" bottom="0.74803149606299213" header="0.31496062992125984" footer="0.31496062992125984"/>
  <pageSetup paperSize="9" scale="5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D45"/>
  <sheetViews>
    <sheetView zoomScaleNormal="100" workbookViewId="0">
      <pane xSplit="1" ySplit="1" topLeftCell="M20" activePane="bottomRight" state="frozen"/>
      <selection activeCell="D33" sqref="D33"/>
      <selection pane="topRight" activeCell="D33" sqref="D33"/>
      <selection pane="bottomLeft" activeCell="D33" sqref="D33"/>
      <selection pane="bottomRight" activeCell="V6" sqref="V6:W36"/>
    </sheetView>
  </sheetViews>
  <sheetFormatPr defaultColWidth="9.140625" defaultRowHeight="15.75" x14ac:dyDescent="0.25"/>
  <cols>
    <col min="1" max="1" width="10.5703125" style="63" customWidth="1"/>
    <col min="2" max="2" width="13.5703125" style="63" customWidth="1"/>
    <col min="3" max="3" width="9.42578125" style="63" bestFit="1" customWidth="1"/>
    <col min="4" max="4" width="9.5703125" style="63" customWidth="1"/>
    <col min="5" max="5" width="11" style="63" bestFit="1" customWidth="1"/>
    <col min="6" max="6" width="11.7109375" style="63" bestFit="1" customWidth="1"/>
    <col min="7" max="7" width="12.7109375" style="63" bestFit="1" customWidth="1"/>
    <col min="8" max="8" width="11.7109375" style="63" bestFit="1" customWidth="1"/>
    <col min="9" max="9" width="12.7109375" style="63" bestFit="1" customWidth="1"/>
    <col min="10" max="10" width="9" style="63" customWidth="1"/>
    <col min="11" max="11" width="11.85546875" style="63" customWidth="1"/>
    <col min="12" max="12" width="10.7109375" style="63" customWidth="1"/>
    <col min="13" max="13" width="9.28515625" style="63" customWidth="1"/>
    <col min="14" max="14" width="10.7109375" style="63" bestFit="1" customWidth="1"/>
    <col min="15" max="15" width="10.7109375" style="63" customWidth="1"/>
    <col min="16" max="16" width="9.28515625" style="63" customWidth="1"/>
    <col min="17" max="17" width="10.7109375" style="63" bestFit="1" customWidth="1"/>
    <col min="18" max="18" width="10.7109375" style="63" customWidth="1"/>
    <col min="19" max="19" width="9.28515625" style="63" customWidth="1"/>
    <col min="20" max="20" width="10.7109375" style="63" bestFit="1" customWidth="1"/>
    <col min="21" max="21" width="10.7109375" style="63" customWidth="1"/>
    <col min="22" max="22" width="13.7109375" style="63" customWidth="1"/>
    <col min="23" max="23" width="10.5703125" bestFit="1" customWidth="1"/>
    <col min="24" max="24" width="9.28515625" style="64" bestFit="1" customWidth="1"/>
    <col min="25" max="29" width="9.28515625" bestFit="1" customWidth="1"/>
    <col min="30" max="30" width="10.5703125" bestFit="1" customWidth="1"/>
  </cols>
  <sheetData>
    <row r="1" spans="1:30" ht="18.75" customHeight="1" x14ac:dyDescent="0.3">
      <c r="A1" s="117" t="str">
        <f>'345 MLD'!A1:W1</f>
        <v>Lucknow Payment for the month of MARCH 2023 (As Per VoL -1, Section IV, Clause 39)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Y1" s="10"/>
      <c r="Z1" s="10"/>
      <c r="AA1" s="10"/>
      <c r="AB1" s="10"/>
      <c r="AC1" s="10"/>
      <c r="AD1" s="10"/>
    </row>
    <row r="2" spans="1:30" ht="15" customHeight="1" x14ac:dyDescent="0.3">
      <c r="A2" s="59">
        <v>1</v>
      </c>
      <c r="B2" s="59">
        <v>2</v>
      </c>
      <c r="C2" s="59">
        <v>3</v>
      </c>
      <c r="D2" s="59">
        <v>4</v>
      </c>
      <c r="E2" s="59">
        <v>5</v>
      </c>
      <c r="F2" s="59">
        <v>6</v>
      </c>
      <c r="G2" s="59">
        <v>7</v>
      </c>
      <c r="H2" s="59">
        <v>8</v>
      </c>
      <c r="I2" s="59">
        <v>9</v>
      </c>
      <c r="J2" s="59">
        <v>10</v>
      </c>
      <c r="K2" s="59">
        <v>11</v>
      </c>
      <c r="L2" s="59">
        <v>12</v>
      </c>
      <c r="M2" s="59">
        <v>13</v>
      </c>
      <c r="N2" s="59">
        <v>14</v>
      </c>
      <c r="O2" s="59">
        <v>15</v>
      </c>
      <c r="P2" s="59">
        <v>16</v>
      </c>
      <c r="Q2" s="59">
        <v>17</v>
      </c>
      <c r="R2" s="59">
        <v>18</v>
      </c>
      <c r="S2" s="59">
        <v>19</v>
      </c>
      <c r="T2" s="59">
        <v>20</v>
      </c>
      <c r="U2" s="59">
        <v>21</v>
      </c>
      <c r="V2" s="59">
        <v>22</v>
      </c>
      <c r="W2" s="59">
        <v>23</v>
      </c>
      <c r="Y2" s="10"/>
      <c r="Z2" s="10"/>
      <c r="AA2" s="10"/>
      <c r="AB2" s="10"/>
      <c r="AC2" s="10"/>
      <c r="AD2" s="10"/>
    </row>
    <row r="3" spans="1:30" ht="15.75" customHeight="1" x14ac:dyDescent="0.3">
      <c r="A3" s="60"/>
      <c r="B3" s="60"/>
      <c r="C3" s="119" t="s">
        <v>23</v>
      </c>
      <c r="D3" s="121"/>
      <c r="E3" s="66"/>
      <c r="F3" s="122" t="s">
        <v>109</v>
      </c>
      <c r="G3" s="122"/>
      <c r="H3" s="122" t="s">
        <v>72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Y3" s="10"/>
      <c r="Z3" s="10"/>
      <c r="AA3" s="10"/>
      <c r="AB3" s="10"/>
      <c r="AC3" s="10"/>
      <c r="AD3" s="10"/>
    </row>
    <row r="4" spans="1:30" ht="21.95" customHeight="1" x14ac:dyDescent="0.3">
      <c r="A4" s="124" t="s">
        <v>22</v>
      </c>
      <c r="B4" s="81" t="s">
        <v>78</v>
      </c>
      <c r="C4" s="81" t="s">
        <v>29</v>
      </c>
      <c r="D4" s="81" t="s">
        <v>32</v>
      </c>
      <c r="E4" s="81" t="s">
        <v>30</v>
      </c>
      <c r="F4" s="122" t="s">
        <v>24</v>
      </c>
      <c r="G4" s="122" t="s">
        <v>25</v>
      </c>
      <c r="H4" s="122" t="s">
        <v>28</v>
      </c>
      <c r="I4" s="122" t="s">
        <v>25</v>
      </c>
      <c r="J4" s="119" t="s">
        <v>14</v>
      </c>
      <c r="K4" s="120"/>
      <c r="L4" s="120"/>
      <c r="M4" s="119" t="s">
        <v>16</v>
      </c>
      <c r="N4" s="120"/>
      <c r="O4" s="120"/>
      <c r="P4" s="119" t="s">
        <v>15</v>
      </c>
      <c r="Q4" s="120"/>
      <c r="R4" s="120"/>
      <c r="S4" s="119" t="s">
        <v>21</v>
      </c>
      <c r="T4" s="120"/>
      <c r="U4" s="121"/>
      <c r="V4" s="126" t="s">
        <v>71</v>
      </c>
      <c r="W4" s="122" t="s">
        <v>36</v>
      </c>
      <c r="Y4" s="10"/>
      <c r="Z4" s="10"/>
      <c r="AA4" s="10"/>
      <c r="AB4" s="10"/>
      <c r="AC4" s="10"/>
      <c r="AD4" s="10"/>
    </row>
    <row r="5" spans="1:30" ht="27" customHeight="1" x14ac:dyDescent="0.3">
      <c r="A5" s="125"/>
      <c r="B5" s="82"/>
      <c r="C5" s="82"/>
      <c r="D5" s="125"/>
      <c r="E5" s="125"/>
      <c r="F5" s="122"/>
      <c r="G5" s="122"/>
      <c r="H5" s="122"/>
      <c r="I5" s="122"/>
      <c r="J5" s="13" t="s">
        <v>35</v>
      </c>
      <c r="K5" s="70">
        <v>0.5</v>
      </c>
      <c r="L5" s="70" t="s">
        <v>36</v>
      </c>
      <c r="M5" s="13" t="s">
        <v>35</v>
      </c>
      <c r="N5" s="70">
        <v>0.15</v>
      </c>
      <c r="O5" s="70" t="s">
        <v>36</v>
      </c>
      <c r="P5" s="13" t="s">
        <v>35</v>
      </c>
      <c r="Q5" s="70">
        <v>0.25</v>
      </c>
      <c r="R5" s="70" t="s">
        <v>36</v>
      </c>
      <c r="S5" s="13" t="s">
        <v>35</v>
      </c>
      <c r="T5" s="70">
        <v>0.1</v>
      </c>
      <c r="U5" s="74" t="s">
        <v>36</v>
      </c>
      <c r="V5" s="126"/>
      <c r="W5" s="122"/>
      <c r="Y5" s="10"/>
      <c r="Z5" s="10"/>
      <c r="AA5" s="10"/>
      <c r="AB5" s="10"/>
      <c r="AC5" s="10"/>
      <c r="AD5" s="10"/>
    </row>
    <row r="6" spans="1:30" ht="16.5" customHeight="1" x14ac:dyDescent="0.3">
      <c r="A6" s="61">
        <v>44986</v>
      </c>
      <c r="B6" s="71">
        <f>ROUND(Summary!$G$9/31,2)</f>
        <v>218208.99</v>
      </c>
      <c r="C6" s="76">
        <v>42</v>
      </c>
      <c r="D6" s="71">
        <v>51.87</v>
      </c>
      <c r="E6" s="71">
        <f>MIN(D6,C6)</f>
        <v>42</v>
      </c>
      <c r="F6" s="71">
        <f t="shared" ref="F6:F34" si="0">B6*60%</f>
        <v>130925.39</v>
      </c>
      <c r="G6" s="71">
        <f>(F6*E6)/C6</f>
        <v>130925.39</v>
      </c>
      <c r="H6" s="71">
        <f t="shared" ref="H6:H34" si="1">B6*40%</f>
        <v>87283.6</v>
      </c>
      <c r="I6" s="71">
        <f>(H6*E6)/C6</f>
        <v>87283.6</v>
      </c>
      <c r="J6" s="71">
        <v>23</v>
      </c>
      <c r="K6" s="71">
        <f>I6*50%</f>
        <v>43641.8</v>
      </c>
      <c r="L6" s="71">
        <f t="shared" ref="L6" si="2">IF(J6&gt;30,(MAX($B$37*0.1/100,10000)),0)</f>
        <v>0</v>
      </c>
      <c r="M6" s="71">
        <v>76</v>
      </c>
      <c r="N6" s="71">
        <f>I6*15%</f>
        <v>13092.54</v>
      </c>
      <c r="O6" s="71">
        <f t="shared" ref="O6" si="3">IF(M6&gt;100,(MAX($B$37*0.1/100,10000)),0)</f>
        <v>0</v>
      </c>
      <c r="P6" s="71">
        <v>35</v>
      </c>
      <c r="Q6" s="71">
        <f>I6*25%</f>
        <v>21820.9</v>
      </c>
      <c r="R6" s="71">
        <f t="shared" ref="R6" si="4">IF(P6&gt;50,(MAX($B$37*0.1/100,10000)),0)</f>
        <v>0</v>
      </c>
      <c r="S6" s="71">
        <v>800</v>
      </c>
      <c r="T6" s="71">
        <f>I6*10%</f>
        <v>8728.36</v>
      </c>
      <c r="U6" s="71">
        <f t="shared" ref="U6:U36" si="5">IF(S6&gt;1000,(MAX($B$37*0.1/100,10000)),0)</f>
        <v>0</v>
      </c>
      <c r="V6" s="71">
        <f>T6+Q6+N6+K6</f>
        <v>87283.6</v>
      </c>
      <c r="W6" s="71">
        <f>U6+R6+O6+L6</f>
        <v>0</v>
      </c>
      <c r="Y6" s="10"/>
      <c r="Z6" s="10"/>
      <c r="AA6" s="10"/>
      <c r="AB6" s="10"/>
      <c r="AC6" s="10"/>
      <c r="AD6" s="10"/>
    </row>
    <row r="7" spans="1:30" ht="16.5" customHeight="1" x14ac:dyDescent="0.3">
      <c r="A7" s="61">
        <v>44987</v>
      </c>
      <c r="B7" s="71">
        <f>ROUND(Summary!$G$9/31,2)</f>
        <v>218208.99</v>
      </c>
      <c r="C7" s="76">
        <v>42</v>
      </c>
      <c r="D7" s="71">
        <v>45.88</v>
      </c>
      <c r="E7" s="71">
        <f t="shared" ref="E7:E36" si="6">MIN(D7,C7)</f>
        <v>42</v>
      </c>
      <c r="F7" s="71">
        <f t="shared" si="0"/>
        <v>130925.39</v>
      </c>
      <c r="G7" s="71">
        <f t="shared" ref="G7:G36" si="7">(F7*E7)/C7</f>
        <v>130925.39</v>
      </c>
      <c r="H7" s="71">
        <f t="shared" si="1"/>
        <v>87283.6</v>
      </c>
      <c r="I7" s="71">
        <f t="shared" ref="I7:I36" si="8">(H7*E7)/C7</f>
        <v>87283.6</v>
      </c>
      <c r="J7" s="71">
        <v>21</v>
      </c>
      <c r="K7" s="71">
        <f t="shared" ref="K7:K36" si="9">I7*50%</f>
        <v>43641.8</v>
      </c>
      <c r="L7" s="71">
        <f t="shared" ref="L7:L36" si="10">IF(J7&gt;30,(MAX($B$37*0.1/100,10000)),0)</f>
        <v>0</v>
      </c>
      <c r="M7" s="71">
        <v>68</v>
      </c>
      <c r="N7" s="71">
        <f t="shared" ref="N7:N36" si="11">I7*15%</f>
        <v>13092.54</v>
      </c>
      <c r="O7" s="71">
        <f t="shared" ref="O7:O36" si="12">IF(M7&gt;100,(MAX($B$37*0.1/100,10000)),0)</f>
        <v>0</v>
      </c>
      <c r="P7" s="71">
        <v>33</v>
      </c>
      <c r="Q7" s="71">
        <f t="shared" ref="Q7:Q36" si="13">I7*25%</f>
        <v>21820.9</v>
      </c>
      <c r="R7" s="71">
        <f t="shared" ref="R7:R36" si="14">IF(P7&gt;50,(MAX($B$37*0.1/100,10000)),0)</f>
        <v>0</v>
      </c>
      <c r="S7" s="71">
        <v>400</v>
      </c>
      <c r="T7" s="71">
        <f t="shared" ref="T7:T36" si="15">I7*10%</f>
        <v>8728.36</v>
      </c>
      <c r="U7" s="71">
        <f t="shared" ref="U7:U36" si="16">IF(S7&gt;1000,(MAX($B$37*0.1/100,10000)),0)</f>
        <v>0</v>
      </c>
      <c r="V7" s="71">
        <f t="shared" ref="V7:V36" si="17">T7+Q7+N7+K7</f>
        <v>87283.6</v>
      </c>
      <c r="W7" s="71">
        <f t="shared" ref="W7:W36" si="18">U7+R7+O7+L7</f>
        <v>0</v>
      </c>
      <c r="Y7" s="10"/>
      <c r="Z7" s="10"/>
      <c r="AA7" s="10"/>
      <c r="AB7" s="10"/>
      <c r="AC7" s="10"/>
      <c r="AD7" s="10"/>
    </row>
    <row r="8" spans="1:30" ht="16.5" customHeight="1" x14ac:dyDescent="0.3">
      <c r="A8" s="61">
        <v>44988</v>
      </c>
      <c r="B8" s="71">
        <f>ROUND(Summary!$G$9/31,2)</f>
        <v>218208.99</v>
      </c>
      <c r="C8" s="76">
        <v>42</v>
      </c>
      <c r="D8" s="71">
        <v>49.46</v>
      </c>
      <c r="E8" s="71">
        <f t="shared" si="6"/>
        <v>42</v>
      </c>
      <c r="F8" s="71">
        <f t="shared" si="0"/>
        <v>130925.39</v>
      </c>
      <c r="G8" s="71">
        <f t="shared" si="7"/>
        <v>130925.39</v>
      </c>
      <c r="H8" s="71">
        <f t="shared" si="1"/>
        <v>87283.6</v>
      </c>
      <c r="I8" s="71">
        <f t="shared" si="8"/>
        <v>87283.6</v>
      </c>
      <c r="J8" s="71">
        <v>24</v>
      </c>
      <c r="K8" s="71">
        <f t="shared" si="9"/>
        <v>43641.8</v>
      </c>
      <c r="L8" s="71">
        <f t="shared" si="10"/>
        <v>0</v>
      </c>
      <c r="M8" s="71">
        <v>88</v>
      </c>
      <c r="N8" s="71">
        <f t="shared" si="11"/>
        <v>13092.54</v>
      </c>
      <c r="O8" s="71">
        <f t="shared" si="12"/>
        <v>0</v>
      </c>
      <c r="P8" s="71">
        <v>39</v>
      </c>
      <c r="Q8" s="71">
        <f t="shared" si="13"/>
        <v>21820.9</v>
      </c>
      <c r="R8" s="71">
        <f t="shared" si="14"/>
        <v>0</v>
      </c>
      <c r="S8" s="71">
        <v>900</v>
      </c>
      <c r="T8" s="71">
        <f t="shared" si="15"/>
        <v>8728.36</v>
      </c>
      <c r="U8" s="71">
        <f t="shared" si="16"/>
        <v>0</v>
      </c>
      <c r="V8" s="71">
        <f t="shared" si="17"/>
        <v>87283.6</v>
      </c>
      <c r="W8" s="71">
        <f t="shared" si="18"/>
        <v>0</v>
      </c>
      <c r="Y8" s="10"/>
      <c r="Z8" s="10"/>
      <c r="AA8" s="10"/>
      <c r="AB8" s="10"/>
      <c r="AC8" s="10"/>
      <c r="AD8" s="10"/>
    </row>
    <row r="9" spans="1:30" ht="16.5" customHeight="1" x14ac:dyDescent="0.3">
      <c r="A9" s="61">
        <v>44989</v>
      </c>
      <c r="B9" s="71">
        <f>ROUND(Summary!$G$9/31,2)</f>
        <v>218208.99</v>
      </c>
      <c r="C9" s="76">
        <v>42</v>
      </c>
      <c r="D9" s="71">
        <v>44.91</v>
      </c>
      <c r="E9" s="71">
        <f t="shared" si="6"/>
        <v>42</v>
      </c>
      <c r="F9" s="71">
        <f t="shared" si="0"/>
        <v>130925.39</v>
      </c>
      <c r="G9" s="71">
        <f t="shared" si="7"/>
        <v>130925.39</v>
      </c>
      <c r="H9" s="71">
        <f t="shared" si="1"/>
        <v>87283.6</v>
      </c>
      <c r="I9" s="71">
        <f t="shared" si="8"/>
        <v>87283.6</v>
      </c>
      <c r="J9" s="71">
        <v>26</v>
      </c>
      <c r="K9" s="71">
        <f t="shared" si="9"/>
        <v>43641.8</v>
      </c>
      <c r="L9" s="71">
        <f t="shared" si="10"/>
        <v>0</v>
      </c>
      <c r="M9" s="71">
        <v>84</v>
      </c>
      <c r="N9" s="71">
        <f t="shared" si="11"/>
        <v>13092.54</v>
      </c>
      <c r="O9" s="71">
        <f t="shared" si="12"/>
        <v>0</v>
      </c>
      <c r="P9" s="71">
        <v>42</v>
      </c>
      <c r="Q9" s="71">
        <f t="shared" si="13"/>
        <v>21820.9</v>
      </c>
      <c r="R9" s="71">
        <f t="shared" si="14"/>
        <v>0</v>
      </c>
      <c r="S9" s="71">
        <v>900</v>
      </c>
      <c r="T9" s="71">
        <f t="shared" si="15"/>
        <v>8728.36</v>
      </c>
      <c r="U9" s="71">
        <f t="shared" si="16"/>
        <v>0</v>
      </c>
      <c r="V9" s="71">
        <f t="shared" si="17"/>
        <v>87283.6</v>
      </c>
      <c r="W9" s="71">
        <f t="shared" si="18"/>
        <v>0</v>
      </c>
      <c r="Y9" s="10"/>
      <c r="Z9" s="10"/>
      <c r="AA9" s="10"/>
      <c r="AB9" s="10"/>
      <c r="AC9" s="10"/>
      <c r="AD9" s="10"/>
    </row>
    <row r="10" spans="1:30" ht="16.5" customHeight="1" x14ac:dyDescent="0.3">
      <c r="A10" s="61">
        <v>44990</v>
      </c>
      <c r="B10" s="71">
        <f>ROUND(Summary!$G$9/31,2)</f>
        <v>218208.99</v>
      </c>
      <c r="C10" s="76">
        <v>42</v>
      </c>
      <c r="D10" s="71">
        <v>42.62</v>
      </c>
      <c r="E10" s="71">
        <f t="shared" si="6"/>
        <v>42</v>
      </c>
      <c r="F10" s="71">
        <f t="shared" si="0"/>
        <v>130925.39</v>
      </c>
      <c r="G10" s="71">
        <f t="shared" si="7"/>
        <v>130925.39</v>
      </c>
      <c r="H10" s="71">
        <f t="shared" si="1"/>
        <v>87283.6</v>
      </c>
      <c r="I10" s="71">
        <f t="shared" si="8"/>
        <v>87283.6</v>
      </c>
      <c r="J10" s="71">
        <v>23</v>
      </c>
      <c r="K10" s="71">
        <f t="shared" si="9"/>
        <v>43641.8</v>
      </c>
      <c r="L10" s="71">
        <f t="shared" si="10"/>
        <v>0</v>
      </c>
      <c r="M10" s="71">
        <v>72</v>
      </c>
      <c r="N10" s="71">
        <f t="shared" si="11"/>
        <v>13092.54</v>
      </c>
      <c r="O10" s="71">
        <f t="shared" si="12"/>
        <v>0</v>
      </c>
      <c r="P10" s="71">
        <v>39</v>
      </c>
      <c r="Q10" s="71">
        <f t="shared" si="13"/>
        <v>21820.9</v>
      </c>
      <c r="R10" s="71">
        <f t="shared" si="14"/>
        <v>0</v>
      </c>
      <c r="S10" s="71">
        <v>700</v>
      </c>
      <c r="T10" s="71">
        <f t="shared" si="15"/>
        <v>8728.36</v>
      </c>
      <c r="U10" s="71">
        <f t="shared" si="16"/>
        <v>0</v>
      </c>
      <c r="V10" s="71">
        <f t="shared" si="17"/>
        <v>87283.6</v>
      </c>
      <c r="W10" s="71">
        <f t="shared" si="18"/>
        <v>0</v>
      </c>
      <c r="Y10" s="10"/>
      <c r="Z10" s="10"/>
      <c r="AA10" s="10"/>
      <c r="AB10" s="10"/>
      <c r="AC10" s="10"/>
      <c r="AD10" s="10"/>
    </row>
    <row r="11" spans="1:30" s="29" customFormat="1" ht="16.5" customHeight="1" x14ac:dyDescent="0.3">
      <c r="A11" s="26">
        <v>44991</v>
      </c>
      <c r="B11" s="27">
        <f>ROUND(Summary!$G$9/31,2)</f>
        <v>218208.99</v>
      </c>
      <c r="C11" s="32">
        <v>42</v>
      </c>
      <c r="D11" s="27">
        <v>42.76</v>
      </c>
      <c r="E11" s="71">
        <f t="shared" si="6"/>
        <v>42</v>
      </c>
      <c r="F11" s="27">
        <f t="shared" si="0"/>
        <v>130925.39</v>
      </c>
      <c r="G11" s="71">
        <f t="shared" si="7"/>
        <v>130925.39</v>
      </c>
      <c r="H11" s="27">
        <f t="shared" si="1"/>
        <v>87283.6</v>
      </c>
      <c r="I11" s="71">
        <f t="shared" si="8"/>
        <v>87283.6</v>
      </c>
      <c r="J11" s="27">
        <v>14.6</v>
      </c>
      <c r="K11" s="71">
        <f t="shared" si="9"/>
        <v>43641.8</v>
      </c>
      <c r="L11" s="71">
        <f t="shared" si="10"/>
        <v>0</v>
      </c>
      <c r="M11" s="27">
        <v>85.6</v>
      </c>
      <c r="N11" s="71">
        <f t="shared" si="11"/>
        <v>13092.54</v>
      </c>
      <c r="O11" s="71">
        <f t="shared" si="12"/>
        <v>0</v>
      </c>
      <c r="P11" s="27">
        <v>44</v>
      </c>
      <c r="Q11" s="71">
        <f t="shared" si="13"/>
        <v>21820.9</v>
      </c>
      <c r="R11" s="71">
        <f t="shared" si="14"/>
        <v>0</v>
      </c>
      <c r="S11" s="27">
        <v>700</v>
      </c>
      <c r="T11" s="71">
        <f t="shared" si="15"/>
        <v>8728.36</v>
      </c>
      <c r="U11" s="71">
        <f t="shared" si="16"/>
        <v>0</v>
      </c>
      <c r="V11" s="71">
        <f t="shared" si="17"/>
        <v>87283.6</v>
      </c>
      <c r="W11" s="71">
        <f t="shared" si="18"/>
        <v>0</v>
      </c>
      <c r="X11" s="28" t="s">
        <v>94</v>
      </c>
      <c r="Y11" s="33"/>
      <c r="Z11" s="33"/>
      <c r="AA11" s="33"/>
      <c r="AB11" s="33"/>
      <c r="AC11" s="33"/>
      <c r="AD11" s="33"/>
    </row>
    <row r="12" spans="1:30" s="25" customFormat="1" ht="16.5" customHeight="1" x14ac:dyDescent="0.3">
      <c r="A12" s="23">
        <v>44992</v>
      </c>
      <c r="B12" s="11">
        <f>ROUND(Summary!$G$9/31,2)</f>
        <v>218208.99</v>
      </c>
      <c r="C12" s="30">
        <v>42</v>
      </c>
      <c r="D12" s="11">
        <v>42.03</v>
      </c>
      <c r="E12" s="71">
        <f t="shared" si="6"/>
        <v>42</v>
      </c>
      <c r="F12" s="11">
        <f t="shared" si="0"/>
        <v>130925.39</v>
      </c>
      <c r="G12" s="71">
        <f t="shared" si="7"/>
        <v>130925.39</v>
      </c>
      <c r="H12" s="11">
        <f t="shared" si="1"/>
        <v>87283.6</v>
      </c>
      <c r="I12" s="71">
        <f t="shared" si="8"/>
        <v>87283.6</v>
      </c>
      <c r="J12" s="11">
        <v>8</v>
      </c>
      <c r="K12" s="71">
        <f t="shared" si="9"/>
        <v>43641.8</v>
      </c>
      <c r="L12" s="71">
        <f t="shared" si="10"/>
        <v>0</v>
      </c>
      <c r="M12" s="11">
        <v>40</v>
      </c>
      <c r="N12" s="71">
        <f t="shared" si="11"/>
        <v>13092.54</v>
      </c>
      <c r="O12" s="71">
        <f t="shared" si="12"/>
        <v>0</v>
      </c>
      <c r="P12" s="11">
        <v>13</v>
      </c>
      <c r="Q12" s="71">
        <f t="shared" si="13"/>
        <v>21820.9</v>
      </c>
      <c r="R12" s="71">
        <f t="shared" si="14"/>
        <v>0</v>
      </c>
      <c r="S12" s="11">
        <v>17</v>
      </c>
      <c r="T12" s="71">
        <f t="shared" si="15"/>
        <v>8728.36</v>
      </c>
      <c r="U12" s="71">
        <f t="shared" si="16"/>
        <v>0</v>
      </c>
      <c r="V12" s="71">
        <f t="shared" si="17"/>
        <v>87283.6</v>
      </c>
      <c r="W12" s="71">
        <f t="shared" si="18"/>
        <v>0</v>
      </c>
      <c r="X12" s="24" t="s">
        <v>93</v>
      </c>
      <c r="Y12" s="31"/>
      <c r="Z12" s="31"/>
      <c r="AA12" s="31"/>
      <c r="AB12" s="31"/>
      <c r="AC12" s="31"/>
      <c r="AD12" s="31"/>
    </row>
    <row r="13" spans="1:30" ht="16.5" customHeight="1" x14ac:dyDescent="0.3">
      <c r="A13" s="61">
        <v>44993</v>
      </c>
      <c r="B13" s="71">
        <f>ROUND(Summary!$G$9/31,2)</f>
        <v>218208.99</v>
      </c>
      <c r="C13" s="76">
        <v>42</v>
      </c>
      <c r="D13" s="71">
        <v>42.13</v>
      </c>
      <c r="E13" s="71">
        <f t="shared" si="6"/>
        <v>42</v>
      </c>
      <c r="F13" s="71">
        <f t="shared" si="0"/>
        <v>130925.39</v>
      </c>
      <c r="G13" s="71">
        <f t="shared" si="7"/>
        <v>130925.39</v>
      </c>
      <c r="H13" s="71">
        <f t="shared" si="1"/>
        <v>87283.6</v>
      </c>
      <c r="I13" s="71">
        <f t="shared" si="8"/>
        <v>87283.6</v>
      </c>
      <c r="J13" s="71">
        <v>22</v>
      </c>
      <c r="K13" s="71">
        <f t="shared" si="9"/>
        <v>43641.8</v>
      </c>
      <c r="L13" s="71">
        <f t="shared" si="10"/>
        <v>0</v>
      </c>
      <c r="M13" s="71">
        <v>80</v>
      </c>
      <c r="N13" s="71">
        <f t="shared" si="11"/>
        <v>13092.54</v>
      </c>
      <c r="O13" s="71">
        <f t="shared" si="12"/>
        <v>0</v>
      </c>
      <c r="P13" s="71">
        <v>38</v>
      </c>
      <c r="Q13" s="71">
        <f t="shared" si="13"/>
        <v>21820.9</v>
      </c>
      <c r="R13" s="71">
        <f t="shared" si="14"/>
        <v>0</v>
      </c>
      <c r="S13" s="71">
        <v>900</v>
      </c>
      <c r="T13" s="71">
        <f t="shared" si="15"/>
        <v>8728.36</v>
      </c>
      <c r="U13" s="71">
        <f t="shared" si="16"/>
        <v>0</v>
      </c>
      <c r="V13" s="71">
        <f t="shared" si="17"/>
        <v>87283.6</v>
      </c>
      <c r="W13" s="71">
        <f t="shared" si="18"/>
        <v>0</v>
      </c>
      <c r="Y13" s="10"/>
      <c r="Z13" s="10"/>
      <c r="AA13" s="10"/>
      <c r="AB13" s="10"/>
      <c r="AC13" s="10"/>
      <c r="AD13" s="10"/>
    </row>
    <row r="14" spans="1:30" ht="16.5" customHeight="1" x14ac:dyDescent="0.3">
      <c r="A14" s="61">
        <v>44994</v>
      </c>
      <c r="B14" s="71">
        <f>ROUND(Summary!$G$9/31,2)</f>
        <v>218208.99</v>
      </c>
      <c r="C14" s="76">
        <v>42</v>
      </c>
      <c r="D14" s="71">
        <v>47.03</v>
      </c>
      <c r="E14" s="71">
        <f t="shared" si="6"/>
        <v>42</v>
      </c>
      <c r="F14" s="71">
        <f t="shared" si="0"/>
        <v>130925.39</v>
      </c>
      <c r="G14" s="71">
        <f t="shared" si="7"/>
        <v>130925.39</v>
      </c>
      <c r="H14" s="71">
        <f t="shared" si="1"/>
        <v>87283.6</v>
      </c>
      <c r="I14" s="71">
        <f t="shared" si="8"/>
        <v>87283.6</v>
      </c>
      <c r="J14" s="71">
        <v>25</v>
      </c>
      <c r="K14" s="71">
        <f t="shared" si="9"/>
        <v>43641.8</v>
      </c>
      <c r="L14" s="71">
        <f t="shared" si="10"/>
        <v>0</v>
      </c>
      <c r="M14" s="71">
        <v>72</v>
      </c>
      <c r="N14" s="71">
        <f t="shared" si="11"/>
        <v>13092.54</v>
      </c>
      <c r="O14" s="71">
        <f t="shared" si="12"/>
        <v>0</v>
      </c>
      <c r="P14" s="71">
        <v>36</v>
      </c>
      <c r="Q14" s="71">
        <f t="shared" si="13"/>
        <v>21820.9</v>
      </c>
      <c r="R14" s="71">
        <f t="shared" si="14"/>
        <v>0</v>
      </c>
      <c r="S14" s="71">
        <v>400</v>
      </c>
      <c r="T14" s="71">
        <f t="shared" si="15"/>
        <v>8728.36</v>
      </c>
      <c r="U14" s="71">
        <f t="shared" si="16"/>
        <v>0</v>
      </c>
      <c r="V14" s="71">
        <f t="shared" si="17"/>
        <v>87283.6</v>
      </c>
      <c r="W14" s="71">
        <f t="shared" si="18"/>
        <v>0</v>
      </c>
      <c r="Y14" s="10"/>
      <c r="Z14" s="10"/>
      <c r="AA14" s="10"/>
      <c r="AB14" s="10"/>
      <c r="AC14" s="10"/>
      <c r="AD14" s="10"/>
    </row>
    <row r="15" spans="1:30" ht="16.5" customHeight="1" x14ac:dyDescent="0.3">
      <c r="A15" s="61">
        <v>44995</v>
      </c>
      <c r="B15" s="71">
        <f>ROUND(Summary!$G$9/31,2)</f>
        <v>218208.99</v>
      </c>
      <c r="C15" s="76">
        <v>42</v>
      </c>
      <c r="D15" s="71">
        <v>54.03</v>
      </c>
      <c r="E15" s="71">
        <f t="shared" si="6"/>
        <v>42</v>
      </c>
      <c r="F15" s="71">
        <f t="shared" si="0"/>
        <v>130925.39</v>
      </c>
      <c r="G15" s="71">
        <f t="shared" si="7"/>
        <v>130925.39</v>
      </c>
      <c r="H15" s="71">
        <f t="shared" si="1"/>
        <v>87283.6</v>
      </c>
      <c r="I15" s="71">
        <f t="shared" si="8"/>
        <v>87283.6</v>
      </c>
      <c r="J15" s="71">
        <v>22</v>
      </c>
      <c r="K15" s="71">
        <f t="shared" si="9"/>
        <v>43641.8</v>
      </c>
      <c r="L15" s="71">
        <f t="shared" si="10"/>
        <v>0</v>
      </c>
      <c r="M15" s="71">
        <v>72</v>
      </c>
      <c r="N15" s="71">
        <f t="shared" si="11"/>
        <v>13092.54</v>
      </c>
      <c r="O15" s="71">
        <f t="shared" si="12"/>
        <v>0</v>
      </c>
      <c r="P15" s="71">
        <v>32</v>
      </c>
      <c r="Q15" s="71">
        <f t="shared" si="13"/>
        <v>21820.9</v>
      </c>
      <c r="R15" s="71">
        <f t="shared" si="14"/>
        <v>0</v>
      </c>
      <c r="S15" s="71">
        <v>600</v>
      </c>
      <c r="T15" s="71">
        <f t="shared" si="15"/>
        <v>8728.36</v>
      </c>
      <c r="U15" s="71">
        <f t="shared" si="16"/>
        <v>0</v>
      </c>
      <c r="V15" s="71">
        <f t="shared" si="17"/>
        <v>87283.6</v>
      </c>
      <c r="W15" s="71">
        <f t="shared" si="18"/>
        <v>0</v>
      </c>
      <c r="Y15" s="10"/>
      <c r="Z15" s="10"/>
      <c r="AA15" s="10"/>
      <c r="AB15" s="10"/>
      <c r="AC15" s="10"/>
      <c r="AD15" s="10"/>
    </row>
    <row r="16" spans="1:30" ht="16.5" customHeight="1" x14ac:dyDescent="0.3">
      <c r="A16" s="61">
        <v>44996</v>
      </c>
      <c r="B16" s="71">
        <f>ROUND(Summary!$G$9/31,2)</f>
        <v>218208.99</v>
      </c>
      <c r="C16" s="76">
        <v>42</v>
      </c>
      <c r="D16" s="71">
        <v>45.41</v>
      </c>
      <c r="E16" s="71">
        <f t="shared" si="6"/>
        <v>42</v>
      </c>
      <c r="F16" s="71">
        <f t="shared" si="0"/>
        <v>130925.39</v>
      </c>
      <c r="G16" s="71">
        <f t="shared" si="7"/>
        <v>130925.39</v>
      </c>
      <c r="H16" s="71">
        <f t="shared" si="1"/>
        <v>87283.6</v>
      </c>
      <c r="I16" s="71">
        <f t="shared" si="8"/>
        <v>87283.6</v>
      </c>
      <c r="J16" s="71">
        <v>27</v>
      </c>
      <c r="K16" s="71">
        <f t="shared" si="9"/>
        <v>43641.8</v>
      </c>
      <c r="L16" s="71">
        <f t="shared" si="10"/>
        <v>0</v>
      </c>
      <c r="M16" s="71">
        <v>88</v>
      </c>
      <c r="N16" s="71">
        <f t="shared" si="11"/>
        <v>13092.54</v>
      </c>
      <c r="O16" s="71">
        <f t="shared" si="12"/>
        <v>0</v>
      </c>
      <c r="P16" s="71">
        <v>39</v>
      </c>
      <c r="Q16" s="71">
        <f t="shared" si="13"/>
        <v>21820.9</v>
      </c>
      <c r="R16" s="71">
        <f t="shared" si="14"/>
        <v>0</v>
      </c>
      <c r="S16" s="71">
        <v>800</v>
      </c>
      <c r="T16" s="71">
        <f t="shared" si="15"/>
        <v>8728.36</v>
      </c>
      <c r="U16" s="71">
        <f t="shared" si="16"/>
        <v>0</v>
      </c>
      <c r="V16" s="71">
        <f t="shared" si="17"/>
        <v>87283.6</v>
      </c>
      <c r="W16" s="71">
        <f t="shared" si="18"/>
        <v>0</v>
      </c>
      <c r="Y16" s="10"/>
      <c r="Z16" s="10"/>
      <c r="AA16" s="10"/>
      <c r="AB16" s="10"/>
      <c r="AC16" s="10"/>
      <c r="AD16" s="10"/>
    </row>
    <row r="17" spans="1:30" ht="16.5" customHeight="1" x14ac:dyDescent="0.25">
      <c r="A17" s="61">
        <v>44997</v>
      </c>
      <c r="B17" s="71">
        <f>ROUND(Summary!$G$9/31,2)</f>
        <v>218208.99</v>
      </c>
      <c r="C17" s="76">
        <v>42</v>
      </c>
      <c r="D17" s="71">
        <v>46.79</v>
      </c>
      <c r="E17" s="71">
        <f t="shared" si="6"/>
        <v>42</v>
      </c>
      <c r="F17" s="71">
        <f t="shared" si="0"/>
        <v>130925.39</v>
      </c>
      <c r="G17" s="71">
        <f t="shared" si="7"/>
        <v>130925.39</v>
      </c>
      <c r="H17" s="71">
        <f t="shared" si="1"/>
        <v>87283.6</v>
      </c>
      <c r="I17" s="71">
        <f t="shared" si="8"/>
        <v>87283.6</v>
      </c>
      <c r="J17" s="71">
        <v>23</v>
      </c>
      <c r="K17" s="71">
        <f t="shared" si="9"/>
        <v>43641.8</v>
      </c>
      <c r="L17" s="71">
        <f t="shared" si="10"/>
        <v>0</v>
      </c>
      <c r="M17" s="71">
        <v>76</v>
      </c>
      <c r="N17" s="71">
        <f t="shared" si="11"/>
        <v>13092.54</v>
      </c>
      <c r="O17" s="71">
        <f t="shared" si="12"/>
        <v>0</v>
      </c>
      <c r="P17" s="71">
        <v>35</v>
      </c>
      <c r="Q17" s="71">
        <f t="shared" si="13"/>
        <v>21820.9</v>
      </c>
      <c r="R17" s="71">
        <f t="shared" si="14"/>
        <v>0</v>
      </c>
      <c r="S17" s="71">
        <v>900</v>
      </c>
      <c r="T17" s="71">
        <f t="shared" si="15"/>
        <v>8728.36</v>
      </c>
      <c r="U17" s="71">
        <f t="shared" si="16"/>
        <v>0</v>
      </c>
      <c r="V17" s="71">
        <f t="shared" si="17"/>
        <v>87283.6</v>
      </c>
      <c r="W17" s="71">
        <f t="shared" si="18"/>
        <v>0</v>
      </c>
    </row>
    <row r="18" spans="1:30" ht="16.5" customHeight="1" x14ac:dyDescent="0.3">
      <c r="A18" s="61">
        <v>44998</v>
      </c>
      <c r="B18" s="71">
        <f>ROUND(Summary!$G$9/31,2)</f>
        <v>218208.99</v>
      </c>
      <c r="C18" s="76">
        <v>42</v>
      </c>
      <c r="D18" s="71">
        <v>55.37</v>
      </c>
      <c r="E18" s="71">
        <f t="shared" si="6"/>
        <v>42</v>
      </c>
      <c r="F18" s="71">
        <f t="shared" si="0"/>
        <v>130925.39</v>
      </c>
      <c r="G18" s="71">
        <f t="shared" si="7"/>
        <v>130925.39</v>
      </c>
      <c r="H18" s="71">
        <f t="shared" si="1"/>
        <v>87283.6</v>
      </c>
      <c r="I18" s="71">
        <f t="shared" si="8"/>
        <v>87283.6</v>
      </c>
      <c r="J18" s="71">
        <v>24</v>
      </c>
      <c r="K18" s="71">
        <f t="shared" si="9"/>
        <v>43641.8</v>
      </c>
      <c r="L18" s="71">
        <f t="shared" si="10"/>
        <v>0</v>
      </c>
      <c r="M18" s="71">
        <v>80</v>
      </c>
      <c r="N18" s="71">
        <f t="shared" si="11"/>
        <v>13092.54</v>
      </c>
      <c r="O18" s="71">
        <f t="shared" si="12"/>
        <v>0</v>
      </c>
      <c r="P18" s="71">
        <v>34</v>
      </c>
      <c r="Q18" s="71">
        <f t="shared" si="13"/>
        <v>21820.9</v>
      </c>
      <c r="R18" s="71">
        <f t="shared" si="14"/>
        <v>0</v>
      </c>
      <c r="S18" s="71">
        <v>800</v>
      </c>
      <c r="T18" s="71">
        <f t="shared" si="15"/>
        <v>8728.36</v>
      </c>
      <c r="U18" s="71">
        <f t="shared" si="16"/>
        <v>0</v>
      </c>
      <c r="V18" s="71">
        <f t="shared" si="17"/>
        <v>87283.6</v>
      </c>
      <c r="W18" s="71">
        <f t="shared" si="18"/>
        <v>0</v>
      </c>
      <c r="Y18" s="10"/>
      <c r="Z18" s="10"/>
      <c r="AA18" s="10"/>
      <c r="AB18" s="10"/>
      <c r="AC18" s="10"/>
      <c r="AD18" s="10"/>
    </row>
    <row r="19" spans="1:30" s="25" customFormat="1" ht="16.5" customHeight="1" x14ac:dyDescent="0.25">
      <c r="A19" s="23">
        <v>44999</v>
      </c>
      <c r="B19" s="11">
        <f>ROUND(Summary!$G$9/31,2)</f>
        <v>218208.99</v>
      </c>
      <c r="C19" s="30">
        <v>42</v>
      </c>
      <c r="D19" s="11">
        <v>47.81</v>
      </c>
      <c r="E19" s="71">
        <f t="shared" si="6"/>
        <v>42</v>
      </c>
      <c r="F19" s="11">
        <f t="shared" si="0"/>
        <v>130925.39</v>
      </c>
      <c r="G19" s="71">
        <f t="shared" si="7"/>
        <v>130925.39</v>
      </c>
      <c r="H19" s="11">
        <f t="shared" si="1"/>
        <v>87283.6</v>
      </c>
      <c r="I19" s="71">
        <f t="shared" si="8"/>
        <v>87283.6</v>
      </c>
      <c r="J19" s="11">
        <v>7</v>
      </c>
      <c r="K19" s="71">
        <f t="shared" si="9"/>
        <v>43641.8</v>
      </c>
      <c r="L19" s="71">
        <f t="shared" si="10"/>
        <v>0</v>
      </c>
      <c r="M19" s="11">
        <v>44</v>
      </c>
      <c r="N19" s="71">
        <f t="shared" si="11"/>
        <v>13092.54</v>
      </c>
      <c r="O19" s="71">
        <f t="shared" si="12"/>
        <v>0</v>
      </c>
      <c r="P19" s="11">
        <v>10</v>
      </c>
      <c r="Q19" s="71">
        <f t="shared" si="13"/>
        <v>21820.9</v>
      </c>
      <c r="R19" s="71">
        <f t="shared" si="14"/>
        <v>0</v>
      </c>
      <c r="S19" s="11">
        <v>39</v>
      </c>
      <c r="T19" s="71">
        <f t="shared" si="15"/>
        <v>8728.36</v>
      </c>
      <c r="U19" s="71">
        <f t="shared" si="16"/>
        <v>0</v>
      </c>
      <c r="V19" s="71">
        <f t="shared" si="17"/>
        <v>87283.6</v>
      </c>
      <c r="W19" s="71">
        <f t="shared" si="18"/>
        <v>0</v>
      </c>
      <c r="X19" s="24" t="s">
        <v>93</v>
      </c>
    </row>
    <row r="20" spans="1:30" ht="16.5" customHeight="1" x14ac:dyDescent="0.25">
      <c r="A20" s="61">
        <v>45000</v>
      </c>
      <c r="B20" s="71">
        <f>ROUND(Summary!$G$9/31,2)</f>
        <v>218208.99</v>
      </c>
      <c r="C20" s="76">
        <v>42</v>
      </c>
      <c r="D20" s="71">
        <v>44.39</v>
      </c>
      <c r="E20" s="71">
        <f t="shared" si="6"/>
        <v>42</v>
      </c>
      <c r="F20" s="71">
        <f t="shared" si="0"/>
        <v>130925.39</v>
      </c>
      <c r="G20" s="71">
        <f t="shared" si="7"/>
        <v>130925.39</v>
      </c>
      <c r="H20" s="71">
        <f t="shared" si="1"/>
        <v>87283.6</v>
      </c>
      <c r="I20" s="71">
        <f t="shared" si="8"/>
        <v>87283.6</v>
      </c>
      <c r="J20" s="71">
        <v>25</v>
      </c>
      <c r="K20" s="71">
        <f t="shared" si="9"/>
        <v>43641.8</v>
      </c>
      <c r="L20" s="71">
        <f t="shared" si="10"/>
        <v>0</v>
      </c>
      <c r="M20" s="71">
        <v>88</v>
      </c>
      <c r="N20" s="71">
        <f t="shared" si="11"/>
        <v>13092.54</v>
      </c>
      <c r="O20" s="71">
        <f t="shared" si="12"/>
        <v>0</v>
      </c>
      <c r="P20" s="71">
        <v>38</v>
      </c>
      <c r="Q20" s="71">
        <f t="shared" si="13"/>
        <v>21820.9</v>
      </c>
      <c r="R20" s="71">
        <f t="shared" si="14"/>
        <v>0</v>
      </c>
      <c r="S20" s="71">
        <v>900</v>
      </c>
      <c r="T20" s="71">
        <f t="shared" si="15"/>
        <v>8728.36</v>
      </c>
      <c r="U20" s="71">
        <f t="shared" si="16"/>
        <v>0</v>
      </c>
      <c r="V20" s="71">
        <f t="shared" si="17"/>
        <v>87283.6</v>
      </c>
      <c r="W20" s="71">
        <f t="shared" si="18"/>
        <v>0</v>
      </c>
    </row>
    <row r="21" spans="1:30" s="29" customFormat="1" ht="16.5" customHeight="1" x14ac:dyDescent="0.25">
      <c r="A21" s="26">
        <v>45001</v>
      </c>
      <c r="B21" s="27">
        <f>ROUND(Summary!$G$9/31,2)</f>
        <v>218208.99</v>
      </c>
      <c r="C21" s="32">
        <v>42</v>
      </c>
      <c r="D21" s="27">
        <v>42.1</v>
      </c>
      <c r="E21" s="71">
        <f t="shared" si="6"/>
        <v>42</v>
      </c>
      <c r="F21" s="27">
        <f t="shared" si="0"/>
        <v>130925.39</v>
      </c>
      <c r="G21" s="71">
        <f t="shared" si="7"/>
        <v>130925.39</v>
      </c>
      <c r="H21" s="27">
        <f t="shared" si="1"/>
        <v>87283.6</v>
      </c>
      <c r="I21" s="71">
        <f t="shared" si="8"/>
        <v>87283.6</v>
      </c>
      <c r="J21" s="27">
        <v>15.2</v>
      </c>
      <c r="K21" s="71">
        <f t="shared" si="9"/>
        <v>43641.8</v>
      </c>
      <c r="L21" s="71">
        <f t="shared" si="10"/>
        <v>0</v>
      </c>
      <c r="M21" s="27">
        <v>88</v>
      </c>
      <c r="N21" s="71">
        <f t="shared" si="11"/>
        <v>13092.54</v>
      </c>
      <c r="O21" s="71">
        <f t="shared" si="12"/>
        <v>0</v>
      </c>
      <c r="P21" s="27">
        <v>40</v>
      </c>
      <c r="Q21" s="71">
        <f t="shared" si="13"/>
        <v>21820.9</v>
      </c>
      <c r="R21" s="71">
        <f t="shared" si="14"/>
        <v>0</v>
      </c>
      <c r="S21" s="27">
        <v>680</v>
      </c>
      <c r="T21" s="71">
        <f t="shared" si="15"/>
        <v>8728.36</v>
      </c>
      <c r="U21" s="71">
        <f t="shared" si="16"/>
        <v>0</v>
      </c>
      <c r="V21" s="71">
        <f t="shared" si="17"/>
        <v>87283.6</v>
      </c>
      <c r="W21" s="71">
        <f t="shared" si="18"/>
        <v>0</v>
      </c>
      <c r="X21" s="28" t="s">
        <v>94</v>
      </c>
    </row>
    <row r="22" spans="1:30" ht="16.5" customHeight="1" x14ac:dyDescent="0.25">
      <c r="A22" s="61">
        <v>45002</v>
      </c>
      <c r="B22" s="71">
        <f>ROUND(Summary!$G$9/31,2)</f>
        <v>218208.99</v>
      </c>
      <c r="C22" s="76">
        <v>42</v>
      </c>
      <c r="D22" s="71">
        <v>51.7</v>
      </c>
      <c r="E22" s="71">
        <f t="shared" si="6"/>
        <v>42</v>
      </c>
      <c r="F22" s="71">
        <f t="shared" si="0"/>
        <v>130925.39</v>
      </c>
      <c r="G22" s="71">
        <f t="shared" si="7"/>
        <v>130925.39</v>
      </c>
      <c r="H22" s="71">
        <f t="shared" si="1"/>
        <v>87283.6</v>
      </c>
      <c r="I22" s="71">
        <f t="shared" si="8"/>
        <v>87283.6</v>
      </c>
      <c r="J22" s="71">
        <v>27</v>
      </c>
      <c r="K22" s="71">
        <f t="shared" si="9"/>
        <v>43641.8</v>
      </c>
      <c r="L22" s="71">
        <f t="shared" si="10"/>
        <v>0</v>
      </c>
      <c r="M22" s="71">
        <v>88</v>
      </c>
      <c r="N22" s="71">
        <f t="shared" si="11"/>
        <v>13092.54</v>
      </c>
      <c r="O22" s="71">
        <f t="shared" si="12"/>
        <v>0</v>
      </c>
      <c r="P22" s="71">
        <v>39</v>
      </c>
      <c r="Q22" s="71">
        <f t="shared" si="13"/>
        <v>21820.9</v>
      </c>
      <c r="R22" s="71">
        <f t="shared" si="14"/>
        <v>0</v>
      </c>
      <c r="S22" s="71">
        <v>900</v>
      </c>
      <c r="T22" s="71">
        <f t="shared" si="15"/>
        <v>8728.36</v>
      </c>
      <c r="U22" s="71">
        <f t="shared" si="16"/>
        <v>0</v>
      </c>
      <c r="V22" s="71">
        <f t="shared" si="17"/>
        <v>87283.6</v>
      </c>
      <c r="W22" s="71">
        <f t="shared" si="18"/>
        <v>0</v>
      </c>
    </row>
    <row r="23" spans="1:30" ht="16.5" customHeight="1" x14ac:dyDescent="0.25">
      <c r="A23" s="61">
        <v>45003</v>
      </c>
      <c r="B23" s="71">
        <f>ROUND(Summary!$G$9/31,2)</f>
        <v>218208.99</v>
      </c>
      <c r="C23" s="76">
        <v>42</v>
      </c>
      <c r="D23" s="71">
        <v>52.23</v>
      </c>
      <c r="E23" s="71">
        <f t="shared" si="6"/>
        <v>42</v>
      </c>
      <c r="F23" s="71">
        <f t="shared" si="0"/>
        <v>130925.39</v>
      </c>
      <c r="G23" s="71">
        <f t="shared" si="7"/>
        <v>130925.39</v>
      </c>
      <c r="H23" s="71">
        <f t="shared" si="1"/>
        <v>87283.6</v>
      </c>
      <c r="I23" s="71">
        <f t="shared" si="8"/>
        <v>87283.6</v>
      </c>
      <c r="J23" s="71">
        <v>26</v>
      </c>
      <c r="K23" s="71">
        <f t="shared" si="9"/>
        <v>43641.8</v>
      </c>
      <c r="L23" s="71">
        <f t="shared" si="10"/>
        <v>0</v>
      </c>
      <c r="M23" s="71">
        <v>84</v>
      </c>
      <c r="N23" s="71">
        <f t="shared" si="11"/>
        <v>13092.54</v>
      </c>
      <c r="O23" s="71">
        <f t="shared" si="12"/>
        <v>0</v>
      </c>
      <c r="P23" s="71">
        <v>34</v>
      </c>
      <c r="Q23" s="71">
        <f t="shared" si="13"/>
        <v>21820.9</v>
      </c>
      <c r="R23" s="71">
        <f t="shared" si="14"/>
        <v>0</v>
      </c>
      <c r="S23" s="71">
        <v>700</v>
      </c>
      <c r="T23" s="71">
        <f t="shared" si="15"/>
        <v>8728.36</v>
      </c>
      <c r="U23" s="71">
        <f t="shared" si="16"/>
        <v>0</v>
      </c>
      <c r="V23" s="71">
        <f t="shared" si="17"/>
        <v>87283.6</v>
      </c>
      <c r="W23" s="71">
        <f t="shared" si="18"/>
        <v>0</v>
      </c>
    </row>
    <row r="24" spans="1:30" ht="16.5" customHeight="1" x14ac:dyDescent="0.25">
      <c r="A24" s="61">
        <v>45004</v>
      </c>
      <c r="B24" s="71">
        <f>ROUND(Summary!$G$9/31,2)</f>
        <v>218208.99</v>
      </c>
      <c r="C24" s="76">
        <v>42</v>
      </c>
      <c r="D24" s="71">
        <v>50.34</v>
      </c>
      <c r="E24" s="71">
        <f t="shared" si="6"/>
        <v>42</v>
      </c>
      <c r="F24" s="71">
        <f t="shared" si="0"/>
        <v>130925.39</v>
      </c>
      <c r="G24" s="71">
        <f t="shared" si="7"/>
        <v>130925.39</v>
      </c>
      <c r="H24" s="71">
        <f t="shared" si="1"/>
        <v>87283.6</v>
      </c>
      <c r="I24" s="71">
        <f t="shared" si="8"/>
        <v>87283.6</v>
      </c>
      <c r="J24" s="71">
        <v>23</v>
      </c>
      <c r="K24" s="71">
        <f t="shared" si="9"/>
        <v>43641.8</v>
      </c>
      <c r="L24" s="71">
        <f t="shared" si="10"/>
        <v>0</v>
      </c>
      <c r="M24" s="71">
        <v>80</v>
      </c>
      <c r="N24" s="71">
        <f t="shared" si="11"/>
        <v>13092.54</v>
      </c>
      <c r="O24" s="71">
        <f t="shared" si="12"/>
        <v>0</v>
      </c>
      <c r="P24" s="71">
        <v>37</v>
      </c>
      <c r="Q24" s="71">
        <f t="shared" si="13"/>
        <v>21820.9</v>
      </c>
      <c r="R24" s="71">
        <f t="shared" si="14"/>
        <v>0</v>
      </c>
      <c r="S24" s="71">
        <v>800</v>
      </c>
      <c r="T24" s="71">
        <f t="shared" si="15"/>
        <v>8728.36</v>
      </c>
      <c r="U24" s="71">
        <f t="shared" si="16"/>
        <v>0</v>
      </c>
      <c r="V24" s="71">
        <f t="shared" si="17"/>
        <v>87283.6</v>
      </c>
      <c r="W24" s="71">
        <f t="shared" si="18"/>
        <v>0</v>
      </c>
    </row>
    <row r="25" spans="1:30" s="29" customFormat="1" ht="16.5" customHeight="1" x14ac:dyDescent="0.3">
      <c r="A25" s="26">
        <v>45005</v>
      </c>
      <c r="B25" s="27">
        <f>ROUND(Summary!$G$9/31,2)</f>
        <v>218208.99</v>
      </c>
      <c r="C25" s="32">
        <v>42</v>
      </c>
      <c r="D25" s="27">
        <v>56.61</v>
      </c>
      <c r="E25" s="71">
        <f t="shared" si="6"/>
        <v>42</v>
      </c>
      <c r="F25" s="27">
        <f t="shared" si="0"/>
        <v>130925.39</v>
      </c>
      <c r="G25" s="71">
        <f t="shared" si="7"/>
        <v>130925.39</v>
      </c>
      <c r="H25" s="27">
        <f t="shared" si="1"/>
        <v>87283.6</v>
      </c>
      <c r="I25" s="71">
        <f t="shared" si="8"/>
        <v>87283.6</v>
      </c>
      <c r="J25" s="27">
        <v>16</v>
      </c>
      <c r="K25" s="71">
        <f t="shared" si="9"/>
        <v>43641.8</v>
      </c>
      <c r="L25" s="71">
        <f t="shared" si="10"/>
        <v>0</v>
      </c>
      <c r="M25" s="27">
        <v>74</v>
      </c>
      <c r="N25" s="71">
        <f t="shared" si="11"/>
        <v>13092.54</v>
      </c>
      <c r="O25" s="71">
        <f t="shared" si="12"/>
        <v>0</v>
      </c>
      <c r="P25" s="27">
        <v>34</v>
      </c>
      <c r="Q25" s="71">
        <f t="shared" si="13"/>
        <v>21820.9</v>
      </c>
      <c r="R25" s="71">
        <f t="shared" si="14"/>
        <v>0</v>
      </c>
      <c r="S25" s="27">
        <v>790</v>
      </c>
      <c r="T25" s="71">
        <f t="shared" si="15"/>
        <v>8728.36</v>
      </c>
      <c r="U25" s="71">
        <f t="shared" si="16"/>
        <v>0</v>
      </c>
      <c r="V25" s="71">
        <f t="shared" si="17"/>
        <v>87283.6</v>
      </c>
      <c r="W25" s="71">
        <f t="shared" si="18"/>
        <v>0</v>
      </c>
      <c r="X25" s="28" t="s">
        <v>94</v>
      </c>
      <c r="Y25" s="33"/>
      <c r="Z25" s="33"/>
      <c r="AA25" s="33"/>
      <c r="AB25" s="33"/>
      <c r="AC25" s="33"/>
      <c r="AD25" s="33"/>
    </row>
    <row r="26" spans="1:30" s="25" customFormat="1" ht="16.5" customHeight="1" x14ac:dyDescent="0.25">
      <c r="A26" s="23">
        <v>45006</v>
      </c>
      <c r="B26" s="11">
        <f>ROUND(Summary!$G$9/31,2)</f>
        <v>218208.99</v>
      </c>
      <c r="C26" s="30">
        <v>42</v>
      </c>
      <c r="D26" s="11">
        <v>54.43</v>
      </c>
      <c r="E26" s="71">
        <f t="shared" si="6"/>
        <v>42</v>
      </c>
      <c r="F26" s="11">
        <f t="shared" si="0"/>
        <v>130925.39</v>
      </c>
      <c r="G26" s="71">
        <f t="shared" si="7"/>
        <v>130925.39</v>
      </c>
      <c r="H26" s="11">
        <f t="shared" si="1"/>
        <v>87283.6</v>
      </c>
      <c r="I26" s="71">
        <f t="shared" si="8"/>
        <v>87283.6</v>
      </c>
      <c r="J26" s="11">
        <v>19</v>
      </c>
      <c r="K26" s="71">
        <f t="shared" si="9"/>
        <v>43641.8</v>
      </c>
      <c r="L26" s="71">
        <f t="shared" si="10"/>
        <v>0</v>
      </c>
      <c r="M26" s="11">
        <v>84</v>
      </c>
      <c r="N26" s="71">
        <f t="shared" si="11"/>
        <v>13092.54</v>
      </c>
      <c r="O26" s="71">
        <f t="shared" si="12"/>
        <v>0</v>
      </c>
      <c r="P26" s="11">
        <v>19</v>
      </c>
      <c r="Q26" s="71">
        <f t="shared" si="13"/>
        <v>21820.9</v>
      </c>
      <c r="R26" s="71">
        <f t="shared" si="14"/>
        <v>0</v>
      </c>
      <c r="S26" s="11">
        <v>2</v>
      </c>
      <c r="T26" s="71">
        <f t="shared" si="15"/>
        <v>8728.36</v>
      </c>
      <c r="U26" s="71">
        <f t="shared" si="16"/>
        <v>0</v>
      </c>
      <c r="V26" s="71">
        <f t="shared" si="17"/>
        <v>87283.6</v>
      </c>
      <c r="W26" s="71">
        <f t="shared" si="18"/>
        <v>0</v>
      </c>
      <c r="X26" s="24" t="s">
        <v>93</v>
      </c>
    </row>
    <row r="27" spans="1:30" ht="16.5" customHeight="1" x14ac:dyDescent="0.25">
      <c r="A27" s="61">
        <v>45007</v>
      </c>
      <c r="B27" s="71">
        <f>ROUND(Summary!$G$9/31,2)</f>
        <v>218208.99</v>
      </c>
      <c r="C27" s="76">
        <v>42</v>
      </c>
      <c r="D27" s="71">
        <v>47.11</v>
      </c>
      <c r="E27" s="71">
        <f t="shared" si="6"/>
        <v>42</v>
      </c>
      <c r="F27" s="71">
        <f t="shared" si="0"/>
        <v>130925.39</v>
      </c>
      <c r="G27" s="71">
        <f t="shared" si="7"/>
        <v>130925.39</v>
      </c>
      <c r="H27" s="71">
        <f t="shared" si="1"/>
        <v>87283.6</v>
      </c>
      <c r="I27" s="71">
        <f t="shared" si="8"/>
        <v>87283.6</v>
      </c>
      <c r="J27" s="71">
        <v>21</v>
      </c>
      <c r="K27" s="71">
        <f t="shared" si="9"/>
        <v>43641.8</v>
      </c>
      <c r="L27" s="71">
        <f t="shared" si="10"/>
        <v>0</v>
      </c>
      <c r="M27" s="71">
        <v>80</v>
      </c>
      <c r="N27" s="71">
        <f t="shared" si="11"/>
        <v>13092.54</v>
      </c>
      <c r="O27" s="71">
        <f t="shared" si="12"/>
        <v>0</v>
      </c>
      <c r="P27" s="71">
        <v>34</v>
      </c>
      <c r="Q27" s="71">
        <f t="shared" si="13"/>
        <v>21820.9</v>
      </c>
      <c r="R27" s="71">
        <f t="shared" si="14"/>
        <v>0</v>
      </c>
      <c r="S27" s="71">
        <v>900</v>
      </c>
      <c r="T27" s="71">
        <f t="shared" si="15"/>
        <v>8728.36</v>
      </c>
      <c r="U27" s="71">
        <f t="shared" si="16"/>
        <v>0</v>
      </c>
      <c r="V27" s="71">
        <f t="shared" si="17"/>
        <v>87283.6</v>
      </c>
      <c r="W27" s="71">
        <f t="shared" si="18"/>
        <v>0</v>
      </c>
    </row>
    <row r="28" spans="1:30" ht="16.5" customHeight="1" x14ac:dyDescent="0.25">
      <c r="A28" s="61">
        <v>45008</v>
      </c>
      <c r="B28" s="71">
        <f>ROUND(Summary!$G$9/31,2)</f>
        <v>218208.99</v>
      </c>
      <c r="C28" s="76">
        <v>42</v>
      </c>
      <c r="D28" s="71">
        <v>44.44</v>
      </c>
      <c r="E28" s="71">
        <f t="shared" si="6"/>
        <v>42</v>
      </c>
      <c r="F28" s="71">
        <f t="shared" si="0"/>
        <v>130925.39</v>
      </c>
      <c r="G28" s="71">
        <f t="shared" si="7"/>
        <v>130925.39</v>
      </c>
      <c r="H28" s="71">
        <f t="shared" si="1"/>
        <v>87283.6</v>
      </c>
      <c r="I28" s="71">
        <f t="shared" si="8"/>
        <v>87283.6</v>
      </c>
      <c r="J28" s="71">
        <v>24</v>
      </c>
      <c r="K28" s="71">
        <f t="shared" si="9"/>
        <v>43641.8</v>
      </c>
      <c r="L28" s="71">
        <f t="shared" si="10"/>
        <v>0</v>
      </c>
      <c r="M28" s="71">
        <v>76</v>
      </c>
      <c r="N28" s="71">
        <f t="shared" si="11"/>
        <v>13092.54</v>
      </c>
      <c r="O28" s="71">
        <f t="shared" si="12"/>
        <v>0</v>
      </c>
      <c r="P28" s="71">
        <v>32</v>
      </c>
      <c r="Q28" s="71">
        <f t="shared" si="13"/>
        <v>21820.9</v>
      </c>
      <c r="R28" s="71">
        <f t="shared" si="14"/>
        <v>0</v>
      </c>
      <c r="S28" s="71">
        <v>800</v>
      </c>
      <c r="T28" s="71">
        <f t="shared" si="15"/>
        <v>8728.36</v>
      </c>
      <c r="U28" s="71">
        <f t="shared" si="16"/>
        <v>0</v>
      </c>
      <c r="V28" s="71">
        <f t="shared" si="17"/>
        <v>87283.6</v>
      </c>
      <c r="W28" s="71">
        <f t="shared" si="18"/>
        <v>0</v>
      </c>
    </row>
    <row r="29" spans="1:30" ht="16.5" customHeight="1" x14ac:dyDescent="0.25">
      <c r="A29" s="61">
        <v>45009</v>
      </c>
      <c r="B29" s="71">
        <f>ROUND(Summary!$G$9/31,2)</f>
        <v>218208.99</v>
      </c>
      <c r="C29" s="76">
        <v>42</v>
      </c>
      <c r="D29" s="71">
        <v>42.09</v>
      </c>
      <c r="E29" s="71">
        <f t="shared" si="6"/>
        <v>42</v>
      </c>
      <c r="F29" s="71">
        <f t="shared" si="0"/>
        <v>130925.39</v>
      </c>
      <c r="G29" s="71">
        <f t="shared" si="7"/>
        <v>130925.39</v>
      </c>
      <c r="H29" s="71">
        <f t="shared" si="1"/>
        <v>87283.6</v>
      </c>
      <c r="I29" s="71">
        <f t="shared" si="8"/>
        <v>87283.6</v>
      </c>
      <c r="J29" s="71">
        <v>27</v>
      </c>
      <c r="K29" s="71">
        <f t="shared" si="9"/>
        <v>43641.8</v>
      </c>
      <c r="L29" s="71">
        <f t="shared" si="10"/>
        <v>0</v>
      </c>
      <c r="M29" s="71">
        <v>84</v>
      </c>
      <c r="N29" s="71">
        <f t="shared" si="11"/>
        <v>13092.54</v>
      </c>
      <c r="O29" s="71">
        <f t="shared" si="12"/>
        <v>0</v>
      </c>
      <c r="P29" s="71">
        <v>36</v>
      </c>
      <c r="Q29" s="71">
        <f t="shared" si="13"/>
        <v>21820.9</v>
      </c>
      <c r="R29" s="71">
        <f t="shared" si="14"/>
        <v>0</v>
      </c>
      <c r="S29" s="71">
        <v>700</v>
      </c>
      <c r="T29" s="71">
        <f t="shared" si="15"/>
        <v>8728.36</v>
      </c>
      <c r="U29" s="71">
        <f t="shared" si="16"/>
        <v>0</v>
      </c>
      <c r="V29" s="71">
        <f t="shared" si="17"/>
        <v>87283.6</v>
      </c>
      <c r="W29" s="71">
        <f t="shared" si="18"/>
        <v>0</v>
      </c>
    </row>
    <row r="30" spans="1:30" ht="16.5" customHeight="1" x14ac:dyDescent="0.25">
      <c r="A30" s="61">
        <v>45010</v>
      </c>
      <c r="B30" s="71">
        <f>ROUND(Summary!$G$9/31,2)</f>
        <v>218208.99</v>
      </c>
      <c r="C30" s="76">
        <v>42</v>
      </c>
      <c r="D30" s="71">
        <v>42.9</v>
      </c>
      <c r="E30" s="71">
        <f t="shared" si="6"/>
        <v>42</v>
      </c>
      <c r="F30" s="71">
        <f t="shared" si="0"/>
        <v>130925.39</v>
      </c>
      <c r="G30" s="71">
        <f t="shared" si="7"/>
        <v>130925.39</v>
      </c>
      <c r="H30" s="71">
        <f t="shared" si="1"/>
        <v>87283.6</v>
      </c>
      <c r="I30" s="71">
        <f t="shared" si="8"/>
        <v>87283.6</v>
      </c>
      <c r="J30" s="71">
        <v>28</v>
      </c>
      <c r="K30" s="71">
        <f t="shared" si="9"/>
        <v>43641.8</v>
      </c>
      <c r="L30" s="71">
        <f t="shared" si="10"/>
        <v>0</v>
      </c>
      <c r="M30" s="71">
        <v>88</v>
      </c>
      <c r="N30" s="71">
        <f t="shared" si="11"/>
        <v>13092.54</v>
      </c>
      <c r="O30" s="71">
        <f t="shared" si="12"/>
        <v>0</v>
      </c>
      <c r="P30" s="71">
        <v>37</v>
      </c>
      <c r="Q30" s="71">
        <f t="shared" si="13"/>
        <v>21820.9</v>
      </c>
      <c r="R30" s="71">
        <f t="shared" si="14"/>
        <v>0</v>
      </c>
      <c r="S30" s="71">
        <v>900</v>
      </c>
      <c r="T30" s="71">
        <f t="shared" si="15"/>
        <v>8728.36</v>
      </c>
      <c r="U30" s="71">
        <f t="shared" si="16"/>
        <v>0</v>
      </c>
      <c r="V30" s="71">
        <f t="shared" si="17"/>
        <v>87283.6</v>
      </c>
      <c r="W30" s="71">
        <f t="shared" si="18"/>
        <v>0</v>
      </c>
    </row>
    <row r="31" spans="1:30" ht="16.5" customHeight="1" x14ac:dyDescent="0.25">
      <c r="A31" s="61">
        <v>45011</v>
      </c>
      <c r="B31" s="71">
        <f>ROUND(Summary!$G$9/31,2)</f>
        <v>218208.99</v>
      </c>
      <c r="C31" s="76">
        <v>42</v>
      </c>
      <c r="D31" s="71">
        <v>48.91</v>
      </c>
      <c r="E31" s="71">
        <f t="shared" si="6"/>
        <v>42</v>
      </c>
      <c r="F31" s="71">
        <f t="shared" si="0"/>
        <v>130925.39</v>
      </c>
      <c r="G31" s="71">
        <f t="shared" si="7"/>
        <v>130925.39</v>
      </c>
      <c r="H31" s="71">
        <f t="shared" si="1"/>
        <v>87283.6</v>
      </c>
      <c r="I31" s="71">
        <f t="shared" si="8"/>
        <v>87283.6</v>
      </c>
      <c r="J31" s="71">
        <v>23</v>
      </c>
      <c r="K31" s="71">
        <f t="shared" si="9"/>
        <v>43641.8</v>
      </c>
      <c r="L31" s="71">
        <f t="shared" si="10"/>
        <v>0</v>
      </c>
      <c r="M31" s="71">
        <v>72</v>
      </c>
      <c r="N31" s="71">
        <f t="shared" si="11"/>
        <v>13092.54</v>
      </c>
      <c r="O31" s="71">
        <f t="shared" si="12"/>
        <v>0</v>
      </c>
      <c r="P31" s="71">
        <v>38</v>
      </c>
      <c r="Q31" s="71">
        <f t="shared" si="13"/>
        <v>21820.9</v>
      </c>
      <c r="R31" s="71">
        <f t="shared" si="14"/>
        <v>0</v>
      </c>
      <c r="S31" s="71">
        <v>600</v>
      </c>
      <c r="T31" s="71">
        <f t="shared" si="15"/>
        <v>8728.36</v>
      </c>
      <c r="U31" s="71">
        <f t="shared" si="16"/>
        <v>0</v>
      </c>
      <c r="V31" s="71">
        <f t="shared" si="17"/>
        <v>87283.6</v>
      </c>
      <c r="W31" s="71">
        <f t="shared" si="18"/>
        <v>0</v>
      </c>
    </row>
    <row r="32" spans="1:30" s="29" customFormat="1" ht="16.5" customHeight="1" x14ac:dyDescent="0.3">
      <c r="A32" s="26">
        <v>45012</v>
      </c>
      <c r="B32" s="27">
        <f>ROUND(Summary!$G$9/31,2)</f>
        <v>218208.99</v>
      </c>
      <c r="C32" s="32">
        <v>42</v>
      </c>
      <c r="D32" s="27">
        <v>50.28</v>
      </c>
      <c r="E32" s="71">
        <f t="shared" si="6"/>
        <v>42</v>
      </c>
      <c r="F32" s="27">
        <f t="shared" si="0"/>
        <v>130925.39</v>
      </c>
      <c r="G32" s="71">
        <f t="shared" si="7"/>
        <v>130925.39</v>
      </c>
      <c r="H32" s="27">
        <f t="shared" si="1"/>
        <v>87283.6</v>
      </c>
      <c r="I32" s="71">
        <f t="shared" si="8"/>
        <v>87283.6</v>
      </c>
      <c r="J32" s="27">
        <v>15.8</v>
      </c>
      <c r="K32" s="71">
        <f t="shared" si="9"/>
        <v>43641.8</v>
      </c>
      <c r="L32" s="71">
        <f t="shared" si="10"/>
        <v>0</v>
      </c>
      <c r="M32" s="27">
        <v>82.4</v>
      </c>
      <c r="N32" s="71">
        <f t="shared" si="11"/>
        <v>13092.54</v>
      </c>
      <c r="O32" s="71">
        <f t="shared" si="12"/>
        <v>0</v>
      </c>
      <c r="P32" s="27">
        <v>40</v>
      </c>
      <c r="Q32" s="71">
        <f t="shared" si="13"/>
        <v>21820.9</v>
      </c>
      <c r="R32" s="71">
        <f t="shared" si="14"/>
        <v>0</v>
      </c>
      <c r="S32" s="27">
        <v>700</v>
      </c>
      <c r="T32" s="71">
        <f t="shared" si="15"/>
        <v>8728.36</v>
      </c>
      <c r="U32" s="71">
        <f t="shared" si="16"/>
        <v>0</v>
      </c>
      <c r="V32" s="71">
        <f t="shared" si="17"/>
        <v>87283.6</v>
      </c>
      <c r="W32" s="71">
        <f t="shared" si="18"/>
        <v>0</v>
      </c>
      <c r="X32" s="28" t="s">
        <v>94</v>
      </c>
      <c r="Y32" s="33"/>
      <c r="Z32" s="33"/>
      <c r="AA32" s="33"/>
      <c r="AB32" s="33"/>
      <c r="AC32" s="33"/>
      <c r="AD32" s="33"/>
    </row>
    <row r="33" spans="1:24" s="25" customFormat="1" ht="16.5" customHeight="1" x14ac:dyDescent="0.25">
      <c r="A33" s="23">
        <v>45013</v>
      </c>
      <c r="B33" s="11">
        <f>ROUND(Summary!$G$9/31,2)</f>
        <v>218208.99</v>
      </c>
      <c r="C33" s="30">
        <v>42</v>
      </c>
      <c r="D33" s="11">
        <v>50.29</v>
      </c>
      <c r="E33" s="71">
        <f t="shared" si="6"/>
        <v>42</v>
      </c>
      <c r="F33" s="11">
        <f t="shared" si="0"/>
        <v>130925.39</v>
      </c>
      <c r="G33" s="71">
        <f t="shared" si="7"/>
        <v>130925.39</v>
      </c>
      <c r="H33" s="11">
        <f t="shared" si="1"/>
        <v>87283.6</v>
      </c>
      <c r="I33" s="71">
        <f t="shared" si="8"/>
        <v>87283.6</v>
      </c>
      <c r="J33" s="11">
        <v>14</v>
      </c>
      <c r="K33" s="71">
        <f t="shared" si="9"/>
        <v>43641.8</v>
      </c>
      <c r="L33" s="71">
        <f t="shared" si="10"/>
        <v>0</v>
      </c>
      <c r="M33" s="11">
        <v>76</v>
      </c>
      <c r="N33" s="71">
        <f t="shared" si="11"/>
        <v>13092.54</v>
      </c>
      <c r="O33" s="71">
        <f t="shared" si="12"/>
        <v>0</v>
      </c>
      <c r="P33" s="11">
        <v>10</v>
      </c>
      <c r="Q33" s="71">
        <f t="shared" si="13"/>
        <v>21820.9</v>
      </c>
      <c r="R33" s="71">
        <f t="shared" si="14"/>
        <v>0</v>
      </c>
      <c r="S33" s="11">
        <v>2</v>
      </c>
      <c r="T33" s="71">
        <f t="shared" si="15"/>
        <v>8728.36</v>
      </c>
      <c r="U33" s="71">
        <f t="shared" si="16"/>
        <v>0</v>
      </c>
      <c r="V33" s="71">
        <f t="shared" si="17"/>
        <v>87283.6</v>
      </c>
      <c r="W33" s="71">
        <f t="shared" si="18"/>
        <v>0</v>
      </c>
      <c r="X33" s="24" t="s">
        <v>93</v>
      </c>
    </row>
    <row r="34" spans="1:24" ht="16.5" customHeight="1" x14ac:dyDescent="0.25">
      <c r="A34" s="61">
        <v>45014</v>
      </c>
      <c r="B34" s="71">
        <f>ROUND(Summary!$G$9/31,2)</f>
        <v>218208.99</v>
      </c>
      <c r="C34" s="76">
        <v>42</v>
      </c>
      <c r="D34" s="71">
        <v>49.22</v>
      </c>
      <c r="E34" s="71">
        <f t="shared" si="6"/>
        <v>42</v>
      </c>
      <c r="F34" s="71">
        <f t="shared" si="0"/>
        <v>130925.39</v>
      </c>
      <c r="G34" s="71">
        <f t="shared" si="7"/>
        <v>130925.39</v>
      </c>
      <c r="H34" s="71">
        <f t="shared" si="1"/>
        <v>87283.6</v>
      </c>
      <c r="I34" s="71">
        <f t="shared" si="8"/>
        <v>87283.6</v>
      </c>
      <c r="J34" s="71">
        <v>23</v>
      </c>
      <c r="K34" s="71">
        <f t="shared" si="9"/>
        <v>43641.8</v>
      </c>
      <c r="L34" s="71">
        <f t="shared" si="10"/>
        <v>0</v>
      </c>
      <c r="M34" s="71">
        <v>84</v>
      </c>
      <c r="N34" s="71">
        <f t="shared" si="11"/>
        <v>13092.54</v>
      </c>
      <c r="O34" s="71">
        <f t="shared" si="12"/>
        <v>0</v>
      </c>
      <c r="P34" s="71">
        <v>38</v>
      </c>
      <c r="Q34" s="71">
        <f t="shared" si="13"/>
        <v>21820.9</v>
      </c>
      <c r="R34" s="71">
        <f t="shared" si="14"/>
        <v>0</v>
      </c>
      <c r="S34" s="71">
        <v>900</v>
      </c>
      <c r="T34" s="71">
        <f t="shared" si="15"/>
        <v>8728.36</v>
      </c>
      <c r="U34" s="71">
        <f t="shared" si="16"/>
        <v>0</v>
      </c>
      <c r="V34" s="71">
        <f t="shared" si="17"/>
        <v>87283.6</v>
      </c>
      <c r="W34" s="71">
        <f t="shared" si="18"/>
        <v>0</v>
      </c>
    </row>
    <row r="35" spans="1:24" ht="16.5" customHeight="1" x14ac:dyDescent="0.25">
      <c r="A35" s="61">
        <v>45015</v>
      </c>
      <c r="B35" s="71">
        <f>ROUND(Summary!$G$9/31,2)</f>
        <v>218208.99</v>
      </c>
      <c r="C35" s="76">
        <v>42</v>
      </c>
      <c r="D35" s="71">
        <v>46.6</v>
      </c>
      <c r="E35" s="71">
        <f t="shared" si="6"/>
        <v>42</v>
      </c>
      <c r="F35" s="71">
        <f t="shared" ref="F35:F36" si="19">B35*60%</f>
        <v>130925.39</v>
      </c>
      <c r="G35" s="71">
        <f t="shared" si="7"/>
        <v>130925.39</v>
      </c>
      <c r="H35" s="71">
        <f t="shared" ref="H35:H36" si="20">B35*40%</f>
        <v>87283.6</v>
      </c>
      <c r="I35" s="71">
        <f t="shared" si="8"/>
        <v>87283.6</v>
      </c>
      <c r="J35" s="71">
        <v>26</v>
      </c>
      <c r="K35" s="71">
        <f t="shared" si="9"/>
        <v>43641.8</v>
      </c>
      <c r="L35" s="71">
        <f t="shared" si="10"/>
        <v>0</v>
      </c>
      <c r="M35" s="71">
        <v>76</v>
      </c>
      <c r="N35" s="71">
        <f t="shared" si="11"/>
        <v>13092.54</v>
      </c>
      <c r="O35" s="71">
        <f t="shared" si="12"/>
        <v>0</v>
      </c>
      <c r="P35" s="71">
        <v>33</v>
      </c>
      <c r="Q35" s="71">
        <f t="shared" si="13"/>
        <v>21820.9</v>
      </c>
      <c r="R35" s="71">
        <f t="shared" si="14"/>
        <v>0</v>
      </c>
      <c r="S35" s="71">
        <v>400</v>
      </c>
      <c r="T35" s="71">
        <f t="shared" si="15"/>
        <v>8728.36</v>
      </c>
      <c r="U35" s="71">
        <f t="shared" si="16"/>
        <v>0</v>
      </c>
      <c r="V35" s="71">
        <f t="shared" si="17"/>
        <v>87283.6</v>
      </c>
      <c r="W35" s="71">
        <f t="shared" si="18"/>
        <v>0</v>
      </c>
    </row>
    <row r="36" spans="1:24" ht="16.5" customHeight="1" x14ac:dyDescent="0.25">
      <c r="A36" s="61">
        <v>45016</v>
      </c>
      <c r="B36" s="71">
        <f>ROUND(Summary!$G$9/31,2)</f>
        <v>218208.99</v>
      </c>
      <c r="C36" s="76">
        <v>42</v>
      </c>
      <c r="D36" s="71">
        <v>52.61</v>
      </c>
      <c r="E36" s="71">
        <f t="shared" si="6"/>
        <v>42</v>
      </c>
      <c r="F36" s="71">
        <f t="shared" si="19"/>
        <v>130925.39</v>
      </c>
      <c r="G36" s="71">
        <f t="shared" si="7"/>
        <v>130925.39</v>
      </c>
      <c r="H36" s="71">
        <f t="shared" si="20"/>
        <v>87283.6</v>
      </c>
      <c r="I36" s="71">
        <f t="shared" si="8"/>
        <v>87283.6</v>
      </c>
      <c r="J36" s="71">
        <v>28</v>
      </c>
      <c r="K36" s="71">
        <f t="shared" si="9"/>
        <v>43641.8</v>
      </c>
      <c r="L36" s="71">
        <f t="shared" si="10"/>
        <v>0</v>
      </c>
      <c r="M36" s="71">
        <v>88</v>
      </c>
      <c r="N36" s="71">
        <f t="shared" si="11"/>
        <v>13092.54</v>
      </c>
      <c r="O36" s="71">
        <f t="shared" si="12"/>
        <v>0</v>
      </c>
      <c r="P36" s="71">
        <v>37</v>
      </c>
      <c r="Q36" s="71">
        <f t="shared" si="13"/>
        <v>21820.9</v>
      </c>
      <c r="R36" s="71">
        <f t="shared" si="14"/>
        <v>0</v>
      </c>
      <c r="S36" s="71">
        <v>900</v>
      </c>
      <c r="T36" s="71">
        <f t="shared" si="15"/>
        <v>8728.36</v>
      </c>
      <c r="U36" s="71">
        <f t="shared" si="16"/>
        <v>0</v>
      </c>
      <c r="V36" s="71">
        <f t="shared" si="17"/>
        <v>87283.6</v>
      </c>
      <c r="W36" s="71">
        <f t="shared" si="18"/>
        <v>0</v>
      </c>
    </row>
    <row r="37" spans="1:24" x14ac:dyDescent="0.25">
      <c r="A37" s="60" t="s">
        <v>27</v>
      </c>
      <c r="B37" s="72">
        <f>SUM(B6:B36)</f>
        <v>6764478.6900000004</v>
      </c>
      <c r="C37" s="71"/>
      <c r="D37" s="72">
        <f>+AVERAGE(D6:D36)</f>
        <v>47.88</v>
      </c>
      <c r="E37" s="72"/>
      <c r="F37" s="72">
        <f>SUM(F6:F36)</f>
        <v>4058687.09</v>
      </c>
      <c r="G37" s="72">
        <f>SUM(G6:G36)</f>
        <v>4058687.09</v>
      </c>
      <c r="H37" s="72">
        <f>SUM(H6:H36)</f>
        <v>2705791.6</v>
      </c>
      <c r="I37" s="72">
        <f>SUM(I6:I36)</f>
        <v>2705791.6</v>
      </c>
      <c r="J37" s="72"/>
      <c r="K37" s="72">
        <f>SUM(K6:K36)</f>
        <v>1352895.8</v>
      </c>
      <c r="L37" s="72">
        <f>SUM(L6:L36)</f>
        <v>0</v>
      </c>
      <c r="M37" s="72">
        <f>+AVERAGE(M6:M36)</f>
        <v>78</v>
      </c>
      <c r="N37" s="72">
        <f>SUM(N6:N36)</f>
        <v>405868.74</v>
      </c>
      <c r="O37" s="72">
        <f>SUM(O6:O36)</f>
        <v>0</v>
      </c>
      <c r="P37" s="72"/>
      <c r="Q37" s="72">
        <f>SUM(Q6:Q36)</f>
        <v>676447.9</v>
      </c>
      <c r="R37" s="72">
        <f>SUM(R6:R36)</f>
        <v>0</v>
      </c>
      <c r="S37" s="72"/>
      <c r="T37" s="72">
        <f>SUM(T6:T36)</f>
        <v>270579.15999999997</v>
      </c>
      <c r="U37" s="72">
        <f>SUM(U6:U36)</f>
        <v>0</v>
      </c>
      <c r="V37" s="72">
        <f>SUM(V6:V36)</f>
        <v>2705791.6</v>
      </c>
      <c r="W37" s="72">
        <f>SUM(W6:W36)</f>
        <v>0</v>
      </c>
    </row>
    <row r="38" spans="1:24" x14ac:dyDescent="0.25">
      <c r="A38" s="60"/>
      <c r="B38" s="72" t="s">
        <v>79</v>
      </c>
      <c r="C38" s="71"/>
      <c r="D38" s="60"/>
      <c r="E38" s="60"/>
      <c r="F38" s="7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72">
        <f>V37+G37</f>
        <v>6764478.6900000004</v>
      </c>
      <c r="W38" s="72"/>
    </row>
    <row r="39" spans="1:24" x14ac:dyDescent="0.25">
      <c r="W39" s="63"/>
    </row>
    <row r="40" spans="1:24" x14ac:dyDescent="0.25">
      <c r="B40" s="62">
        <f>B37*1.05</f>
        <v>7102702.6244999999</v>
      </c>
      <c r="C40" s="62">
        <f t="shared" ref="C40:V40" si="21">C37*1.05</f>
        <v>0</v>
      </c>
      <c r="D40" s="62">
        <f t="shared" si="21"/>
        <v>50.274000000000001</v>
      </c>
      <c r="E40" s="62">
        <f t="shared" si="21"/>
        <v>0</v>
      </c>
      <c r="F40" s="62">
        <f t="shared" si="21"/>
        <v>4261621.4445000002</v>
      </c>
      <c r="G40" s="62">
        <f t="shared" si="21"/>
        <v>4261621.4445000002</v>
      </c>
      <c r="H40" s="62">
        <f t="shared" si="21"/>
        <v>2841081.18</v>
      </c>
      <c r="I40" s="62">
        <f t="shared" si="21"/>
        <v>2841081.18</v>
      </c>
      <c r="J40" s="62">
        <f t="shared" si="21"/>
        <v>0</v>
      </c>
      <c r="K40" s="62">
        <f t="shared" si="21"/>
        <v>1420540.59</v>
      </c>
      <c r="L40" s="62">
        <f t="shared" si="21"/>
        <v>0</v>
      </c>
      <c r="M40" s="62">
        <f t="shared" si="21"/>
        <v>81.900000000000006</v>
      </c>
      <c r="N40" s="62">
        <f t="shared" si="21"/>
        <v>426162.17700000003</v>
      </c>
      <c r="O40" s="62">
        <f t="shared" si="21"/>
        <v>0</v>
      </c>
      <c r="P40" s="62">
        <f t="shared" si="21"/>
        <v>0</v>
      </c>
      <c r="Q40" s="62">
        <f t="shared" si="21"/>
        <v>710270.29500000004</v>
      </c>
      <c r="R40" s="62">
        <f t="shared" si="21"/>
        <v>0</v>
      </c>
      <c r="S40" s="62">
        <f t="shared" si="21"/>
        <v>0</v>
      </c>
      <c r="T40" s="62">
        <f t="shared" si="21"/>
        <v>284108.11800000002</v>
      </c>
      <c r="U40" s="62">
        <f t="shared" si="21"/>
        <v>0</v>
      </c>
      <c r="V40" s="62">
        <f t="shared" si="21"/>
        <v>2841081.18</v>
      </c>
      <c r="W40" s="63"/>
    </row>
    <row r="41" spans="1:24" x14ac:dyDescent="0.25">
      <c r="B41" s="62">
        <f t="shared" ref="B41" si="22">B40*1.05</f>
        <v>7457837.7557250001</v>
      </c>
      <c r="C41" s="62">
        <f t="shared" ref="C41:C42" si="23">C40*1.05</f>
        <v>0</v>
      </c>
      <c r="D41" s="62">
        <f t="shared" ref="D41:D42" si="24">D40*1.05</f>
        <v>52.787700000000001</v>
      </c>
      <c r="E41" s="62">
        <f t="shared" ref="E41:E42" si="25">E40*1.05</f>
        <v>0</v>
      </c>
      <c r="F41" s="62">
        <f t="shared" ref="F41:F42" si="26">F40*1.05</f>
        <v>4474702.516725</v>
      </c>
      <c r="G41" s="62">
        <f t="shared" ref="G41:G42" si="27">G40*1.05</f>
        <v>4474702.516725</v>
      </c>
      <c r="H41" s="62">
        <f t="shared" ref="H41:H42" si="28">H40*1.05</f>
        <v>2983135.2390000001</v>
      </c>
      <c r="I41" s="62">
        <f t="shared" ref="I41:I42" si="29">I40*1.05</f>
        <v>2983135.2390000001</v>
      </c>
      <c r="J41" s="62">
        <f t="shared" ref="J41:J42" si="30">J40*1.05</f>
        <v>0</v>
      </c>
      <c r="K41" s="62">
        <f t="shared" ref="K41:K42" si="31">K40*1.05</f>
        <v>1491567.6195</v>
      </c>
      <c r="L41" s="62">
        <f t="shared" ref="L41:L42" si="32">L40*1.05</f>
        <v>0</v>
      </c>
      <c r="M41" s="62">
        <f t="shared" ref="M41:M42" si="33">M40*1.05</f>
        <v>85.995000000000005</v>
      </c>
      <c r="N41" s="62">
        <f t="shared" ref="N41:N42" si="34">N40*1.05</f>
        <v>447470.28584999999</v>
      </c>
      <c r="O41" s="62">
        <f t="shared" ref="O41:O42" si="35">O40*1.05</f>
        <v>0</v>
      </c>
      <c r="P41" s="62">
        <f t="shared" ref="P41:P42" si="36">P40*1.05</f>
        <v>0</v>
      </c>
      <c r="Q41" s="62">
        <f t="shared" ref="Q41:Q42" si="37">Q40*1.05</f>
        <v>745783.80975000001</v>
      </c>
      <c r="R41" s="62">
        <f t="shared" ref="R41:R42" si="38">R40*1.05</f>
        <v>0</v>
      </c>
      <c r="S41" s="62">
        <f t="shared" ref="S41:S42" si="39">S40*1.05</f>
        <v>0</v>
      </c>
      <c r="T41" s="62">
        <f t="shared" ref="T41:T42" si="40">T40*1.05</f>
        <v>298313.52389999997</v>
      </c>
      <c r="U41" s="62">
        <f t="shared" ref="U41:U42" si="41">U40*1.05</f>
        <v>0</v>
      </c>
      <c r="V41" s="62">
        <f t="shared" ref="V41:V42" si="42">V40*1.05</f>
        <v>2983135.2390000001</v>
      </c>
      <c r="W41" s="63"/>
    </row>
    <row r="42" spans="1:24" x14ac:dyDescent="0.25">
      <c r="B42" s="62">
        <f>B41*1.05</f>
        <v>7830729.6435112497</v>
      </c>
      <c r="C42" s="62">
        <f t="shared" si="23"/>
        <v>0</v>
      </c>
      <c r="D42" s="62">
        <f t="shared" si="24"/>
        <v>55.427084999999998</v>
      </c>
      <c r="E42" s="62">
        <f t="shared" si="25"/>
        <v>0</v>
      </c>
      <c r="F42" s="62">
        <f t="shared" si="26"/>
        <v>4698437.6425612504</v>
      </c>
      <c r="G42" s="62">
        <f t="shared" si="27"/>
        <v>4698437.6425612504</v>
      </c>
      <c r="H42" s="62">
        <f t="shared" si="28"/>
        <v>3132292.0009499998</v>
      </c>
      <c r="I42" s="62">
        <f t="shared" si="29"/>
        <v>3132292.0009499998</v>
      </c>
      <c r="J42" s="62">
        <f t="shared" si="30"/>
        <v>0</v>
      </c>
      <c r="K42" s="62">
        <f t="shared" si="31"/>
        <v>1566146.0004749999</v>
      </c>
      <c r="L42" s="62">
        <f t="shared" si="32"/>
        <v>0</v>
      </c>
      <c r="M42" s="62">
        <f t="shared" si="33"/>
        <v>90.294749999999993</v>
      </c>
      <c r="N42" s="62">
        <f t="shared" si="34"/>
        <v>469843.80014250003</v>
      </c>
      <c r="O42" s="62">
        <f t="shared" si="35"/>
        <v>0</v>
      </c>
      <c r="P42" s="62">
        <f t="shared" si="36"/>
        <v>0</v>
      </c>
      <c r="Q42" s="62">
        <f t="shared" si="37"/>
        <v>783073.00023749995</v>
      </c>
      <c r="R42" s="62">
        <f t="shared" si="38"/>
        <v>0</v>
      </c>
      <c r="S42" s="62">
        <f t="shared" si="39"/>
        <v>0</v>
      </c>
      <c r="T42" s="62">
        <f t="shared" si="40"/>
        <v>313229.20009499998</v>
      </c>
      <c r="U42" s="62">
        <f t="shared" si="41"/>
        <v>0</v>
      </c>
      <c r="V42" s="62">
        <f t="shared" si="42"/>
        <v>3132292.0009499998</v>
      </c>
    </row>
    <row r="43" spans="1:24" x14ac:dyDescent="0.25">
      <c r="V43" s="62">
        <f>V38*1.05</f>
        <v>7102702.6244999999</v>
      </c>
    </row>
    <row r="44" spans="1:24" x14ac:dyDescent="0.25">
      <c r="V44" s="62">
        <f>V43*1.05</f>
        <v>7457837.7557250001</v>
      </c>
    </row>
    <row r="45" spans="1:24" x14ac:dyDescent="0.25">
      <c r="V45" s="62">
        <f>V44*1.05</f>
        <v>7830729.6435112497</v>
      </c>
    </row>
  </sheetData>
  <mergeCells count="19">
    <mergeCell ref="C4:C5"/>
    <mergeCell ref="I4:I5"/>
    <mergeCell ref="E4:E5"/>
    <mergeCell ref="J4:L4"/>
    <mergeCell ref="A1:W1"/>
    <mergeCell ref="M4:O4"/>
    <mergeCell ref="P4:R4"/>
    <mergeCell ref="S4:U4"/>
    <mergeCell ref="W4:W5"/>
    <mergeCell ref="H3:W3"/>
    <mergeCell ref="D4:D5"/>
    <mergeCell ref="V4:V5"/>
    <mergeCell ref="F3:G3"/>
    <mergeCell ref="B4:B5"/>
    <mergeCell ref="A4:A5"/>
    <mergeCell ref="F4:F5"/>
    <mergeCell ref="G4:G5"/>
    <mergeCell ref="H4:H5"/>
    <mergeCell ref="C3:D3"/>
  </mergeCells>
  <pageMargins left="0.25" right="0.25" top="0.75" bottom="0.75" header="0.3" footer="0.3"/>
  <pageSetup paperSize="9" scale="54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D45"/>
  <sheetViews>
    <sheetView topLeftCell="L19" zoomScaleNormal="100" workbookViewId="0">
      <selection activeCell="V6" sqref="V6:W36"/>
    </sheetView>
  </sheetViews>
  <sheetFormatPr defaultColWidth="9.140625" defaultRowHeight="15.75" x14ac:dyDescent="0.25"/>
  <cols>
    <col min="1" max="1" width="10.5703125" style="63" customWidth="1"/>
    <col min="2" max="2" width="14.5703125" style="63" customWidth="1"/>
    <col min="3" max="3" width="7.85546875" style="63" customWidth="1"/>
    <col min="4" max="4" width="9.5703125" style="63" customWidth="1"/>
    <col min="5" max="5" width="11" style="63" bestFit="1" customWidth="1"/>
    <col min="6" max="6" width="11.7109375" style="63" bestFit="1" customWidth="1"/>
    <col min="7" max="7" width="12.7109375" style="63" bestFit="1" customWidth="1"/>
    <col min="8" max="8" width="11.7109375" style="63" bestFit="1" customWidth="1"/>
    <col min="9" max="9" width="12.7109375" style="63" bestFit="1" customWidth="1"/>
    <col min="10" max="10" width="9.42578125" style="63" customWidth="1"/>
    <col min="11" max="11" width="10.7109375" style="63" bestFit="1" customWidth="1"/>
    <col min="12" max="12" width="10.7109375" style="63" customWidth="1"/>
    <col min="13" max="13" width="9" style="63" customWidth="1"/>
    <col min="14" max="14" width="10.7109375" style="63" bestFit="1" customWidth="1"/>
    <col min="15" max="15" width="10.7109375" style="63" customWidth="1"/>
    <col min="16" max="16" width="9" style="63" customWidth="1"/>
    <col min="17" max="17" width="10.7109375" style="63" bestFit="1" customWidth="1"/>
    <col min="18" max="18" width="10.7109375" style="63" customWidth="1"/>
    <col min="19" max="19" width="9.28515625" style="63" customWidth="1"/>
    <col min="20" max="20" width="10.7109375" style="63" bestFit="1" customWidth="1"/>
    <col min="21" max="21" width="10.7109375" style="63" customWidth="1"/>
    <col min="22" max="22" width="14.28515625" style="63" customWidth="1"/>
    <col min="23" max="23" width="10.5703125" bestFit="1" customWidth="1"/>
    <col min="24" max="24" width="9.28515625" style="64" bestFit="1" customWidth="1"/>
    <col min="25" max="29" width="9.28515625" bestFit="1" customWidth="1"/>
    <col min="30" max="30" width="10.5703125" bestFit="1" customWidth="1"/>
  </cols>
  <sheetData>
    <row r="1" spans="1:30" ht="18.75" customHeight="1" x14ac:dyDescent="0.3">
      <c r="A1" s="117" t="str">
        <f>'42 MLd'!A1:W1</f>
        <v>Lucknow Payment for the month of MARCH 2023 (As Per VoL -1, Section IV, Clause 39)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8"/>
      <c r="W1" s="118"/>
      <c r="Y1" s="10"/>
      <c r="Z1" s="10"/>
      <c r="AA1" s="10"/>
      <c r="AB1" s="10"/>
      <c r="AC1" s="10"/>
      <c r="AD1" s="10"/>
    </row>
    <row r="2" spans="1:30" ht="15" customHeight="1" x14ac:dyDescent="0.3">
      <c r="A2" s="59">
        <v>1</v>
      </c>
      <c r="B2" s="59">
        <v>2</v>
      </c>
      <c r="C2" s="59">
        <v>3</v>
      </c>
      <c r="D2" s="59">
        <v>4</v>
      </c>
      <c r="E2" s="59">
        <v>5</v>
      </c>
      <c r="F2" s="59">
        <v>6</v>
      </c>
      <c r="G2" s="59">
        <v>7</v>
      </c>
      <c r="H2" s="59">
        <v>8</v>
      </c>
      <c r="I2" s="59">
        <v>9</v>
      </c>
      <c r="J2" s="59">
        <v>10</v>
      </c>
      <c r="K2" s="59">
        <v>11</v>
      </c>
      <c r="L2" s="59">
        <v>12</v>
      </c>
      <c r="M2" s="59">
        <v>13</v>
      </c>
      <c r="N2" s="59">
        <v>14</v>
      </c>
      <c r="O2" s="59">
        <v>15</v>
      </c>
      <c r="P2" s="59">
        <v>16</v>
      </c>
      <c r="Q2" s="59">
        <v>17</v>
      </c>
      <c r="R2" s="59">
        <v>18</v>
      </c>
      <c r="S2" s="59">
        <v>19</v>
      </c>
      <c r="T2" s="59">
        <v>20</v>
      </c>
      <c r="U2" s="59">
        <v>21</v>
      </c>
      <c r="V2" s="59">
        <v>22</v>
      </c>
      <c r="W2" s="59">
        <v>23</v>
      </c>
      <c r="Y2" s="10"/>
      <c r="Z2" s="10"/>
      <c r="AA2" s="10"/>
      <c r="AB2" s="10"/>
      <c r="AC2" s="10"/>
      <c r="AD2" s="10"/>
    </row>
    <row r="3" spans="1:30" ht="15.75" customHeight="1" x14ac:dyDescent="0.3">
      <c r="A3" s="60"/>
      <c r="B3" s="60"/>
      <c r="C3" s="119" t="s">
        <v>23</v>
      </c>
      <c r="D3" s="121"/>
      <c r="E3" s="66"/>
      <c r="F3" s="122" t="s">
        <v>26</v>
      </c>
      <c r="G3" s="122"/>
      <c r="H3" s="122" t="s">
        <v>72</v>
      </c>
      <c r="I3" s="122"/>
      <c r="J3" s="122"/>
      <c r="K3" s="122"/>
      <c r="L3" s="122"/>
      <c r="M3" s="122"/>
      <c r="N3" s="122"/>
      <c r="O3" s="122"/>
      <c r="P3" s="122"/>
      <c r="Q3" s="122"/>
      <c r="R3" s="122"/>
      <c r="S3" s="122"/>
      <c r="T3" s="122"/>
      <c r="U3" s="122"/>
      <c r="V3" s="122"/>
      <c r="W3" s="122"/>
      <c r="Y3" s="10"/>
      <c r="Z3" s="10"/>
      <c r="AA3" s="10"/>
      <c r="AB3" s="10"/>
      <c r="AC3" s="10"/>
      <c r="AD3" s="10"/>
    </row>
    <row r="4" spans="1:30" ht="21.95" customHeight="1" x14ac:dyDescent="0.3">
      <c r="A4" s="124" t="s">
        <v>22</v>
      </c>
      <c r="B4" s="81" t="s">
        <v>80</v>
      </c>
      <c r="C4" s="81" t="s">
        <v>29</v>
      </c>
      <c r="D4" s="81" t="s">
        <v>32</v>
      </c>
      <c r="E4" s="81" t="s">
        <v>30</v>
      </c>
      <c r="F4" s="122" t="s">
        <v>24</v>
      </c>
      <c r="G4" s="122" t="s">
        <v>25</v>
      </c>
      <c r="H4" s="122" t="s">
        <v>28</v>
      </c>
      <c r="I4" s="122" t="s">
        <v>25</v>
      </c>
      <c r="J4" s="119" t="s">
        <v>14</v>
      </c>
      <c r="K4" s="120"/>
      <c r="L4" s="120"/>
      <c r="M4" s="119" t="s">
        <v>16</v>
      </c>
      <c r="N4" s="120"/>
      <c r="O4" s="120"/>
      <c r="P4" s="119" t="s">
        <v>15</v>
      </c>
      <c r="Q4" s="120"/>
      <c r="R4" s="120"/>
      <c r="S4" s="119" t="s">
        <v>21</v>
      </c>
      <c r="T4" s="120"/>
      <c r="U4" s="121"/>
      <c r="V4" s="126" t="s">
        <v>71</v>
      </c>
      <c r="W4" s="122" t="s">
        <v>36</v>
      </c>
      <c r="Y4" s="10"/>
      <c r="Z4" s="10"/>
      <c r="AA4" s="10"/>
      <c r="AB4" s="10"/>
      <c r="AC4" s="10"/>
      <c r="AD4" s="10"/>
    </row>
    <row r="5" spans="1:30" ht="27" customHeight="1" x14ac:dyDescent="0.3">
      <c r="A5" s="125"/>
      <c r="B5" s="82"/>
      <c r="C5" s="82"/>
      <c r="D5" s="125"/>
      <c r="E5" s="125"/>
      <c r="F5" s="122"/>
      <c r="G5" s="122"/>
      <c r="H5" s="122"/>
      <c r="I5" s="122"/>
      <c r="J5" s="13" t="s">
        <v>35</v>
      </c>
      <c r="K5" s="70">
        <v>0.5</v>
      </c>
      <c r="L5" s="70" t="s">
        <v>36</v>
      </c>
      <c r="M5" s="13" t="s">
        <v>35</v>
      </c>
      <c r="N5" s="70">
        <v>0.15</v>
      </c>
      <c r="O5" s="70" t="s">
        <v>36</v>
      </c>
      <c r="P5" s="13" t="s">
        <v>35</v>
      </c>
      <c r="Q5" s="70">
        <v>0.25</v>
      </c>
      <c r="R5" s="70" t="s">
        <v>36</v>
      </c>
      <c r="S5" s="13" t="s">
        <v>35</v>
      </c>
      <c r="T5" s="70">
        <v>0.1</v>
      </c>
      <c r="U5" s="74" t="s">
        <v>36</v>
      </c>
      <c r="V5" s="126"/>
      <c r="W5" s="122"/>
      <c r="Y5" s="10"/>
      <c r="Z5" s="10"/>
      <c r="AA5" s="10"/>
      <c r="AB5" s="10"/>
      <c r="AC5" s="10"/>
      <c r="AD5" s="10"/>
    </row>
    <row r="6" spans="1:30" ht="15.75" customHeight="1" x14ac:dyDescent="0.3">
      <c r="A6" s="61">
        <v>44986</v>
      </c>
      <c r="B6" s="75">
        <f>ROUND(Summary!$G$10/31,2)</f>
        <v>72736.33</v>
      </c>
      <c r="C6" s="76">
        <v>14</v>
      </c>
      <c r="D6" s="71">
        <v>15.1</v>
      </c>
      <c r="E6" s="71">
        <f>MIN(D6,C6)</f>
        <v>14</v>
      </c>
      <c r="F6" s="71">
        <f t="shared" ref="F6:F34" si="0">B6*60%</f>
        <v>43641.8</v>
      </c>
      <c r="G6" s="71">
        <f>(F6*E6)/C6</f>
        <v>43641.8</v>
      </c>
      <c r="H6" s="71">
        <f t="shared" ref="H6:H34" si="1">B6*40%</f>
        <v>29094.53</v>
      </c>
      <c r="I6" s="71">
        <f>(H6*E6)/C6</f>
        <v>29094.53</v>
      </c>
      <c r="J6" s="71">
        <v>21</v>
      </c>
      <c r="K6" s="71">
        <f>I6*50%</f>
        <v>14547.27</v>
      </c>
      <c r="L6" s="71">
        <f t="shared" ref="L6" si="2">IF(J6&gt;30,(MAX($B$37*0.1/100,10000)),0)</f>
        <v>0</v>
      </c>
      <c r="M6" s="71">
        <v>68</v>
      </c>
      <c r="N6" s="71">
        <f>I6*15%</f>
        <v>4364.18</v>
      </c>
      <c r="O6" s="71">
        <f t="shared" ref="O6" si="3">IF(M6&gt;100,(MAX($B$37*0.1/100,10000)),0)</f>
        <v>0</v>
      </c>
      <c r="P6" s="71">
        <v>31</v>
      </c>
      <c r="Q6" s="71">
        <f>I6*25%</f>
        <v>7273.63</v>
      </c>
      <c r="R6" s="71">
        <f t="shared" ref="R6" si="4">IF(P6&gt;50,(MAX($B$37*0.1/100,10000)),0)</f>
        <v>0</v>
      </c>
      <c r="S6" s="77">
        <v>700</v>
      </c>
      <c r="T6" s="71">
        <f>I6*10%</f>
        <v>2909.45</v>
      </c>
      <c r="U6" s="71">
        <f t="shared" ref="U6" si="5">IF(S6&gt;1000,(MAX($B$37*0.1/100,10000)),0)</f>
        <v>0</v>
      </c>
      <c r="V6" s="71">
        <f>T6+Q6+N6+K6</f>
        <v>29094.53</v>
      </c>
      <c r="W6" s="71">
        <f>U6+R6+O6+L6</f>
        <v>0</v>
      </c>
      <c r="Y6" s="10"/>
      <c r="Z6" s="10"/>
      <c r="AA6" s="10"/>
      <c r="AB6" s="10"/>
      <c r="AC6" s="10"/>
      <c r="AD6" s="10"/>
    </row>
    <row r="7" spans="1:30" ht="15.75" customHeight="1" x14ac:dyDescent="0.3">
      <c r="A7" s="61">
        <v>44987</v>
      </c>
      <c r="B7" s="75">
        <f>ROUND(Summary!$G$10/31,2)</f>
        <v>72736.33</v>
      </c>
      <c r="C7" s="76">
        <v>14</v>
      </c>
      <c r="D7" s="71">
        <v>15.52</v>
      </c>
      <c r="E7" s="71">
        <f t="shared" ref="E7:E36" si="6">MIN(D7,C7)</f>
        <v>14</v>
      </c>
      <c r="F7" s="71">
        <f t="shared" si="0"/>
        <v>43641.8</v>
      </c>
      <c r="G7" s="71">
        <f t="shared" ref="G7:G36" si="7">(F7*E7)/C7</f>
        <v>43641.8</v>
      </c>
      <c r="H7" s="71">
        <f t="shared" si="1"/>
        <v>29094.53</v>
      </c>
      <c r="I7" s="71">
        <f t="shared" ref="I7:I36" si="8">(H7*E7)/C7</f>
        <v>29094.53</v>
      </c>
      <c r="J7" s="71">
        <v>17</v>
      </c>
      <c r="K7" s="71">
        <f t="shared" ref="K7:K36" si="9">I7*50%</f>
        <v>14547.27</v>
      </c>
      <c r="L7" s="71">
        <f t="shared" ref="L7:L36" si="10">IF(J7&gt;30,(MAX($B$37*0.1/100,10000)),0)</f>
        <v>0</v>
      </c>
      <c r="M7" s="71">
        <v>60</v>
      </c>
      <c r="N7" s="71">
        <f t="shared" ref="N7:N36" si="11">I7*15%</f>
        <v>4364.18</v>
      </c>
      <c r="O7" s="71">
        <f t="shared" ref="O7:O36" si="12">IF(M7&gt;100,(MAX($B$37*0.1/100,10000)),0)</f>
        <v>0</v>
      </c>
      <c r="P7" s="71">
        <v>32</v>
      </c>
      <c r="Q7" s="71">
        <f t="shared" ref="Q7:Q36" si="13">I7*25%</f>
        <v>7273.63</v>
      </c>
      <c r="R7" s="71">
        <f t="shared" ref="R7:R36" si="14">IF(P7&gt;50,(MAX($B$37*0.1/100,10000)),0)</f>
        <v>0</v>
      </c>
      <c r="S7" s="77">
        <v>400</v>
      </c>
      <c r="T7" s="71">
        <f t="shared" ref="T7:T36" si="15">I7*10%</f>
        <v>2909.45</v>
      </c>
      <c r="U7" s="71">
        <f t="shared" ref="U7:U36" si="16">IF(S7&gt;1000,(MAX($B$37*0.1/100,10000)),0)</f>
        <v>0</v>
      </c>
      <c r="V7" s="71">
        <f t="shared" ref="V7:V36" si="17">T7+Q7+N7+K7</f>
        <v>29094.53</v>
      </c>
      <c r="W7" s="71">
        <f t="shared" ref="W7:W36" si="18">U7+R7+O7+L7</f>
        <v>0</v>
      </c>
      <c r="Y7" s="10"/>
      <c r="Z7" s="10"/>
      <c r="AA7" s="10"/>
      <c r="AB7" s="10"/>
      <c r="AC7" s="10"/>
      <c r="AD7" s="10"/>
    </row>
    <row r="8" spans="1:30" ht="15.75" customHeight="1" x14ac:dyDescent="0.3">
      <c r="A8" s="61">
        <v>44988</v>
      </c>
      <c r="B8" s="75">
        <f>ROUND(Summary!$G$10/31,2)</f>
        <v>72736.33</v>
      </c>
      <c r="C8" s="76">
        <v>14</v>
      </c>
      <c r="D8" s="71">
        <v>15.1</v>
      </c>
      <c r="E8" s="71">
        <f t="shared" si="6"/>
        <v>14</v>
      </c>
      <c r="F8" s="71">
        <f t="shared" si="0"/>
        <v>43641.8</v>
      </c>
      <c r="G8" s="71">
        <f t="shared" si="7"/>
        <v>43641.8</v>
      </c>
      <c r="H8" s="71">
        <f t="shared" si="1"/>
        <v>29094.53</v>
      </c>
      <c r="I8" s="71">
        <f t="shared" si="8"/>
        <v>29094.53</v>
      </c>
      <c r="J8" s="71">
        <v>20</v>
      </c>
      <c r="K8" s="71">
        <f t="shared" si="9"/>
        <v>14547.27</v>
      </c>
      <c r="L8" s="71">
        <f t="shared" si="10"/>
        <v>0</v>
      </c>
      <c r="M8" s="71">
        <v>84</v>
      </c>
      <c r="N8" s="71">
        <f t="shared" si="11"/>
        <v>4364.18</v>
      </c>
      <c r="O8" s="71">
        <f t="shared" si="12"/>
        <v>0</v>
      </c>
      <c r="P8" s="71">
        <v>35</v>
      </c>
      <c r="Q8" s="71">
        <f t="shared" si="13"/>
        <v>7273.63</v>
      </c>
      <c r="R8" s="71">
        <f t="shared" si="14"/>
        <v>0</v>
      </c>
      <c r="S8" s="77">
        <v>900</v>
      </c>
      <c r="T8" s="71">
        <f t="shared" si="15"/>
        <v>2909.45</v>
      </c>
      <c r="U8" s="71">
        <f t="shared" si="16"/>
        <v>0</v>
      </c>
      <c r="V8" s="71">
        <f t="shared" si="17"/>
        <v>29094.53</v>
      </c>
      <c r="W8" s="71">
        <f t="shared" si="18"/>
        <v>0</v>
      </c>
      <c r="Y8" s="10"/>
      <c r="Z8" s="10"/>
      <c r="AA8" s="10"/>
      <c r="AB8" s="10"/>
      <c r="AC8" s="10"/>
      <c r="AD8" s="10"/>
    </row>
    <row r="9" spans="1:30" ht="15.75" customHeight="1" x14ac:dyDescent="0.3">
      <c r="A9" s="61">
        <v>44989</v>
      </c>
      <c r="B9" s="75">
        <f>ROUND(Summary!$G$10/31,2)</f>
        <v>72736.33</v>
      </c>
      <c r="C9" s="76">
        <v>14</v>
      </c>
      <c r="D9" s="71">
        <v>15.56</v>
      </c>
      <c r="E9" s="71">
        <f t="shared" si="6"/>
        <v>14</v>
      </c>
      <c r="F9" s="71">
        <f t="shared" si="0"/>
        <v>43641.8</v>
      </c>
      <c r="G9" s="71">
        <f t="shared" si="7"/>
        <v>43641.8</v>
      </c>
      <c r="H9" s="71">
        <f t="shared" si="1"/>
        <v>29094.53</v>
      </c>
      <c r="I9" s="71">
        <f t="shared" si="8"/>
        <v>29094.53</v>
      </c>
      <c r="J9" s="71">
        <v>22</v>
      </c>
      <c r="K9" s="71">
        <f t="shared" si="9"/>
        <v>14547.27</v>
      </c>
      <c r="L9" s="71">
        <f t="shared" si="10"/>
        <v>0</v>
      </c>
      <c r="M9" s="71">
        <v>80</v>
      </c>
      <c r="N9" s="71">
        <f t="shared" si="11"/>
        <v>4364.18</v>
      </c>
      <c r="O9" s="71">
        <f t="shared" si="12"/>
        <v>0</v>
      </c>
      <c r="P9" s="71">
        <v>37</v>
      </c>
      <c r="Q9" s="71">
        <f t="shared" si="13"/>
        <v>7273.63</v>
      </c>
      <c r="R9" s="71">
        <f t="shared" si="14"/>
        <v>0</v>
      </c>
      <c r="S9" s="77">
        <v>800</v>
      </c>
      <c r="T9" s="71">
        <f t="shared" si="15"/>
        <v>2909.45</v>
      </c>
      <c r="U9" s="71">
        <f t="shared" si="16"/>
        <v>0</v>
      </c>
      <c r="V9" s="71">
        <f t="shared" si="17"/>
        <v>29094.53</v>
      </c>
      <c r="W9" s="71">
        <f t="shared" si="18"/>
        <v>0</v>
      </c>
      <c r="Y9" s="10"/>
      <c r="Z9" s="10"/>
      <c r="AA9" s="10"/>
      <c r="AB9" s="10"/>
      <c r="AC9" s="10"/>
      <c r="AD9" s="10"/>
    </row>
    <row r="10" spans="1:30" ht="15" customHeight="1" x14ac:dyDescent="0.3">
      <c r="A10" s="61">
        <v>44990</v>
      </c>
      <c r="B10" s="75">
        <f>ROUND(Summary!$G$10/31,2)</f>
        <v>72736.33</v>
      </c>
      <c r="C10" s="76">
        <v>14</v>
      </c>
      <c r="D10" s="71">
        <v>14.52</v>
      </c>
      <c r="E10" s="71">
        <f t="shared" si="6"/>
        <v>14</v>
      </c>
      <c r="F10" s="71">
        <f t="shared" si="0"/>
        <v>43641.8</v>
      </c>
      <c r="G10" s="71">
        <f t="shared" si="7"/>
        <v>43641.8</v>
      </c>
      <c r="H10" s="71">
        <f t="shared" si="1"/>
        <v>29094.53</v>
      </c>
      <c r="I10" s="71">
        <f t="shared" si="8"/>
        <v>29094.53</v>
      </c>
      <c r="J10" s="71">
        <v>25</v>
      </c>
      <c r="K10" s="71">
        <f t="shared" si="9"/>
        <v>14547.27</v>
      </c>
      <c r="L10" s="71">
        <f t="shared" si="10"/>
        <v>0</v>
      </c>
      <c r="M10" s="71">
        <v>88</v>
      </c>
      <c r="N10" s="71">
        <f t="shared" si="11"/>
        <v>4364.18</v>
      </c>
      <c r="O10" s="71">
        <f t="shared" si="12"/>
        <v>0</v>
      </c>
      <c r="P10" s="71">
        <v>44</v>
      </c>
      <c r="Q10" s="71">
        <f t="shared" si="13"/>
        <v>7273.63</v>
      </c>
      <c r="R10" s="71">
        <f t="shared" si="14"/>
        <v>0</v>
      </c>
      <c r="S10" s="77">
        <v>700</v>
      </c>
      <c r="T10" s="71">
        <f t="shared" si="15"/>
        <v>2909.45</v>
      </c>
      <c r="U10" s="71">
        <f t="shared" si="16"/>
        <v>0</v>
      </c>
      <c r="V10" s="71">
        <f t="shared" si="17"/>
        <v>29094.53</v>
      </c>
      <c r="W10" s="71">
        <f t="shared" si="18"/>
        <v>0</v>
      </c>
      <c r="Y10" s="10"/>
      <c r="Z10" s="10"/>
      <c r="AA10" s="10"/>
      <c r="AB10" s="10"/>
      <c r="AC10" s="10"/>
      <c r="AD10" s="10"/>
    </row>
    <row r="11" spans="1:30" s="29" customFormat="1" ht="15" customHeight="1" x14ac:dyDescent="0.3">
      <c r="A11" s="26">
        <v>44991</v>
      </c>
      <c r="B11" s="35">
        <f>ROUND(Summary!$G$10/31,2)</f>
        <v>72736.33</v>
      </c>
      <c r="C11" s="32">
        <v>14</v>
      </c>
      <c r="D11" s="27">
        <v>14.78</v>
      </c>
      <c r="E11" s="71">
        <f t="shared" si="6"/>
        <v>14</v>
      </c>
      <c r="F11" s="27">
        <f t="shared" si="0"/>
        <v>43641.8</v>
      </c>
      <c r="G11" s="71">
        <f t="shared" si="7"/>
        <v>43641.8</v>
      </c>
      <c r="H11" s="27">
        <f t="shared" si="1"/>
        <v>29094.53</v>
      </c>
      <c r="I11" s="71">
        <f t="shared" si="8"/>
        <v>29094.53</v>
      </c>
      <c r="J11" s="27">
        <v>24</v>
      </c>
      <c r="K11" s="71">
        <f t="shared" si="9"/>
        <v>14547.27</v>
      </c>
      <c r="L11" s="71">
        <f t="shared" si="10"/>
        <v>0</v>
      </c>
      <c r="M11" s="27">
        <v>76</v>
      </c>
      <c r="N11" s="71">
        <f t="shared" si="11"/>
        <v>4364.18</v>
      </c>
      <c r="O11" s="71">
        <f t="shared" si="12"/>
        <v>0</v>
      </c>
      <c r="P11" s="27">
        <v>31</v>
      </c>
      <c r="Q11" s="71">
        <f t="shared" si="13"/>
        <v>7273.63</v>
      </c>
      <c r="R11" s="71">
        <f t="shared" si="14"/>
        <v>0</v>
      </c>
      <c r="S11" s="79">
        <v>400</v>
      </c>
      <c r="T11" s="71">
        <f t="shared" si="15"/>
        <v>2909.45</v>
      </c>
      <c r="U11" s="71">
        <f t="shared" si="16"/>
        <v>0</v>
      </c>
      <c r="V11" s="71">
        <f t="shared" si="17"/>
        <v>29094.53</v>
      </c>
      <c r="W11" s="71">
        <f t="shared" si="18"/>
        <v>0</v>
      </c>
      <c r="X11" s="28" t="s">
        <v>94</v>
      </c>
      <c r="Y11" s="33"/>
      <c r="Z11" s="33"/>
      <c r="AA11" s="33"/>
      <c r="AB11" s="33"/>
      <c r="AC11" s="33"/>
      <c r="AD11" s="33"/>
    </row>
    <row r="12" spans="1:30" s="25" customFormat="1" ht="15" customHeight="1" x14ac:dyDescent="0.3">
      <c r="A12" s="23">
        <v>44992</v>
      </c>
      <c r="B12" s="34">
        <f>ROUND(Summary!$G$10/31,2)</f>
        <v>72736.33</v>
      </c>
      <c r="C12" s="30">
        <v>14</v>
      </c>
      <c r="D12" s="11">
        <v>14.2</v>
      </c>
      <c r="E12" s="71">
        <f t="shared" si="6"/>
        <v>14</v>
      </c>
      <c r="F12" s="11">
        <f t="shared" si="0"/>
        <v>43641.8</v>
      </c>
      <c r="G12" s="71">
        <f t="shared" si="7"/>
        <v>43641.8</v>
      </c>
      <c r="H12" s="11">
        <f t="shared" si="1"/>
        <v>29094.53</v>
      </c>
      <c r="I12" s="71">
        <f t="shared" si="8"/>
        <v>29094.53</v>
      </c>
      <c r="J12" s="11">
        <v>10</v>
      </c>
      <c r="K12" s="71">
        <f t="shared" si="9"/>
        <v>14547.27</v>
      </c>
      <c r="L12" s="71">
        <f t="shared" si="10"/>
        <v>0</v>
      </c>
      <c r="M12" s="11">
        <v>48</v>
      </c>
      <c r="N12" s="71">
        <f t="shared" si="11"/>
        <v>4364.18</v>
      </c>
      <c r="O12" s="71">
        <f t="shared" si="12"/>
        <v>0</v>
      </c>
      <c r="P12" s="11">
        <v>14</v>
      </c>
      <c r="Q12" s="71">
        <f t="shared" si="13"/>
        <v>7273.63</v>
      </c>
      <c r="R12" s="71">
        <f t="shared" si="14"/>
        <v>0</v>
      </c>
      <c r="S12" s="78">
        <v>2</v>
      </c>
      <c r="T12" s="71">
        <f t="shared" si="15"/>
        <v>2909.45</v>
      </c>
      <c r="U12" s="71">
        <f t="shared" si="16"/>
        <v>0</v>
      </c>
      <c r="V12" s="71">
        <f t="shared" si="17"/>
        <v>29094.53</v>
      </c>
      <c r="W12" s="71">
        <f t="shared" si="18"/>
        <v>0</v>
      </c>
      <c r="X12" s="24" t="s">
        <v>93</v>
      </c>
      <c r="Y12" s="31"/>
      <c r="Z12" s="31"/>
      <c r="AA12" s="31"/>
      <c r="AB12" s="31"/>
      <c r="AC12" s="31"/>
      <c r="AD12" s="31"/>
    </row>
    <row r="13" spans="1:30" ht="15" customHeight="1" x14ac:dyDescent="0.3">
      <c r="A13" s="61">
        <v>44993</v>
      </c>
      <c r="B13" s="75">
        <f>ROUND(Summary!$G$10/31,2)</f>
        <v>72736.33</v>
      </c>
      <c r="C13" s="76">
        <v>14</v>
      </c>
      <c r="D13" s="71">
        <v>14.16</v>
      </c>
      <c r="E13" s="71">
        <f t="shared" si="6"/>
        <v>14</v>
      </c>
      <c r="F13" s="71">
        <f t="shared" si="0"/>
        <v>43641.8</v>
      </c>
      <c r="G13" s="71">
        <f t="shared" si="7"/>
        <v>43641.8</v>
      </c>
      <c r="H13" s="71">
        <f t="shared" si="1"/>
        <v>29094.53</v>
      </c>
      <c r="I13" s="71">
        <f t="shared" si="8"/>
        <v>29094.53</v>
      </c>
      <c r="J13" s="71">
        <v>21</v>
      </c>
      <c r="K13" s="71">
        <f t="shared" si="9"/>
        <v>14547.27</v>
      </c>
      <c r="L13" s="71">
        <f t="shared" si="10"/>
        <v>0</v>
      </c>
      <c r="M13" s="71">
        <v>64</v>
      </c>
      <c r="N13" s="71">
        <f t="shared" si="11"/>
        <v>4364.18</v>
      </c>
      <c r="O13" s="71">
        <f t="shared" si="12"/>
        <v>0</v>
      </c>
      <c r="P13" s="71">
        <v>36</v>
      </c>
      <c r="Q13" s="71">
        <f t="shared" si="13"/>
        <v>7273.63</v>
      </c>
      <c r="R13" s="71">
        <f t="shared" si="14"/>
        <v>0</v>
      </c>
      <c r="S13" s="77">
        <v>600</v>
      </c>
      <c r="T13" s="71">
        <f t="shared" si="15"/>
        <v>2909.45</v>
      </c>
      <c r="U13" s="71">
        <f t="shared" si="16"/>
        <v>0</v>
      </c>
      <c r="V13" s="71">
        <f t="shared" si="17"/>
        <v>29094.53</v>
      </c>
      <c r="W13" s="71">
        <f t="shared" si="18"/>
        <v>0</v>
      </c>
      <c r="Y13" s="10"/>
      <c r="Z13" s="10"/>
      <c r="AA13" s="10"/>
      <c r="AB13" s="10"/>
      <c r="AC13" s="10"/>
      <c r="AD13" s="10"/>
    </row>
    <row r="14" spans="1:30" ht="15.75" customHeight="1" x14ac:dyDescent="0.3">
      <c r="A14" s="61">
        <v>44994</v>
      </c>
      <c r="B14" s="75">
        <f>ROUND(Summary!$G$10/31,2)</f>
        <v>72736.33</v>
      </c>
      <c r="C14" s="76">
        <v>14</v>
      </c>
      <c r="D14" s="71">
        <v>15.62</v>
      </c>
      <c r="E14" s="71">
        <f t="shared" si="6"/>
        <v>14</v>
      </c>
      <c r="F14" s="71">
        <f t="shared" si="0"/>
        <v>43641.8</v>
      </c>
      <c r="G14" s="71">
        <f t="shared" si="7"/>
        <v>43641.8</v>
      </c>
      <c r="H14" s="71">
        <f t="shared" si="1"/>
        <v>29094.53</v>
      </c>
      <c r="I14" s="71">
        <f t="shared" si="8"/>
        <v>29094.53</v>
      </c>
      <c r="J14" s="71">
        <v>23</v>
      </c>
      <c r="K14" s="71">
        <f t="shared" si="9"/>
        <v>14547.27</v>
      </c>
      <c r="L14" s="71">
        <f t="shared" si="10"/>
        <v>0</v>
      </c>
      <c r="M14" s="71">
        <v>72</v>
      </c>
      <c r="N14" s="71">
        <f t="shared" si="11"/>
        <v>4364.18</v>
      </c>
      <c r="O14" s="71">
        <f t="shared" si="12"/>
        <v>0</v>
      </c>
      <c r="P14" s="71">
        <v>33</v>
      </c>
      <c r="Q14" s="71">
        <f t="shared" si="13"/>
        <v>7273.63</v>
      </c>
      <c r="R14" s="71">
        <f t="shared" si="14"/>
        <v>0</v>
      </c>
      <c r="S14" s="77">
        <v>700</v>
      </c>
      <c r="T14" s="71">
        <f t="shared" si="15"/>
        <v>2909.45</v>
      </c>
      <c r="U14" s="71">
        <f t="shared" si="16"/>
        <v>0</v>
      </c>
      <c r="V14" s="71">
        <f t="shared" si="17"/>
        <v>29094.53</v>
      </c>
      <c r="W14" s="71">
        <f t="shared" si="18"/>
        <v>0</v>
      </c>
      <c r="Y14" s="10"/>
      <c r="Z14" s="10"/>
      <c r="AA14" s="10"/>
      <c r="AB14" s="10"/>
      <c r="AC14" s="10"/>
      <c r="AD14" s="10"/>
    </row>
    <row r="15" spans="1:30" ht="15.75" customHeight="1" x14ac:dyDescent="0.3">
      <c r="A15" s="61">
        <v>44995</v>
      </c>
      <c r="B15" s="75">
        <f>ROUND(Summary!$G$10/31,2)</f>
        <v>72736.33</v>
      </c>
      <c r="C15" s="76">
        <v>14</v>
      </c>
      <c r="D15" s="71">
        <v>15.12</v>
      </c>
      <c r="E15" s="71">
        <f t="shared" si="6"/>
        <v>14</v>
      </c>
      <c r="F15" s="71">
        <f t="shared" si="0"/>
        <v>43641.8</v>
      </c>
      <c r="G15" s="71">
        <f t="shared" si="7"/>
        <v>43641.8</v>
      </c>
      <c r="H15" s="71">
        <f t="shared" si="1"/>
        <v>29094.53</v>
      </c>
      <c r="I15" s="71">
        <f t="shared" si="8"/>
        <v>29094.53</v>
      </c>
      <c r="J15" s="71">
        <v>24</v>
      </c>
      <c r="K15" s="71">
        <f t="shared" si="9"/>
        <v>14547.27</v>
      </c>
      <c r="L15" s="71">
        <f t="shared" si="10"/>
        <v>0</v>
      </c>
      <c r="M15" s="71">
        <v>76</v>
      </c>
      <c r="N15" s="71">
        <f t="shared" si="11"/>
        <v>4364.18</v>
      </c>
      <c r="O15" s="71">
        <f t="shared" si="12"/>
        <v>0</v>
      </c>
      <c r="P15" s="71">
        <v>28</v>
      </c>
      <c r="Q15" s="71">
        <f t="shared" si="13"/>
        <v>7273.63</v>
      </c>
      <c r="R15" s="71">
        <f t="shared" si="14"/>
        <v>0</v>
      </c>
      <c r="S15" s="77">
        <v>800</v>
      </c>
      <c r="T15" s="71">
        <f t="shared" si="15"/>
        <v>2909.45</v>
      </c>
      <c r="U15" s="71">
        <f t="shared" si="16"/>
        <v>0</v>
      </c>
      <c r="V15" s="71">
        <f t="shared" si="17"/>
        <v>29094.53</v>
      </c>
      <c r="W15" s="71">
        <f t="shared" si="18"/>
        <v>0</v>
      </c>
      <c r="Y15" s="10"/>
      <c r="Z15" s="10"/>
      <c r="AA15" s="10"/>
      <c r="AB15" s="10"/>
      <c r="AC15" s="10"/>
      <c r="AD15" s="10"/>
    </row>
    <row r="16" spans="1:30" ht="15.75" customHeight="1" x14ac:dyDescent="0.3">
      <c r="A16" s="61">
        <v>44996</v>
      </c>
      <c r="B16" s="75">
        <f>ROUND(Summary!$G$10/31,2)</f>
        <v>72736.33</v>
      </c>
      <c r="C16" s="76">
        <v>14</v>
      </c>
      <c r="D16" s="71">
        <v>15.1</v>
      </c>
      <c r="E16" s="71">
        <f t="shared" si="6"/>
        <v>14</v>
      </c>
      <c r="F16" s="71">
        <f t="shared" si="0"/>
        <v>43641.8</v>
      </c>
      <c r="G16" s="71">
        <f t="shared" si="7"/>
        <v>43641.8</v>
      </c>
      <c r="H16" s="71">
        <f t="shared" si="1"/>
        <v>29094.53</v>
      </c>
      <c r="I16" s="71">
        <f t="shared" si="8"/>
        <v>29094.53</v>
      </c>
      <c r="J16" s="71">
        <v>26</v>
      </c>
      <c r="K16" s="71">
        <f t="shared" si="9"/>
        <v>14547.27</v>
      </c>
      <c r="L16" s="71">
        <f t="shared" si="10"/>
        <v>0</v>
      </c>
      <c r="M16" s="71">
        <v>88</v>
      </c>
      <c r="N16" s="71">
        <f t="shared" si="11"/>
        <v>4364.18</v>
      </c>
      <c r="O16" s="71">
        <f t="shared" si="12"/>
        <v>0</v>
      </c>
      <c r="P16" s="71">
        <v>37</v>
      </c>
      <c r="Q16" s="71">
        <f t="shared" si="13"/>
        <v>7273.63</v>
      </c>
      <c r="R16" s="71">
        <f t="shared" si="14"/>
        <v>0</v>
      </c>
      <c r="S16" s="77">
        <v>400</v>
      </c>
      <c r="T16" s="71">
        <f t="shared" si="15"/>
        <v>2909.45</v>
      </c>
      <c r="U16" s="71">
        <f t="shared" si="16"/>
        <v>0</v>
      </c>
      <c r="V16" s="71">
        <f t="shared" si="17"/>
        <v>29094.53</v>
      </c>
      <c r="W16" s="71">
        <f t="shared" si="18"/>
        <v>0</v>
      </c>
      <c r="Y16" s="10"/>
      <c r="Z16" s="10"/>
      <c r="AA16" s="10"/>
      <c r="AB16" s="10"/>
      <c r="AC16" s="10"/>
      <c r="AD16" s="10"/>
    </row>
    <row r="17" spans="1:24" x14ac:dyDescent="0.25">
      <c r="A17" s="61">
        <v>44997</v>
      </c>
      <c r="B17" s="75">
        <f>ROUND(Summary!$G$10/31,2)</f>
        <v>72736.33</v>
      </c>
      <c r="C17" s="76">
        <v>14</v>
      </c>
      <c r="D17" s="71">
        <v>15.1</v>
      </c>
      <c r="E17" s="71">
        <f t="shared" si="6"/>
        <v>14</v>
      </c>
      <c r="F17" s="71">
        <f t="shared" si="0"/>
        <v>43641.8</v>
      </c>
      <c r="G17" s="71">
        <f t="shared" si="7"/>
        <v>43641.8</v>
      </c>
      <c r="H17" s="71">
        <f t="shared" si="1"/>
        <v>29094.53</v>
      </c>
      <c r="I17" s="71">
        <f t="shared" si="8"/>
        <v>29094.53</v>
      </c>
      <c r="J17" s="71">
        <v>21</v>
      </c>
      <c r="K17" s="71">
        <f t="shared" si="9"/>
        <v>14547.27</v>
      </c>
      <c r="L17" s="71">
        <f t="shared" si="10"/>
        <v>0</v>
      </c>
      <c r="M17" s="71">
        <v>68</v>
      </c>
      <c r="N17" s="71">
        <f t="shared" si="11"/>
        <v>4364.18</v>
      </c>
      <c r="O17" s="71">
        <f t="shared" si="12"/>
        <v>0</v>
      </c>
      <c r="P17" s="71">
        <v>29</v>
      </c>
      <c r="Q17" s="71">
        <f t="shared" si="13"/>
        <v>7273.63</v>
      </c>
      <c r="R17" s="71">
        <f t="shared" si="14"/>
        <v>0</v>
      </c>
      <c r="S17" s="77">
        <v>800</v>
      </c>
      <c r="T17" s="71">
        <f t="shared" si="15"/>
        <v>2909.45</v>
      </c>
      <c r="U17" s="71">
        <f t="shared" si="16"/>
        <v>0</v>
      </c>
      <c r="V17" s="71">
        <f t="shared" si="17"/>
        <v>29094.53</v>
      </c>
      <c r="W17" s="71">
        <f t="shared" si="18"/>
        <v>0</v>
      </c>
    </row>
    <row r="18" spans="1:24" x14ac:dyDescent="0.25">
      <c r="A18" s="61">
        <v>44998</v>
      </c>
      <c r="B18" s="75">
        <f>ROUND(Summary!$G$10/31,2)</f>
        <v>72736.33</v>
      </c>
      <c r="C18" s="76">
        <v>14</v>
      </c>
      <c r="D18" s="71">
        <v>15.8</v>
      </c>
      <c r="E18" s="71">
        <f t="shared" si="6"/>
        <v>14</v>
      </c>
      <c r="F18" s="71">
        <f t="shared" si="0"/>
        <v>43641.8</v>
      </c>
      <c r="G18" s="71">
        <f t="shared" si="7"/>
        <v>43641.8</v>
      </c>
      <c r="H18" s="71">
        <f t="shared" si="1"/>
        <v>29094.53</v>
      </c>
      <c r="I18" s="71">
        <f t="shared" si="8"/>
        <v>29094.53</v>
      </c>
      <c r="J18" s="71">
        <v>18</v>
      </c>
      <c r="K18" s="71">
        <f t="shared" si="9"/>
        <v>14547.27</v>
      </c>
      <c r="L18" s="71">
        <f t="shared" si="10"/>
        <v>0</v>
      </c>
      <c r="M18" s="71">
        <v>64</v>
      </c>
      <c r="N18" s="71">
        <f t="shared" si="11"/>
        <v>4364.18</v>
      </c>
      <c r="O18" s="71">
        <f t="shared" si="12"/>
        <v>0</v>
      </c>
      <c r="P18" s="71">
        <v>29</v>
      </c>
      <c r="Q18" s="71">
        <f t="shared" si="13"/>
        <v>7273.63</v>
      </c>
      <c r="R18" s="71">
        <f t="shared" si="14"/>
        <v>0</v>
      </c>
      <c r="S18" s="77">
        <v>600</v>
      </c>
      <c r="T18" s="71">
        <f t="shared" si="15"/>
        <v>2909.45</v>
      </c>
      <c r="U18" s="71">
        <f t="shared" si="16"/>
        <v>0</v>
      </c>
      <c r="V18" s="71">
        <f t="shared" si="17"/>
        <v>29094.53</v>
      </c>
      <c r="W18" s="71">
        <f t="shared" si="18"/>
        <v>0</v>
      </c>
    </row>
    <row r="19" spans="1:24" s="25" customFormat="1" x14ac:dyDescent="0.25">
      <c r="A19" s="23">
        <v>44999</v>
      </c>
      <c r="B19" s="34">
        <f>ROUND(Summary!$G$10/31,2)</f>
        <v>72736.33</v>
      </c>
      <c r="C19" s="30">
        <v>14</v>
      </c>
      <c r="D19" s="11">
        <v>15.46</v>
      </c>
      <c r="E19" s="71">
        <f t="shared" si="6"/>
        <v>14</v>
      </c>
      <c r="F19" s="11">
        <f t="shared" si="0"/>
        <v>43641.8</v>
      </c>
      <c r="G19" s="71">
        <f t="shared" si="7"/>
        <v>43641.8</v>
      </c>
      <c r="H19" s="11">
        <f t="shared" si="1"/>
        <v>29094.53</v>
      </c>
      <c r="I19" s="71">
        <f t="shared" si="8"/>
        <v>29094.53</v>
      </c>
      <c r="J19" s="11">
        <v>8</v>
      </c>
      <c r="K19" s="71">
        <f t="shared" si="9"/>
        <v>14547.27</v>
      </c>
      <c r="L19" s="71">
        <f t="shared" si="10"/>
        <v>0</v>
      </c>
      <c r="M19" s="11">
        <v>48</v>
      </c>
      <c r="N19" s="71">
        <f t="shared" si="11"/>
        <v>4364.18</v>
      </c>
      <c r="O19" s="71">
        <f t="shared" si="12"/>
        <v>0</v>
      </c>
      <c r="P19" s="11">
        <v>13</v>
      </c>
      <c r="Q19" s="71">
        <f t="shared" si="13"/>
        <v>7273.63</v>
      </c>
      <c r="R19" s="71">
        <f t="shared" si="14"/>
        <v>0</v>
      </c>
      <c r="S19" s="78">
        <v>26</v>
      </c>
      <c r="T19" s="71">
        <f t="shared" si="15"/>
        <v>2909.45</v>
      </c>
      <c r="U19" s="71">
        <f t="shared" si="16"/>
        <v>0</v>
      </c>
      <c r="V19" s="71">
        <f t="shared" si="17"/>
        <v>29094.53</v>
      </c>
      <c r="W19" s="71">
        <f t="shared" si="18"/>
        <v>0</v>
      </c>
      <c r="X19" s="24" t="s">
        <v>93</v>
      </c>
    </row>
    <row r="20" spans="1:24" x14ac:dyDescent="0.25">
      <c r="A20" s="61">
        <v>45000</v>
      </c>
      <c r="B20" s="75">
        <f>ROUND(Summary!$G$10/31,2)</f>
        <v>72736.33</v>
      </c>
      <c r="C20" s="76">
        <v>14</v>
      </c>
      <c r="D20" s="71">
        <v>15.8</v>
      </c>
      <c r="E20" s="71">
        <f t="shared" si="6"/>
        <v>14</v>
      </c>
      <c r="F20" s="71">
        <f t="shared" si="0"/>
        <v>43641.8</v>
      </c>
      <c r="G20" s="71">
        <f t="shared" si="7"/>
        <v>43641.8</v>
      </c>
      <c r="H20" s="71">
        <f t="shared" si="1"/>
        <v>29094.53</v>
      </c>
      <c r="I20" s="71">
        <f t="shared" si="8"/>
        <v>29094.53</v>
      </c>
      <c r="J20" s="71">
        <v>20</v>
      </c>
      <c r="K20" s="71">
        <f t="shared" si="9"/>
        <v>14547.27</v>
      </c>
      <c r="L20" s="71">
        <f t="shared" si="10"/>
        <v>0</v>
      </c>
      <c r="M20" s="71">
        <v>68</v>
      </c>
      <c r="N20" s="71">
        <f t="shared" si="11"/>
        <v>4364.18</v>
      </c>
      <c r="O20" s="71">
        <f t="shared" si="12"/>
        <v>0</v>
      </c>
      <c r="P20" s="71">
        <v>33</v>
      </c>
      <c r="Q20" s="71">
        <f t="shared" si="13"/>
        <v>7273.63</v>
      </c>
      <c r="R20" s="71">
        <f t="shared" si="14"/>
        <v>0</v>
      </c>
      <c r="S20" s="77">
        <v>700</v>
      </c>
      <c r="T20" s="71">
        <f t="shared" si="15"/>
        <v>2909.45</v>
      </c>
      <c r="U20" s="71">
        <f t="shared" si="16"/>
        <v>0</v>
      </c>
      <c r="V20" s="71">
        <f t="shared" si="17"/>
        <v>29094.53</v>
      </c>
      <c r="W20" s="71">
        <f t="shared" si="18"/>
        <v>0</v>
      </c>
    </row>
    <row r="21" spans="1:24" s="29" customFormat="1" x14ac:dyDescent="0.25">
      <c r="A21" s="26">
        <v>45001</v>
      </c>
      <c r="B21" s="35">
        <f>ROUND(Summary!$G$10/31,2)</f>
        <v>72736.33</v>
      </c>
      <c r="C21" s="32">
        <v>14</v>
      </c>
      <c r="D21" s="27">
        <v>14.68</v>
      </c>
      <c r="E21" s="71">
        <f t="shared" si="6"/>
        <v>14</v>
      </c>
      <c r="F21" s="27">
        <f t="shared" si="0"/>
        <v>43641.8</v>
      </c>
      <c r="G21" s="71">
        <f t="shared" si="7"/>
        <v>43641.8</v>
      </c>
      <c r="H21" s="27">
        <f t="shared" si="1"/>
        <v>29094.53</v>
      </c>
      <c r="I21" s="71">
        <f t="shared" si="8"/>
        <v>29094.53</v>
      </c>
      <c r="J21" s="27">
        <v>24</v>
      </c>
      <c r="K21" s="71">
        <f t="shared" si="9"/>
        <v>14547.27</v>
      </c>
      <c r="L21" s="71">
        <f t="shared" si="10"/>
        <v>0</v>
      </c>
      <c r="M21" s="27">
        <v>72</v>
      </c>
      <c r="N21" s="71">
        <f t="shared" si="11"/>
        <v>4364.18</v>
      </c>
      <c r="O21" s="71">
        <f t="shared" si="12"/>
        <v>0</v>
      </c>
      <c r="P21" s="27">
        <v>38</v>
      </c>
      <c r="Q21" s="71">
        <f t="shared" si="13"/>
        <v>7273.63</v>
      </c>
      <c r="R21" s="71">
        <f t="shared" si="14"/>
        <v>0</v>
      </c>
      <c r="S21" s="79">
        <v>900</v>
      </c>
      <c r="T21" s="71">
        <f t="shared" si="15"/>
        <v>2909.45</v>
      </c>
      <c r="U21" s="71">
        <f t="shared" si="16"/>
        <v>0</v>
      </c>
      <c r="V21" s="71">
        <f t="shared" si="17"/>
        <v>29094.53</v>
      </c>
      <c r="W21" s="71">
        <f t="shared" si="18"/>
        <v>0</v>
      </c>
      <c r="X21" s="28" t="s">
        <v>94</v>
      </c>
    </row>
    <row r="22" spans="1:24" x14ac:dyDescent="0.25">
      <c r="A22" s="61">
        <v>45002</v>
      </c>
      <c r="B22" s="75">
        <f>ROUND(Summary!$G$10/31,2)</f>
        <v>72736.33</v>
      </c>
      <c r="C22" s="76">
        <v>14</v>
      </c>
      <c r="D22" s="71">
        <v>15.69</v>
      </c>
      <c r="E22" s="71">
        <f t="shared" si="6"/>
        <v>14</v>
      </c>
      <c r="F22" s="71">
        <f t="shared" si="0"/>
        <v>43641.8</v>
      </c>
      <c r="G22" s="71">
        <f t="shared" si="7"/>
        <v>43641.8</v>
      </c>
      <c r="H22" s="71">
        <f t="shared" si="1"/>
        <v>29094.53</v>
      </c>
      <c r="I22" s="71">
        <f t="shared" si="8"/>
        <v>29094.53</v>
      </c>
      <c r="J22" s="71">
        <v>25</v>
      </c>
      <c r="K22" s="71">
        <f t="shared" si="9"/>
        <v>14547.27</v>
      </c>
      <c r="L22" s="71">
        <f t="shared" si="10"/>
        <v>0</v>
      </c>
      <c r="M22" s="71">
        <v>84</v>
      </c>
      <c r="N22" s="71">
        <f t="shared" si="11"/>
        <v>4364.18</v>
      </c>
      <c r="O22" s="71">
        <f t="shared" si="12"/>
        <v>0</v>
      </c>
      <c r="P22" s="71">
        <v>35</v>
      </c>
      <c r="Q22" s="71">
        <f t="shared" si="13"/>
        <v>7273.63</v>
      </c>
      <c r="R22" s="71">
        <f t="shared" si="14"/>
        <v>0</v>
      </c>
      <c r="S22" s="77">
        <v>700</v>
      </c>
      <c r="T22" s="71">
        <f t="shared" si="15"/>
        <v>2909.45</v>
      </c>
      <c r="U22" s="71">
        <f t="shared" si="16"/>
        <v>0</v>
      </c>
      <c r="V22" s="71">
        <f t="shared" si="17"/>
        <v>29094.53</v>
      </c>
      <c r="W22" s="71">
        <f t="shared" si="18"/>
        <v>0</v>
      </c>
    </row>
    <row r="23" spans="1:24" x14ac:dyDescent="0.25">
      <c r="A23" s="61">
        <v>45003</v>
      </c>
      <c r="B23" s="75">
        <f>ROUND(Summary!$G$10/31,2)</f>
        <v>72736.33</v>
      </c>
      <c r="C23" s="76">
        <v>14</v>
      </c>
      <c r="D23" s="71">
        <v>15.83</v>
      </c>
      <c r="E23" s="71">
        <f t="shared" si="6"/>
        <v>14</v>
      </c>
      <c r="F23" s="71">
        <f t="shared" si="0"/>
        <v>43641.8</v>
      </c>
      <c r="G23" s="71">
        <f t="shared" si="7"/>
        <v>43641.8</v>
      </c>
      <c r="H23" s="71">
        <f t="shared" si="1"/>
        <v>29094.53</v>
      </c>
      <c r="I23" s="71">
        <f t="shared" si="8"/>
        <v>29094.53</v>
      </c>
      <c r="J23" s="71">
        <v>26</v>
      </c>
      <c r="K23" s="71">
        <f t="shared" si="9"/>
        <v>14547.27</v>
      </c>
      <c r="L23" s="71">
        <f t="shared" si="10"/>
        <v>0</v>
      </c>
      <c r="M23" s="71">
        <v>88</v>
      </c>
      <c r="N23" s="71">
        <f t="shared" si="11"/>
        <v>4364.18</v>
      </c>
      <c r="O23" s="71">
        <f t="shared" si="12"/>
        <v>0</v>
      </c>
      <c r="P23" s="71">
        <v>37</v>
      </c>
      <c r="Q23" s="71">
        <f t="shared" si="13"/>
        <v>7273.63</v>
      </c>
      <c r="R23" s="71">
        <f t="shared" si="14"/>
        <v>0</v>
      </c>
      <c r="S23" s="77">
        <v>800</v>
      </c>
      <c r="T23" s="71">
        <f t="shared" si="15"/>
        <v>2909.45</v>
      </c>
      <c r="U23" s="71">
        <f t="shared" si="16"/>
        <v>0</v>
      </c>
      <c r="V23" s="71">
        <f t="shared" si="17"/>
        <v>29094.53</v>
      </c>
      <c r="W23" s="71">
        <f t="shared" si="18"/>
        <v>0</v>
      </c>
    </row>
    <row r="24" spans="1:24" x14ac:dyDescent="0.25">
      <c r="A24" s="61">
        <v>45004</v>
      </c>
      <c r="B24" s="75">
        <f>ROUND(Summary!$G$10/31,2)</f>
        <v>72736.33</v>
      </c>
      <c r="C24" s="76">
        <v>14</v>
      </c>
      <c r="D24" s="71">
        <v>15.1</v>
      </c>
      <c r="E24" s="71">
        <f t="shared" si="6"/>
        <v>14</v>
      </c>
      <c r="F24" s="71">
        <f t="shared" si="0"/>
        <v>43641.8</v>
      </c>
      <c r="G24" s="71">
        <f t="shared" si="7"/>
        <v>43641.8</v>
      </c>
      <c r="H24" s="71">
        <f t="shared" si="1"/>
        <v>29094.53</v>
      </c>
      <c r="I24" s="71">
        <f t="shared" si="8"/>
        <v>29094.53</v>
      </c>
      <c r="J24" s="71">
        <v>22</v>
      </c>
      <c r="K24" s="71">
        <f t="shared" si="9"/>
        <v>14547.27</v>
      </c>
      <c r="L24" s="71">
        <f t="shared" si="10"/>
        <v>0</v>
      </c>
      <c r="M24" s="71">
        <v>72</v>
      </c>
      <c r="N24" s="71">
        <f t="shared" si="11"/>
        <v>4364.18</v>
      </c>
      <c r="O24" s="71">
        <f t="shared" si="12"/>
        <v>0</v>
      </c>
      <c r="P24" s="71">
        <v>33</v>
      </c>
      <c r="Q24" s="71">
        <f t="shared" si="13"/>
        <v>7273.63</v>
      </c>
      <c r="R24" s="71">
        <f t="shared" si="14"/>
        <v>0</v>
      </c>
      <c r="S24" s="77">
        <v>600</v>
      </c>
      <c r="T24" s="71">
        <f t="shared" si="15"/>
        <v>2909.45</v>
      </c>
      <c r="U24" s="71">
        <f t="shared" si="16"/>
        <v>0</v>
      </c>
      <c r="V24" s="71">
        <f t="shared" si="17"/>
        <v>29094.53</v>
      </c>
      <c r="W24" s="71">
        <f t="shared" si="18"/>
        <v>0</v>
      </c>
    </row>
    <row r="25" spans="1:24" s="29" customFormat="1" x14ac:dyDescent="0.25">
      <c r="A25" s="26">
        <v>45005</v>
      </c>
      <c r="B25" s="35">
        <f>ROUND(Summary!$G$10/31,2)</f>
        <v>72736.33</v>
      </c>
      <c r="C25" s="32">
        <v>14</v>
      </c>
      <c r="D25" s="27">
        <v>15.89</v>
      </c>
      <c r="E25" s="71">
        <f t="shared" si="6"/>
        <v>14</v>
      </c>
      <c r="F25" s="27">
        <f t="shared" si="0"/>
        <v>43641.8</v>
      </c>
      <c r="G25" s="71">
        <f t="shared" si="7"/>
        <v>43641.8</v>
      </c>
      <c r="H25" s="27">
        <f t="shared" si="1"/>
        <v>29094.53</v>
      </c>
      <c r="I25" s="71">
        <f t="shared" si="8"/>
        <v>29094.53</v>
      </c>
      <c r="J25" s="27">
        <v>26</v>
      </c>
      <c r="K25" s="71">
        <f t="shared" si="9"/>
        <v>14547.27</v>
      </c>
      <c r="L25" s="71">
        <f t="shared" si="10"/>
        <v>0</v>
      </c>
      <c r="M25" s="27">
        <v>88</v>
      </c>
      <c r="N25" s="71">
        <f t="shared" si="11"/>
        <v>4364.18</v>
      </c>
      <c r="O25" s="71">
        <f t="shared" si="12"/>
        <v>0</v>
      </c>
      <c r="P25" s="27">
        <v>35</v>
      </c>
      <c r="Q25" s="71">
        <f t="shared" si="13"/>
        <v>7273.63</v>
      </c>
      <c r="R25" s="71">
        <f t="shared" si="14"/>
        <v>0</v>
      </c>
      <c r="S25" s="79">
        <v>900</v>
      </c>
      <c r="T25" s="71">
        <f t="shared" si="15"/>
        <v>2909.45</v>
      </c>
      <c r="U25" s="71">
        <f t="shared" si="16"/>
        <v>0</v>
      </c>
      <c r="V25" s="71">
        <f t="shared" si="17"/>
        <v>29094.53</v>
      </c>
      <c r="W25" s="71">
        <f t="shared" si="18"/>
        <v>0</v>
      </c>
      <c r="X25" s="28" t="s">
        <v>94</v>
      </c>
    </row>
    <row r="26" spans="1:24" s="25" customFormat="1" x14ac:dyDescent="0.25">
      <c r="A26" s="23">
        <v>45006</v>
      </c>
      <c r="B26" s="34">
        <f>ROUND(Summary!$G$10/31,2)</f>
        <v>72736.33</v>
      </c>
      <c r="C26" s="30">
        <v>14</v>
      </c>
      <c r="D26" s="11">
        <v>15.34</v>
      </c>
      <c r="E26" s="71">
        <f t="shared" si="6"/>
        <v>14</v>
      </c>
      <c r="F26" s="11">
        <f t="shared" si="0"/>
        <v>43641.8</v>
      </c>
      <c r="G26" s="71">
        <f t="shared" si="7"/>
        <v>43641.8</v>
      </c>
      <c r="H26" s="11">
        <f t="shared" si="1"/>
        <v>29094.53</v>
      </c>
      <c r="I26" s="71">
        <f t="shared" si="8"/>
        <v>29094.53</v>
      </c>
      <c r="J26" s="11">
        <v>10</v>
      </c>
      <c r="K26" s="71">
        <f t="shared" si="9"/>
        <v>14547.27</v>
      </c>
      <c r="L26" s="71">
        <f t="shared" si="10"/>
        <v>0</v>
      </c>
      <c r="M26" s="11">
        <v>64</v>
      </c>
      <c r="N26" s="71">
        <f t="shared" si="11"/>
        <v>4364.18</v>
      </c>
      <c r="O26" s="71">
        <f t="shared" si="12"/>
        <v>0</v>
      </c>
      <c r="P26" s="11">
        <v>17</v>
      </c>
      <c r="Q26" s="71">
        <f t="shared" si="13"/>
        <v>7273.63</v>
      </c>
      <c r="R26" s="71">
        <f t="shared" si="14"/>
        <v>0</v>
      </c>
      <c r="S26" s="78">
        <v>2</v>
      </c>
      <c r="T26" s="71">
        <f t="shared" si="15"/>
        <v>2909.45</v>
      </c>
      <c r="U26" s="71">
        <f t="shared" si="16"/>
        <v>0</v>
      </c>
      <c r="V26" s="71">
        <f t="shared" si="17"/>
        <v>29094.53</v>
      </c>
      <c r="W26" s="71">
        <f t="shared" si="18"/>
        <v>0</v>
      </c>
      <c r="X26" s="24" t="s">
        <v>93</v>
      </c>
    </row>
    <row r="27" spans="1:24" x14ac:dyDescent="0.25">
      <c r="A27" s="61">
        <v>45007</v>
      </c>
      <c r="B27" s="75">
        <f>ROUND(Summary!$G$10/31,2)</f>
        <v>72736.33</v>
      </c>
      <c r="C27" s="76">
        <v>14</v>
      </c>
      <c r="D27" s="71">
        <v>15.19</v>
      </c>
      <c r="E27" s="71">
        <f t="shared" si="6"/>
        <v>14</v>
      </c>
      <c r="F27" s="71">
        <f t="shared" si="0"/>
        <v>43641.8</v>
      </c>
      <c r="G27" s="71">
        <f t="shared" si="7"/>
        <v>43641.8</v>
      </c>
      <c r="H27" s="71">
        <f t="shared" si="1"/>
        <v>29094.53</v>
      </c>
      <c r="I27" s="71">
        <f t="shared" si="8"/>
        <v>29094.53</v>
      </c>
      <c r="J27" s="71">
        <v>16</v>
      </c>
      <c r="K27" s="71">
        <f t="shared" si="9"/>
        <v>14547.27</v>
      </c>
      <c r="L27" s="71">
        <f t="shared" si="10"/>
        <v>0</v>
      </c>
      <c r="M27" s="71">
        <v>76</v>
      </c>
      <c r="N27" s="71">
        <f t="shared" si="11"/>
        <v>4364.18</v>
      </c>
      <c r="O27" s="71">
        <f t="shared" si="12"/>
        <v>0</v>
      </c>
      <c r="P27" s="71">
        <v>31</v>
      </c>
      <c r="Q27" s="71">
        <f t="shared" si="13"/>
        <v>7273.63</v>
      </c>
      <c r="R27" s="71">
        <f t="shared" si="14"/>
        <v>0</v>
      </c>
      <c r="S27" s="77">
        <v>700</v>
      </c>
      <c r="T27" s="71">
        <f t="shared" si="15"/>
        <v>2909.45</v>
      </c>
      <c r="U27" s="71">
        <f t="shared" si="16"/>
        <v>0</v>
      </c>
      <c r="V27" s="71">
        <f t="shared" si="17"/>
        <v>29094.53</v>
      </c>
      <c r="W27" s="71">
        <f t="shared" si="18"/>
        <v>0</v>
      </c>
    </row>
    <row r="28" spans="1:24" x14ac:dyDescent="0.25">
      <c r="A28" s="61">
        <v>45008</v>
      </c>
      <c r="B28" s="75">
        <f>ROUND(Summary!$G$10/31,2)</f>
        <v>72736.33</v>
      </c>
      <c r="C28" s="76">
        <v>14</v>
      </c>
      <c r="D28" s="71">
        <v>15.1</v>
      </c>
      <c r="E28" s="71">
        <f t="shared" si="6"/>
        <v>14</v>
      </c>
      <c r="F28" s="71">
        <f t="shared" si="0"/>
        <v>43641.8</v>
      </c>
      <c r="G28" s="71">
        <f t="shared" si="7"/>
        <v>43641.8</v>
      </c>
      <c r="H28" s="71">
        <f t="shared" si="1"/>
        <v>29094.53</v>
      </c>
      <c r="I28" s="71">
        <f t="shared" si="8"/>
        <v>29094.53</v>
      </c>
      <c r="J28" s="71">
        <v>22</v>
      </c>
      <c r="K28" s="71">
        <f t="shared" si="9"/>
        <v>14547.27</v>
      </c>
      <c r="L28" s="71">
        <f t="shared" si="10"/>
        <v>0</v>
      </c>
      <c r="M28" s="71">
        <v>72</v>
      </c>
      <c r="N28" s="71">
        <f t="shared" si="11"/>
        <v>4364.18</v>
      </c>
      <c r="O28" s="71">
        <f t="shared" si="12"/>
        <v>0</v>
      </c>
      <c r="P28" s="71">
        <v>29</v>
      </c>
      <c r="Q28" s="71">
        <f t="shared" si="13"/>
        <v>7273.63</v>
      </c>
      <c r="R28" s="71">
        <f t="shared" si="14"/>
        <v>0</v>
      </c>
      <c r="S28" s="77">
        <v>600</v>
      </c>
      <c r="T28" s="71">
        <f t="shared" si="15"/>
        <v>2909.45</v>
      </c>
      <c r="U28" s="71">
        <f t="shared" si="16"/>
        <v>0</v>
      </c>
      <c r="V28" s="71">
        <f t="shared" si="17"/>
        <v>29094.53</v>
      </c>
      <c r="W28" s="71">
        <f t="shared" si="18"/>
        <v>0</v>
      </c>
    </row>
    <row r="29" spans="1:24" x14ac:dyDescent="0.25">
      <c r="A29" s="61">
        <v>45009</v>
      </c>
      <c r="B29" s="75">
        <f>ROUND(Summary!$G$10/31,2)</f>
        <v>72736.33</v>
      </c>
      <c r="C29" s="76">
        <v>14</v>
      </c>
      <c r="D29" s="71">
        <v>14.83</v>
      </c>
      <c r="E29" s="71">
        <f t="shared" si="6"/>
        <v>14</v>
      </c>
      <c r="F29" s="71">
        <f t="shared" si="0"/>
        <v>43641.8</v>
      </c>
      <c r="G29" s="71">
        <f t="shared" si="7"/>
        <v>43641.8</v>
      </c>
      <c r="H29" s="71">
        <f t="shared" si="1"/>
        <v>29094.53</v>
      </c>
      <c r="I29" s="71">
        <f t="shared" si="8"/>
        <v>29094.53</v>
      </c>
      <c r="J29" s="71">
        <v>25</v>
      </c>
      <c r="K29" s="71">
        <f t="shared" si="9"/>
        <v>14547.27</v>
      </c>
      <c r="L29" s="71">
        <f t="shared" si="10"/>
        <v>0</v>
      </c>
      <c r="M29" s="71">
        <v>76</v>
      </c>
      <c r="N29" s="71">
        <f t="shared" si="11"/>
        <v>4364.18</v>
      </c>
      <c r="O29" s="71">
        <f t="shared" si="12"/>
        <v>0</v>
      </c>
      <c r="P29" s="71">
        <v>33</v>
      </c>
      <c r="Q29" s="71">
        <f t="shared" si="13"/>
        <v>7273.63</v>
      </c>
      <c r="R29" s="71">
        <f t="shared" si="14"/>
        <v>0</v>
      </c>
      <c r="S29" s="77">
        <v>900</v>
      </c>
      <c r="T29" s="71">
        <f t="shared" si="15"/>
        <v>2909.45</v>
      </c>
      <c r="U29" s="71">
        <f t="shared" si="16"/>
        <v>0</v>
      </c>
      <c r="V29" s="71">
        <f t="shared" si="17"/>
        <v>29094.53</v>
      </c>
      <c r="W29" s="71">
        <f t="shared" si="18"/>
        <v>0</v>
      </c>
    </row>
    <row r="30" spans="1:24" x14ac:dyDescent="0.25">
      <c r="A30" s="61">
        <v>45010</v>
      </c>
      <c r="B30" s="75">
        <f>ROUND(Summary!$G$10/31,2)</f>
        <v>72736.33</v>
      </c>
      <c r="C30" s="76">
        <v>14</v>
      </c>
      <c r="D30" s="71">
        <v>14.28</v>
      </c>
      <c r="E30" s="71">
        <f t="shared" si="6"/>
        <v>14</v>
      </c>
      <c r="F30" s="71">
        <f t="shared" si="0"/>
        <v>43641.8</v>
      </c>
      <c r="G30" s="71">
        <f t="shared" si="7"/>
        <v>43641.8</v>
      </c>
      <c r="H30" s="71">
        <f t="shared" si="1"/>
        <v>29094.53</v>
      </c>
      <c r="I30" s="71">
        <f t="shared" si="8"/>
        <v>29094.53</v>
      </c>
      <c r="J30" s="71">
        <v>26</v>
      </c>
      <c r="K30" s="71">
        <f t="shared" si="9"/>
        <v>14547.27</v>
      </c>
      <c r="L30" s="71">
        <f t="shared" si="10"/>
        <v>0</v>
      </c>
      <c r="M30" s="71">
        <v>88</v>
      </c>
      <c r="N30" s="71">
        <f t="shared" si="11"/>
        <v>4364.18</v>
      </c>
      <c r="O30" s="71">
        <f t="shared" si="12"/>
        <v>0</v>
      </c>
      <c r="P30" s="71">
        <v>35</v>
      </c>
      <c r="Q30" s="71">
        <f t="shared" si="13"/>
        <v>7273.63</v>
      </c>
      <c r="R30" s="71">
        <f t="shared" si="14"/>
        <v>0</v>
      </c>
      <c r="S30" s="77">
        <v>800</v>
      </c>
      <c r="T30" s="71">
        <f t="shared" si="15"/>
        <v>2909.45</v>
      </c>
      <c r="U30" s="71">
        <f t="shared" si="16"/>
        <v>0</v>
      </c>
      <c r="V30" s="71">
        <f t="shared" si="17"/>
        <v>29094.53</v>
      </c>
      <c r="W30" s="71">
        <f t="shared" si="18"/>
        <v>0</v>
      </c>
    </row>
    <row r="31" spans="1:24" x14ac:dyDescent="0.25">
      <c r="A31" s="61">
        <v>45011</v>
      </c>
      <c r="B31" s="75">
        <f>ROUND(Summary!$G$10/31,2)</f>
        <v>72736.33</v>
      </c>
      <c r="C31" s="76">
        <v>14</v>
      </c>
      <c r="D31" s="71">
        <v>15.18</v>
      </c>
      <c r="E31" s="71">
        <f t="shared" si="6"/>
        <v>14</v>
      </c>
      <c r="F31" s="71">
        <f t="shared" si="0"/>
        <v>43641.8</v>
      </c>
      <c r="G31" s="71">
        <f t="shared" si="7"/>
        <v>43641.8</v>
      </c>
      <c r="H31" s="71">
        <f t="shared" si="1"/>
        <v>29094.53</v>
      </c>
      <c r="I31" s="71">
        <f t="shared" si="8"/>
        <v>29094.53</v>
      </c>
      <c r="J31" s="71">
        <v>23</v>
      </c>
      <c r="K31" s="71">
        <f t="shared" si="9"/>
        <v>14547.27</v>
      </c>
      <c r="L31" s="71">
        <f t="shared" si="10"/>
        <v>0</v>
      </c>
      <c r="M31" s="71">
        <v>80</v>
      </c>
      <c r="N31" s="71">
        <f t="shared" si="11"/>
        <v>4364.18</v>
      </c>
      <c r="O31" s="71">
        <f t="shared" si="12"/>
        <v>0</v>
      </c>
      <c r="P31" s="71">
        <v>38</v>
      </c>
      <c r="Q31" s="71">
        <f t="shared" si="13"/>
        <v>7273.63</v>
      </c>
      <c r="R31" s="71">
        <f t="shared" si="14"/>
        <v>0</v>
      </c>
      <c r="S31" s="77">
        <v>700</v>
      </c>
      <c r="T31" s="71">
        <f t="shared" si="15"/>
        <v>2909.45</v>
      </c>
      <c r="U31" s="71">
        <f t="shared" si="16"/>
        <v>0</v>
      </c>
      <c r="V31" s="71">
        <f t="shared" si="17"/>
        <v>29094.53</v>
      </c>
      <c r="W31" s="71">
        <f t="shared" si="18"/>
        <v>0</v>
      </c>
    </row>
    <row r="32" spans="1:24" s="29" customFormat="1" x14ac:dyDescent="0.25">
      <c r="A32" s="26">
        <v>45012</v>
      </c>
      <c r="B32" s="35">
        <f>ROUND(Summary!$G$10/31,2)</f>
        <v>72736.33</v>
      </c>
      <c r="C32" s="32">
        <v>14</v>
      </c>
      <c r="D32" s="27">
        <v>16.12</v>
      </c>
      <c r="E32" s="71">
        <f t="shared" si="6"/>
        <v>14</v>
      </c>
      <c r="F32" s="27">
        <f t="shared" si="0"/>
        <v>43641.8</v>
      </c>
      <c r="G32" s="71">
        <f t="shared" si="7"/>
        <v>43641.8</v>
      </c>
      <c r="H32" s="27">
        <f t="shared" si="1"/>
        <v>29094.53</v>
      </c>
      <c r="I32" s="71">
        <f t="shared" si="8"/>
        <v>29094.53</v>
      </c>
      <c r="J32" s="27">
        <v>19</v>
      </c>
      <c r="K32" s="71">
        <f t="shared" si="9"/>
        <v>14547.27</v>
      </c>
      <c r="L32" s="71">
        <f t="shared" si="10"/>
        <v>0</v>
      </c>
      <c r="M32" s="27">
        <v>72</v>
      </c>
      <c r="N32" s="71">
        <f t="shared" si="11"/>
        <v>4364.18</v>
      </c>
      <c r="O32" s="71">
        <f t="shared" si="12"/>
        <v>0</v>
      </c>
      <c r="P32" s="27">
        <v>41</v>
      </c>
      <c r="Q32" s="71">
        <f t="shared" si="13"/>
        <v>7273.63</v>
      </c>
      <c r="R32" s="71">
        <f t="shared" si="14"/>
        <v>0</v>
      </c>
      <c r="S32" s="79">
        <v>700</v>
      </c>
      <c r="T32" s="71">
        <f t="shared" si="15"/>
        <v>2909.45</v>
      </c>
      <c r="U32" s="71">
        <f t="shared" si="16"/>
        <v>0</v>
      </c>
      <c r="V32" s="71">
        <f t="shared" si="17"/>
        <v>29094.53</v>
      </c>
      <c r="W32" s="71">
        <f t="shared" si="18"/>
        <v>0</v>
      </c>
      <c r="X32" s="28" t="s">
        <v>94</v>
      </c>
    </row>
    <row r="33" spans="1:24" s="25" customFormat="1" x14ac:dyDescent="0.25">
      <c r="A33" s="23">
        <v>45013</v>
      </c>
      <c r="B33" s="34">
        <f>ROUND(Summary!$G$10/31,2)</f>
        <v>72736.33</v>
      </c>
      <c r="C33" s="30">
        <v>14</v>
      </c>
      <c r="D33" s="11">
        <v>15.1</v>
      </c>
      <c r="E33" s="71">
        <f t="shared" si="6"/>
        <v>14</v>
      </c>
      <c r="F33" s="11">
        <f t="shared" si="0"/>
        <v>43641.8</v>
      </c>
      <c r="G33" s="71">
        <f t="shared" si="7"/>
        <v>43641.8</v>
      </c>
      <c r="H33" s="11">
        <f t="shared" si="1"/>
        <v>29094.53</v>
      </c>
      <c r="I33" s="71">
        <f t="shared" si="8"/>
        <v>29094.53</v>
      </c>
      <c r="J33" s="11">
        <v>12</v>
      </c>
      <c r="K33" s="71">
        <f t="shared" si="9"/>
        <v>14547.27</v>
      </c>
      <c r="L33" s="71">
        <f t="shared" si="10"/>
        <v>0</v>
      </c>
      <c r="M33" s="11">
        <v>64</v>
      </c>
      <c r="N33" s="71">
        <f t="shared" si="11"/>
        <v>4364.18</v>
      </c>
      <c r="O33" s="71">
        <f t="shared" si="12"/>
        <v>0</v>
      </c>
      <c r="P33" s="11">
        <v>14</v>
      </c>
      <c r="Q33" s="71">
        <f t="shared" si="13"/>
        <v>7273.63</v>
      </c>
      <c r="R33" s="71">
        <f t="shared" si="14"/>
        <v>0</v>
      </c>
      <c r="S33" s="78">
        <v>17</v>
      </c>
      <c r="T33" s="71">
        <f t="shared" si="15"/>
        <v>2909.45</v>
      </c>
      <c r="U33" s="71">
        <f t="shared" si="16"/>
        <v>0</v>
      </c>
      <c r="V33" s="71">
        <f t="shared" si="17"/>
        <v>29094.53</v>
      </c>
      <c r="W33" s="71">
        <f t="shared" si="18"/>
        <v>0</v>
      </c>
      <c r="X33" s="24" t="s">
        <v>93</v>
      </c>
    </row>
    <row r="34" spans="1:24" x14ac:dyDescent="0.25">
      <c r="A34" s="61">
        <v>45014</v>
      </c>
      <c r="B34" s="75">
        <f>ROUND(Summary!$G$10/31,2)</f>
        <v>72736.33</v>
      </c>
      <c r="C34" s="76">
        <v>14</v>
      </c>
      <c r="D34" s="71">
        <v>15.23</v>
      </c>
      <c r="E34" s="71">
        <f t="shared" si="6"/>
        <v>14</v>
      </c>
      <c r="F34" s="71">
        <f t="shared" si="0"/>
        <v>43641.8</v>
      </c>
      <c r="G34" s="71">
        <f t="shared" si="7"/>
        <v>43641.8</v>
      </c>
      <c r="H34" s="71">
        <f t="shared" si="1"/>
        <v>29094.53</v>
      </c>
      <c r="I34" s="71">
        <f t="shared" si="8"/>
        <v>29094.53</v>
      </c>
      <c r="J34" s="71">
        <v>20</v>
      </c>
      <c r="K34" s="71">
        <f t="shared" si="9"/>
        <v>14547.27</v>
      </c>
      <c r="L34" s="71">
        <f t="shared" si="10"/>
        <v>0</v>
      </c>
      <c r="M34" s="71">
        <v>76</v>
      </c>
      <c r="N34" s="71">
        <f t="shared" si="11"/>
        <v>4364.18</v>
      </c>
      <c r="O34" s="71">
        <f t="shared" si="12"/>
        <v>0</v>
      </c>
      <c r="P34" s="71">
        <v>36</v>
      </c>
      <c r="Q34" s="71">
        <f t="shared" si="13"/>
        <v>7273.63</v>
      </c>
      <c r="R34" s="71">
        <f t="shared" si="14"/>
        <v>0</v>
      </c>
      <c r="S34" s="77">
        <v>800</v>
      </c>
      <c r="T34" s="71">
        <f t="shared" si="15"/>
        <v>2909.45</v>
      </c>
      <c r="U34" s="71">
        <f t="shared" si="16"/>
        <v>0</v>
      </c>
      <c r="V34" s="71">
        <f t="shared" si="17"/>
        <v>29094.53</v>
      </c>
      <c r="W34" s="71">
        <f t="shared" si="18"/>
        <v>0</v>
      </c>
    </row>
    <row r="35" spans="1:24" x14ac:dyDescent="0.25">
      <c r="A35" s="61">
        <v>45015</v>
      </c>
      <c r="B35" s="75">
        <f>ROUND(Summary!$G$10/31,2)</f>
        <v>72736.33</v>
      </c>
      <c r="C35" s="76">
        <v>14</v>
      </c>
      <c r="D35" s="71">
        <v>15.1</v>
      </c>
      <c r="E35" s="71">
        <f t="shared" si="6"/>
        <v>14</v>
      </c>
      <c r="F35" s="71">
        <f t="shared" ref="F35:F36" si="19">B35*60%</f>
        <v>43641.8</v>
      </c>
      <c r="G35" s="71">
        <f t="shared" si="7"/>
        <v>43641.8</v>
      </c>
      <c r="H35" s="71">
        <f t="shared" ref="H35:H36" si="20">B35*40%</f>
        <v>29094.53</v>
      </c>
      <c r="I35" s="71">
        <f t="shared" si="8"/>
        <v>29094.53</v>
      </c>
      <c r="J35" s="71">
        <v>24</v>
      </c>
      <c r="K35" s="71">
        <f t="shared" si="9"/>
        <v>14547.27</v>
      </c>
      <c r="L35" s="71">
        <f t="shared" si="10"/>
        <v>0</v>
      </c>
      <c r="M35" s="71">
        <v>72</v>
      </c>
      <c r="N35" s="71">
        <f t="shared" si="11"/>
        <v>4364.18</v>
      </c>
      <c r="O35" s="71">
        <f t="shared" si="12"/>
        <v>0</v>
      </c>
      <c r="P35" s="71">
        <v>30</v>
      </c>
      <c r="Q35" s="71">
        <f t="shared" si="13"/>
        <v>7273.63</v>
      </c>
      <c r="R35" s="71">
        <f t="shared" si="14"/>
        <v>0</v>
      </c>
      <c r="S35" s="77">
        <v>400</v>
      </c>
      <c r="T35" s="71">
        <f t="shared" si="15"/>
        <v>2909.45</v>
      </c>
      <c r="U35" s="71">
        <f t="shared" si="16"/>
        <v>0</v>
      </c>
      <c r="V35" s="71">
        <f t="shared" si="17"/>
        <v>29094.53</v>
      </c>
      <c r="W35" s="71">
        <f t="shared" si="18"/>
        <v>0</v>
      </c>
    </row>
    <row r="36" spans="1:24" x14ac:dyDescent="0.25">
      <c r="A36" s="61">
        <v>45016</v>
      </c>
      <c r="B36" s="75">
        <f>ROUND(Summary!$G$10/31,2)</f>
        <v>72736.33</v>
      </c>
      <c r="C36" s="76">
        <v>14</v>
      </c>
      <c r="D36" s="71">
        <v>16.100000000000001</v>
      </c>
      <c r="E36" s="71">
        <f t="shared" si="6"/>
        <v>14</v>
      </c>
      <c r="F36" s="71">
        <f t="shared" si="19"/>
        <v>43641.8</v>
      </c>
      <c r="G36" s="71">
        <f t="shared" si="7"/>
        <v>43641.8</v>
      </c>
      <c r="H36" s="71">
        <f t="shared" si="20"/>
        <v>29094.53</v>
      </c>
      <c r="I36" s="71">
        <f t="shared" si="8"/>
        <v>29094.53</v>
      </c>
      <c r="J36" s="71">
        <v>27</v>
      </c>
      <c r="K36" s="71">
        <f t="shared" si="9"/>
        <v>14547.27</v>
      </c>
      <c r="L36" s="71">
        <f t="shared" si="10"/>
        <v>0</v>
      </c>
      <c r="M36" s="71">
        <v>84</v>
      </c>
      <c r="N36" s="71">
        <f t="shared" si="11"/>
        <v>4364.18</v>
      </c>
      <c r="O36" s="71">
        <f t="shared" si="12"/>
        <v>0</v>
      </c>
      <c r="P36" s="71">
        <v>34</v>
      </c>
      <c r="Q36" s="71">
        <f t="shared" si="13"/>
        <v>7273.63</v>
      </c>
      <c r="R36" s="71">
        <f t="shared" si="14"/>
        <v>0</v>
      </c>
      <c r="S36" s="77">
        <v>800</v>
      </c>
      <c r="T36" s="71">
        <f t="shared" si="15"/>
        <v>2909.45</v>
      </c>
      <c r="U36" s="71">
        <f t="shared" si="16"/>
        <v>0</v>
      </c>
      <c r="V36" s="71">
        <f t="shared" si="17"/>
        <v>29094.53</v>
      </c>
      <c r="W36" s="71">
        <f t="shared" si="18"/>
        <v>0</v>
      </c>
    </row>
    <row r="37" spans="1:24" x14ac:dyDescent="0.25">
      <c r="A37" s="60" t="s">
        <v>27</v>
      </c>
      <c r="B37" s="72">
        <f>SUM(B6:B36)</f>
        <v>2254826.23</v>
      </c>
      <c r="C37" s="71"/>
      <c r="D37" s="72">
        <f>AVERAGE(D6:D36)</f>
        <v>15.22</v>
      </c>
      <c r="E37" s="72"/>
      <c r="F37" s="72">
        <f>SUM(F6:F36)</f>
        <v>1352895.8</v>
      </c>
      <c r="G37" s="72">
        <f>SUM(G6:G36)</f>
        <v>1352895.8</v>
      </c>
      <c r="H37" s="72">
        <f>SUM(H6:H36)</f>
        <v>901930.43</v>
      </c>
      <c r="I37" s="72">
        <f>SUM(I6:I36)</f>
        <v>901930.43</v>
      </c>
      <c r="J37" s="72"/>
      <c r="K37" s="72">
        <f>SUM(K6:K36)</f>
        <v>450965.37</v>
      </c>
      <c r="L37" s="72">
        <f t="shared" ref="L37:U37" si="21">SUM(L6:L36)</f>
        <v>0</v>
      </c>
      <c r="M37" s="72"/>
      <c r="N37" s="72">
        <f t="shared" si="21"/>
        <v>135289.57999999999</v>
      </c>
      <c r="O37" s="72">
        <f t="shared" si="21"/>
        <v>0</v>
      </c>
      <c r="P37" s="72"/>
      <c r="Q37" s="72">
        <f t="shared" si="21"/>
        <v>225482.53</v>
      </c>
      <c r="R37" s="72">
        <f t="shared" si="21"/>
        <v>0</v>
      </c>
      <c r="S37" s="72"/>
      <c r="T37" s="72">
        <f t="shared" si="21"/>
        <v>90192.95</v>
      </c>
      <c r="U37" s="72">
        <f t="shared" si="21"/>
        <v>0</v>
      </c>
      <c r="V37" s="72">
        <f>SUM(V6:V36)</f>
        <v>901930.43</v>
      </c>
      <c r="W37" s="72">
        <f>SUM(W6:W36)</f>
        <v>0</v>
      </c>
    </row>
    <row r="38" spans="1:24" x14ac:dyDescent="0.25">
      <c r="A38" s="60"/>
      <c r="B38" s="72" t="s">
        <v>33</v>
      </c>
      <c r="C38" s="71"/>
      <c r="D38" s="60"/>
      <c r="E38" s="60"/>
      <c r="F38" s="71"/>
      <c r="G38" s="60"/>
      <c r="H38" s="60"/>
      <c r="I38" s="60"/>
      <c r="J38" s="60"/>
      <c r="K38" s="60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72">
        <f>V37+G37</f>
        <v>2254826.23</v>
      </c>
      <c r="W38" s="72"/>
    </row>
    <row r="39" spans="1:24" x14ac:dyDescent="0.25">
      <c r="W39" s="63"/>
    </row>
    <row r="40" spans="1:24" x14ac:dyDescent="0.25">
      <c r="B40" s="62">
        <f>B37*1.05</f>
        <v>2367567.5414999998</v>
      </c>
      <c r="C40" s="62">
        <f t="shared" ref="C40:G40" si="22">C37*1.05</f>
        <v>0</v>
      </c>
      <c r="D40" s="62">
        <f t="shared" si="22"/>
        <v>15.981</v>
      </c>
      <c r="E40" s="62">
        <f t="shared" si="22"/>
        <v>0</v>
      </c>
      <c r="F40" s="62">
        <f t="shared" si="22"/>
        <v>1420540.59</v>
      </c>
      <c r="G40" s="62">
        <f t="shared" si="22"/>
        <v>1420540.59</v>
      </c>
      <c r="H40" s="62">
        <f t="shared" ref="H40:V40" si="23">H37*1.05</f>
        <v>947026.95149999997</v>
      </c>
      <c r="I40" s="62">
        <f t="shared" si="23"/>
        <v>947026.95149999997</v>
      </c>
      <c r="J40" s="62">
        <f t="shared" si="23"/>
        <v>0</v>
      </c>
      <c r="K40" s="62">
        <f t="shared" si="23"/>
        <v>473513.6385</v>
      </c>
      <c r="L40" s="62">
        <f t="shared" si="23"/>
        <v>0</v>
      </c>
      <c r="M40" s="62">
        <f t="shared" si="23"/>
        <v>0</v>
      </c>
      <c r="N40" s="62">
        <f t="shared" si="23"/>
        <v>142054.05900000001</v>
      </c>
      <c r="O40" s="62">
        <f t="shared" si="23"/>
        <v>0</v>
      </c>
      <c r="P40" s="62">
        <f t="shared" si="23"/>
        <v>0</v>
      </c>
      <c r="Q40" s="62">
        <f t="shared" si="23"/>
        <v>236756.65650000001</v>
      </c>
      <c r="R40" s="62">
        <f t="shared" si="23"/>
        <v>0</v>
      </c>
      <c r="S40" s="62">
        <f t="shared" si="23"/>
        <v>0</v>
      </c>
      <c r="T40" s="62">
        <f t="shared" si="23"/>
        <v>94702.597500000003</v>
      </c>
      <c r="U40" s="62">
        <f t="shared" si="23"/>
        <v>0</v>
      </c>
      <c r="V40" s="62">
        <f t="shared" si="23"/>
        <v>947026.95149999997</v>
      </c>
      <c r="W40" s="63"/>
    </row>
    <row r="41" spans="1:24" x14ac:dyDescent="0.25">
      <c r="B41" s="62">
        <f t="shared" ref="B41" si="24">B40*1.05</f>
        <v>2485945.918575</v>
      </c>
      <c r="C41" s="62">
        <f t="shared" ref="C41:C42" si="25">C40*1.05</f>
        <v>0</v>
      </c>
      <c r="D41" s="62">
        <f t="shared" ref="D41:D42" si="26">D40*1.05</f>
        <v>16.780049999999999</v>
      </c>
      <c r="E41" s="62">
        <f t="shared" ref="E41:E42" si="27">E40*1.05</f>
        <v>0</v>
      </c>
      <c r="F41" s="62">
        <f t="shared" ref="F41:F42" si="28">F40*1.05</f>
        <v>1491567.6195</v>
      </c>
      <c r="G41" s="62">
        <f t="shared" ref="G41:G42" si="29">G40*1.05</f>
        <v>1491567.6195</v>
      </c>
      <c r="H41" s="62">
        <f t="shared" ref="H41:H42" si="30">H40*1.05</f>
        <v>994378.29907499999</v>
      </c>
      <c r="I41" s="62">
        <f t="shared" ref="I41:I42" si="31">I40*1.05</f>
        <v>994378.29907499999</v>
      </c>
      <c r="J41" s="62">
        <f t="shared" ref="J41:J42" si="32">J40*1.05</f>
        <v>0</v>
      </c>
      <c r="K41" s="62">
        <f t="shared" ref="K41:K42" si="33">K40*1.05</f>
        <v>497189.32042499998</v>
      </c>
      <c r="L41" s="62">
        <f t="shared" ref="L41:L42" si="34">L40*1.05</f>
        <v>0</v>
      </c>
      <c r="M41" s="62">
        <f t="shared" ref="M41:M42" si="35">M40*1.05</f>
        <v>0</v>
      </c>
      <c r="N41" s="62">
        <f t="shared" ref="N41:N42" si="36">N40*1.05</f>
        <v>149156.76194999999</v>
      </c>
      <c r="O41" s="62">
        <f t="shared" ref="O41:O42" si="37">O40*1.05</f>
        <v>0</v>
      </c>
      <c r="P41" s="62">
        <f t="shared" ref="P41:P42" si="38">P40*1.05</f>
        <v>0</v>
      </c>
      <c r="Q41" s="62">
        <f t="shared" ref="Q41:Q42" si="39">Q40*1.05</f>
        <v>248594.489325</v>
      </c>
      <c r="R41" s="62">
        <f t="shared" ref="R41:R42" si="40">R40*1.05</f>
        <v>0</v>
      </c>
      <c r="S41" s="62">
        <f t="shared" ref="S41:S42" si="41">S40*1.05</f>
        <v>0</v>
      </c>
      <c r="T41" s="62">
        <f t="shared" ref="T41:T42" si="42">T40*1.05</f>
        <v>99437.727375000002</v>
      </c>
      <c r="U41" s="62">
        <f t="shared" ref="U41:U42" si="43">U40*1.05</f>
        <v>0</v>
      </c>
      <c r="V41" s="62">
        <f t="shared" ref="V41:V42" si="44">V40*1.05</f>
        <v>994378.29907499999</v>
      </c>
      <c r="W41" s="63"/>
    </row>
    <row r="42" spans="1:24" x14ac:dyDescent="0.25">
      <c r="B42" s="62">
        <f>B41*1.05</f>
        <v>2610243.2145037502</v>
      </c>
      <c r="C42" s="62">
        <f t="shared" si="25"/>
        <v>0</v>
      </c>
      <c r="D42" s="62">
        <f t="shared" si="26"/>
        <v>17.619052499999999</v>
      </c>
      <c r="E42" s="62">
        <f t="shared" si="27"/>
        <v>0</v>
      </c>
      <c r="F42" s="62">
        <f t="shared" si="28"/>
        <v>1566146.0004749999</v>
      </c>
      <c r="G42" s="62">
        <f t="shared" si="29"/>
        <v>1566146.0004749999</v>
      </c>
      <c r="H42" s="62">
        <f t="shared" si="30"/>
        <v>1044097.21402875</v>
      </c>
      <c r="I42" s="62">
        <f t="shared" si="31"/>
        <v>1044097.21402875</v>
      </c>
      <c r="J42" s="62">
        <f t="shared" si="32"/>
        <v>0</v>
      </c>
      <c r="K42" s="62">
        <f t="shared" si="33"/>
        <v>522048.78644624999</v>
      </c>
      <c r="L42" s="62">
        <f t="shared" si="34"/>
        <v>0</v>
      </c>
      <c r="M42" s="62">
        <f t="shared" si="35"/>
        <v>0</v>
      </c>
      <c r="N42" s="62">
        <f t="shared" si="36"/>
        <v>156614.60004749999</v>
      </c>
      <c r="O42" s="62">
        <f t="shared" si="37"/>
        <v>0</v>
      </c>
      <c r="P42" s="62">
        <f t="shared" si="38"/>
        <v>0</v>
      </c>
      <c r="Q42" s="62">
        <f t="shared" si="39"/>
        <v>261024.21379124999</v>
      </c>
      <c r="R42" s="62">
        <f t="shared" si="40"/>
        <v>0</v>
      </c>
      <c r="S42" s="62">
        <f t="shared" si="41"/>
        <v>0</v>
      </c>
      <c r="T42" s="62">
        <f t="shared" si="42"/>
        <v>104409.61374375</v>
      </c>
      <c r="U42" s="62">
        <f t="shared" si="43"/>
        <v>0</v>
      </c>
      <c r="V42" s="62">
        <f t="shared" si="44"/>
        <v>1044097.21402875</v>
      </c>
    </row>
    <row r="43" spans="1:24" x14ac:dyDescent="0.25">
      <c r="V43" s="62">
        <f>V38*1.05</f>
        <v>2367567.5414999998</v>
      </c>
    </row>
    <row r="44" spans="1:24" x14ac:dyDescent="0.25">
      <c r="V44" s="62">
        <f>V43*1.05</f>
        <v>2485945.918575</v>
      </c>
    </row>
    <row r="45" spans="1:24" x14ac:dyDescent="0.25">
      <c r="V45" s="62">
        <f>V44*1.05</f>
        <v>2610243.2145037502</v>
      </c>
    </row>
  </sheetData>
  <mergeCells count="19">
    <mergeCell ref="S4:U4"/>
    <mergeCell ref="V4:V5"/>
    <mergeCell ref="W4:W5"/>
    <mergeCell ref="A1:W1"/>
    <mergeCell ref="G4:G5"/>
    <mergeCell ref="H4:H5"/>
    <mergeCell ref="I4:I5"/>
    <mergeCell ref="J4:L4"/>
    <mergeCell ref="M4:O4"/>
    <mergeCell ref="P4:R4"/>
    <mergeCell ref="C3:D3"/>
    <mergeCell ref="F3:G3"/>
    <mergeCell ref="H3:W3"/>
    <mergeCell ref="A4:A5"/>
    <mergeCell ref="B4:B5"/>
    <mergeCell ref="C4:C5"/>
    <mergeCell ref="D4:D5"/>
    <mergeCell ref="E4:E5"/>
    <mergeCell ref="F4:F5"/>
  </mergeCells>
  <conditionalFormatting sqref="E6:E36">
    <cfRule type="cellIs" dxfId="0" priority="5" operator="greaterThan">
      <formula>15</formula>
    </cfRule>
  </conditionalFormatting>
  <pageMargins left="0.25" right="0.25" top="0.75" bottom="0.75" header="0.3" footer="0.3"/>
  <pageSetup paperSize="9"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E21E2-DECA-432C-9E98-3A9EF1553BC0}">
  <dimension ref="B5:G14"/>
  <sheetViews>
    <sheetView zoomScale="130" zoomScaleNormal="130" workbookViewId="0">
      <selection activeCell="G8" sqref="G8"/>
    </sheetView>
  </sheetViews>
  <sheetFormatPr defaultRowHeight="15" x14ac:dyDescent="0.25"/>
  <cols>
    <col min="3" max="3" width="31.85546875" customWidth="1"/>
    <col min="4" max="4" width="14.7109375" customWidth="1"/>
    <col min="5" max="5" width="14.140625" customWidth="1"/>
    <col min="6" max="6" width="14.7109375" customWidth="1"/>
    <col min="7" max="7" width="16.28515625" bestFit="1" customWidth="1"/>
  </cols>
  <sheetData>
    <row r="5" spans="2:7" ht="15.75" thickBot="1" x14ac:dyDescent="0.3"/>
    <row r="6" spans="2:7" ht="44.25" customHeight="1" x14ac:dyDescent="0.25">
      <c r="B6" s="135" t="s">
        <v>83</v>
      </c>
      <c r="C6" s="135" t="s">
        <v>84</v>
      </c>
      <c r="D6" s="45" t="s">
        <v>102</v>
      </c>
      <c r="E6" s="127" t="s">
        <v>104</v>
      </c>
      <c r="F6" s="127" t="s">
        <v>105</v>
      </c>
    </row>
    <row r="7" spans="2:7" ht="29.25" thickBot="1" x14ac:dyDescent="0.3">
      <c r="B7" s="136"/>
      <c r="C7" s="136"/>
      <c r="D7" s="46" t="s">
        <v>103</v>
      </c>
      <c r="E7" s="128"/>
      <c r="F7" s="128"/>
    </row>
    <row r="8" spans="2:7" ht="38.25" thickBot="1" x14ac:dyDescent="0.3">
      <c r="B8" s="47">
        <v>1</v>
      </c>
      <c r="C8" s="48" t="s">
        <v>85</v>
      </c>
      <c r="D8" s="52">
        <f>+[1]Summary!$K$24</f>
        <v>3743569.89</v>
      </c>
      <c r="E8" s="51">
        <f>Summary!K24</f>
        <v>78241433.459999993</v>
      </c>
      <c r="F8" s="54">
        <f>[2]Summary!$K$24</f>
        <v>74705919.709999993</v>
      </c>
      <c r="G8" s="57">
        <f>SUM(D8:F8)</f>
        <v>156690923.06</v>
      </c>
    </row>
    <row r="9" spans="2:7" ht="19.5" thickBot="1" x14ac:dyDescent="0.3">
      <c r="B9" s="47">
        <v>2</v>
      </c>
      <c r="C9" s="48" t="s">
        <v>106</v>
      </c>
      <c r="D9" s="52">
        <f>D8*0.18</f>
        <v>673842.58</v>
      </c>
      <c r="E9" s="52">
        <f>E8*0.18</f>
        <v>14083458.02</v>
      </c>
      <c r="F9" s="55">
        <f>F8*0.18</f>
        <v>13447065.550000001</v>
      </c>
      <c r="G9" s="57">
        <f t="shared" ref="G9:G11" si="0">SUM(D9:F9)</f>
        <v>28204366.149999999</v>
      </c>
    </row>
    <row r="10" spans="2:7" ht="32.25" thickBot="1" x14ac:dyDescent="0.3">
      <c r="B10" s="47">
        <v>3</v>
      </c>
      <c r="C10" s="48" t="s">
        <v>86</v>
      </c>
      <c r="D10" s="52">
        <v>0</v>
      </c>
      <c r="E10" s="51">
        <f>Summary!K27</f>
        <v>205596</v>
      </c>
      <c r="F10" s="54">
        <f>[2]Summary!$K$27</f>
        <v>315840</v>
      </c>
      <c r="G10" s="57">
        <f t="shared" si="0"/>
        <v>521436</v>
      </c>
    </row>
    <row r="11" spans="2:7" ht="38.25" thickBot="1" x14ac:dyDescent="0.3">
      <c r="B11" s="47">
        <v>4</v>
      </c>
      <c r="C11" s="49" t="s">
        <v>107</v>
      </c>
      <c r="D11" s="52">
        <f>+D8*0.1</f>
        <v>374356.99</v>
      </c>
      <c r="E11" s="52">
        <f>+E8*0.1</f>
        <v>7824143.3499999996</v>
      </c>
      <c r="F11" s="55">
        <f>+F8*0.1</f>
        <v>7470591.9699999997</v>
      </c>
      <c r="G11" s="57">
        <f t="shared" si="0"/>
        <v>15669092.310000001</v>
      </c>
    </row>
    <row r="12" spans="2:7" ht="19.5" thickBot="1" x14ac:dyDescent="0.3">
      <c r="B12" s="47">
        <v>5</v>
      </c>
      <c r="C12" s="50" t="s">
        <v>87</v>
      </c>
      <c r="D12" s="53">
        <v>26620941.41</v>
      </c>
      <c r="E12" s="53">
        <f>SUM(E8:E11)</f>
        <v>100354630.83</v>
      </c>
      <c r="F12" s="56">
        <f>SUM(F8:F11)</f>
        <v>95939417.230000004</v>
      </c>
      <c r="G12" s="58">
        <f>SUM(D12:F12)</f>
        <v>222914989.47</v>
      </c>
    </row>
    <row r="13" spans="2:7" ht="38.25" thickBot="1" x14ac:dyDescent="0.3">
      <c r="B13" s="47">
        <v>6</v>
      </c>
      <c r="C13" s="48" t="s">
        <v>88</v>
      </c>
      <c r="D13" s="129">
        <f>D12+E12+F12</f>
        <v>222914989.47</v>
      </c>
      <c r="E13" s="130"/>
      <c r="F13" s="131"/>
    </row>
    <row r="14" spans="2:7" ht="75.75" thickBot="1" x14ac:dyDescent="0.3">
      <c r="B14" s="47">
        <v>7</v>
      </c>
      <c r="C14" s="48" t="s">
        <v>89</v>
      </c>
      <c r="D14" s="132">
        <v>13122559.35</v>
      </c>
      <c r="E14" s="133"/>
      <c r="F14" s="134"/>
    </row>
  </sheetData>
  <mergeCells count="6">
    <mergeCell ref="F6:F7"/>
    <mergeCell ref="D13:F13"/>
    <mergeCell ref="D14:F14"/>
    <mergeCell ref="B6:B7"/>
    <mergeCell ref="C6:C7"/>
    <mergeCell ref="E6:E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Summary</vt:lpstr>
      <vt:lpstr>345 MLD</vt:lpstr>
      <vt:lpstr>42 MLd</vt:lpstr>
      <vt:lpstr>14 MLD</vt:lpstr>
      <vt:lpstr>Sheet1</vt:lpstr>
      <vt:lpstr>Sheet1!_Hlk111731114</vt:lpstr>
      <vt:lpstr>'14 MLD'!Print_Area</vt:lpstr>
      <vt:lpstr>'345 MLD'!Print_Area</vt:lpstr>
      <vt:lpstr>'42 MLd'!Print_Area</vt:lpstr>
      <vt:lpstr>Summary!Print_Area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Jalnigam</cp:lastModifiedBy>
  <cp:lastPrinted>2023-05-09T10:58:57Z</cp:lastPrinted>
  <dcterms:created xsi:type="dcterms:W3CDTF">2020-05-29T08:02:13Z</dcterms:created>
  <dcterms:modified xsi:type="dcterms:W3CDTF">2023-05-15T10:32:29Z</dcterms:modified>
</cp:coreProperties>
</file>