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COP\upcoming meeting\apr 23\"/>
    </mc:Choice>
  </mc:AlternateContent>
  <xr:revisionPtr revIDLastSave="0" documentId="13_ncr:1_{F42FEA45-005D-4281-BECB-5085B487026B}" xr6:coauthVersionLast="47" xr6:coauthVersionMax="47" xr10:uidLastSave="{00000000-0000-0000-0000-000000000000}"/>
  <bookViews>
    <workbookView xWindow="-120" yWindow="-120" windowWidth="20730" windowHeight="11160" tabRatio="895" firstSheet="2" activeTab="10" xr2:uid="{00000000-000D-0000-FFFF-FFFF00000000}"/>
  </bookViews>
  <sheets>
    <sheet name="Summary" sheetId="1" r:id="rId1"/>
    <sheet name="74 MLDIndirapuram" sheetId="12" r:id="rId2"/>
    <sheet name="56 Indirapuram" sheetId="15" r:id="rId3"/>
    <sheet name="70 MLD Dudahera" sheetId="16" r:id="rId4"/>
    <sheet name="56 MLd Dudahaida" sheetId="14" r:id="rId5"/>
    <sheet name="3 MLD Pilkhuwa" sheetId="10" r:id="rId6"/>
    <sheet name="30 MLD LONI" sheetId="11" r:id="rId7"/>
    <sheet name=".81 MLD" sheetId="13" r:id="rId8"/>
    <sheet name="1.76 MLD" sheetId="17" r:id="rId9"/>
    <sheet name="24 MLD Bijnore" sheetId="22" r:id="rId10"/>
    <sheet name="72 MLD MEERUT" sheetId="26" r:id="rId11"/>
    <sheet name="32.5 MLD " sheetId="28" r:id="rId12"/>
    <sheet name="38 MLD" sheetId="27" r:id="rId13"/>
    <sheet name="15 MLD RAMPUR" sheetId="23" r:id="rId14"/>
    <sheet name="5 MLD RAMPUR" sheetId="24" r:id="rId15"/>
    <sheet name="14 MLD RAMPUR" sheetId="25" r:id="rId16"/>
    <sheet name="Sheet1" sheetId="29" r:id="rId17"/>
  </sheets>
  <definedNames>
    <definedName name="_xlnm.Print_Area" localSheetId="7">'.81 MLD'!$A$1:$X$35</definedName>
    <definedName name="_xlnm.Print_Area" localSheetId="8">'1.76 MLD'!$A$1:$X$35</definedName>
    <definedName name="_xlnm.Print_Area" localSheetId="15">'14 MLD RAMPUR'!$A$1:$X$38</definedName>
    <definedName name="_xlnm.Print_Area" localSheetId="13">'15 MLD RAMPUR'!$A$1:$X$38</definedName>
    <definedName name="_xlnm.Print_Area" localSheetId="9">'24 MLD Bijnore'!$A$1:$X$35</definedName>
    <definedName name="_xlnm.Print_Area" localSheetId="5">'3 MLD Pilkhuwa'!$A$1:$X$35</definedName>
    <definedName name="_xlnm.Print_Area" localSheetId="6">'30 MLD LONI'!$A$1:$X$35</definedName>
    <definedName name="_xlnm.Print_Area" localSheetId="11">'32.5 MLD '!$A$1:$X$35</definedName>
    <definedName name="_xlnm.Print_Area" localSheetId="12">'38 MLD'!$A$1:$X$35</definedName>
    <definedName name="_xlnm.Print_Area" localSheetId="14">'5 MLD RAMPUR'!$A$1:$X$38</definedName>
    <definedName name="_xlnm.Print_Area" localSheetId="2">'56 Indirapuram'!$A$1:$X$35</definedName>
    <definedName name="_xlnm.Print_Area" localSheetId="4">'56 MLd Dudahaida'!$A$1:$X$35</definedName>
    <definedName name="_xlnm.Print_Area" localSheetId="3">'70 MLD Dudahera'!$A$1:$X$35</definedName>
    <definedName name="_xlnm.Print_Area" localSheetId="10">'72 MLD MEERUT'!$A$1:$X$35</definedName>
    <definedName name="_xlnm.Print_Area" localSheetId="1">'74 MLDIndirapuram'!$A$1:$X$35</definedName>
    <definedName name="_xlnm.Print_Area" localSheetId="0">Summary!$A$1:$K$39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6" l="1"/>
  <c r="L6" i="26"/>
  <c r="V34" i="27"/>
  <c r="V7" i="27"/>
  <c r="W7" i="27"/>
  <c r="V8" i="27"/>
  <c r="W8" i="27"/>
  <c r="V9" i="27"/>
  <c r="W9" i="27"/>
  <c r="V10" i="27"/>
  <c r="W10" i="27"/>
  <c r="V11" i="27"/>
  <c r="W11" i="27"/>
  <c r="V12" i="27"/>
  <c r="W12" i="27"/>
  <c r="V13" i="27"/>
  <c r="W13" i="27"/>
  <c r="V14" i="27"/>
  <c r="W14" i="27"/>
  <c r="V15" i="27"/>
  <c r="W15" i="27"/>
  <c r="V16" i="27"/>
  <c r="W16" i="27"/>
  <c r="V17" i="27"/>
  <c r="W17" i="27"/>
  <c r="V18" i="27"/>
  <c r="W18" i="27"/>
  <c r="V19" i="27"/>
  <c r="W19" i="27"/>
  <c r="V20" i="27"/>
  <c r="W20" i="27"/>
  <c r="V21" i="27"/>
  <c r="W21" i="27"/>
  <c r="V22" i="27"/>
  <c r="W22" i="27"/>
  <c r="V23" i="27"/>
  <c r="W23" i="27"/>
  <c r="V24" i="27"/>
  <c r="W24" i="27"/>
  <c r="V25" i="27"/>
  <c r="W25" i="27"/>
  <c r="V26" i="27"/>
  <c r="W26" i="27"/>
  <c r="V27" i="27"/>
  <c r="W27" i="27"/>
  <c r="V28" i="27"/>
  <c r="W28" i="27"/>
  <c r="V29" i="27"/>
  <c r="W29" i="27"/>
  <c r="V30" i="27"/>
  <c r="W30" i="27"/>
  <c r="V31" i="27"/>
  <c r="W31" i="27"/>
  <c r="V32" i="27"/>
  <c r="W32" i="27"/>
  <c r="V33" i="27"/>
  <c r="W33" i="27"/>
  <c r="W6" i="27"/>
  <c r="V6" i="27"/>
  <c r="T7" i="27"/>
  <c r="U7" i="27"/>
  <c r="T8" i="27"/>
  <c r="U8" i="27"/>
  <c r="T9" i="27"/>
  <c r="U9" i="27"/>
  <c r="T10" i="27"/>
  <c r="U10" i="27"/>
  <c r="T11" i="27"/>
  <c r="U11" i="27"/>
  <c r="T12" i="27"/>
  <c r="U12" i="27"/>
  <c r="T13" i="27"/>
  <c r="U13" i="27"/>
  <c r="T14" i="27"/>
  <c r="U14" i="27"/>
  <c r="T15" i="27"/>
  <c r="U15" i="27"/>
  <c r="T16" i="27"/>
  <c r="U16" i="27"/>
  <c r="T17" i="27"/>
  <c r="U17" i="27"/>
  <c r="T18" i="27"/>
  <c r="U18" i="27"/>
  <c r="T19" i="27"/>
  <c r="U19" i="27"/>
  <c r="T20" i="27"/>
  <c r="U20" i="27"/>
  <c r="T21" i="27"/>
  <c r="U21" i="27"/>
  <c r="T22" i="27"/>
  <c r="U22" i="27"/>
  <c r="T23" i="27"/>
  <c r="U23" i="27"/>
  <c r="T24" i="27"/>
  <c r="U24" i="27"/>
  <c r="T25" i="27"/>
  <c r="U25" i="27"/>
  <c r="T26" i="27"/>
  <c r="U26" i="27"/>
  <c r="T27" i="27"/>
  <c r="U27" i="27"/>
  <c r="T28" i="27"/>
  <c r="U28" i="27"/>
  <c r="T29" i="27"/>
  <c r="U29" i="27"/>
  <c r="T30" i="27"/>
  <c r="U30" i="27"/>
  <c r="T31" i="27"/>
  <c r="U31" i="27"/>
  <c r="T32" i="27"/>
  <c r="U32" i="27"/>
  <c r="T33" i="27"/>
  <c r="U33" i="27"/>
  <c r="Q7" i="27"/>
  <c r="R7" i="27"/>
  <c r="Q8" i="27"/>
  <c r="R8" i="27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23" i="27"/>
  <c r="R23" i="27"/>
  <c r="Q24" i="27"/>
  <c r="R24" i="27"/>
  <c r="Q25" i="27"/>
  <c r="R25" i="27"/>
  <c r="Q26" i="27"/>
  <c r="R26" i="27"/>
  <c r="Q27" i="27"/>
  <c r="R27" i="27"/>
  <c r="Q28" i="27"/>
  <c r="R28" i="27"/>
  <c r="Q29" i="27"/>
  <c r="R29" i="27"/>
  <c r="Q30" i="27"/>
  <c r="R30" i="27"/>
  <c r="Q31" i="27"/>
  <c r="R31" i="27"/>
  <c r="Q32" i="27"/>
  <c r="R32" i="27"/>
  <c r="Q33" i="27"/>
  <c r="R33" i="27"/>
  <c r="N7" i="27"/>
  <c r="O7" i="27"/>
  <c r="N8" i="27"/>
  <c r="O8" i="27"/>
  <c r="N9" i="27"/>
  <c r="O9" i="27"/>
  <c r="N10" i="27"/>
  <c r="O10" i="27"/>
  <c r="N11" i="27"/>
  <c r="O11" i="27"/>
  <c r="N12" i="27"/>
  <c r="O12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K7" i="27"/>
  <c r="L7" i="27"/>
  <c r="K8" i="27"/>
  <c r="L8" i="27"/>
  <c r="K9" i="27"/>
  <c r="L9" i="27"/>
  <c r="K10" i="27"/>
  <c r="L10" i="27"/>
  <c r="K11" i="27"/>
  <c r="L11" i="27"/>
  <c r="K12" i="27"/>
  <c r="L12" i="27"/>
  <c r="K13" i="27"/>
  <c r="L13" i="27"/>
  <c r="K14" i="27"/>
  <c r="L14" i="27"/>
  <c r="K15" i="27"/>
  <c r="L15" i="27"/>
  <c r="K16" i="27"/>
  <c r="L16" i="27"/>
  <c r="K17" i="27"/>
  <c r="L17" i="27"/>
  <c r="K18" i="27"/>
  <c r="L18" i="27"/>
  <c r="K19" i="27"/>
  <c r="L19" i="27"/>
  <c r="K20" i="27"/>
  <c r="L20" i="27"/>
  <c r="K21" i="27"/>
  <c r="L21" i="27"/>
  <c r="K22" i="27"/>
  <c r="L22" i="27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V7" i="28"/>
  <c r="W7" i="28"/>
  <c r="V8" i="28"/>
  <c r="W8" i="28"/>
  <c r="V9" i="28"/>
  <c r="W9" i="28"/>
  <c r="V10" i="28"/>
  <c r="W10" i="28"/>
  <c r="V11" i="28"/>
  <c r="W11" i="28"/>
  <c r="V12" i="28"/>
  <c r="W12" i="28"/>
  <c r="V13" i="28"/>
  <c r="W13" i="28"/>
  <c r="V14" i="28"/>
  <c r="W14" i="28"/>
  <c r="V15" i="28"/>
  <c r="W15" i="28"/>
  <c r="V16" i="28"/>
  <c r="W16" i="28"/>
  <c r="V17" i="28"/>
  <c r="W17" i="28"/>
  <c r="V18" i="28"/>
  <c r="W18" i="28"/>
  <c r="V19" i="28"/>
  <c r="W19" i="28"/>
  <c r="V20" i="28"/>
  <c r="W20" i="28"/>
  <c r="V21" i="28"/>
  <c r="W21" i="28"/>
  <c r="V22" i="28"/>
  <c r="W22" i="28"/>
  <c r="V23" i="28"/>
  <c r="W23" i="28"/>
  <c r="V24" i="28"/>
  <c r="W24" i="28"/>
  <c r="V25" i="28"/>
  <c r="W25" i="28"/>
  <c r="V26" i="28"/>
  <c r="W26" i="28"/>
  <c r="V27" i="28"/>
  <c r="W27" i="28"/>
  <c r="V28" i="28"/>
  <c r="W28" i="28"/>
  <c r="V29" i="28"/>
  <c r="W29" i="28"/>
  <c r="V30" i="28"/>
  <c r="W30" i="28"/>
  <c r="V31" i="28"/>
  <c r="W31" i="28"/>
  <c r="V32" i="28"/>
  <c r="W32" i="28"/>
  <c r="V33" i="28"/>
  <c r="W33" i="28"/>
  <c r="W6" i="28"/>
  <c r="V6" i="28"/>
  <c r="Q7" i="28"/>
  <c r="R7" i="28"/>
  <c r="Q8" i="28"/>
  <c r="R8" i="28"/>
  <c r="Q9" i="28"/>
  <c r="R9" i="28"/>
  <c r="Q10" i="28"/>
  <c r="R10" i="28"/>
  <c r="Q11" i="28"/>
  <c r="R11" i="28"/>
  <c r="Q12" i="28"/>
  <c r="R12" i="28"/>
  <c r="Q13" i="28"/>
  <c r="R13" i="28"/>
  <c r="Q14" i="28"/>
  <c r="R14" i="28"/>
  <c r="Q15" i="28"/>
  <c r="R15" i="28"/>
  <c r="Q16" i="28"/>
  <c r="R16" i="28"/>
  <c r="Q17" i="28"/>
  <c r="R17" i="28"/>
  <c r="Q18" i="28"/>
  <c r="R18" i="28"/>
  <c r="Q19" i="28"/>
  <c r="R19" i="28"/>
  <c r="Q20" i="28"/>
  <c r="R20" i="28"/>
  <c r="Q21" i="28"/>
  <c r="R21" i="28"/>
  <c r="Q22" i="28"/>
  <c r="R22" i="28"/>
  <c r="Q23" i="28"/>
  <c r="R23" i="28"/>
  <c r="Q24" i="28"/>
  <c r="R24" i="28"/>
  <c r="Q25" i="28"/>
  <c r="R25" i="28"/>
  <c r="Q26" i="28"/>
  <c r="R26" i="28"/>
  <c r="Q27" i="28"/>
  <c r="R27" i="28"/>
  <c r="Q28" i="28"/>
  <c r="R28" i="28"/>
  <c r="Q29" i="28"/>
  <c r="R29" i="28"/>
  <c r="Q30" i="28"/>
  <c r="R30" i="28"/>
  <c r="Q31" i="28"/>
  <c r="R31" i="28"/>
  <c r="Q32" i="28"/>
  <c r="R32" i="28"/>
  <c r="Q33" i="28"/>
  <c r="R33" i="28"/>
  <c r="N7" i="28"/>
  <c r="O7" i="28"/>
  <c r="O8" i="28"/>
  <c r="N9" i="28"/>
  <c r="O9" i="28"/>
  <c r="N10" i="28"/>
  <c r="O10" i="28"/>
  <c r="N11" i="28"/>
  <c r="O11" i="28"/>
  <c r="N12" i="28"/>
  <c r="O12" i="28"/>
  <c r="N13" i="28"/>
  <c r="O13" i="28"/>
  <c r="N14" i="28"/>
  <c r="O14" i="28"/>
  <c r="N15" i="28"/>
  <c r="O15" i="28"/>
  <c r="N16" i="28"/>
  <c r="O16" i="28"/>
  <c r="N17" i="28"/>
  <c r="O17" i="28"/>
  <c r="N18" i="28"/>
  <c r="O18" i="28"/>
  <c r="O19" i="28"/>
  <c r="O26" i="28"/>
  <c r="O33" i="28"/>
  <c r="K7" i="28"/>
  <c r="L7" i="28"/>
  <c r="K8" i="28"/>
  <c r="L8" i="28"/>
  <c r="K9" i="28"/>
  <c r="L9" i="28"/>
  <c r="K10" i="28"/>
  <c r="L10" i="28"/>
  <c r="K11" i="28"/>
  <c r="L11" i="28"/>
  <c r="K12" i="28"/>
  <c r="L12" i="28"/>
  <c r="K13" i="28"/>
  <c r="L13" i="28"/>
  <c r="K14" i="28"/>
  <c r="L14" i="28"/>
  <c r="K15" i="28"/>
  <c r="L15" i="28"/>
  <c r="K16" i="28"/>
  <c r="L16" i="28"/>
  <c r="K17" i="28"/>
  <c r="L17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K31" i="28"/>
  <c r="L31" i="28"/>
  <c r="K32" i="28"/>
  <c r="L32" i="28"/>
  <c r="K33" i="28"/>
  <c r="L33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V7" i="26"/>
  <c r="W7" i="26"/>
  <c r="V8" i="26"/>
  <c r="W8" i="26"/>
  <c r="V9" i="26"/>
  <c r="W9" i="26"/>
  <c r="V10" i="26"/>
  <c r="W10" i="26"/>
  <c r="V11" i="26"/>
  <c r="W11" i="26"/>
  <c r="V12" i="26"/>
  <c r="W12" i="26"/>
  <c r="V13" i="26"/>
  <c r="W13" i="26"/>
  <c r="V14" i="26"/>
  <c r="W14" i="26"/>
  <c r="V15" i="26"/>
  <c r="W15" i="26"/>
  <c r="V16" i="26"/>
  <c r="W16" i="26"/>
  <c r="V17" i="26"/>
  <c r="W17" i="26"/>
  <c r="V18" i="26"/>
  <c r="W18" i="26"/>
  <c r="V19" i="26"/>
  <c r="W19" i="26"/>
  <c r="V20" i="26"/>
  <c r="W20" i="26"/>
  <c r="V21" i="26"/>
  <c r="W21" i="26"/>
  <c r="V22" i="26"/>
  <c r="W22" i="26"/>
  <c r="V23" i="26"/>
  <c r="W23" i="26"/>
  <c r="V24" i="26"/>
  <c r="W24" i="26"/>
  <c r="V25" i="26"/>
  <c r="W25" i="26"/>
  <c r="V26" i="26"/>
  <c r="W26" i="26"/>
  <c r="V27" i="26"/>
  <c r="W27" i="26"/>
  <c r="V28" i="26"/>
  <c r="W28" i="26"/>
  <c r="V29" i="26"/>
  <c r="W29" i="26"/>
  <c r="V30" i="26"/>
  <c r="W30" i="26"/>
  <c r="V31" i="26"/>
  <c r="W31" i="26"/>
  <c r="V32" i="26"/>
  <c r="W32" i="26"/>
  <c r="V33" i="26"/>
  <c r="W33" i="26"/>
  <c r="W6" i="26"/>
  <c r="V6" i="26"/>
  <c r="T7" i="26"/>
  <c r="U7" i="26"/>
  <c r="T8" i="26"/>
  <c r="U8" i="26"/>
  <c r="T9" i="26"/>
  <c r="U9" i="26"/>
  <c r="T10" i="26"/>
  <c r="U10" i="26"/>
  <c r="T11" i="26"/>
  <c r="U11" i="26"/>
  <c r="T12" i="26"/>
  <c r="U12" i="26"/>
  <c r="T13" i="26"/>
  <c r="U13" i="26"/>
  <c r="U14" i="26"/>
  <c r="T15" i="26"/>
  <c r="U15" i="26"/>
  <c r="T16" i="26"/>
  <c r="U16" i="26"/>
  <c r="T17" i="26"/>
  <c r="U17" i="26"/>
  <c r="T18" i="26"/>
  <c r="U18" i="26"/>
  <c r="T19" i="26"/>
  <c r="U19" i="26"/>
  <c r="T20" i="26"/>
  <c r="U20" i="26"/>
  <c r="T21" i="26"/>
  <c r="U21" i="26"/>
  <c r="T22" i="26"/>
  <c r="U22" i="26"/>
  <c r="T23" i="26"/>
  <c r="U23" i="26"/>
  <c r="T24" i="26"/>
  <c r="U24" i="26"/>
  <c r="T25" i="26"/>
  <c r="U25" i="26"/>
  <c r="U26" i="26"/>
  <c r="T27" i="26"/>
  <c r="U27" i="26"/>
  <c r="T28" i="26"/>
  <c r="U28" i="26"/>
  <c r="T29" i="26"/>
  <c r="U29" i="26"/>
  <c r="T30" i="26"/>
  <c r="U30" i="26"/>
  <c r="T31" i="26"/>
  <c r="U31" i="26"/>
  <c r="T32" i="26"/>
  <c r="U32" i="26"/>
  <c r="T33" i="26"/>
  <c r="U33" i="26"/>
  <c r="Q7" i="26"/>
  <c r="R7" i="26"/>
  <c r="Q8" i="26"/>
  <c r="R8" i="26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R19" i="26"/>
  <c r="Q20" i="26"/>
  <c r="R20" i="26"/>
  <c r="Q21" i="26"/>
  <c r="R21" i="26"/>
  <c r="Q22" i="26"/>
  <c r="R22" i="26"/>
  <c r="Q23" i="26"/>
  <c r="R23" i="26"/>
  <c r="Q24" i="26"/>
  <c r="R24" i="26"/>
  <c r="Q25" i="26"/>
  <c r="R25" i="26"/>
  <c r="Q26" i="26"/>
  <c r="R26" i="26"/>
  <c r="Q27" i="26"/>
  <c r="R27" i="26"/>
  <c r="Q28" i="26"/>
  <c r="R28" i="26"/>
  <c r="Q29" i="26"/>
  <c r="R29" i="26"/>
  <c r="Q30" i="26"/>
  <c r="R30" i="26"/>
  <c r="Q31" i="26"/>
  <c r="R31" i="26"/>
  <c r="Q32" i="26"/>
  <c r="R32" i="26"/>
  <c r="Q33" i="26"/>
  <c r="R33" i="26"/>
  <c r="N7" i="26"/>
  <c r="O7" i="26"/>
  <c r="N8" i="26"/>
  <c r="O8" i="26"/>
  <c r="N9" i="26"/>
  <c r="O9" i="26"/>
  <c r="N10" i="26"/>
  <c r="O10" i="26"/>
  <c r="N11" i="26"/>
  <c r="O11" i="26"/>
  <c r="N12" i="26"/>
  <c r="O12" i="26"/>
  <c r="N13" i="26"/>
  <c r="O13" i="26"/>
  <c r="N14" i="26"/>
  <c r="O14" i="26"/>
  <c r="N15" i="26"/>
  <c r="O15" i="26"/>
  <c r="N16" i="26"/>
  <c r="O16" i="26"/>
  <c r="N17" i="26"/>
  <c r="O17" i="26"/>
  <c r="N18" i="26"/>
  <c r="O18" i="26"/>
  <c r="N19" i="26"/>
  <c r="O19" i="26"/>
  <c r="N20" i="26"/>
  <c r="O20" i="26"/>
  <c r="N21" i="26"/>
  <c r="O21" i="26"/>
  <c r="N22" i="26"/>
  <c r="O22" i="26"/>
  <c r="N23" i="26"/>
  <c r="O23" i="26"/>
  <c r="N24" i="26"/>
  <c r="O24" i="26"/>
  <c r="N25" i="26"/>
  <c r="O25" i="26"/>
  <c r="N26" i="26"/>
  <c r="O26" i="26"/>
  <c r="N27" i="26"/>
  <c r="O27" i="26"/>
  <c r="N28" i="26"/>
  <c r="O28" i="26"/>
  <c r="N29" i="26"/>
  <c r="O29" i="26"/>
  <c r="N30" i="26"/>
  <c r="O30" i="26"/>
  <c r="N31" i="26"/>
  <c r="O31" i="26"/>
  <c r="O32" i="26"/>
  <c r="N33" i="26"/>
  <c r="O33" i="26"/>
  <c r="K7" i="26"/>
  <c r="L7" i="26"/>
  <c r="K8" i="26"/>
  <c r="L8" i="26"/>
  <c r="K9" i="26"/>
  <c r="L9" i="26"/>
  <c r="K10" i="26"/>
  <c r="L10" i="26"/>
  <c r="K11" i="26"/>
  <c r="L11" i="26"/>
  <c r="K12" i="26"/>
  <c r="L12" i="26"/>
  <c r="K13" i="26"/>
  <c r="L13" i="26"/>
  <c r="K14" i="26"/>
  <c r="L14" i="26"/>
  <c r="K15" i="26"/>
  <c r="L15" i="26"/>
  <c r="K16" i="26"/>
  <c r="L16" i="26"/>
  <c r="K17" i="26"/>
  <c r="L17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L32" i="26"/>
  <c r="K33" i="26"/>
  <c r="L33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V7" i="22"/>
  <c r="W7" i="22"/>
  <c r="V8" i="22"/>
  <c r="W8" i="22"/>
  <c r="V9" i="22"/>
  <c r="W9" i="22"/>
  <c r="V10" i="22"/>
  <c r="W10" i="22"/>
  <c r="V11" i="22"/>
  <c r="W11" i="22"/>
  <c r="V12" i="22"/>
  <c r="W12" i="22"/>
  <c r="V13" i="22"/>
  <c r="W13" i="22"/>
  <c r="V14" i="22"/>
  <c r="W14" i="22"/>
  <c r="V15" i="22"/>
  <c r="W15" i="22"/>
  <c r="V16" i="22"/>
  <c r="W16" i="22"/>
  <c r="V17" i="22"/>
  <c r="W17" i="22"/>
  <c r="V18" i="22"/>
  <c r="W18" i="22"/>
  <c r="V19" i="22"/>
  <c r="W19" i="22"/>
  <c r="V20" i="22"/>
  <c r="W20" i="22"/>
  <c r="V21" i="22"/>
  <c r="W21" i="22"/>
  <c r="V22" i="22"/>
  <c r="W22" i="22"/>
  <c r="V23" i="22"/>
  <c r="W23" i="22"/>
  <c r="V24" i="22"/>
  <c r="W24" i="22"/>
  <c r="V25" i="22"/>
  <c r="W25" i="22"/>
  <c r="V26" i="22"/>
  <c r="W26" i="22"/>
  <c r="V27" i="22"/>
  <c r="W27" i="22"/>
  <c r="V28" i="22"/>
  <c r="W28" i="22"/>
  <c r="V29" i="22"/>
  <c r="W29" i="22"/>
  <c r="V30" i="22"/>
  <c r="W30" i="22"/>
  <c r="V31" i="22"/>
  <c r="W31" i="22"/>
  <c r="V32" i="22"/>
  <c r="W32" i="22"/>
  <c r="V33" i="22"/>
  <c r="W33" i="22"/>
  <c r="W6" i="22"/>
  <c r="V6" i="22"/>
  <c r="T7" i="22"/>
  <c r="U7" i="22"/>
  <c r="T8" i="22"/>
  <c r="U8" i="22"/>
  <c r="T9" i="22"/>
  <c r="U9" i="22"/>
  <c r="T10" i="22"/>
  <c r="U10" i="22"/>
  <c r="T11" i="22"/>
  <c r="U11" i="22"/>
  <c r="T12" i="22"/>
  <c r="U12" i="22"/>
  <c r="T13" i="22"/>
  <c r="U13" i="22"/>
  <c r="U14" i="22"/>
  <c r="T15" i="22"/>
  <c r="U15" i="22"/>
  <c r="T16" i="22"/>
  <c r="U16" i="22"/>
  <c r="T17" i="22"/>
  <c r="U17" i="22"/>
  <c r="T18" i="22"/>
  <c r="U18" i="22"/>
  <c r="T19" i="22"/>
  <c r="U19" i="22"/>
  <c r="T20" i="22"/>
  <c r="U20" i="22"/>
  <c r="T21" i="22"/>
  <c r="U21" i="22"/>
  <c r="T22" i="22"/>
  <c r="U22" i="22"/>
  <c r="T23" i="22"/>
  <c r="U23" i="22"/>
  <c r="T24" i="22"/>
  <c r="U24" i="22"/>
  <c r="T25" i="22"/>
  <c r="U25" i="22"/>
  <c r="T26" i="22"/>
  <c r="U26" i="22"/>
  <c r="T27" i="22"/>
  <c r="U27" i="22"/>
  <c r="T28" i="22"/>
  <c r="U28" i="22"/>
  <c r="T29" i="22"/>
  <c r="U29" i="22"/>
  <c r="T30" i="22"/>
  <c r="U30" i="22"/>
  <c r="T31" i="22"/>
  <c r="U31" i="22"/>
  <c r="T32" i="22"/>
  <c r="U32" i="22"/>
  <c r="T33" i="22"/>
  <c r="U33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Q24" i="22"/>
  <c r="R24" i="22"/>
  <c r="Q25" i="22"/>
  <c r="R25" i="22"/>
  <c r="Q26" i="22"/>
  <c r="R26" i="22"/>
  <c r="Q27" i="22"/>
  <c r="R27" i="22"/>
  <c r="Q28" i="22"/>
  <c r="R28" i="22"/>
  <c r="Q29" i="22"/>
  <c r="R29" i="22"/>
  <c r="Q30" i="22"/>
  <c r="R30" i="22"/>
  <c r="Q31" i="22"/>
  <c r="R31" i="22"/>
  <c r="Q32" i="22"/>
  <c r="R32" i="22"/>
  <c r="Q33" i="22"/>
  <c r="R33" i="22"/>
  <c r="N7" i="22"/>
  <c r="O7" i="22"/>
  <c r="N8" i="22"/>
  <c r="O8" i="22"/>
  <c r="N9" i="22"/>
  <c r="O9" i="22"/>
  <c r="N10" i="22"/>
  <c r="O10" i="22"/>
  <c r="N11" i="22"/>
  <c r="O11" i="22"/>
  <c r="N12" i="22"/>
  <c r="O12" i="22"/>
  <c r="N13" i="22"/>
  <c r="O13" i="22"/>
  <c r="N14" i="22"/>
  <c r="O14" i="22"/>
  <c r="N15" i="22"/>
  <c r="O15" i="22"/>
  <c r="N16" i="22"/>
  <c r="O16" i="22"/>
  <c r="N17" i="22"/>
  <c r="O17" i="22"/>
  <c r="N18" i="22"/>
  <c r="O18" i="22"/>
  <c r="N19" i="22"/>
  <c r="O19" i="22"/>
  <c r="N20" i="22"/>
  <c r="O20" i="22"/>
  <c r="N21" i="22"/>
  <c r="O21" i="22"/>
  <c r="N22" i="22"/>
  <c r="O22" i="22"/>
  <c r="N23" i="22"/>
  <c r="O23" i="22"/>
  <c r="N24" i="22"/>
  <c r="O24" i="22"/>
  <c r="N25" i="22"/>
  <c r="O25" i="22"/>
  <c r="N26" i="22"/>
  <c r="O26" i="22"/>
  <c r="N27" i="22"/>
  <c r="O27" i="22"/>
  <c r="N28" i="22"/>
  <c r="O28" i="22"/>
  <c r="N29" i="22"/>
  <c r="O29" i="22"/>
  <c r="N30" i="22"/>
  <c r="O30" i="22"/>
  <c r="N31" i="22"/>
  <c r="O31" i="22"/>
  <c r="N32" i="22"/>
  <c r="O32" i="22"/>
  <c r="N33" i="22"/>
  <c r="O33" i="22"/>
  <c r="K7" i="22"/>
  <c r="L7" i="22"/>
  <c r="K8" i="22"/>
  <c r="L8" i="22"/>
  <c r="K9" i="22"/>
  <c r="L9" i="22"/>
  <c r="K10" i="22"/>
  <c r="L10" i="22"/>
  <c r="K11" i="22"/>
  <c r="L11" i="22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20" i="22"/>
  <c r="L20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K29" i="22"/>
  <c r="L29" i="22"/>
  <c r="K30" i="22"/>
  <c r="L30" i="22"/>
  <c r="K31" i="22"/>
  <c r="L31" i="22"/>
  <c r="K32" i="22"/>
  <c r="L32" i="22"/>
  <c r="K33" i="22"/>
  <c r="L33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W34" i="17"/>
  <c r="V34" i="17"/>
  <c r="V7" i="17"/>
  <c r="W7" i="17"/>
  <c r="V8" i="17"/>
  <c r="W8" i="17"/>
  <c r="V9" i="17"/>
  <c r="W9" i="17"/>
  <c r="V10" i="17"/>
  <c r="W10" i="17"/>
  <c r="V11" i="17"/>
  <c r="W11" i="17"/>
  <c r="V12" i="17"/>
  <c r="W12" i="17"/>
  <c r="V13" i="17"/>
  <c r="W13" i="17"/>
  <c r="V14" i="17"/>
  <c r="W14" i="17"/>
  <c r="V15" i="17"/>
  <c r="W15" i="17"/>
  <c r="V16" i="17"/>
  <c r="W16" i="17"/>
  <c r="V17" i="17"/>
  <c r="W17" i="17"/>
  <c r="V18" i="17"/>
  <c r="W18" i="17"/>
  <c r="V19" i="17"/>
  <c r="W19" i="17"/>
  <c r="V20" i="17"/>
  <c r="W20" i="17"/>
  <c r="V21" i="17"/>
  <c r="W21" i="17"/>
  <c r="V22" i="17"/>
  <c r="W22" i="17"/>
  <c r="V23" i="17"/>
  <c r="W23" i="17"/>
  <c r="V24" i="17"/>
  <c r="W24" i="17"/>
  <c r="V25" i="17"/>
  <c r="W25" i="17"/>
  <c r="V26" i="17"/>
  <c r="W26" i="17"/>
  <c r="V27" i="17"/>
  <c r="W27" i="17"/>
  <c r="V28" i="17"/>
  <c r="W28" i="17"/>
  <c r="V29" i="17"/>
  <c r="W29" i="17"/>
  <c r="V30" i="17"/>
  <c r="W30" i="17"/>
  <c r="V31" i="17"/>
  <c r="W31" i="17"/>
  <c r="V32" i="17"/>
  <c r="W32" i="17"/>
  <c r="V33" i="17"/>
  <c r="W33" i="17"/>
  <c r="W6" i="17"/>
  <c r="V6" i="17"/>
  <c r="Q7" i="17"/>
  <c r="R7" i="17"/>
  <c r="Q8" i="17"/>
  <c r="R8" i="17"/>
  <c r="Q9" i="17"/>
  <c r="R9" i="17"/>
  <c r="Q10" i="17"/>
  <c r="R10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R18" i="17"/>
  <c r="Q19" i="17"/>
  <c r="R19" i="17"/>
  <c r="Q20" i="17"/>
  <c r="R20" i="17"/>
  <c r="Q21" i="17"/>
  <c r="R21" i="17"/>
  <c r="Q22" i="17"/>
  <c r="R22" i="17"/>
  <c r="Q23" i="17"/>
  <c r="R23" i="17"/>
  <c r="Q24" i="17"/>
  <c r="R24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R32" i="17"/>
  <c r="Q33" i="17"/>
  <c r="R33" i="17"/>
  <c r="N7" i="17"/>
  <c r="O7" i="17"/>
  <c r="N8" i="17"/>
  <c r="O8" i="17"/>
  <c r="N9" i="17"/>
  <c r="O9" i="17"/>
  <c r="N10" i="17"/>
  <c r="O10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O18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O25" i="17"/>
  <c r="N26" i="17"/>
  <c r="O26" i="17"/>
  <c r="N27" i="17"/>
  <c r="O27" i="17"/>
  <c r="N28" i="17"/>
  <c r="O28" i="17"/>
  <c r="N29" i="17"/>
  <c r="O29" i="17"/>
  <c r="N30" i="17"/>
  <c r="O30" i="17"/>
  <c r="N31" i="17"/>
  <c r="O31" i="17"/>
  <c r="O32" i="17"/>
  <c r="N33" i="17"/>
  <c r="O33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K22" i="17"/>
  <c r="L22" i="17"/>
  <c r="K23" i="17"/>
  <c r="L23" i="17"/>
  <c r="K24" i="17"/>
  <c r="L24" i="17"/>
  <c r="K25" i="17"/>
  <c r="L25" i="17"/>
  <c r="K26" i="17"/>
  <c r="L26" i="17"/>
  <c r="K27" i="17"/>
  <c r="L27" i="17"/>
  <c r="K28" i="17"/>
  <c r="L28" i="17"/>
  <c r="K29" i="17"/>
  <c r="L29" i="17"/>
  <c r="K30" i="17"/>
  <c r="L30" i="17"/>
  <c r="K31" i="17"/>
  <c r="L31" i="17"/>
  <c r="K32" i="17"/>
  <c r="L32" i="17"/>
  <c r="K33" i="17"/>
  <c r="L33" i="17"/>
  <c r="V35" i="13"/>
  <c r="W34" i="13"/>
  <c r="V34" i="13"/>
  <c r="V7" i="13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W6" i="13"/>
  <c r="V6" i="13"/>
  <c r="Q7" i="13"/>
  <c r="R7" i="13"/>
  <c r="Q8" i="13"/>
  <c r="R8" i="13"/>
  <c r="Q9" i="13"/>
  <c r="R9" i="13"/>
  <c r="Q10" i="13"/>
  <c r="R10" i="13"/>
  <c r="R11" i="13"/>
  <c r="Q12" i="13"/>
  <c r="R12" i="13"/>
  <c r="Q13" i="13"/>
  <c r="R13" i="13"/>
  <c r="Q14" i="13"/>
  <c r="R14" i="13"/>
  <c r="Q15" i="13"/>
  <c r="R15" i="13"/>
  <c r="Q16" i="13"/>
  <c r="R16" i="13"/>
  <c r="Q17" i="13"/>
  <c r="R17" i="13"/>
  <c r="R18" i="13"/>
  <c r="Q19" i="13"/>
  <c r="R19" i="13"/>
  <c r="Q20" i="13"/>
  <c r="R20" i="13"/>
  <c r="Q21" i="13"/>
  <c r="R21" i="13"/>
  <c r="Q22" i="13"/>
  <c r="R22" i="13"/>
  <c r="Q23" i="13"/>
  <c r="R23" i="13"/>
  <c r="Q24" i="13"/>
  <c r="R24" i="13"/>
  <c r="R25" i="13"/>
  <c r="Q26" i="13"/>
  <c r="R26" i="13"/>
  <c r="Q27" i="13"/>
  <c r="R27" i="13"/>
  <c r="Q28" i="13"/>
  <c r="R28" i="13"/>
  <c r="Q29" i="13"/>
  <c r="R29" i="13"/>
  <c r="Q30" i="13"/>
  <c r="R30" i="13"/>
  <c r="Q31" i="13"/>
  <c r="R31" i="13"/>
  <c r="R32" i="13"/>
  <c r="Q33" i="13"/>
  <c r="R33" i="13"/>
  <c r="N7" i="13"/>
  <c r="O7" i="13"/>
  <c r="N8" i="13"/>
  <c r="O8" i="13"/>
  <c r="N9" i="13"/>
  <c r="O9" i="13"/>
  <c r="N10" i="13"/>
  <c r="O10" i="13"/>
  <c r="O11" i="13"/>
  <c r="N12" i="13"/>
  <c r="O12" i="13"/>
  <c r="N13" i="13"/>
  <c r="O13" i="13"/>
  <c r="N14" i="13"/>
  <c r="O14" i="13"/>
  <c r="N15" i="13"/>
  <c r="O15" i="13"/>
  <c r="N16" i="13"/>
  <c r="O16" i="13"/>
  <c r="N17" i="13"/>
  <c r="O17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O32" i="13"/>
  <c r="N33" i="13"/>
  <c r="O33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T7" i="10"/>
  <c r="V7" i="10" s="1"/>
  <c r="U7" i="10"/>
  <c r="W7" i="10"/>
  <c r="T8" i="10"/>
  <c r="V8" i="10" s="1"/>
  <c r="U8" i="10"/>
  <c r="W8" i="10"/>
  <c r="T9" i="10"/>
  <c r="V9" i="10" s="1"/>
  <c r="U9" i="10"/>
  <c r="W9" i="10"/>
  <c r="T10" i="10"/>
  <c r="V10" i="10" s="1"/>
  <c r="U10" i="10"/>
  <c r="W10" i="10"/>
  <c r="T11" i="10"/>
  <c r="V11" i="10" s="1"/>
  <c r="U11" i="10"/>
  <c r="W11" i="10"/>
  <c r="T12" i="10"/>
  <c r="V12" i="10" s="1"/>
  <c r="U12" i="10"/>
  <c r="W12" i="10"/>
  <c r="V13" i="10"/>
  <c r="U13" i="10"/>
  <c r="W13" i="10"/>
  <c r="T14" i="10"/>
  <c r="V14" i="10" s="1"/>
  <c r="U14" i="10"/>
  <c r="W14" i="10"/>
  <c r="T15" i="10"/>
  <c r="V15" i="10" s="1"/>
  <c r="U15" i="10"/>
  <c r="W15" i="10"/>
  <c r="T16" i="10"/>
  <c r="V16" i="10" s="1"/>
  <c r="U16" i="10"/>
  <c r="W16" i="10"/>
  <c r="T17" i="10"/>
  <c r="V17" i="10" s="1"/>
  <c r="U17" i="10"/>
  <c r="W17" i="10"/>
  <c r="T18" i="10"/>
  <c r="V18" i="10" s="1"/>
  <c r="U18" i="10"/>
  <c r="W18" i="10"/>
  <c r="T19" i="10"/>
  <c r="V19" i="10" s="1"/>
  <c r="U19" i="10"/>
  <c r="W19" i="10"/>
  <c r="T20" i="10"/>
  <c r="V20" i="10" s="1"/>
  <c r="U20" i="10"/>
  <c r="W20" i="10"/>
  <c r="T21" i="10"/>
  <c r="V21" i="10" s="1"/>
  <c r="U21" i="10"/>
  <c r="W21" i="10"/>
  <c r="T22" i="10"/>
  <c r="V22" i="10" s="1"/>
  <c r="U22" i="10"/>
  <c r="W22" i="10"/>
  <c r="T23" i="10"/>
  <c r="V23" i="10" s="1"/>
  <c r="U23" i="10"/>
  <c r="W23" i="10"/>
  <c r="T24" i="10"/>
  <c r="V24" i="10" s="1"/>
  <c r="U24" i="10"/>
  <c r="W24" i="10"/>
  <c r="T25" i="10"/>
  <c r="V25" i="10" s="1"/>
  <c r="U25" i="10"/>
  <c r="W25" i="10"/>
  <c r="T26" i="10"/>
  <c r="V26" i="10" s="1"/>
  <c r="U26" i="10"/>
  <c r="W26" i="10"/>
  <c r="T27" i="10"/>
  <c r="V27" i="10" s="1"/>
  <c r="U27" i="10"/>
  <c r="W27" i="10"/>
  <c r="T28" i="10"/>
  <c r="V28" i="10" s="1"/>
  <c r="U28" i="10"/>
  <c r="W28" i="10"/>
  <c r="T29" i="10"/>
  <c r="V29" i="10" s="1"/>
  <c r="U29" i="10"/>
  <c r="W29" i="10"/>
  <c r="T30" i="10"/>
  <c r="V30" i="10" s="1"/>
  <c r="U30" i="10"/>
  <c r="W30" i="10"/>
  <c r="T31" i="10"/>
  <c r="V31" i="10" s="1"/>
  <c r="U31" i="10"/>
  <c r="W31" i="10"/>
  <c r="T32" i="10"/>
  <c r="V32" i="10" s="1"/>
  <c r="U32" i="10"/>
  <c r="W32" i="10"/>
  <c r="T33" i="10"/>
  <c r="V33" i="10" s="1"/>
  <c r="U33" i="10"/>
  <c r="W33" i="10"/>
  <c r="W6" i="10"/>
  <c r="V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B7" i="10"/>
  <c r="B8" i="10"/>
  <c r="B9" i="10"/>
  <c r="B10" i="10"/>
  <c r="F10" i="10" s="1"/>
  <c r="B11" i="10"/>
  <c r="B12" i="10"/>
  <c r="B13" i="10"/>
  <c r="B14" i="10"/>
  <c r="F14" i="10" s="1"/>
  <c r="B15" i="10"/>
  <c r="B16" i="10"/>
  <c r="B17" i="10"/>
  <c r="B18" i="10"/>
  <c r="F18" i="10" s="1"/>
  <c r="B19" i="10"/>
  <c r="B20" i="10"/>
  <c r="B21" i="10"/>
  <c r="B22" i="10"/>
  <c r="F22" i="10" s="1"/>
  <c r="B23" i="10"/>
  <c r="B24" i="10"/>
  <c r="B25" i="10"/>
  <c r="B26" i="10"/>
  <c r="B27" i="10"/>
  <c r="B28" i="10"/>
  <c r="B29" i="10"/>
  <c r="B30" i="10"/>
  <c r="F30" i="10" s="1"/>
  <c r="B31" i="10"/>
  <c r="B32" i="10"/>
  <c r="B33" i="10"/>
  <c r="B6" i="10"/>
  <c r="H33" i="10"/>
  <c r="F33" i="10"/>
  <c r="H32" i="10"/>
  <c r="F32" i="10"/>
  <c r="F31" i="10"/>
  <c r="H29" i="10"/>
  <c r="F29" i="10"/>
  <c r="F28" i="10"/>
  <c r="H27" i="10"/>
  <c r="F27" i="10"/>
  <c r="F26" i="10"/>
  <c r="H25" i="10"/>
  <c r="F25" i="10"/>
  <c r="F24" i="10"/>
  <c r="F23" i="10"/>
  <c r="F21" i="10"/>
  <c r="F20" i="10"/>
  <c r="F19" i="10"/>
  <c r="F17" i="10"/>
  <c r="F16" i="10"/>
  <c r="F15" i="10"/>
  <c r="F13" i="10"/>
  <c r="H13" i="10"/>
  <c r="F12" i="10"/>
  <c r="H12" i="10"/>
  <c r="F11" i="10"/>
  <c r="H11" i="10"/>
  <c r="H10" i="10"/>
  <c r="F9" i="10"/>
  <c r="H9" i="10"/>
  <c r="F8" i="10"/>
  <c r="H8" i="10"/>
  <c r="F7" i="10"/>
  <c r="H7" i="10"/>
  <c r="U6" i="10"/>
  <c r="R6" i="10"/>
  <c r="O6" i="10"/>
  <c r="L6" i="10"/>
  <c r="F6" i="10"/>
  <c r="E6" i="10"/>
  <c r="H6" i="10"/>
  <c r="O34" i="10" l="1"/>
  <c r="F34" i="10"/>
  <c r="L34" i="10"/>
  <c r="I6" i="10"/>
  <c r="B34" i="10"/>
  <c r="H30" i="10"/>
  <c r="G6" i="10"/>
  <c r="R34" i="10"/>
  <c r="H14" i="10"/>
  <c r="H15" i="10"/>
  <c r="H16" i="10"/>
  <c r="H17" i="10"/>
  <c r="H18" i="10"/>
  <c r="H19" i="10"/>
  <c r="H20" i="10"/>
  <c r="H21" i="10"/>
  <c r="H22" i="10"/>
  <c r="H23" i="10"/>
  <c r="H24" i="10"/>
  <c r="H26" i="10"/>
  <c r="H28" i="10"/>
  <c r="H31" i="10"/>
  <c r="W34" i="10" l="1"/>
  <c r="G34" i="10"/>
  <c r="U34" i="10"/>
  <c r="Q6" i="10"/>
  <c r="K6" i="10"/>
  <c r="T6" i="10"/>
  <c r="N6" i="10"/>
  <c r="I34" i="10"/>
  <c r="H34" i="10"/>
  <c r="Q34" i="10" l="1"/>
  <c r="N34" i="10"/>
  <c r="K34" i="10"/>
  <c r="T34" i="10"/>
  <c r="V34" i="10" l="1"/>
  <c r="V35" i="10" s="1"/>
  <c r="G7" i="17" l="1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W34" i="11"/>
  <c r="V34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W6" i="11"/>
  <c r="V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T14" i="11"/>
  <c r="U14" i="11"/>
  <c r="T15" i="11"/>
  <c r="U15" i="11"/>
  <c r="T16" i="11"/>
  <c r="U16" i="11"/>
  <c r="T17" i="11"/>
  <c r="U17" i="11"/>
  <c r="T18" i="11"/>
  <c r="U18" i="11"/>
  <c r="U19" i="11"/>
  <c r="U26" i="11"/>
  <c r="T27" i="11"/>
  <c r="U27" i="11"/>
  <c r="T28" i="11"/>
  <c r="U28" i="11"/>
  <c r="T29" i="11"/>
  <c r="U29" i="11"/>
  <c r="T30" i="11"/>
  <c r="U30" i="11"/>
  <c r="T31" i="11"/>
  <c r="U31" i="11"/>
  <c r="T32" i="11"/>
  <c r="U32" i="11"/>
  <c r="T33" i="11"/>
  <c r="U33" i="11"/>
  <c r="U6" i="11"/>
  <c r="T6" i="11"/>
  <c r="Q7" i="11"/>
  <c r="R7" i="11"/>
  <c r="Q8" i="11"/>
  <c r="R8" i="11"/>
  <c r="Q9" i="11"/>
  <c r="R9" i="11"/>
  <c r="Q10" i="11"/>
  <c r="R10" i="11"/>
  <c r="Q11" i="11"/>
  <c r="R11" i="11"/>
  <c r="Q12" i="11"/>
  <c r="R12" i="11"/>
  <c r="Q13" i="11"/>
  <c r="R13" i="11"/>
  <c r="Q14" i="11"/>
  <c r="R14" i="11"/>
  <c r="Q15" i="11"/>
  <c r="R15" i="11"/>
  <c r="Q16" i="11"/>
  <c r="R16" i="11"/>
  <c r="Q17" i="11"/>
  <c r="R17" i="11"/>
  <c r="Q18" i="11"/>
  <c r="R18" i="11"/>
  <c r="Q19" i="11"/>
  <c r="R19" i="11"/>
  <c r="Q21" i="11"/>
  <c r="R21" i="11"/>
  <c r="Q22" i="11"/>
  <c r="R22" i="11"/>
  <c r="Q23" i="11"/>
  <c r="R23" i="11"/>
  <c r="Q24" i="11"/>
  <c r="R24" i="11"/>
  <c r="Q25" i="11"/>
  <c r="R25" i="11"/>
  <c r="R26" i="11"/>
  <c r="Q27" i="11"/>
  <c r="R27" i="11"/>
  <c r="Q28" i="11"/>
  <c r="R28" i="11"/>
  <c r="Q29" i="11"/>
  <c r="R29" i="11"/>
  <c r="Q30" i="11"/>
  <c r="R30" i="11"/>
  <c r="Q31" i="11"/>
  <c r="R31" i="11"/>
  <c r="Q32" i="11"/>
  <c r="R32" i="11"/>
  <c r="Q33" i="11"/>
  <c r="R33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4" i="11"/>
  <c r="O24" i="11"/>
  <c r="N25" i="11"/>
  <c r="O25" i="11"/>
  <c r="N26" i="11"/>
  <c r="O26" i="11"/>
  <c r="N27" i="11"/>
  <c r="O27" i="11"/>
  <c r="N28" i="11"/>
  <c r="O28" i="11"/>
  <c r="N29" i="11"/>
  <c r="O29" i="11"/>
  <c r="N30" i="11"/>
  <c r="O30" i="11"/>
  <c r="N31" i="11"/>
  <c r="O31" i="11"/>
  <c r="N32" i="11"/>
  <c r="O32" i="11"/>
  <c r="N33" i="11"/>
  <c r="O33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W6" i="14"/>
  <c r="V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V34" i="16"/>
  <c r="V7" i="16"/>
  <c r="W7" i="16"/>
  <c r="V8" i="16"/>
  <c r="W8" i="16"/>
  <c r="V9" i="16"/>
  <c r="W9" i="16"/>
  <c r="V10" i="16"/>
  <c r="W10" i="16"/>
  <c r="V11" i="16"/>
  <c r="W11" i="16"/>
  <c r="V12" i="16"/>
  <c r="W12" i="16"/>
  <c r="V13" i="16"/>
  <c r="W13" i="16"/>
  <c r="V14" i="16"/>
  <c r="W14" i="16"/>
  <c r="V15" i="16"/>
  <c r="W15" i="16"/>
  <c r="V16" i="16"/>
  <c r="W16" i="16"/>
  <c r="V17" i="16"/>
  <c r="W17" i="16"/>
  <c r="V18" i="16"/>
  <c r="W18" i="16"/>
  <c r="V19" i="16"/>
  <c r="W19" i="16"/>
  <c r="V20" i="16"/>
  <c r="W20" i="16"/>
  <c r="V21" i="16"/>
  <c r="W21" i="16"/>
  <c r="V22" i="16"/>
  <c r="W22" i="16"/>
  <c r="V23" i="16"/>
  <c r="W23" i="16"/>
  <c r="V24" i="16"/>
  <c r="W24" i="16"/>
  <c r="V25" i="16"/>
  <c r="W25" i="16"/>
  <c r="V26" i="16"/>
  <c r="W26" i="16"/>
  <c r="V27" i="16"/>
  <c r="W27" i="16"/>
  <c r="V28" i="16"/>
  <c r="W28" i="16"/>
  <c r="V29" i="16"/>
  <c r="W29" i="16"/>
  <c r="V30" i="16"/>
  <c r="W30" i="16"/>
  <c r="V31" i="16"/>
  <c r="W31" i="16"/>
  <c r="V32" i="16"/>
  <c r="W32" i="16"/>
  <c r="V33" i="16"/>
  <c r="W33" i="16"/>
  <c r="W6" i="16"/>
  <c r="V6" i="16"/>
  <c r="R7" i="16"/>
  <c r="Q7" i="16" s="1"/>
  <c r="R8" i="16"/>
  <c r="Q8" i="16" s="1"/>
  <c r="R9" i="16"/>
  <c r="Q9" i="16" s="1"/>
  <c r="R10" i="16"/>
  <c r="Q10" i="16" s="1"/>
  <c r="R11" i="16"/>
  <c r="Q11" i="16" s="1"/>
  <c r="R12" i="16"/>
  <c r="Q12" i="16" s="1"/>
  <c r="R13" i="16"/>
  <c r="Q13" i="16" s="1"/>
  <c r="R14" i="16"/>
  <c r="Q14" i="16" s="1"/>
  <c r="R15" i="16"/>
  <c r="Q15" i="16" s="1"/>
  <c r="R16" i="16"/>
  <c r="Q16" i="16" s="1"/>
  <c r="R17" i="16"/>
  <c r="Q17" i="16" s="1"/>
  <c r="R18" i="16"/>
  <c r="Q18" i="16" s="1"/>
  <c r="R19" i="16"/>
  <c r="Q19" i="16" s="1"/>
  <c r="R20" i="16"/>
  <c r="Q20" i="16" s="1"/>
  <c r="R21" i="16"/>
  <c r="Q21" i="16" s="1"/>
  <c r="R22" i="16"/>
  <c r="Q22" i="16" s="1"/>
  <c r="R23" i="16"/>
  <c r="Q23" i="16" s="1"/>
  <c r="R24" i="16"/>
  <c r="Q24" i="16" s="1"/>
  <c r="R25" i="16"/>
  <c r="Q25" i="16" s="1"/>
  <c r="R26" i="16"/>
  <c r="Q26" i="16" s="1"/>
  <c r="R27" i="16"/>
  <c r="Q27" i="16" s="1"/>
  <c r="R28" i="16"/>
  <c r="Q28" i="16" s="1"/>
  <c r="R29" i="16"/>
  <c r="Q29" i="16" s="1"/>
  <c r="R30" i="16"/>
  <c r="Q30" i="16" s="1"/>
  <c r="R31" i="16"/>
  <c r="Q31" i="16" s="1"/>
  <c r="R32" i="16"/>
  <c r="Q32" i="16" s="1"/>
  <c r="R33" i="16"/>
  <c r="Q33" i="16" s="1"/>
  <c r="Q6" i="16"/>
  <c r="N7" i="16"/>
  <c r="O7" i="16"/>
  <c r="N8" i="16"/>
  <c r="O8" i="16"/>
  <c r="N9" i="16"/>
  <c r="O9" i="16"/>
  <c r="N10" i="16"/>
  <c r="O10" i="16"/>
  <c r="N11" i="16"/>
  <c r="O11" i="16"/>
  <c r="N12" i="16"/>
  <c r="O12" i="16"/>
  <c r="O13" i="16"/>
  <c r="N14" i="16"/>
  <c r="O14" i="16"/>
  <c r="N15" i="16"/>
  <c r="O15" i="16"/>
  <c r="N16" i="16"/>
  <c r="O16" i="16"/>
  <c r="N17" i="16"/>
  <c r="O17" i="16"/>
  <c r="N18" i="16"/>
  <c r="O18" i="16"/>
  <c r="N19" i="16"/>
  <c r="O19" i="16"/>
  <c r="N20" i="16"/>
  <c r="O20" i="16"/>
  <c r="N21" i="16"/>
  <c r="O21" i="16"/>
  <c r="N22" i="16"/>
  <c r="O22" i="16"/>
  <c r="N23" i="16"/>
  <c r="O23" i="16"/>
  <c r="N24" i="16"/>
  <c r="O24" i="16"/>
  <c r="N25" i="16"/>
  <c r="O25" i="16"/>
  <c r="O26" i="16"/>
  <c r="N27" i="16"/>
  <c r="O27" i="16"/>
  <c r="N28" i="16"/>
  <c r="O28" i="16"/>
  <c r="N29" i="16"/>
  <c r="O29" i="16"/>
  <c r="N30" i="16"/>
  <c r="O30" i="16"/>
  <c r="N31" i="16"/>
  <c r="O31" i="16"/>
  <c r="N32" i="16"/>
  <c r="O32" i="16"/>
  <c r="N33" i="16"/>
  <c r="O33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K20" i="16"/>
  <c r="L20" i="16"/>
  <c r="K21" i="16"/>
  <c r="L21" i="16"/>
  <c r="K22" i="16"/>
  <c r="L22" i="16"/>
  <c r="K23" i="16"/>
  <c r="L23" i="16"/>
  <c r="K24" i="16"/>
  <c r="L24" i="16"/>
  <c r="K25" i="16"/>
  <c r="L25" i="16"/>
  <c r="K26" i="16"/>
  <c r="L26" i="16"/>
  <c r="K27" i="16"/>
  <c r="L27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V34" i="15"/>
  <c r="V7" i="15"/>
  <c r="W7" i="15"/>
  <c r="V8" i="15"/>
  <c r="W8" i="15"/>
  <c r="V9" i="15"/>
  <c r="W9" i="15"/>
  <c r="V10" i="15"/>
  <c r="W10" i="15"/>
  <c r="V11" i="15"/>
  <c r="W11" i="15"/>
  <c r="V12" i="15"/>
  <c r="W12" i="15"/>
  <c r="V13" i="15"/>
  <c r="W13" i="15"/>
  <c r="V14" i="15"/>
  <c r="W14" i="15"/>
  <c r="V15" i="15"/>
  <c r="W15" i="15"/>
  <c r="V16" i="15"/>
  <c r="W16" i="15"/>
  <c r="V17" i="15"/>
  <c r="W17" i="15"/>
  <c r="V18" i="15"/>
  <c r="W18" i="15"/>
  <c r="V19" i="15"/>
  <c r="W19" i="15"/>
  <c r="V20" i="15"/>
  <c r="W20" i="15"/>
  <c r="V21" i="15"/>
  <c r="W21" i="15"/>
  <c r="V22" i="15"/>
  <c r="W22" i="15"/>
  <c r="V23" i="15"/>
  <c r="W23" i="15"/>
  <c r="V24" i="15"/>
  <c r="W24" i="15"/>
  <c r="V25" i="15"/>
  <c r="W25" i="15"/>
  <c r="V26" i="15"/>
  <c r="W26" i="15"/>
  <c r="V27" i="15"/>
  <c r="W27" i="15"/>
  <c r="V28" i="15"/>
  <c r="W28" i="15"/>
  <c r="V29" i="15"/>
  <c r="W29" i="15"/>
  <c r="V30" i="15"/>
  <c r="W30" i="15"/>
  <c r="V31" i="15"/>
  <c r="W31" i="15"/>
  <c r="V32" i="15"/>
  <c r="W32" i="15"/>
  <c r="V33" i="15"/>
  <c r="W33" i="15"/>
  <c r="W6" i="15"/>
  <c r="V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Q18" i="15"/>
  <c r="R18" i="15"/>
  <c r="Q19" i="15"/>
  <c r="R19" i="15"/>
  <c r="Q20" i="15"/>
  <c r="R20" i="15"/>
  <c r="Q21" i="15"/>
  <c r="R21" i="15"/>
  <c r="Q22" i="15"/>
  <c r="R22" i="15"/>
  <c r="Q23" i="15"/>
  <c r="R23" i="15"/>
  <c r="Q24" i="15"/>
  <c r="R24" i="15"/>
  <c r="Q25" i="15"/>
  <c r="R25" i="15"/>
  <c r="Q26" i="15"/>
  <c r="R26" i="15"/>
  <c r="Q27" i="15"/>
  <c r="R27" i="15"/>
  <c r="Q28" i="15"/>
  <c r="R28" i="15"/>
  <c r="Q29" i="15"/>
  <c r="R29" i="15"/>
  <c r="Q30" i="15"/>
  <c r="R30" i="15"/>
  <c r="Q31" i="15"/>
  <c r="R31" i="15"/>
  <c r="Q32" i="15"/>
  <c r="R32" i="15"/>
  <c r="Q33" i="15"/>
  <c r="R33" i="15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P40" i="1"/>
  <c r="O14" i="1"/>
  <c r="D34" i="26"/>
  <c r="T36" i="17"/>
  <c r="T36" i="16"/>
  <c r="T36" i="15"/>
  <c r="T36" i="12"/>
  <c r="O6" i="28"/>
  <c r="E7" i="11" l="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6" i="14"/>
  <c r="H43" i="27"/>
  <c r="V41" i="27"/>
  <c r="G41" i="27"/>
  <c r="U34" i="15" l="1"/>
  <c r="U34" i="16"/>
  <c r="U34" i="14"/>
  <c r="U34" i="13"/>
  <c r="U34" i="17"/>
  <c r="U34" i="28"/>
  <c r="U34" i="12"/>
  <c r="P16" i="1"/>
  <c r="P17" i="1"/>
  <c r="P18" i="1"/>
  <c r="D34" i="28"/>
  <c r="F39" i="17" l="1"/>
  <c r="D34" i="12"/>
  <c r="D7" i="29"/>
  <c r="S34" i="17"/>
  <c r="T34" i="17"/>
  <c r="S34" i="13"/>
  <c r="T34" i="13"/>
  <c r="S34" i="14"/>
  <c r="T34" i="14"/>
  <c r="R6" i="16"/>
  <c r="T34" i="28"/>
  <c r="U37" i="23"/>
  <c r="T37" i="23"/>
  <c r="L6" i="22"/>
  <c r="O6" i="17"/>
  <c r="L6" i="17"/>
  <c r="R6" i="13"/>
  <c r="R34" i="16" l="1"/>
  <c r="L34" i="22"/>
  <c r="U6" i="27" l="1"/>
  <c r="U34" i="27" s="1"/>
  <c r="R6" i="27"/>
  <c r="R34" i="27" s="1"/>
  <c r="O6" i="27"/>
  <c r="O34" i="27" s="1"/>
  <c r="L6" i="27"/>
  <c r="E6" i="27" l="1"/>
  <c r="G29" i="29"/>
  <c r="R6" i="14"/>
  <c r="O6" i="12" l="1"/>
  <c r="O34" i="12" s="1"/>
  <c r="O9" i="1" l="1"/>
  <c r="O8" i="1"/>
  <c r="T36" i="14"/>
  <c r="O10" i="1" s="1"/>
  <c r="T36" i="13"/>
  <c r="O13" i="1" s="1"/>
  <c r="T36" i="28"/>
  <c r="O20" i="1" s="1"/>
  <c r="N14" i="1"/>
  <c r="R7" i="23" l="1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W35" i="23" l="1"/>
  <c r="W31" i="23"/>
  <c r="W26" i="23"/>
  <c r="W22" i="23"/>
  <c r="W17" i="23"/>
  <c r="W13" i="23"/>
  <c r="W30" i="23"/>
  <c r="W21" i="23"/>
  <c r="W12" i="23"/>
  <c r="W34" i="23"/>
  <c r="W29" i="23"/>
  <c r="W25" i="23"/>
  <c r="W20" i="23"/>
  <c r="W16" i="23"/>
  <c r="W11" i="23"/>
  <c r="W7" i="23"/>
  <c r="W33" i="23"/>
  <c r="W24" i="23"/>
  <c r="W15" i="23"/>
  <c r="W32" i="23"/>
  <c r="W28" i="23"/>
  <c r="W23" i="23"/>
  <c r="W19" i="23"/>
  <c r="W14" i="23"/>
  <c r="W10" i="23"/>
  <c r="W36" i="23"/>
  <c r="W27" i="23"/>
  <c r="W18" i="23"/>
  <c r="W9" i="23"/>
  <c r="W8" i="23"/>
  <c r="R6" i="17"/>
  <c r="O6" i="13"/>
  <c r="R6" i="26"/>
  <c r="O6" i="26" l="1"/>
  <c r="O34" i="26" s="1"/>
  <c r="U22" i="25"/>
  <c r="W22" i="25" s="1"/>
  <c r="U23" i="25"/>
  <c r="W23" i="25" s="1"/>
  <c r="U24" i="25"/>
  <c r="W24" i="25" s="1"/>
  <c r="U25" i="25"/>
  <c r="W25" i="25" s="1"/>
  <c r="U26" i="25"/>
  <c r="W26" i="25" s="1"/>
  <c r="U27" i="25"/>
  <c r="W27" i="25" s="1"/>
  <c r="U28" i="25"/>
  <c r="W28" i="25" s="1"/>
  <c r="U29" i="25"/>
  <c r="W29" i="25" s="1"/>
  <c r="U30" i="25"/>
  <c r="W30" i="25" s="1"/>
  <c r="U31" i="25"/>
  <c r="W31" i="25" s="1"/>
  <c r="U32" i="25"/>
  <c r="W32" i="25" s="1"/>
  <c r="U33" i="25"/>
  <c r="W33" i="25" s="1"/>
  <c r="U34" i="25"/>
  <c r="W34" i="25" s="1"/>
  <c r="U35" i="25"/>
  <c r="W35" i="25" s="1"/>
  <c r="U36" i="25"/>
  <c r="W36" i="25" s="1"/>
  <c r="U7" i="25"/>
  <c r="W7" i="25" s="1"/>
  <c r="U8" i="25"/>
  <c r="W8" i="25" s="1"/>
  <c r="U9" i="25"/>
  <c r="W9" i="25" s="1"/>
  <c r="U10" i="25"/>
  <c r="W10" i="25" s="1"/>
  <c r="U11" i="25"/>
  <c r="W11" i="25" s="1"/>
  <c r="U12" i="25"/>
  <c r="W12" i="25" s="1"/>
  <c r="U13" i="25"/>
  <c r="W13" i="25" s="1"/>
  <c r="U14" i="25"/>
  <c r="W14" i="25" s="1"/>
  <c r="U15" i="25"/>
  <c r="W15" i="25" s="1"/>
  <c r="U16" i="25"/>
  <c r="W16" i="25" s="1"/>
  <c r="U17" i="25"/>
  <c r="W17" i="25" s="1"/>
  <c r="U18" i="25"/>
  <c r="W18" i="25" s="1"/>
  <c r="U19" i="25"/>
  <c r="W19" i="25" s="1"/>
  <c r="U20" i="25"/>
  <c r="W20" i="25" s="1"/>
  <c r="AB38" i="1"/>
  <c r="L6" i="12"/>
  <c r="R6" i="12"/>
  <c r="W6" i="12" l="1"/>
  <c r="U35" i="24"/>
  <c r="W35" i="24" s="1"/>
  <c r="U36" i="24"/>
  <c r="W36" i="24" s="1"/>
  <c r="E6" i="28"/>
  <c r="A1" i="15"/>
  <c r="A1" i="12"/>
  <c r="A1" i="16" s="1"/>
  <c r="A1" i="14" s="1"/>
  <c r="A1" i="17" l="1"/>
  <c r="A1" i="28" s="1"/>
  <c r="A1" i="13"/>
  <c r="A1" i="11"/>
  <c r="A1" i="24" s="1"/>
  <c r="A1" i="10"/>
  <c r="A1" i="27" l="1"/>
  <c r="A1" i="26"/>
  <c r="A1" i="22"/>
  <c r="A1" i="25" s="1"/>
  <c r="A1" i="23"/>
  <c r="R6" i="15"/>
  <c r="L6" i="15"/>
  <c r="L6" i="16" l="1"/>
  <c r="L34" i="16" s="1"/>
  <c r="L6" i="13"/>
  <c r="L6" i="23"/>
  <c r="L37" i="23" s="1"/>
  <c r="L6" i="24"/>
  <c r="L37" i="24" s="1"/>
  <c r="L6" i="25"/>
  <c r="L37" i="25" s="1"/>
  <c r="O6" i="16"/>
  <c r="O6" i="15"/>
  <c r="O6" i="22"/>
  <c r="O34" i="22" s="1"/>
  <c r="O6" i="23"/>
  <c r="O37" i="23" s="1"/>
  <c r="O6" i="24"/>
  <c r="O37" i="24" s="1"/>
  <c r="O6" i="25"/>
  <c r="O37" i="25" s="1"/>
  <c r="U7" i="24"/>
  <c r="W7" i="24" s="1"/>
  <c r="U9" i="24"/>
  <c r="W9" i="24" s="1"/>
  <c r="U10" i="24"/>
  <c r="W10" i="24" s="1"/>
  <c r="U11" i="24"/>
  <c r="W11" i="24" s="1"/>
  <c r="U12" i="24"/>
  <c r="W12" i="24" s="1"/>
  <c r="U13" i="24"/>
  <c r="W13" i="24" s="1"/>
  <c r="U17" i="24"/>
  <c r="W17" i="24" s="1"/>
  <c r="U19" i="24"/>
  <c r="W19" i="24" s="1"/>
  <c r="U23" i="24"/>
  <c r="W23" i="24" s="1"/>
  <c r="U26" i="24"/>
  <c r="W26" i="24" s="1"/>
  <c r="U29" i="24"/>
  <c r="W29" i="24" s="1"/>
  <c r="U31" i="24"/>
  <c r="W31" i="24" s="1"/>
  <c r="U34" i="24"/>
  <c r="W34" i="24" s="1"/>
  <c r="U21" i="25"/>
  <c r="W21" i="25" s="1"/>
  <c r="R6" i="23"/>
  <c r="R37" i="23" s="1"/>
  <c r="R6" i="24"/>
  <c r="R37" i="24" s="1"/>
  <c r="R6" i="25"/>
  <c r="R37" i="25" s="1"/>
  <c r="R6" i="28"/>
  <c r="W34" i="16" l="1"/>
  <c r="W6" i="23"/>
  <c r="W37" i="23" s="1"/>
  <c r="E6" i="16"/>
  <c r="E6" i="15"/>
  <c r="E6" i="11"/>
  <c r="E6" i="13"/>
  <c r="E6" i="17"/>
  <c r="E6" i="22"/>
  <c r="E6" i="26"/>
  <c r="E6" i="12"/>
  <c r="E22" i="1" l="1"/>
  <c r="D22" i="1" l="1"/>
  <c r="F7" i="1" s="1"/>
  <c r="F22" i="1" s="1"/>
  <c r="G10" i="1" l="1"/>
  <c r="G16" i="1"/>
  <c r="G7" i="1"/>
  <c r="G11" i="1"/>
  <c r="G17" i="1"/>
  <c r="G12" i="1"/>
  <c r="G18" i="1"/>
  <c r="G13" i="1"/>
  <c r="G19" i="1"/>
  <c r="G8" i="1"/>
  <c r="G14" i="1"/>
  <c r="G20" i="1"/>
  <c r="G9" i="1"/>
  <c r="G15" i="1"/>
  <c r="G21" i="1"/>
  <c r="B7" i="27" l="1"/>
  <c r="B27" i="27"/>
  <c r="B19" i="27"/>
  <c r="B25" i="27"/>
  <c r="B8" i="27"/>
  <c r="B28" i="27"/>
  <c r="B24" i="27"/>
  <c r="B26" i="27"/>
  <c r="B9" i="27"/>
  <c r="B29" i="27"/>
  <c r="B10" i="27"/>
  <c r="B30" i="27"/>
  <c r="B6" i="27"/>
  <c r="B11" i="27"/>
  <c r="B31" i="27"/>
  <c r="B13" i="27"/>
  <c r="B15" i="27"/>
  <c r="B12" i="27"/>
  <c r="B32" i="27"/>
  <c r="B33" i="27"/>
  <c r="B22" i="27"/>
  <c r="B23" i="27"/>
  <c r="B14" i="27"/>
  <c r="B20" i="27"/>
  <c r="B21" i="27"/>
  <c r="B16" i="27"/>
  <c r="B17" i="27"/>
  <c r="B18" i="27"/>
  <c r="B8" i="16"/>
  <c r="B28" i="16"/>
  <c r="B29" i="16"/>
  <c r="B30" i="16"/>
  <c r="B19" i="16"/>
  <c r="B27" i="16"/>
  <c r="B9" i="16"/>
  <c r="B22" i="16"/>
  <c r="F22" i="16" s="1"/>
  <c r="B23" i="16"/>
  <c r="B24" i="16"/>
  <c r="B10" i="16"/>
  <c r="B11" i="16"/>
  <c r="B31" i="16"/>
  <c r="B12" i="16"/>
  <c r="B32" i="16"/>
  <c r="B15" i="16"/>
  <c r="B13" i="16"/>
  <c r="B33" i="16"/>
  <c r="B6" i="16"/>
  <c r="B14" i="16"/>
  <c r="B21" i="16"/>
  <c r="B25" i="16"/>
  <c r="B26" i="16"/>
  <c r="B7" i="16"/>
  <c r="B16" i="16"/>
  <c r="B20" i="16"/>
  <c r="B17" i="16"/>
  <c r="B18" i="16"/>
  <c r="B23" i="17"/>
  <c r="B18" i="17"/>
  <c r="B20" i="17"/>
  <c r="B24" i="17"/>
  <c r="B22" i="17"/>
  <c r="B25" i="17"/>
  <c r="B26" i="17"/>
  <c r="B31" i="17"/>
  <c r="B16" i="17"/>
  <c r="B7" i="17"/>
  <c r="B27" i="17"/>
  <c r="B9" i="17"/>
  <c r="B29" i="17"/>
  <c r="B10" i="17"/>
  <c r="B30" i="17"/>
  <c r="B11" i="17"/>
  <c r="B8" i="17"/>
  <c r="B28" i="17"/>
  <c r="B15" i="17"/>
  <c r="B21" i="17"/>
  <c r="B6" i="17"/>
  <c r="B19" i="17"/>
  <c r="B12" i="17"/>
  <c r="B32" i="17"/>
  <c r="B13" i="17"/>
  <c r="B33" i="17"/>
  <c r="B14" i="17"/>
  <c r="B17" i="17"/>
  <c r="B13" i="15"/>
  <c r="F13" i="15" s="1"/>
  <c r="B33" i="15"/>
  <c r="F33" i="15" s="1"/>
  <c r="B14" i="15"/>
  <c r="F14" i="15" s="1"/>
  <c r="B15" i="15"/>
  <c r="F15" i="15" s="1"/>
  <c r="B30" i="15"/>
  <c r="F30" i="15" s="1"/>
  <c r="B6" i="15"/>
  <c r="B21" i="15"/>
  <c r="B7" i="15"/>
  <c r="F7" i="15" s="1"/>
  <c r="B29" i="15"/>
  <c r="F29" i="15" s="1"/>
  <c r="B31" i="15"/>
  <c r="F31" i="15" s="1"/>
  <c r="B12" i="15"/>
  <c r="F12" i="15" s="1"/>
  <c r="B9" i="15"/>
  <c r="F9" i="15" s="1"/>
  <c r="B10" i="15"/>
  <c r="F10" i="15" s="1"/>
  <c r="B11" i="15"/>
  <c r="F11" i="15" s="1"/>
  <c r="B16" i="15"/>
  <c r="F16" i="15" s="1"/>
  <c r="B27" i="15"/>
  <c r="F27" i="15" s="1"/>
  <c r="B17" i="15"/>
  <c r="B18" i="15"/>
  <c r="B19" i="15"/>
  <c r="B20" i="15"/>
  <c r="F20" i="15" s="1"/>
  <c r="B26" i="15"/>
  <c r="F26" i="15" s="1"/>
  <c r="B8" i="15"/>
  <c r="F8" i="15" s="1"/>
  <c r="B25" i="15"/>
  <c r="F25" i="15" s="1"/>
  <c r="B32" i="15"/>
  <c r="F32" i="15" s="1"/>
  <c r="B24" i="15"/>
  <c r="F24" i="15" s="1"/>
  <c r="B28" i="15"/>
  <c r="F28" i="15" s="1"/>
  <c r="B22" i="15"/>
  <c r="F22" i="15" s="1"/>
  <c r="B23" i="15"/>
  <c r="F23" i="15" s="1"/>
  <c r="B11" i="22"/>
  <c r="B31" i="22"/>
  <c r="B12" i="22"/>
  <c r="B32" i="22"/>
  <c r="B19" i="22"/>
  <c r="B10" i="22"/>
  <c r="B13" i="22"/>
  <c r="B33" i="22"/>
  <c r="B27" i="22"/>
  <c r="B14" i="22"/>
  <c r="B6" i="22"/>
  <c r="B23" i="22"/>
  <c r="B8" i="22"/>
  <c r="B28" i="22"/>
  <c r="B15" i="22"/>
  <c r="B18" i="22"/>
  <c r="B30" i="22"/>
  <c r="B16" i="22"/>
  <c r="B17" i="22"/>
  <c r="B7" i="22"/>
  <c r="B9" i="22"/>
  <c r="B29" i="22"/>
  <c r="B24" i="22"/>
  <c r="B25" i="22"/>
  <c r="B26" i="22"/>
  <c r="B20" i="22"/>
  <c r="B21" i="22"/>
  <c r="B22" i="22"/>
  <c r="F22" i="22" s="1"/>
  <c r="B21" i="13"/>
  <c r="B16" i="13"/>
  <c r="B18" i="13"/>
  <c r="B22" i="13"/>
  <c r="B29" i="13"/>
  <c r="B32" i="13"/>
  <c r="B19" i="13"/>
  <c r="B20" i="13"/>
  <c r="B23" i="13"/>
  <c r="B24" i="13"/>
  <c r="B33" i="13"/>
  <c r="B6" i="13"/>
  <c r="B25" i="13"/>
  <c r="B7" i="13"/>
  <c r="B27" i="13"/>
  <c r="B8" i="13"/>
  <c r="B28" i="13"/>
  <c r="B9" i="13"/>
  <c r="B26" i="13"/>
  <c r="B13" i="13"/>
  <c r="B15" i="13"/>
  <c r="B14" i="13"/>
  <c r="B17" i="13"/>
  <c r="B10" i="13"/>
  <c r="B30" i="13"/>
  <c r="B11" i="13"/>
  <c r="B31" i="13"/>
  <c r="B12" i="13"/>
  <c r="B12" i="11"/>
  <c r="B32" i="11"/>
  <c r="B6" i="11"/>
  <c r="B25" i="11"/>
  <c r="B28" i="11"/>
  <c r="B13" i="11"/>
  <c r="B33" i="11"/>
  <c r="B14" i="11"/>
  <c r="B23" i="11"/>
  <c r="B9" i="11"/>
  <c r="B29" i="11"/>
  <c r="B11" i="11"/>
  <c r="B15" i="11"/>
  <c r="B16" i="11"/>
  <c r="B18" i="11"/>
  <c r="B19" i="11"/>
  <c r="B20" i="11"/>
  <c r="B17" i="11"/>
  <c r="B24" i="11"/>
  <c r="B7" i="11"/>
  <c r="B8" i="11"/>
  <c r="B30" i="11"/>
  <c r="B31" i="11"/>
  <c r="B27" i="11"/>
  <c r="B10" i="11"/>
  <c r="B21" i="11"/>
  <c r="B22" i="11"/>
  <c r="B26" i="11"/>
  <c r="B25" i="12"/>
  <c r="B7" i="12"/>
  <c r="B16" i="12"/>
  <c r="B22" i="12"/>
  <c r="F22" i="12" s="1"/>
  <c r="B26" i="12"/>
  <c r="B27" i="12"/>
  <c r="B17" i="12"/>
  <c r="B33" i="12"/>
  <c r="B8" i="12"/>
  <c r="B28" i="12"/>
  <c r="B31" i="12"/>
  <c r="B13" i="12"/>
  <c r="B18" i="12"/>
  <c r="B9" i="12"/>
  <c r="B29" i="12"/>
  <c r="B30" i="12"/>
  <c r="B11" i="12"/>
  <c r="B10" i="12"/>
  <c r="B12" i="12"/>
  <c r="B19" i="12"/>
  <c r="B24" i="12"/>
  <c r="F24" i="12" s="1"/>
  <c r="B20" i="12"/>
  <c r="B21" i="12"/>
  <c r="B23" i="12"/>
  <c r="F23" i="12" s="1"/>
  <c r="B32" i="12"/>
  <c r="B14" i="12"/>
  <c r="B6" i="12"/>
  <c r="B15" i="12"/>
  <c r="B19" i="28"/>
  <c r="B33" i="28"/>
  <c r="B20" i="28"/>
  <c r="B11" i="28"/>
  <c r="B12" i="28"/>
  <c r="B21" i="28"/>
  <c r="B15" i="28"/>
  <c r="B22" i="28"/>
  <c r="F22" i="28" s="1"/>
  <c r="B7" i="28"/>
  <c r="B32" i="28"/>
  <c r="B6" i="28"/>
  <c r="B16" i="28"/>
  <c r="B23" i="28"/>
  <c r="B25" i="28"/>
  <c r="B26" i="28"/>
  <c r="B27" i="28"/>
  <c r="B24" i="28"/>
  <c r="B31" i="28"/>
  <c r="B13" i="28"/>
  <c r="B17" i="28"/>
  <c r="B18" i="28"/>
  <c r="B8" i="28"/>
  <c r="B28" i="28"/>
  <c r="B9" i="28"/>
  <c r="B29" i="28"/>
  <c r="B10" i="28"/>
  <c r="B30" i="28"/>
  <c r="B14" i="28"/>
  <c r="B16" i="14"/>
  <c r="B18" i="14"/>
  <c r="B23" i="14"/>
  <c r="B12" i="14"/>
  <c r="B17" i="14"/>
  <c r="B27" i="14"/>
  <c r="B32" i="14"/>
  <c r="B33" i="14"/>
  <c r="B6" i="14"/>
  <c r="B19" i="14"/>
  <c r="B8" i="14"/>
  <c r="B20" i="14"/>
  <c r="B28" i="14"/>
  <c r="B21" i="14"/>
  <c r="B22" i="14"/>
  <c r="F22" i="14" s="1"/>
  <c r="B7" i="14"/>
  <c r="B30" i="14"/>
  <c r="B24" i="14"/>
  <c r="B29" i="14"/>
  <c r="B10" i="14"/>
  <c r="B11" i="14"/>
  <c r="B14" i="14"/>
  <c r="B31" i="14"/>
  <c r="B13" i="14"/>
  <c r="B15" i="14"/>
  <c r="B25" i="14"/>
  <c r="B26" i="14"/>
  <c r="B9" i="14"/>
  <c r="B7" i="26"/>
  <c r="B11" i="26"/>
  <c r="B15" i="26"/>
  <c r="B9" i="26"/>
  <c r="B13" i="26"/>
  <c r="B17" i="26"/>
  <c r="B21" i="26"/>
  <c r="B25" i="26"/>
  <c r="B29" i="26"/>
  <c r="B33" i="26"/>
  <c r="B6" i="26"/>
  <c r="B10" i="26"/>
  <c r="B18" i="26"/>
  <c r="B23" i="26"/>
  <c r="B28" i="26"/>
  <c r="B14" i="26"/>
  <c r="B26" i="26"/>
  <c r="B12" i="26"/>
  <c r="B19" i="26"/>
  <c r="B24" i="26"/>
  <c r="B30" i="26"/>
  <c r="B20" i="26"/>
  <c r="B31" i="26"/>
  <c r="B27" i="26"/>
  <c r="B8" i="26"/>
  <c r="B32" i="26"/>
  <c r="B16" i="26"/>
  <c r="B22" i="26"/>
  <c r="F22" i="26" s="1"/>
  <c r="B8" i="25"/>
  <c r="B12" i="25"/>
  <c r="B16" i="25"/>
  <c r="B20" i="25"/>
  <c r="B24" i="25"/>
  <c r="B28" i="25"/>
  <c r="B32" i="25"/>
  <c r="B36" i="25"/>
  <c r="B10" i="25"/>
  <c r="H10" i="25" s="1"/>
  <c r="B14" i="25"/>
  <c r="B18" i="25"/>
  <c r="B22" i="25"/>
  <c r="F22" i="25" s="1"/>
  <c r="B26" i="25"/>
  <c r="B30" i="25"/>
  <c r="B34" i="25"/>
  <c r="B7" i="25"/>
  <c r="B15" i="25"/>
  <c r="B23" i="25"/>
  <c r="B31" i="25"/>
  <c r="B11" i="25"/>
  <c r="B19" i="25"/>
  <c r="B27" i="25"/>
  <c r="B35" i="25"/>
  <c r="B9" i="25"/>
  <c r="B17" i="25"/>
  <c r="B25" i="25"/>
  <c r="B33" i="25"/>
  <c r="B29" i="25"/>
  <c r="B6" i="25"/>
  <c r="B13" i="25"/>
  <c r="B21" i="25"/>
  <c r="B9" i="24"/>
  <c r="B13" i="24"/>
  <c r="B17" i="24"/>
  <c r="B21" i="24"/>
  <c r="B25" i="24"/>
  <c r="B29" i="24"/>
  <c r="B33" i="24"/>
  <c r="B6" i="24"/>
  <c r="B7" i="24"/>
  <c r="B11" i="24"/>
  <c r="B15" i="24"/>
  <c r="B19" i="24"/>
  <c r="B23" i="24"/>
  <c r="B27" i="24"/>
  <c r="B31" i="24"/>
  <c r="B35" i="24"/>
  <c r="B8" i="24"/>
  <c r="B16" i="24"/>
  <c r="B24" i="24"/>
  <c r="B32" i="24"/>
  <c r="B12" i="24"/>
  <c r="B20" i="24"/>
  <c r="B36" i="24"/>
  <c r="B10" i="24"/>
  <c r="B18" i="24"/>
  <c r="B26" i="24"/>
  <c r="B34" i="24"/>
  <c r="B28" i="24"/>
  <c r="B30" i="24"/>
  <c r="B14" i="24"/>
  <c r="B22" i="24"/>
  <c r="F22" i="24" s="1"/>
  <c r="F22" i="13"/>
  <c r="F22" i="17"/>
  <c r="F17" i="15"/>
  <c r="F19" i="15"/>
  <c r="F18" i="15"/>
  <c r="B6" i="23"/>
  <c r="B10" i="23"/>
  <c r="B14" i="23"/>
  <c r="B18" i="23"/>
  <c r="B22" i="23"/>
  <c r="F22" i="23" s="1"/>
  <c r="B26" i="23"/>
  <c r="B30" i="23"/>
  <c r="B34" i="23"/>
  <c r="B7" i="23"/>
  <c r="B8" i="23"/>
  <c r="B12" i="23"/>
  <c r="B16" i="23"/>
  <c r="B20" i="23"/>
  <c r="B24" i="23"/>
  <c r="B28" i="23"/>
  <c r="B32" i="23"/>
  <c r="B36" i="23"/>
  <c r="B13" i="23"/>
  <c r="B21" i="23"/>
  <c r="B29" i="23"/>
  <c r="B9" i="23"/>
  <c r="B17" i="23"/>
  <c r="B25" i="23"/>
  <c r="B33" i="23"/>
  <c r="B15" i="23"/>
  <c r="B23" i="23"/>
  <c r="B31" i="23"/>
  <c r="B35" i="23"/>
  <c r="B11" i="23"/>
  <c r="B19" i="23"/>
  <c r="B27" i="23"/>
  <c r="G22" i="1"/>
  <c r="F27" i="27" l="1"/>
  <c r="H27" i="27"/>
  <c r="F31" i="27"/>
  <c r="H31" i="27"/>
  <c r="F30" i="27"/>
  <c r="H30" i="27"/>
  <c r="F21" i="27"/>
  <c r="H21" i="27"/>
  <c r="F13" i="27"/>
  <c r="H13" i="27"/>
  <c r="H23" i="27"/>
  <c r="F23" i="27"/>
  <c r="F19" i="27"/>
  <c r="H19" i="27"/>
  <c r="H26" i="27"/>
  <c r="F26" i="27"/>
  <c r="F33" i="27"/>
  <c r="H33" i="27"/>
  <c r="F9" i="27"/>
  <c r="H9" i="27"/>
  <c r="H20" i="27"/>
  <c r="F20" i="27"/>
  <c r="F15" i="27"/>
  <c r="H15" i="27"/>
  <c r="F22" i="27"/>
  <c r="H22" i="27"/>
  <c r="H29" i="27"/>
  <c r="F29" i="27"/>
  <c r="H11" i="27"/>
  <c r="F11" i="27"/>
  <c r="F18" i="27"/>
  <c r="H18" i="27"/>
  <c r="F25" i="27"/>
  <c r="H25" i="27"/>
  <c r="H32" i="27"/>
  <c r="F32" i="27"/>
  <c r="H8" i="27"/>
  <c r="F8" i="27"/>
  <c r="F7" i="27"/>
  <c r="H7" i="27"/>
  <c r="H14" i="27"/>
  <c r="F14" i="27"/>
  <c r="B34" i="27"/>
  <c r="L34" i="27" s="1"/>
  <c r="H6" i="27"/>
  <c r="F6" i="27"/>
  <c r="F28" i="27"/>
  <c r="H28" i="27"/>
  <c r="F12" i="27"/>
  <c r="H12" i="27"/>
  <c r="F16" i="27"/>
  <c r="H16" i="27"/>
  <c r="F10" i="27"/>
  <c r="H10" i="27"/>
  <c r="H17" i="27"/>
  <c r="F17" i="27"/>
  <c r="F24" i="27"/>
  <c r="H24" i="27"/>
  <c r="B34" i="17"/>
  <c r="B34" i="14"/>
  <c r="B34" i="28"/>
  <c r="B34" i="16"/>
  <c r="B34" i="12"/>
  <c r="B34" i="15"/>
  <c r="B34" i="13"/>
  <c r="B34" i="11"/>
  <c r="B34" i="26"/>
  <c r="B34" i="22"/>
  <c r="B37" i="25"/>
  <c r="B37" i="24"/>
  <c r="B37" i="23"/>
  <c r="H6" i="11"/>
  <c r="H6" i="14"/>
  <c r="F6" i="14"/>
  <c r="F35" i="24"/>
  <c r="G35" i="24" s="1"/>
  <c r="H35" i="24"/>
  <c r="I35" i="24" s="1"/>
  <c r="F35" i="23"/>
  <c r="G35" i="23" s="1"/>
  <c r="H35" i="23"/>
  <c r="I35" i="23" s="1"/>
  <c r="F36" i="23"/>
  <c r="G36" i="23" s="1"/>
  <c r="H36" i="23"/>
  <c r="I36" i="23" s="1"/>
  <c r="H35" i="25"/>
  <c r="I35" i="25" s="1"/>
  <c r="F35" i="25"/>
  <c r="G35" i="25" s="1"/>
  <c r="F21" i="15"/>
  <c r="F36" i="25"/>
  <c r="G36" i="25" s="1"/>
  <c r="H36" i="25"/>
  <c r="I36" i="25" s="1"/>
  <c r="F36" i="24"/>
  <c r="G36" i="24" s="1"/>
  <c r="H36" i="24"/>
  <c r="I36" i="24" s="1"/>
  <c r="H12" i="15"/>
  <c r="H18" i="15"/>
  <c r="H23" i="15"/>
  <c r="H16" i="15"/>
  <c r="H9" i="15"/>
  <c r="H31" i="15"/>
  <c r="F18" i="25"/>
  <c r="G18" i="25" s="1"/>
  <c r="H18" i="25"/>
  <c r="I18" i="25" s="1"/>
  <c r="H34" i="25"/>
  <c r="I34" i="25" s="1"/>
  <c r="F34" i="25"/>
  <c r="G34" i="25" s="1"/>
  <c r="F27" i="25"/>
  <c r="G27" i="25" s="1"/>
  <c r="H27" i="25"/>
  <c r="I27" i="25" s="1"/>
  <c r="F32" i="25"/>
  <c r="G32" i="25" s="1"/>
  <c r="H32" i="25"/>
  <c r="I32" i="25" s="1"/>
  <c r="H31" i="25"/>
  <c r="I31" i="25" s="1"/>
  <c r="F31" i="25"/>
  <c r="G31" i="25" s="1"/>
  <c r="F30" i="16"/>
  <c r="H30" i="16"/>
  <c r="F23" i="16"/>
  <c r="H23" i="16"/>
  <c r="F16" i="16"/>
  <c r="H16" i="16"/>
  <c r="F9" i="16"/>
  <c r="H9" i="16"/>
  <c r="F31" i="16"/>
  <c r="H31" i="16"/>
  <c r="F24" i="23"/>
  <c r="G24" i="23" s="1"/>
  <c r="H24" i="23"/>
  <c r="I24" i="23" s="1"/>
  <c r="H23" i="23"/>
  <c r="I23" i="23" s="1"/>
  <c r="F23" i="23"/>
  <c r="G23" i="23" s="1"/>
  <c r="F16" i="23"/>
  <c r="G16" i="23" s="1"/>
  <c r="H16" i="23"/>
  <c r="I16" i="23" s="1"/>
  <c r="F9" i="23"/>
  <c r="G9" i="23" s="1"/>
  <c r="H9" i="23"/>
  <c r="I9" i="23" s="1"/>
  <c r="F31" i="23"/>
  <c r="G31" i="23" s="1"/>
  <c r="H31" i="23"/>
  <c r="I31" i="23" s="1"/>
  <c r="F12" i="13"/>
  <c r="H12" i="13"/>
  <c r="F23" i="13"/>
  <c r="H23" i="13"/>
  <c r="F16" i="13"/>
  <c r="H16" i="13"/>
  <c r="F9" i="13"/>
  <c r="H9" i="13"/>
  <c r="F31" i="13"/>
  <c r="H31" i="13"/>
  <c r="F30" i="22"/>
  <c r="H30" i="22"/>
  <c r="F23" i="22"/>
  <c r="H23" i="22"/>
  <c r="H16" i="22"/>
  <c r="F16" i="22"/>
  <c r="F9" i="22"/>
  <c r="H9" i="22"/>
  <c r="H31" i="22"/>
  <c r="F31" i="22"/>
  <c r="H6" i="12"/>
  <c r="F6" i="12"/>
  <c r="H23" i="12"/>
  <c r="F16" i="12"/>
  <c r="H16" i="12"/>
  <c r="F9" i="12"/>
  <c r="H9" i="12"/>
  <c r="F31" i="12"/>
  <c r="H31" i="12"/>
  <c r="H6" i="26"/>
  <c r="F6" i="26"/>
  <c r="H11" i="26"/>
  <c r="F11" i="26"/>
  <c r="F33" i="26"/>
  <c r="H33" i="26"/>
  <c r="F12" i="26"/>
  <c r="H12" i="26"/>
  <c r="F30" i="26"/>
  <c r="H30" i="26"/>
  <c r="F12" i="14"/>
  <c r="H12" i="14"/>
  <c r="F29" i="14"/>
  <c r="H29" i="14"/>
  <c r="H22" i="14"/>
  <c r="F15" i="14"/>
  <c r="H15" i="14"/>
  <c r="F8" i="14"/>
  <c r="H8" i="14"/>
  <c r="F6" i="24"/>
  <c r="H6" i="24"/>
  <c r="H11" i="24"/>
  <c r="I11" i="24" s="1"/>
  <c r="F11" i="24"/>
  <c r="G11" i="24" s="1"/>
  <c r="F33" i="24"/>
  <c r="G33" i="24" s="1"/>
  <c r="H33" i="24"/>
  <c r="I33" i="24" s="1"/>
  <c r="H32" i="24"/>
  <c r="I32" i="24" s="1"/>
  <c r="F32" i="24"/>
  <c r="G32" i="24" s="1"/>
  <c r="F12" i="24"/>
  <c r="G12" i="24" s="1"/>
  <c r="H12" i="24"/>
  <c r="I12" i="24" s="1"/>
  <c r="H6" i="17"/>
  <c r="F6" i="17"/>
  <c r="F29" i="17"/>
  <c r="I29" i="17"/>
  <c r="I22" i="17"/>
  <c r="I15" i="17"/>
  <c r="F15" i="17"/>
  <c r="F8" i="17"/>
  <c r="I8" i="17"/>
  <c r="H6" i="28"/>
  <c r="F6" i="28"/>
  <c r="F11" i="28"/>
  <c r="H11" i="28"/>
  <c r="H33" i="28"/>
  <c r="F33" i="28"/>
  <c r="H12" i="28"/>
  <c r="F12" i="28"/>
  <c r="H30" i="28"/>
  <c r="F30" i="28"/>
  <c r="H25" i="15"/>
  <c r="H28" i="25"/>
  <c r="I28" i="25" s="1"/>
  <c r="F28" i="25"/>
  <c r="G28" i="25" s="1"/>
  <c r="F21" i="25"/>
  <c r="H21" i="25"/>
  <c r="F26" i="25"/>
  <c r="G26" i="25" s="1"/>
  <c r="H26" i="25"/>
  <c r="I26" i="25" s="1"/>
  <c r="H25" i="25"/>
  <c r="I25" i="25" s="1"/>
  <c r="F25" i="25"/>
  <c r="G25" i="25" s="1"/>
  <c r="F24" i="16"/>
  <c r="H24" i="16"/>
  <c r="F17" i="16"/>
  <c r="H17" i="16"/>
  <c r="F10" i="16"/>
  <c r="H10" i="16"/>
  <c r="F32" i="16"/>
  <c r="H32" i="16"/>
  <c r="F25" i="16"/>
  <c r="H25" i="16"/>
  <c r="F6" i="23"/>
  <c r="H6" i="23"/>
  <c r="H17" i="23"/>
  <c r="I17" i="23" s="1"/>
  <c r="F17" i="23"/>
  <c r="G17" i="23" s="1"/>
  <c r="F10" i="23"/>
  <c r="G10" i="23" s="1"/>
  <c r="H10" i="23"/>
  <c r="I10" i="23" s="1"/>
  <c r="H32" i="23"/>
  <c r="I32" i="23" s="1"/>
  <c r="F32" i="23"/>
  <c r="G32" i="23" s="1"/>
  <c r="F25" i="23"/>
  <c r="G25" i="23" s="1"/>
  <c r="H25" i="23"/>
  <c r="I25" i="23" s="1"/>
  <c r="F6" i="13"/>
  <c r="H6" i="13"/>
  <c r="F17" i="13"/>
  <c r="H17" i="13"/>
  <c r="F10" i="13"/>
  <c r="H10" i="13"/>
  <c r="F32" i="13"/>
  <c r="H32" i="13"/>
  <c r="F25" i="13"/>
  <c r="H25" i="13"/>
  <c r="F24" i="22"/>
  <c r="H24" i="22"/>
  <c r="F17" i="22"/>
  <c r="H17" i="22"/>
  <c r="H10" i="22"/>
  <c r="F10" i="22"/>
  <c r="F32" i="22"/>
  <c r="H32" i="22"/>
  <c r="H25" i="22"/>
  <c r="F25" i="22"/>
  <c r="F18" i="12"/>
  <c r="H18" i="12"/>
  <c r="F17" i="12"/>
  <c r="H17" i="12"/>
  <c r="F10" i="12"/>
  <c r="H10" i="12"/>
  <c r="F32" i="12"/>
  <c r="H32" i="12"/>
  <c r="F25" i="12"/>
  <c r="H25" i="12"/>
  <c r="F18" i="26"/>
  <c r="H18" i="26"/>
  <c r="F27" i="26"/>
  <c r="H27" i="26"/>
  <c r="H32" i="26"/>
  <c r="F32" i="26"/>
  <c r="F31" i="26"/>
  <c r="H31" i="26"/>
  <c r="F23" i="14"/>
  <c r="H23" i="14"/>
  <c r="F16" i="14"/>
  <c r="H16" i="14"/>
  <c r="F9" i="14"/>
  <c r="H9" i="14"/>
  <c r="F31" i="14"/>
  <c r="H31" i="14"/>
  <c r="F24" i="24"/>
  <c r="G24" i="24" s="1"/>
  <c r="H24" i="24"/>
  <c r="I24" i="24" s="1"/>
  <c r="F34" i="24"/>
  <c r="G34" i="24" s="1"/>
  <c r="H34" i="24"/>
  <c r="I34" i="24" s="1"/>
  <c r="F27" i="24"/>
  <c r="G27" i="24" s="1"/>
  <c r="H27" i="24"/>
  <c r="I27" i="24" s="1"/>
  <c r="H26" i="24"/>
  <c r="I26" i="24" s="1"/>
  <c r="F26" i="24"/>
  <c r="G26" i="24" s="1"/>
  <c r="F31" i="24"/>
  <c r="G31" i="24" s="1"/>
  <c r="H31" i="24"/>
  <c r="I31" i="24" s="1"/>
  <c r="I30" i="17"/>
  <c r="F30" i="17"/>
  <c r="F23" i="17"/>
  <c r="I23" i="17"/>
  <c r="F16" i="17"/>
  <c r="I16" i="17"/>
  <c r="I9" i="17"/>
  <c r="F9" i="17"/>
  <c r="F31" i="17"/>
  <c r="I31" i="17"/>
  <c r="H18" i="28"/>
  <c r="F18" i="28"/>
  <c r="H27" i="28"/>
  <c r="F27" i="28"/>
  <c r="F32" i="28"/>
  <c r="H32" i="28"/>
  <c r="F31" i="28"/>
  <c r="H31" i="28"/>
  <c r="H17" i="15"/>
  <c r="H32" i="15"/>
  <c r="F6" i="15"/>
  <c r="H6" i="15"/>
  <c r="H11" i="15"/>
  <c r="H33" i="15"/>
  <c r="H26" i="15"/>
  <c r="H19" i="15"/>
  <c r="F29" i="25"/>
  <c r="G29" i="25" s="1"/>
  <c r="H29" i="25"/>
  <c r="I29" i="25" s="1"/>
  <c r="H22" i="25"/>
  <c r="I22" i="25" s="1"/>
  <c r="G22" i="25"/>
  <c r="F15" i="25"/>
  <c r="G15" i="25" s="1"/>
  <c r="H15" i="25"/>
  <c r="I15" i="25" s="1"/>
  <c r="F20" i="25"/>
  <c r="G20" i="25" s="1"/>
  <c r="H20" i="25"/>
  <c r="I20" i="25" s="1"/>
  <c r="H19" i="25"/>
  <c r="I19" i="25" s="1"/>
  <c r="F19" i="25"/>
  <c r="G19" i="25" s="1"/>
  <c r="F18" i="16"/>
  <c r="H18" i="16"/>
  <c r="F11" i="16"/>
  <c r="H11" i="16"/>
  <c r="F33" i="16"/>
  <c r="H33" i="16"/>
  <c r="F26" i="16"/>
  <c r="H26" i="16"/>
  <c r="F19" i="16"/>
  <c r="H19" i="16"/>
  <c r="F18" i="23"/>
  <c r="G18" i="23" s="1"/>
  <c r="H18" i="23"/>
  <c r="I18" i="23" s="1"/>
  <c r="H11" i="23"/>
  <c r="I11" i="23" s="1"/>
  <c r="F11" i="23"/>
  <c r="G11" i="23" s="1"/>
  <c r="F33" i="23"/>
  <c r="G33" i="23" s="1"/>
  <c r="H33" i="23"/>
  <c r="I33" i="23" s="1"/>
  <c r="H26" i="23"/>
  <c r="I26" i="23" s="1"/>
  <c r="F26" i="23"/>
  <c r="G26" i="23" s="1"/>
  <c r="F19" i="23"/>
  <c r="G19" i="23" s="1"/>
  <c r="H19" i="23"/>
  <c r="I19" i="23" s="1"/>
  <c r="F30" i="13"/>
  <c r="H30" i="13"/>
  <c r="F11" i="13"/>
  <c r="H11" i="13"/>
  <c r="H33" i="13"/>
  <c r="F33" i="13"/>
  <c r="F26" i="13"/>
  <c r="H26" i="13"/>
  <c r="H19" i="13"/>
  <c r="F19" i="13"/>
  <c r="F18" i="22"/>
  <c r="H18" i="22"/>
  <c r="F11" i="22"/>
  <c r="H11" i="22"/>
  <c r="F33" i="22"/>
  <c r="H33" i="22"/>
  <c r="F26" i="22"/>
  <c r="H26" i="22"/>
  <c r="H19" i="22"/>
  <c r="F19" i="22"/>
  <c r="F30" i="12"/>
  <c r="H30" i="12"/>
  <c r="F11" i="12"/>
  <c r="H11" i="12"/>
  <c r="F33" i="12"/>
  <c r="H33" i="12"/>
  <c r="F26" i="12"/>
  <c r="H26" i="12"/>
  <c r="F19" i="12"/>
  <c r="H19" i="12"/>
  <c r="F28" i="26"/>
  <c r="H28" i="26"/>
  <c r="F21" i="26"/>
  <c r="H21" i="26"/>
  <c r="H26" i="26"/>
  <c r="F26" i="26"/>
  <c r="F25" i="26"/>
  <c r="H25" i="26"/>
  <c r="F30" i="14"/>
  <c r="H30" i="14"/>
  <c r="F17" i="14"/>
  <c r="H17" i="14"/>
  <c r="F10" i="14"/>
  <c r="H10" i="14"/>
  <c r="F32" i="14"/>
  <c r="H32" i="14"/>
  <c r="F25" i="14"/>
  <c r="H25" i="14"/>
  <c r="F28" i="24"/>
  <c r="G28" i="24" s="1"/>
  <c r="H28" i="24"/>
  <c r="I28" i="24" s="1"/>
  <c r="F21" i="24"/>
  <c r="H21" i="24"/>
  <c r="H20" i="24"/>
  <c r="I20" i="24" s="1"/>
  <c r="F20" i="24"/>
  <c r="G20" i="24" s="1"/>
  <c r="F25" i="24"/>
  <c r="G25" i="24" s="1"/>
  <c r="H25" i="24"/>
  <c r="I25" i="24" s="1"/>
  <c r="I24" i="17"/>
  <c r="F24" i="17"/>
  <c r="F17" i="17"/>
  <c r="I17" i="17"/>
  <c r="F10" i="17"/>
  <c r="I10" i="17"/>
  <c r="F32" i="17"/>
  <c r="I32" i="17"/>
  <c r="F25" i="17"/>
  <c r="I25" i="17"/>
  <c r="F28" i="28"/>
  <c r="H28" i="28"/>
  <c r="H21" i="28"/>
  <c r="F21" i="28"/>
  <c r="F26" i="28"/>
  <c r="H26" i="28"/>
  <c r="F25" i="28"/>
  <c r="H25" i="28"/>
  <c r="H30" i="15"/>
  <c r="H27" i="15"/>
  <c r="H20" i="15"/>
  <c r="H13" i="15"/>
  <c r="F23" i="25"/>
  <c r="G23" i="25" s="1"/>
  <c r="H23" i="25"/>
  <c r="I23" i="25" s="1"/>
  <c r="H16" i="25"/>
  <c r="I16" i="25" s="1"/>
  <c r="F16" i="25"/>
  <c r="G16" i="25" s="1"/>
  <c r="H9" i="25"/>
  <c r="I9" i="25" s="1"/>
  <c r="F9" i="25"/>
  <c r="G9" i="25" s="1"/>
  <c r="F14" i="25"/>
  <c r="G14" i="25" s="1"/>
  <c r="H14" i="25"/>
  <c r="I14" i="25" s="1"/>
  <c r="F13" i="25"/>
  <c r="G13" i="25" s="1"/>
  <c r="H13" i="25"/>
  <c r="I13" i="25" s="1"/>
  <c r="F12" i="16"/>
  <c r="H12" i="16"/>
  <c r="F27" i="16"/>
  <c r="H27" i="16"/>
  <c r="F20" i="16"/>
  <c r="H20" i="16"/>
  <c r="F13" i="16"/>
  <c r="H13" i="16"/>
  <c r="F12" i="23"/>
  <c r="G12" i="23" s="1"/>
  <c r="H12" i="23"/>
  <c r="I12" i="23" s="1"/>
  <c r="F34" i="23"/>
  <c r="G34" i="23" s="1"/>
  <c r="H34" i="23"/>
  <c r="I34" i="23" s="1"/>
  <c r="F27" i="23"/>
  <c r="G27" i="23" s="1"/>
  <c r="H27" i="23"/>
  <c r="I27" i="23" s="1"/>
  <c r="H20" i="23"/>
  <c r="I20" i="23" s="1"/>
  <c r="F20" i="23"/>
  <c r="G20" i="23" s="1"/>
  <c r="F13" i="23"/>
  <c r="G13" i="23" s="1"/>
  <c r="H13" i="23"/>
  <c r="I13" i="23" s="1"/>
  <c r="F24" i="13"/>
  <c r="H24" i="13"/>
  <c r="F27" i="13"/>
  <c r="H27" i="13"/>
  <c r="F20" i="13"/>
  <c r="H20" i="13"/>
  <c r="F13" i="13"/>
  <c r="H13" i="13"/>
  <c r="F12" i="22"/>
  <c r="H12" i="22"/>
  <c r="F27" i="22"/>
  <c r="H27" i="22"/>
  <c r="F20" i="22"/>
  <c r="H20" i="22"/>
  <c r="H13" i="22"/>
  <c r="F13" i="22"/>
  <c r="H24" i="12"/>
  <c r="F27" i="12"/>
  <c r="H27" i="12"/>
  <c r="F20" i="12"/>
  <c r="H20" i="12"/>
  <c r="F13" i="12"/>
  <c r="H13" i="12"/>
  <c r="H29" i="26"/>
  <c r="F29" i="26"/>
  <c r="H22" i="26"/>
  <c r="F15" i="26"/>
  <c r="H15" i="26"/>
  <c r="H20" i="26"/>
  <c r="F20" i="26"/>
  <c r="F19" i="26"/>
  <c r="H19" i="26"/>
  <c r="F24" i="14"/>
  <c r="H24" i="14"/>
  <c r="F11" i="14"/>
  <c r="H11" i="14"/>
  <c r="F33" i="14"/>
  <c r="H33" i="14"/>
  <c r="F26" i="14"/>
  <c r="H26" i="14"/>
  <c r="F19" i="14"/>
  <c r="H19" i="14"/>
  <c r="H29" i="24"/>
  <c r="I29" i="24" s="1"/>
  <c r="F29" i="24"/>
  <c r="G29" i="24" s="1"/>
  <c r="G22" i="24"/>
  <c r="H22" i="24"/>
  <c r="I22" i="24" s="1"/>
  <c r="F15" i="24"/>
  <c r="G15" i="24" s="1"/>
  <c r="H15" i="24"/>
  <c r="I15" i="24" s="1"/>
  <c r="H14" i="24"/>
  <c r="I14" i="24" s="1"/>
  <c r="F14" i="24"/>
  <c r="G14" i="24" s="1"/>
  <c r="F19" i="24"/>
  <c r="G19" i="24" s="1"/>
  <c r="H19" i="24"/>
  <c r="I19" i="24" s="1"/>
  <c r="I12" i="17"/>
  <c r="F12" i="17"/>
  <c r="F11" i="17"/>
  <c r="I11" i="17"/>
  <c r="I33" i="17"/>
  <c r="F33" i="17"/>
  <c r="F26" i="17"/>
  <c r="I26" i="17"/>
  <c r="F19" i="17"/>
  <c r="I19" i="17"/>
  <c r="F6" i="11"/>
  <c r="F29" i="28"/>
  <c r="H29" i="28"/>
  <c r="H22" i="28"/>
  <c r="H15" i="28"/>
  <c r="F15" i="28"/>
  <c r="F20" i="28"/>
  <c r="H20" i="28"/>
  <c r="F19" i="28"/>
  <c r="H19" i="28"/>
  <c r="H28" i="15"/>
  <c r="H21" i="15"/>
  <c r="H14" i="15"/>
  <c r="H7" i="15"/>
  <c r="F17" i="25"/>
  <c r="G17" i="25" s="1"/>
  <c r="H17" i="25"/>
  <c r="I17" i="25" s="1"/>
  <c r="F10" i="25"/>
  <c r="G10" i="25" s="1"/>
  <c r="I10" i="25"/>
  <c r="F30" i="25"/>
  <c r="G30" i="25" s="1"/>
  <c r="H30" i="25"/>
  <c r="I30" i="25" s="1"/>
  <c r="F8" i="25"/>
  <c r="G8" i="25" s="1"/>
  <c r="H8" i="25"/>
  <c r="I8" i="25" s="1"/>
  <c r="F7" i="25"/>
  <c r="G7" i="25" s="1"/>
  <c r="H7" i="25"/>
  <c r="F28" i="16"/>
  <c r="H28" i="16"/>
  <c r="F21" i="16"/>
  <c r="H21" i="16"/>
  <c r="F14" i="16"/>
  <c r="H14" i="16"/>
  <c r="F7" i="16"/>
  <c r="H7" i="16"/>
  <c r="F28" i="23"/>
  <c r="G28" i="23" s="1"/>
  <c r="H28" i="23"/>
  <c r="I28" i="23" s="1"/>
  <c r="F21" i="23"/>
  <c r="H21" i="23"/>
  <c r="H14" i="23"/>
  <c r="I14" i="23" s="1"/>
  <c r="F14" i="23"/>
  <c r="G14" i="23" s="1"/>
  <c r="F7" i="23"/>
  <c r="G7" i="23" s="1"/>
  <c r="H7" i="23"/>
  <c r="I7" i="23" s="1"/>
  <c r="F28" i="13"/>
  <c r="H28" i="13"/>
  <c r="F21" i="13"/>
  <c r="H21" i="13"/>
  <c r="F14" i="13"/>
  <c r="H14" i="13"/>
  <c r="F7" i="13"/>
  <c r="H7" i="13"/>
  <c r="H28" i="22"/>
  <c r="F28" i="22"/>
  <c r="F21" i="22"/>
  <c r="H21" i="22"/>
  <c r="F14" i="22"/>
  <c r="H14" i="22"/>
  <c r="H7" i="22"/>
  <c r="F7" i="22"/>
  <c r="F28" i="12"/>
  <c r="H28" i="12"/>
  <c r="F21" i="12"/>
  <c r="H21" i="12"/>
  <c r="F14" i="12"/>
  <c r="H14" i="12"/>
  <c r="F7" i="12"/>
  <c r="H7" i="12"/>
  <c r="H23" i="26"/>
  <c r="F23" i="26"/>
  <c r="F16" i="26"/>
  <c r="H16" i="26"/>
  <c r="F9" i="26"/>
  <c r="H9" i="26"/>
  <c r="H14" i="26"/>
  <c r="F14" i="26"/>
  <c r="F13" i="26"/>
  <c r="H13" i="26"/>
  <c r="F18" i="14"/>
  <c r="H18" i="14"/>
  <c r="F27" i="14"/>
  <c r="H27" i="14"/>
  <c r="F20" i="14"/>
  <c r="H20" i="14"/>
  <c r="F13" i="14"/>
  <c r="H13" i="14"/>
  <c r="H23" i="24"/>
  <c r="I23" i="24" s="1"/>
  <c r="F23" i="24"/>
  <c r="G23" i="24" s="1"/>
  <c r="F16" i="24"/>
  <c r="G16" i="24" s="1"/>
  <c r="H16" i="24"/>
  <c r="I16" i="24" s="1"/>
  <c r="F9" i="24"/>
  <c r="G9" i="24" s="1"/>
  <c r="H9" i="24"/>
  <c r="I9" i="24" s="1"/>
  <c r="H8" i="24"/>
  <c r="I8" i="24" s="1"/>
  <c r="F8" i="24"/>
  <c r="G8" i="24" s="1"/>
  <c r="F13" i="24"/>
  <c r="G13" i="24" s="1"/>
  <c r="H13" i="24"/>
  <c r="I13" i="24" s="1"/>
  <c r="I18" i="17"/>
  <c r="F18" i="17"/>
  <c r="I27" i="17"/>
  <c r="F27" i="17"/>
  <c r="F20" i="17"/>
  <c r="I20" i="17"/>
  <c r="F13" i="17"/>
  <c r="I13" i="17"/>
  <c r="F23" i="28"/>
  <c r="H23" i="28"/>
  <c r="F16" i="28"/>
  <c r="H16" i="28"/>
  <c r="H9" i="28"/>
  <c r="F9" i="28"/>
  <c r="F14" i="28"/>
  <c r="H14" i="28"/>
  <c r="F13" i="28"/>
  <c r="H13" i="28"/>
  <c r="H10" i="15"/>
  <c r="H24" i="15"/>
  <c r="H29" i="15"/>
  <c r="H22" i="15"/>
  <c r="H15" i="15"/>
  <c r="H8" i="15"/>
  <c r="H6" i="25"/>
  <c r="F6" i="25"/>
  <c r="F11" i="25"/>
  <c r="G11" i="25" s="1"/>
  <c r="H11" i="25"/>
  <c r="I11" i="25" s="1"/>
  <c r="F33" i="25"/>
  <c r="G33" i="25" s="1"/>
  <c r="H33" i="25"/>
  <c r="I33" i="25" s="1"/>
  <c r="H12" i="25"/>
  <c r="I12" i="25" s="1"/>
  <c r="F12" i="25"/>
  <c r="G12" i="25" s="1"/>
  <c r="F24" i="25"/>
  <c r="G24" i="25" s="1"/>
  <c r="H24" i="25"/>
  <c r="I24" i="25" s="1"/>
  <c r="H6" i="16"/>
  <c r="F6" i="16"/>
  <c r="F29" i="16"/>
  <c r="H29" i="16"/>
  <c r="H22" i="16"/>
  <c r="F15" i="16"/>
  <c r="H15" i="16"/>
  <c r="F8" i="16"/>
  <c r="H8" i="16"/>
  <c r="F30" i="23"/>
  <c r="G30" i="23" s="1"/>
  <c r="H30" i="23"/>
  <c r="I30" i="23" s="1"/>
  <c r="H29" i="23"/>
  <c r="I29" i="23" s="1"/>
  <c r="F29" i="23"/>
  <c r="G29" i="23" s="1"/>
  <c r="G22" i="23"/>
  <c r="H22" i="23"/>
  <c r="I22" i="23" s="1"/>
  <c r="F15" i="23"/>
  <c r="G15" i="23" s="1"/>
  <c r="H15" i="23"/>
  <c r="I15" i="23" s="1"/>
  <c r="H8" i="23"/>
  <c r="I8" i="23" s="1"/>
  <c r="F8" i="23"/>
  <c r="G8" i="23" s="1"/>
  <c r="F18" i="13"/>
  <c r="H18" i="13"/>
  <c r="F29" i="13"/>
  <c r="H29" i="13"/>
  <c r="H22" i="13"/>
  <c r="F15" i="13"/>
  <c r="H15" i="13"/>
  <c r="F8" i="13"/>
  <c r="H8" i="13"/>
  <c r="F6" i="22"/>
  <c r="H6" i="22"/>
  <c r="F29" i="22"/>
  <c r="H29" i="22"/>
  <c r="H22" i="22"/>
  <c r="F15" i="22"/>
  <c r="H15" i="22"/>
  <c r="F8" i="22"/>
  <c r="H8" i="22"/>
  <c r="F12" i="12"/>
  <c r="H12" i="12"/>
  <c r="F29" i="12"/>
  <c r="H29" i="12"/>
  <c r="H22" i="12"/>
  <c r="F15" i="12"/>
  <c r="H15" i="12"/>
  <c r="F8" i="12"/>
  <c r="H8" i="12"/>
  <c r="H17" i="26"/>
  <c r="F17" i="26"/>
  <c r="F10" i="26"/>
  <c r="H10" i="26"/>
  <c r="F24" i="26"/>
  <c r="H24" i="26"/>
  <c r="H8" i="26"/>
  <c r="F8" i="26"/>
  <c r="F7" i="26"/>
  <c r="H7" i="26"/>
  <c r="F28" i="14"/>
  <c r="H28" i="14"/>
  <c r="F21" i="14"/>
  <c r="H21" i="14"/>
  <c r="F14" i="14"/>
  <c r="H14" i="14"/>
  <c r="F7" i="14"/>
  <c r="H7" i="14"/>
  <c r="H17" i="24"/>
  <c r="I17" i="24" s="1"/>
  <c r="F17" i="24"/>
  <c r="G17" i="24" s="1"/>
  <c r="F10" i="24"/>
  <c r="G10" i="24" s="1"/>
  <c r="H10" i="24"/>
  <c r="I10" i="24" s="1"/>
  <c r="F18" i="24"/>
  <c r="G18" i="24" s="1"/>
  <c r="H18" i="24"/>
  <c r="I18" i="24" s="1"/>
  <c r="F30" i="24"/>
  <c r="G30" i="24" s="1"/>
  <c r="H30" i="24"/>
  <c r="I30" i="24" s="1"/>
  <c r="F7" i="24"/>
  <c r="G7" i="24" s="1"/>
  <c r="H7" i="24"/>
  <c r="I7" i="24" s="1"/>
  <c r="F28" i="17"/>
  <c r="I28" i="17"/>
  <c r="I21" i="17"/>
  <c r="F21" i="17"/>
  <c r="F14" i="17"/>
  <c r="I14" i="17"/>
  <c r="F7" i="17"/>
  <c r="I7" i="17"/>
  <c r="F17" i="28"/>
  <c r="H17" i="28"/>
  <c r="F10" i="28"/>
  <c r="H10" i="28"/>
  <c r="H24" i="28"/>
  <c r="F24" i="28"/>
  <c r="F8" i="28"/>
  <c r="H8" i="28"/>
  <c r="F7" i="28"/>
  <c r="H7" i="28"/>
  <c r="O34" i="15" l="1"/>
  <c r="H34" i="22"/>
  <c r="F34" i="26"/>
  <c r="F34" i="11"/>
  <c r="H34" i="15"/>
  <c r="F34" i="14"/>
  <c r="F34" i="15"/>
  <c r="F34" i="28"/>
  <c r="H34" i="26"/>
  <c r="F34" i="12"/>
  <c r="H34" i="14"/>
  <c r="H34" i="13"/>
  <c r="H34" i="28"/>
  <c r="F34" i="17"/>
  <c r="I6" i="12"/>
  <c r="I34" i="12" s="1"/>
  <c r="H34" i="12"/>
  <c r="H34" i="11"/>
  <c r="F34" i="27"/>
  <c r="F34" i="16"/>
  <c r="F34" i="13"/>
  <c r="H34" i="17"/>
  <c r="H34" i="27"/>
  <c r="F34" i="22"/>
  <c r="H34" i="16"/>
  <c r="R34" i="28"/>
  <c r="L34" i="13"/>
  <c r="I6" i="13"/>
  <c r="I34" i="13" s="1"/>
  <c r="L34" i="15"/>
  <c r="L34" i="12"/>
  <c r="R34" i="12"/>
  <c r="W34" i="27"/>
  <c r="L34" i="17"/>
  <c r="I6" i="22"/>
  <c r="I34" i="22" s="1"/>
  <c r="L6" i="28"/>
  <c r="R6" i="11"/>
  <c r="R6" i="22"/>
  <c r="R34" i="22" s="1"/>
  <c r="I6" i="27"/>
  <c r="I34" i="27" s="1"/>
  <c r="G6" i="27"/>
  <c r="G34" i="27" s="1"/>
  <c r="G42" i="27" s="1"/>
  <c r="G44" i="27" s="1"/>
  <c r="O7" i="1"/>
  <c r="Q30" i="24"/>
  <c r="N30" i="24"/>
  <c r="K30" i="24"/>
  <c r="T11" i="25"/>
  <c r="Q11" i="25"/>
  <c r="N11" i="25"/>
  <c r="K11" i="25"/>
  <c r="Q7" i="24"/>
  <c r="N7" i="24"/>
  <c r="K7" i="24"/>
  <c r="Q10" i="24"/>
  <c r="N10" i="24"/>
  <c r="K10" i="24"/>
  <c r="Q33" i="25"/>
  <c r="N33" i="25"/>
  <c r="K33" i="25"/>
  <c r="Q9" i="24"/>
  <c r="N9" i="24"/>
  <c r="K9" i="24"/>
  <c r="Q30" i="25"/>
  <c r="N30" i="25"/>
  <c r="K30" i="25"/>
  <c r="Q19" i="24"/>
  <c r="N19" i="24"/>
  <c r="K19" i="24"/>
  <c r="Q22" i="24"/>
  <c r="N22" i="24"/>
  <c r="K22" i="24"/>
  <c r="Q12" i="23"/>
  <c r="N12" i="23"/>
  <c r="K12" i="23"/>
  <c r="Q13" i="25"/>
  <c r="N13" i="25"/>
  <c r="K13" i="25"/>
  <c r="Q20" i="24"/>
  <c r="N20" i="24"/>
  <c r="K20" i="24"/>
  <c r="Q17" i="23"/>
  <c r="N17" i="23"/>
  <c r="K17" i="23"/>
  <c r="Q11" i="24"/>
  <c r="N11" i="24"/>
  <c r="K11" i="24"/>
  <c r="Q9" i="23"/>
  <c r="N9" i="23"/>
  <c r="K9" i="23"/>
  <c r="Q24" i="23"/>
  <c r="N24" i="23"/>
  <c r="K24" i="23"/>
  <c r="Q36" i="23"/>
  <c r="N36" i="23"/>
  <c r="K36" i="23"/>
  <c r="Q35" i="23"/>
  <c r="N35" i="23"/>
  <c r="K35" i="23"/>
  <c r="Q14" i="23"/>
  <c r="N14" i="23"/>
  <c r="K14" i="23"/>
  <c r="Q20" i="23"/>
  <c r="N20" i="23"/>
  <c r="K20" i="23"/>
  <c r="Q16" i="25"/>
  <c r="N16" i="25"/>
  <c r="K16" i="25"/>
  <c r="Q19" i="23"/>
  <c r="N19" i="23"/>
  <c r="K19" i="23"/>
  <c r="Q15" i="25"/>
  <c r="N15" i="25"/>
  <c r="K15" i="25"/>
  <c r="Q24" i="24"/>
  <c r="N24" i="24"/>
  <c r="K24" i="24"/>
  <c r="H37" i="23"/>
  <c r="H37" i="24"/>
  <c r="Q31" i="25"/>
  <c r="N31" i="25"/>
  <c r="K31" i="25"/>
  <c r="Q34" i="25"/>
  <c r="N34" i="25"/>
  <c r="K34" i="25"/>
  <c r="Q36" i="25"/>
  <c r="N36" i="25"/>
  <c r="K36" i="25"/>
  <c r="Q24" i="25"/>
  <c r="N24" i="25"/>
  <c r="K24" i="25"/>
  <c r="Q13" i="24"/>
  <c r="N13" i="24"/>
  <c r="K13" i="24"/>
  <c r="T10" i="25"/>
  <c r="Q10" i="25"/>
  <c r="N10" i="25"/>
  <c r="K10" i="25"/>
  <c r="Q27" i="23"/>
  <c r="N27" i="23"/>
  <c r="K27" i="23"/>
  <c r="Q14" i="25"/>
  <c r="N14" i="25"/>
  <c r="K14" i="25"/>
  <c r="Q23" i="25"/>
  <c r="N23" i="25"/>
  <c r="K23" i="25"/>
  <c r="Q11" i="23"/>
  <c r="N11" i="23"/>
  <c r="K11" i="23"/>
  <c r="Q26" i="24"/>
  <c r="N26" i="24"/>
  <c r="K26" i="24"/>
  <c r="Q32" i="23"/>
  <c r="N32" i="23"/>
  <c r="K32" i="23"/>
  <c r="F37" i="23"/>
  <c r="Q25" i="25"/>
  <c r="N25" i="25"/>
  <c r="K25" i="25"/>
  <c r="Q28" i="25"/>
  <c r="N28" i="25"/>
  <c r="K28" i="25"/>
  <c r="Q32" i="24"/>
  <c r="N32" i="24"/>
  <c r="K32" i="24"/>
  <c r="F37" i="24"/>
  <c r="Q16" i="23"/>
  <c r="N16" i="23"/>
  <c r="K16" i="23"/>
  <c r="Q32" i="25"/>
  <c r="N32" i="25"/>
  <c r="K32" i="25"/>
  <c r="Q18" i="25"/>
  <c r="N18" i="25"/>
  <c r="K18" i="25"/>
  <c r="Q35" i="24"/>
  <c r="N35" i="24"/>
  <c r="K35" i="24"/>
  <c r="Q8" i="23"/>
  <c r="N8" i="23"/>
  <c r="K8" i="23"/>
  <c r="Q16" i="24"/>
  <c r="N16" i="24"/>
  <c r="K16" i="24"/>
  <c r="Q17" i="24"/>
  <c r="N17" i="24"/>
  <c r="K17" i="24"/>
  <c r="Q15" i="23"/>
  <c r="N15" i="23"/>
  <c r="K15" i="23"/>
  <c r="Q30" i="23"/>
  <c r="N30" i="23"/>
  <c r="K30" i="23"/>
  <c r="Q14" i="24"/>
  <c r="N14" i="24"/>
  <c r="K14" i="24"/>
  <c r="Q29" i="24"/>
  <c r="N29" i="24"/>
  <c r="K29" i="24"/>
  <c r="Q25" i="24"/>
  <c r="N25" i="24"/>
  <c r="K25" i="24"/>
  <c r="Q28" i="24"/>
  <c r="N28" i="24"/>
  <c r="K28" i="24"/>
  <c r="Q18" i="23"/>
  <c r="N18" i="23"/>
  <c r="K18" i="23"/>
  <c r="Q27" i="24"/>
  <c r="N27" i="24"/>
  <c r="K27" i="24"/>
  <c r="Q10" i="23"/>
  <c r="N10" i="23"/>
  <c r="K10" i="23"/>
  <c r="Q26" i="25"/>
  <c r="N26" i="25"/>
  <c r="K26" i="25"/>
  <c r="G6" i="17"/>
  <c r="G34" i="17" s="1"/>
  <c r="Q33" i="24"/>
  <c r="N33" i="24"/>
  <c r="K33" i="24"/>
  <c r="Q36" i="24"/>
  <c r="N36" i="24"/>
  <c r="K36" i="24"/>
  <c r="F37" i="25"/>
  <c r="Q7" i="23"/>
  <c r="N7" i="23"/>
  <c r="K7" i="23"/>
  <c r="Q28" i="23"/>
  <c r="N28" i="23"/>
  <c r="K28" i="23"/>
  <c r="T8" i="25"/>
  <c r="Q8" i="25"/>
  <c r="N8" i="25"/>
  <c r="K8" i="25"/>
  <c r="Q17" i="25"/>
  <c r="N17" i="25"/>
  <c r="K17" i="25"/>
  <c r="Q15" i="24"/>
  <c r="N15" i="24"/>
  <c r="K15" i="24"/>
  <c r="Q13" i="23"/>
  <c r="N13" i="23"/>
  <c r="K13" i="23"/>
  <c r="Q34" i="23"/>
  <c r="N34" i="23"/>
  <c r="K34" i="23"/>
  <c r="Q26" i="23"/>
  <c r="N26" i="23"/>
  <c r="K26" i="23"/>
  <c r="Q19" i="25"/>
  <c r="N19" i="25"/>
  <c r="K19" i="25"/>
  <c r="Q22" i="25"/>
  <c r="N22" i="25"/>
  <c r="K22" i="25"/>
  <c r="Q31" i="23"/>
  <c r="N31" i="23"/>
  <c r="K31" i="23"/>
  <c r="Q27" i="25"/>
  <c r="N27" i="25"/>
  <c r="K27" i="25"/>
  <c r="Q29" i="23"/>
  <c r="N29" i="23"/>
  <c r="K29" i="23"/>
  <c r="Q18" i="24"/>
  <c r="N18" i="24"/>
  <c r="K18" i="24"/>
  <c r="Q22" i="23"/>
  <c r="N22" i="23"/>
  <c r="K22" i="23"/>
  <c r="Q12" i="25"/>
  <c r="N12" i="25"/>
  <c r="K12" i="25"/>
  <c r="H37" i="25"/>
  <c r="Q8" i="24"/>
  <c r="N8" i="24"/>
  <c r="K8" i="24"/>
  <c r="Q23" i="24"/>
  <c r="N23" i="24"/>
  <c r="K23" i="24"/>
  <c r="T9" i="25"/>
  <c r="Q9" i="25"/>
  <c r="N9" i="25"/>
  <c r="K9" i="25"/>
  <c r="Q33" i="23"/>
  <c r="N33" i="23"/>
  <c r="K33" i="23"/>
  <c r="Q20" i="25"/>
  <c r="N20" i="25"/>
  <c r="K20" i="25"/>
  <c r="Q29" i="25"/>
  <c r="N29" i="25"/>
  <c r="K29" i="25"/>
  <c r="Q31" i="24"/>
  <c r="N31" i="24"/>
  <c r="K31" i="24"/>
  <c r="Q34" i="24"/>
  <c r="N34" i="24"/>
  <c r="K34" i="24"/>
  <c r="Q25" i="23"/>
  <c r="N25" i="23"/>
  <c r="K25" i="23"/>
  <c r="Q12" i="24"/>
  <c r="N12" i="24"/>
  <c r="K12" i="24"/>
  <c r="Q23" i="23"/>
  <c r="N23" i="23"/>
  <c r="K23" i="23"/>
  <c r="Q35" i="25"/>
  <c r="N35" i="25"/>
  <c r="K35" i="25"/>
  <c r="I6" i="14"/>
  <c r="I34" i="14" s="1"/>
  <c r="L6" i="11"/>
  <c r="U6" i="26"/>
  <c r="I6" i="11"/>
  <c r="I34" i="11" s="1"/>
  <c r="I7" i="25"/>
  <c r="T12" i="25"/>
  <c r="T36" i="24"/>
  <c r="I21" i="24"/>
  <c r="I21" i="25"/>
  <c r="G6" i="12"/>
  <c r="G34" i="12" s="1"/>
  <c r="T35" i="25"/>
  <c r="I21" i="23"/>
  <c r="G21" i="24"/>
  <c r="G21" i="25"/>
  <c r="T36" i="25"/>
  <c r="T35" i="24"/>
  <c r="G21" i="23"/>
  <c r="O6" i="11"/>
  <c r="O34" i="11" s="1"/>
  <c r="U14" i="24"/>
  <c r="W14" i="24" s="1"/>
  <c r="T34" i="25"/>
  <c r="T33" i="25"/>
  <c r="T32" i="25"/>
  <c r="T31" i="25"/>
  <c r="T30" i="25"/>
  <c r="T29" i="25"/>
  <c r="T28" i="25"/>
  <c r="T27" i="25"/>
  <c r="T26" i="25"/>
  <c r="T25" i="25"/>
  <c r="T24" i="25"/>
  <c r="T23" i="25"/>
  <c r="T22" i="25"/>
  <c r="T20" i="25"/>
  <c r="T19" i="25"/>
  <c r="T18" i="25"/>
  <c r="T17" i="25"/>
  <c r="T16" i="25"/>
  <c r="T15" i="25"/>
  <c r="T14" i="25"/>
  <c r="T13" i="25"/>
  <c r="T34" i="24"/>
  <c r="T33" i="24"/>
  <c r="T32" i="24"/>
  <c r="T31" i="24"/>
  <c r="T30" i="24"/>
  <c r="T29" i="24"/>
  <c r="T28" i="24"/>
  <c r="T27" i="24"/>
  <c r="T26" i="24"/>
  <c r="T25" i="24"/>
  <c r="T24" i="24"/>
  <c r="T23" i="24"/>
  <c r="T22" i="24"/>
  <c r="T20" i="24"/>
  <c r="T19" i="24"/>
  <c r="T18" i="24"/>
  <c r="T17" i="24"/>
  <c r="T16" i="24"/>
  <c r="T15" i="24"/>
  <c r="T14" i="24"/>
  <c r="T13" i="24"/>
  <c r="T12" i="24"/>
  <c r="T11" i="24"/>
  <c r="T10" i="24"/>
  <c r="T9" i="24"/>
  <c r="T8" i="24"/>
  <c r="T7" i="24"/>
  <c r="L6" i="14"/>
  <c r="O6" i="14"/>
  <c r="O34" i="14" s="1"/>
  <c r="I6" i="15"/>
  <c r="I34" i="15" s="1"/>
  <c r="I6" i="28"/>
  <c r="G6" i="11"/>
  <c r="G34" i="11" s="1"/>
  <c r="G6" i="15"/>
  <c r="G34" i="15" s="1"/>
  <c r="G6" i="25"/>
  <c r="G6" i="26"/>
  <c r="G34" i="26" s="1"/>
  <c r="G6" i="16"/>
  <c r="G34" i="16" s="1"/>
  <c r="I6" i="25"/>
  <c r="I6" i="23"/>
  <c r="I6" i="24"/>
  <c r="I6" i="26"/>
  <c r="I34" i="26" s="1"/>
  <c r="G6" i="22"/>
  <c r="G34" i="22" s="1"/>
  <c r="I6" i="16"/>
  <c r="I34" i="16" s="1"/>
  <c r="G6" i="14"/>
  <c r="G34" i="14" s="1"/>
  <c r="G6" i="23"/>
  <c r="G6" i="24"/>
  <c r="G6" i="13"/>
  <c r="G34" i="13" s="1"/>
  <c r="G6" i="28"/>
  <c r="G34" i="28" s="1"/>
  <c r="I6" i="17"/>
  <c r="I34" i="17" s="1"/>
  <c r="N6" i="12" l="1"/>
  <c r="N34" i="12" s="1"/>
  <c r="U34" i="26"/>
  <c r="I34" i="28"/>
  <c r="N6" i="28"/>
  <c r="N34" i="28" s="1"/>
  <c r="K6" i="13"/>
  <c r="K34" i="13" s="1"/>
  <c r="L34" i="14"/>
  <c r="W34" i="15"/>
  <c r="R34" i="15"/>
  <c r="R34" i="14"/>
  <c r="L34" i="11"/>
  <c r="L34" i="28"/>
  <c r="W34" i="28"/>
  <c r="L34" i="26"/>
  <c r="O34" i="28"/>
  <c r="K6" i="12"/>
  <c r="K34" i="12" s="1"/>
  <c r="R34" i="26"/>
  <c r="O34" i="17"/>
  <c r="R34" i="17"/>
  <c r="O34" i="13"/>
  <c r="R34" i="11"/>
  <c r="R34" i="13"/>
  <c r="O34" i="16"/>
  <c r="Q6" i="13"/>
  <c r="Q34" i="13" s="1"/>
  <c r="K6" i="22"/>
  <c r="K34" i="22" s="1"/>
  <c r="N6" i="22"/>
  <c r="N34" i="22" s="1"/>
  <c r="N6" i="13"/>
  <c r="N34" i="13" s="1"/>
  <c r="W34" i="12"/>
  <c r="Q6" i="11"/>
  <c r="Q34" i="11" s="1"/>
  <c r="K6" i="11"/>
  <c r="K34" i="11" s="1"/>
  <c r="N6" i="16"/>
  <c r="N34" i="16" s="1"/>
  <c r="Q34" i="16"/>
  <c r="K6" i="27"/>
  <c r="K34" i="27" s="1"/>
  <c r="N6" i="27"/>
  <c r="N34" i="27" s="1"/>
  <c r="Q6" i="28"/>
  <c r="K6" i="28"/>
  <c r="K34" i="28" s="1"/>
  <c r="N6" i="26"/>
  <c r="N34" i="26" s="1"/>
  <c r="K6" i="26"/>
  <c r="K34" i="26" s="1"/>
  <c r="K6" i="17"/>
  <c r="K34" i="17" s="1"/>
  <c r="N6" i="17"/>
  <c r="N34" i="17" s="1"/>
  <c r="N6" i="11"/>
  <c r="N34" i="11" s="1"/>
  <c r="N6" i="14"/>
  <c r="N34" i="14" s="1"/>
  <c r="K6" i="14"/>
  <c r="K34" i="14" s="1"/>
  <c r="K6" i="16"/>
  <c r="K34" i="16" s="1"/>
  <c r="K6" i="15"/>
  <c r="K34" i="15" s="1"/>
  <c r="N6" i="15"/>
  <c r="N34" i="15" s="1"/>
  <c r="V9" i="24"/>
  <c r="I37" i="24"/>
  <c r="V17" i="24"/>
  <c r="V30" i="24"/>
  <c r="H21" i="1"/>
  <c r="T6" i="27"/>
  <c r="V20" i="25"/>
  <c r="G37" i="24"/>
  <c r="V24" i="24"/>
  <c r="V31" i="25"/>
  <c r="Q6" i="27"/>
  <c r="Q34" i="27" s="1"/>
  <c r="V18" i="24"/>
  <c r="V33" i="25"/>
  <c r="V13" i="24"/>
  <c r="V14" i="25"/>
  <c r="V26" i="24"/>
  <c r="V16" i="25"/>
  <c r="V17" i="25"/>
  <c r="V22" i="24"/>
  <c r="V34" i="24"/>
  <c r="V25" i="25"/>
  <c r="G37" i="25"/>
  <c r="H18" i="1" s="1"/>
  <c r="V29" i="24"/>
  <c r="V32" i="25"/>
  <c r="G37" i="23"/>
  <c r="H16" i="1" s="1"/>
  <c r="I37" i="25"/>
  <c r="V10" i="24"/>
  <c r="V14" i="24"/>
  <c r="V23" i="24"/>
  <c r="V13" i="25"/>
  <c r="V26" i="25"/>
  <c r="V30" i="25"/>
  <c r="V34" i="25"/>
  <c r="V35" i="24"/>
  <c r="V12" i="25"/>
  <c r="V11" i="24"/>
  <c r="V32" i="24"/>
  <c r="V18" i="25"/>
  <c r="V36" i="25"/>
  <c r="V7" i="24"/>
  <c r="V15" i="24"/>
  <c r="V19" i="24"/>
  <c r="V28" i="24"/>
  <c r="V23" i="25"/>
  <c r="V12" i="24"/>
  <c r="V16" i="24"/>
  <c r="V20" i="24"/>
  <c r="V25" i="24"/>
  <c r="V15" i="25"/>
  <c r="V19" i="25"/>
  <c r="V24" i="25"/>
  <c r="V28" i="25"/>
  <c r="V26" i="23"/>
  <c r="V34" i="23"/>
  <c r="V35" i="25"/>
  <c r="V27" i="25"/>
  <c r="V31" i="24"/>
  <c r="V22" i="25"/>
  <c r="V8" i="25"/>
  <c r="V11" i="25"/>
  <c r="V29" i="25"/>
  <c r="V36" i="24"/>
  <c r="V8" i="24"/>
  <c r="V27" i="24"/>
  <c r="V33" i="24"/>
  <c r="V33" i="23"/>
  <c r="V28" i="23"/>
  <c r="V10" i="23"/>
  <c r="V30" i="23"/>
  <c r="V8" i="23"/>
  <c r="V24" i="23"/>
  <c r="V17" i="23"/>
  <c r="V11" i="23"/>
  <c r="V10" i="25"/>
  <c r="Q6" i="22"/>
  <c r="Q34" i="22" s="1"/>
  <c r="Q21" i="23"/>
  <c r="N21" i="23"/>
  <c r="K21" i="23"/>
  <c r="Q6" i="15"/>
  <c r="V23" i="23"/>
  <c r="V25" i="23"/>
  <c r="V29" i="23"/>
  <c r="V16" i="23"/>
  <c r="V31" i="23"/>
  <c r="V13" i="23"/>
  <c r="V15" i="23"/>
  <c r="V27" i="23"/>
  <c r="V20" i="23"/>
  <c r="V14" i="23"/>
  <c r="Q21" i="25"/>
  <c r="N21" i="25"/>
  <c r="K21" i="25"/>
  <c r="T7" i="25"/>
  <c r="Q7" i="25"/>
  <c r="N7" i="25"/>
  <c r="K7" i="25"/>
  <c r="V9" i="25"/>
  <c r="V7" i="23"/>
  <c r="V18" i="23"/>
  <c r="V32" i="23"/>
  <c r="V35" i="23"/>
  <c r="V36" i="23"/>
  <c r="V9" i="23"/>
  <c r="V12" i="23"/>
  <c r="I37" i="23"/>
  <c r="Q21" i="24"/>
  <c r="N21" i="24"/>
  <c r="K21" i="24"/>
  <c r="Q6" i="14"/>
  <c r="Q34" i="14" s="1"/>
  <c r="V22" i="23"/>
  <c r="V19" i="23"/>
  <c r="Q6" i="17"/>
  <c r="Q34" i="17" s="1"/>
  <c r="H9" i="1"/>
  <c r="H19" i="1"/>
  <c r="H10" i="1"/>
  <c r="H11" i="1"/>
  <c r="H14" i="1"/>
  <c r="T6" i="26"/>
  <c r="H15" i="1"/>
  <c r="H7" i="1"/>
  <c r="H8" i="1"/>
  <c r="T21" i="25"/>
  <c r="T21" i="24"/>
  <c r="N6" i="24"/>
  <c r="H20" i="1"/>
  <c r="H12" i="1"/>
  <c r="N6" i="23"/>
  <c r="K6" i="23"/>
  <c r="Q6" i="23"/>
  <c r="T6" i="25"/>
  <c r="Q6" i="25"/>
  <c r="N6" i="25"/>
  <c r="K6" i="25"/>
  <c r="Q6" i="26"/>
  <c r="Q34" i="26" s="1"/>
  <c r="T6" i="22"/>
  <c r="Q6" i="12"/>
  <c r="Q34" i="12" s="1"/>
  <c r="T6" i="24"/>
  <c r="Q6" i="24"/>
  <c r="K6" i="24"/>
  <c r="V34" i="26" l="1"/>
  <c r="V35" i="26" s="1"/>
  <c r="Q34" i="15"/>
  <c r="V35" i="15"/>
  <c r="Q34" i="28"/>
  <c r="V34" i="28"/>
  <c r="W34" i="14"/>
  <c r="K36" i="12"/>
  <c r="L7" i="1" s="1"/>
  <c r="W34" i="26"/>
  <c r="N37" i="23"/>
  <c r="V42" i="27"/>
  <c r="V44" i="27" s="1"/>
  <c r="V46" i="27" s="1"/>
  <c r="T34" i="27"/>
  <c r="T34" i="26"/>
  <c r="T34" i="22"/>
  <c r="V34" i="22"/>
  <c r="N37" i="24"/>
  <c r="T34" i="11"/>
  <c r="N36" i="28"/>
  <c r="M20" i="1" s="1"/>
  <c r="J20" i="1"/>
  <c r="Q37" i="24"/>
  <c r="K37" i="23"/>
  <c r="K37" i="24"/>
  <c r="Q37" i="25"/>
  <c r="T37" i="24"/>
  <c r="Q37" i="23"/>
  <c r="K37" i="25"/>
  <c r="Q36" i="22"/>
  <c r="N15" i="1" s="1"/>
  <c r="N37" i="25"/>
  <c r="T37" i="25"/>
  <c r="T36" i="10"/>
  <c r="O11" i="1" s="1"/>
  <c r="Q36" i="17"/>
  <c r="Q36" i="13"/>
  <c r="N13" i="1" s="1"/>
  <c r="T36" i="26"/>
  <c r="O19" i="1" s="1"/>
  <c r="Q36" i="28"/>
  <c r="N20" i="1" s="1"/>
  <c r="V34" i="14"/>
  <c r="T36" i="22"/>
  <c r="O15" i="1" s="1"/>
  <c r="N36" i="17"/>
  <c r="M14" i="1" s="1"/>
  <c r="Q36" i="15"/>
  <c r="N8" i="1" s="1"/>
  <c r="Q36" i="12"/>
  <c r="N7" i="1" s="1"/>
  <c r="V21" i="23"/>
  <c r="T36" i="11"/>
  <c r="O12" i="1" s="1"/>
  <c r="N36" i="16"/>
  <c r="M9" i="1" s="1"/>
  <c r="V21" i="24"/>
  <c r="Q36" i="16"/>
  <c r="N9" i="1" s="1"/>
  <c r="N36" i="14"/>
  <c r="M10" i="1" s="1"/>
  <c r="Q36" i="14"/>
  <c r="N10" i="1" s="1"/>
  <c r="K36" i="14"/>
  <c r="L10" i="1" s="1"/>
  <c r="K36" i="16"/>
  <c r="L9" i="1" s="1"/>
  <c r="V21" i="25"/>
  <c r="N36" i="15"/>
  <c r="M8" i="1" s="1"/>
  <c r="K36" i="22"/>
  <c r="L15" i="1" s="1"/>
  <c r="N36" i="13"/>
  <c r="M13" i="1" s="1"/>
  <c r="K36" i="13"/>
  <c r="L13" i="1" s="1"/>
  <c r="N36" i="11"/>
  <c r="M12" i="1" s="1"/>
  <c r="Q36" i="10"/>
  <c r="N36" i="22"/>
  <c r="N36" i="26"/>
  <c r="Q36" i="26"/>
  <c r="N19" i="1" s="1"/>
  <c r="Q36" i="11"/>
  <c r="N36" i="10"/>
  <c r="M11" i="1" s="1"/>
  <c r="K36" i="10"/>
  <c r="L11" i="1" s="1"/>
  <c r="K36" i="15"/>
  <c r="L8" i="1" s="1"/>
  <c r="N36" i="12"/>
  <c r="M7" i="1" s="1"/>
  <c r="K36" i="26"/>
  <c r="L19" i="1" s="1"/>
  <c r="K36" i="28"/>
  <c r="L20" i="1" s="1"/>
  <c r="K36" i="17"/>
  <c r="L14" i="1" s="1"/>
  <c r="K36" i="11"/>
  <c r="L12" i="1" s="1"/>
  <c r="V7" i="25"/>
  <c r="V6" i="24"/>
  <c r="V6" i="23"/>
  <c r="V6" i="25"/>
  <c r="H13" i="1"/>
  <c r="H22" i="1" s="1"/>
  <c r="P7" i="1" l="1"/>
  <c r="P13" i="1"/>
  <c r="V37" i="24"/>
  <c r="V38" i="24" s="1"/>
  <c r="P8" i="1"/>
  <c r="V34" i="12"/>
  <c r="I7" i="1" s="1"/>
  <c r="K7" i="1" s="1"/>
  <c r="Q7" i="1" s="1"/>
  <c r="P14" i="1"/>
  <c r="P20" i="1"/>
  <c r="P9" i="1"/>
  <c r="P10" i="1"/>
  <c r="I9" i="1"/>
  <c r="V37" i="23"/>
  <c r="V38" i="23" s="1"/>
  <c r="V35" i="14"/>
  <c r="V37" i="25"/>
  <c r="V38" i="25" s="1"/>
  <c r="I21" i="1"/>
  <c r="V35" i="27"/>
  <c r="N11" i="1"/>
  <c r="P11" i="1" s="1"/>
  <c r="N12" i="1"/>
  <c r="P12" i="1" s="1"/>
  <c r="M19" i="1"/>
  <c r="P19" i="1" s="1"/>
  <c r="M15" i="1"/>
  <c r="P15" i="1" s="1"/>
  <c r="I19" i="1"/>
  <c r="K19" i="1" s="1"/>
  <c r="Q19" i="1" s="1"/>
  <c r="V35" i="17"/>
  <c r="I12" i="1"/>
  <c r="K12" i="1" s="1"/>
  <c r="Q12" i="1" s="1"/>
  <c r="J13" i="1"/>
  <c r="V35" i="22"/>
  <c r="V35" i="28"/>
  <c r="I20" i="1"/>
  <c r="K20" i="1" s="1"/>
  <c r="Q20" i="1" s="1"/>
  <c r="P21" i="1" l="1"/>
  <c r="V35" i="12"/>
  <c r="I16" i="1"/>
  <c r="K16" i="1" s="1"/>
  <c r="I15" i="1"/>
  <c r="K15" i="1" s="1"/>
  <c r="Q15" i="1" s="1"/>
  <c r="V35" i="11"/>
  <c r="V35" i="16"/>
  <c r="I13" i="1"/>
  <c r="K13" i="1" s="1"/>
  <c r="Q13" i="1" s="1"/>
  <c r="I8" i="1"/>
  <c r="K8" i="1" s="1"/>
  <c r="Q8" i="1" s="1"/>
  <c r="I14" i="1"/>
  <c r="K14" i="1" s="1"/>
  <c r="Q14" i="1" s="1"/>
  <c r="J14" i="1" l="1"/>
  <c r="I11" i="1"/>
  <c r="K11" i="1" s="1"/>
  <c r="Q11" i="1" s="1"/>
  <c r="K17" i="1" l="1"/>
  <c r="K21" i="1"/>
  <c r="Q21" i="1" s="1"/>
  <c r="K28" i="1" s="1"/>
  <c r="I18" i="1"/>
  <c r="K18" i="1" s="1"/>
  <c r="I10" i="1"/>
  <c r="K10" i="1" s="1"/>
  <c r="Q10" i="1" s="1"/>
  <c r="K9" i="1" l="1"/>
  <c r="I22" i="1"/>
  <c r="C39" i="10"/>
  <c r="K22" i="1" l="1"/>
  <c r="K25" i="1" s="1"/>
  <c r="Q9" i="1"/>
  <c r="C39" i="11"/>
  <c r="U34" i="11"/>
  <c r="J11" i="1" l="1"/>
  <c r="J12" i="1" l="1"/>
  <c r="C39" i="14" l="1"/>
  <c r="J10" i="1" l="1"/>
  <c r="C39" i="16"/>
  <c r="J9" i="1" l="1"/>
  <c r="J8" i="1" l="1"/>
  <c r="C39" i="12"/>
  <c r="C39" i="26" l="1"/>
  <c r="J19" i="1" l="1"/>
  <c r="J7" i="1"/>
  <c r="U33" i="24"/>
  <c r="W33" i="24" s="1"/>
  <c r="U6" i="24"/>
  <c r="W6" i="24" l="1"/>
  <c r="U8" i="24"/>
  <c r="W8" i="24" s="1"/>
  <c r="U16" i="24"/>
  <c r="W16" i="24" s="1"/>
  <c r="U15" i="24"/>
  <c r="W15" i="24" s="1"/>
  <c r="U18" i="24"/>
  <c r="W18" i="24" s="1"/>
  <c r="U21" i="24"/>
  <c r="W21" i="24" s="1"/>
  <c r="U22" i="24"/>
  <c r="W22" i="24" s="1"/>
  <c r="U24" i="24"/>
  <c r="W24" i="24" s="1"/>
  <c r="U27" i="24"/>
  <c r="W27" i="24" s="1"/>
  <c r="U28" i="24"/>
  <c r="W28" i="24" s="1"/>
  <c r="U30" i="24"/>
  <c r="W30" i="24" s="1"/>
  <c r="U32" i="24"/>
  <c r="W32" i="24" s="1"/>
  <c r="C42" i="24"/>
  <c r="U20" i="24"/>
  <c r="W20" i="24" s="1"/>
  <c r="U25" i="24"/>
  <c r="W25" i="24" s="1"/>
  <c r="W37" i="24" l="1"/>
  <c r="U37" i="24"/>
  <c r="U6" i="25"/>
  <c r="U37" i="25" s="1"/>
  <c r="C42" i="25"/>
  <c r="W6" i="25" l="1"/>
  <c r="W37" i="25" s="1"/>
  <c r="U6" i="22" l="1"/>
  <c r="U34" i="22" l="1"/>
  <c r="W34" i="22"/>
  <c r="C42" i="23"/>
  <c r="J15" i="1" l="1"/>
  <c r="J22" i="1" l="1"/>
  <c r="K26" i="1" s="1"/>
  <c r="K27" i="1" s="1"/>
  <c r="K29" i="1" l="1"/>
  <c r="P29" i="1" s="1"/>
  <c r="AB40" i="1"/>
  <c r="AC40" i="1" s="1"/>
  <c r="AC41" i="1" l="1"/>
  <c r="K30" i="1" l="1"/>
  <c r="P30" i="1" s="1"/>
  <c r="K31" i="1" l="1"/>
  <c r="P31" i="1" s="1"/>
  <c r="K32" i="1" l="1"/>
  <c r="P32" i="1" s="1"/>
  <c r="P33" i="1" s="1"/>
  <c r="P35" i="1" s="1"/>
  <c r="K33" i="1" l="1"/>
  <c r="D5" i="29" s="1"/>
  <c r="K35" i="1" l="1"/>
  <c r="K36" i="1" l="1"/>
  <c r="D6" i="29" s="1"/>
  <c r="K37" i="1"/>
  <c r="D8" i="29" s="1"/>
  <c r="K39" i="1" l="1"/>
  <c r="D9" i="29"/>
  <c r="D10" i="29" s="1"/>
</calcChain>
</file>

<file path=xl/sharedStrings.xml><?xml version="1.0" encoding="utf-8"?>
<sst xmlns="http://schemas.openxmlformats.org/spreadsheetml/2006/main" count="577" uniqueCount="135">
  <si>
    <t>Sl No</t>
  </si>
  <si>
    <t xml:space="preserve">Name of Zone </t>
  </si>
  <si>
    <t>Name of city</t>
  </si>
  <si>
    <t>a</t>
  </si>
  <si>
    <t>b</t>
  </si>
  <si>
    <t>c</t>
  </si>
  <si>
    <t>d</t>
  </si>
  <si>
    <t>e</t>
  </si>
  <si>
    <t>BOD</t>
  </si>
  <si>
    <t>TSS</t>
  </si>
  <si>
    <t>COD</t>
  </si>
  <si>
    <t>Contract Amount (Rs)</t>
  </si>
  <si>
    <t>Contract Amount/Month/MLD (Rs)</t>
  </si>
  <si>
    <t>FC</t>
  </si>
  <si>
    <t>Dates</t>
  </si>
  <si>
    <t>Flow</t>
  </si>
  <si>
    <t>As Per CB</t>
  </si>
  <si>
    <t>As Per Actual</t>
  </si>
  <si>
    <t>Fix Charges(60%)</t>
  </si>
  <si>
    <t>Variable Charges(40%)</t>
  </si>
  <si>
    <t>Total</t>
  </si>
  <si>
    <t>AS Per CB</t>
  </si>
  <si>
    <t>Amount Of 24 Mld Stp</t>
  </si>
  <si>
    <t>Ghaziabad</t>
  </si>
  <si>
    <t xml:space="preserve">Ghaziabad  (Indrapuram) </t>
  </si>
  <si>
    <t>Ghaziabad (Dundahera)</t>
  </si>
  <si>
    <t>Gaziabad (Dudahaida)</t>
  </si>
  <si>
    <t>Pilkhuwa</t>
  </si>
  <si>
    <t>Loni</t>
  </si>
  <si>
    <t>Anupshahar</t>
  </si>
  <si>
    <t>Bijnore</t>
  </si>
  <si>
    <t>Rampur</t>
  </si>
  <si>
    <t>Meerut</t>
  </si>
  <si>
    <t>Muzaffrnagar</t>
  </si>
  <si>
    <t>Saharanpur</t>
  </si>
  <si>
    <t xml:space="preserve">Total </t>
  </si>
  <si>
    <t>Amount Of 74 Mld Stp</t>
  </si>
  <si>
    <t>Capicity</t>
  </si>
  <si>
    <t>Amount Of 56 Mld Stp</t>
  </si>
  <si>
    <t>Amount Of 70 Mld Stp</t>
  </si>
  <si>
    <t>Amount Of 3 Mld Stp</t>
  </si>
  <si>
    <t>Amount Of 30 Mld Stp</t>
  </si>
  <si>
    <t>Amount Of .81 Mld STP</t>
  </si>
  <si>
    <t>Amount Of 1.76 Mld STP</t>
  </si>
  <si>
    <t>Amount Of 15 Mld Stp</t>
  </si>
  <si>
    <t>Amount Of 5 Mld Stp</t>
  </si>
  <si>
    <t>Amount Of 14 Mld Stp</t>
  </si>
  <si>
    <t>Amount Of 72 Mld Stp</t>
  </si>
  <si>
    <t>Amount Of 32.5 Mld Stp</t>
  </si>
  <si>
    <t>Amount Of 38 Mld Stp</t>
  </si>
  <si>
    <t>Month wise Contract  Cost VoL -1, Section IV, Clause 39</t>
  </si>
  <si>
    <t xml:space="preserve"> STP wise Cost (Rs)/month</t>
  </si>
  <si>
    <t>f</t>
  </si>
  <si>
    <t>h</t>
  </si>
  <si>
    <t xml:space="preserve">10% Centage/ Supervion  charge to UP Jal Nigam </t>
  </si>
  <si>
    <t>After deducted Perameter Amt.</t>
  </si>
  <si>
    <t>Actual
Achieved</t>
  </si>
  <si>
    <t>Treated for
 Payement
 MLD</t>
  </si>
  <si>
    <t>Actual
achieved</t>
  </si>
  <si>
    <t>Treated for Payement
 MLD</t>
  </si>
  <si>
    <t>Reported Value</t>
  </si>
  <si>
    <t>LD</t>
  </si>
  <si>
    <t>Amount Of 56 
Mld  Stp</t>
  </si>
  <si>
    <t>Grand Total(7+22)</t>
  </si>
  <si>
    <t>Fixed Cost</t>
  </si>
  <si>
    <t>LD recommended by OM&amp;M Cell</t>
  </si>
  <si>
    <t>Total verified amount</t>
  </si>
  <si>
    <t>Verified amount by OM&amp;M Cell</t>
  </si>
  <si>
    <t>Variable cost</t>
  </si>
  <si>
    <t>Amount Recommended By OM&amp;M Cell</t>
  </si>
  <si>
    <t>Total Verified Amount</t>
  </si>
  <si>
    <t>Payable amount</t>
  </si>
  <si>
    <t>Escalation @ 5%</t>
  </si>
  <si>
    <t>Sub Total</t>
  </si>
  <si>
    <r>
      <t xml:space="preserve">Release of withheld amount </t>
    </r>
    <r>
      <rPr>
        <b/>
        <sz val="12"/>
        <color theme="1"/>
        <rFont val="Times New Roman"/>
        <family val="1"/>
      </rPr>
      <t>(amount whitheld in month…......, year …......)</t>
    </r>
  </si>
  <si>
    <t>Sub total</t>
  </si>
  <si>
    <t>Fuel Charges as certified by UPJN</t>
  </si>
  <si>
    <t>Grand total certified by OM&amp;M Cell</t>
  </si>
  <si>
    <t>Grand Total (7+22)</t>
  </si>
  <si>
    <t>Variable Charges (40%)</t>
  </si>
  <si>
    <t>Fix Charges (60%)</t>
  </si>
  <si>
    <t>Grand Total (7+14)</t>
  </si>
  <si>
    <t>j</t>
  </si>
  <si>
    <t>k</t>
  </si>
  <si>
    <t>l</t>
  </si>
  <si>
    <t>Escalation @ 5% 2nd Year</t>
  </si>
  <si>
    <t>Deduction By UPJN</t>
  </si>
  <si>
    <t>NOTE</t>
  </si>
  <si>
    <t>without any flow the firm has produced reports with some value, that is impossible, SO NO PAYMENT RECOMMENDED</t>
  </si>
  <si>
    <t>Capacity</t>
  </si>
  <si>
    <t>BOD&lt;30</t>
  </si>
  <si>
    <t>COD&lt;250</t>
  </si>
  <si>
    <t>TSS&lt;50</t>
  </si>
  <si>
    <t>STP Capacity (MLD)</t>
  </si>
  <si>
    <t>bod</t>
  </si>
  <si>
    <t>cod</t>
  </si>
  <si>
    <t>tss</t>
  </si>
  <si>
    <t>fc</t>
  </si>
  <si>
    <t>Ø-l-</t>
  </si>
  <si>
    <t>isesUV lfVZfQdsV@fcy dk fooj.k</t>
  </si>
  <si>
    <r>
      <t>30</t>
    </r>
    <r>
      <rPr>
        <vertAlign val="superscript"/>
        <sz val="10"/>
        <color theme="1"/>
        <rFont val="Times New Roman"/>
        <family val="1"/>
      </rPr>
      <t>th</t>
    </r>
    <r>
      <rPr>
        <sz val="10"/>
        <color theme="1"/>
        <rFont val="Times New Roman"/>
        <family val="1"/>
      </rPr>
      <t xml:space="preserve"> Payment Certificate/ Bill- </t>
    </r>
    <r>
      <rPr>
        <b/>
        <sz val="10"/>
        <color theme="1"/>
        <rFont val="Times New Roman"/>
        <family val="1"/>
      </rPr>
      <t>May-</t>
    </r>
    <r>
      <rPr>
        <sz val="10"/>
        <color theme="1"/>
        <rFont val="Times New Roman"/>
        <family val="1"/>
      </rPr>
      <t>2022 (Rs.)</t>
    </r>
  </si>
  <si>
    <t>(Balance Amount)</t>
  </si>
  <si>
    <t>1-</t>
  </si>
  <si>
    <t xml:space="preserve">isesUV lfVZfQdsV@fcy ds lkis{k voeqDr dh tkus okyh /kujkf'k  </t>
  </si>
  <si>
    <t>2-</t>
  </si>
  <si>
    <t>th-,l-Vh- ¼12 izfr'kr½</t>
  </si>
  <si>
    <t>3-</t>
  </si>
  <si>
    <r>
      <t xml:space="preserve">¶;wy pktsZl </t>
    </r>
    <r>
      <rPr>
        <sz val="11"/>
        <color theme="1"/>
        <rFont val="Times New Roman"/>
        <family val="1"/>
      </rPr>
      <t>(As per actual Certified by UPJN)</t>
    </r>
  </si>
  <si>
    <t>4-</t>
  </si>
  <si>
    <r>
      <t xml:space="preserve">m0iz0 ty fuxe dks ns; lsUVst@lqijohtu pktsZl </t>
    </r>
    <r>
      <rPr>
        <sz val="11"/>
        <color theme="1"/>
        <rFont val="Times New Roman"/>
        <family val="1"/>
      </rPr>
      <t>(10%)</t>
    </r>
  </si>
  <si>
    <t>5-</t>
  </si>
  <si>
    <t>;ksx ¼1$2$3$4½</t>
  </si>
  <si>
    <t>6-</t>
  </si>
  <si>
    <t>m0ç0 ty fuxe dks vkoafVr dh tkus okyh /kujkf'k</t>
  </si>
  <si>
    <t>7-</t>
  </si>
  <si>
    <t>vkoafVr dh tkus okyh /kujkf'k esa ls ,LØks ,dkmaV esa çcU/k funs'kd] m0ç0 ty fuxe }kjk tek dh tkus okyh /kujkf'k dk fooj.k</t>
  </si>
  <si>
    <t>FC&lt;100</t>
  </si>
  <si>
    <t>GST @ 18 %</t>
  </si>
  <si>
    <t>Escalation @ 5% 3nd Year</t>
  </si>
  <si>
    <t xml:space="preserve">Other LD recommended by UPJN and Jal Kal </t>
  </si>
  <si>
    <t xml:space="preserve">LD as recommeded by OM&amp;M cell on quality parameters (rounded off to nearest thousand) </t>
  </si>
  <si>
    <t xml:space="preserve">Ghaziabad Zone /Payment for the month of FEBRUARY 2023 (As Per VoL -1, Section IV, Clause 39) </t>
  </si>
  <si>
    <t>8 = (5+6+7)*5%</t>
  </si>
  <si>
    <t>5 = (1-2-3-4)</t>
  </si>
  <si>
    <t>6 = (5% * 5)</t>
  </si>
  <si>
    <t>7 = (5 + 6)*5%</t>
  </si>
  <si>
    <t>9 = (5+6+7+8)</t>
  </si>
  <si>
    <t>11= (9+10)</t>
  </si>
  <si>
    <t>12 = (18% * 11)</t>
  </si>
  <si>
    <t>13 = (10% * 12)</t>
  </si>
  <si>
    <t>15 = (+11+12+13+14)</t>
  </si>
  <si>
    <t>TPI</t>
  </si>
  <si>
    <t>UPPCB</t>
  </si>
  <si>
    <t>TPI&amp;UPPCB</t>
  </si>
  <si>
    <t>GM, Jalkal.  Sharanpur,  L.D. against letter No-365/J.K./N.Ni.SRE/2022-23, sharanpur STP (+Deducation Rs. 674173.21)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</si>
</sst>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d\-mmm\-yy;@"/>
    <numFmt numFmtId="165" formatCode="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Book Antiqua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Kruti Dev 010"/>
    </font>
    <font>
      <b/>
      <sz val="12"/>
      <color theme="1"/>
      <name val="Kruti Dev 010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Kruti Dev 010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234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9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5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7" fillId="0" borderId="0" xfId="0" applyFont="1"/>
    <xf numFmtId="2" fontId="1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2" fontId="17" fillId="0" borderId="0" xfId="0" applyNumberFormat="1" applyFont="1"/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justify" vertical="center" wrapText="1"/>
    </xf>
    <xf numFmtId="2" fontId="25" fillId="0" borderId="1" xfId="0" applyNumberFormat="1" applyFont="1" applyBorder="1" applyAlignment="1">
      <alignment horizontal="center" vertical="center" wrapText="1"/>
    </xf>
    <xf numFmtId="4" fontId="12" fillId="0" borderId="0" xfId="0" applyNumberFormat="1" applyFont="1"/>
    <xf numFmtId="43" fontId="28" fillId="0" borderId="0" xfId="1" applyFont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4" fillId="0" borderId="0" xfId="0" applyFont="1"/>
    <xf numFmtId="2" fontId="14" fillId="0" borderId="0" xfId="0" applyNumberFormat="1" applyFont="1"/>
    <xf numFmtId="17" fontId="0" fillId="0" borderId="0" xfId="0" applyNumberFormat="1" applyAlignment="1">
      <alignment horizontal="center" vertical="center"/>
    </xf>
    <xf numFmtId="0" fontId="1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43" fontId="1" fillId="0" borderId="1" xfId="1" applyFont="1" applyFill="1" applyBorder="1" applyAlignment="1">
      <alignment horizontal="center" vertical="center"/>
    </xf>
    <xf numFmtId="0" fontId="16" fillId="0" borderId="0" xfId="0" applyFont="1"/>
    <xf numFmtId="2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 vertical="center"/>
    </xf>
    <xf numFmtId="43" fontId="11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43" fontId="0" fillId="0" borderId="0" xfId="0" applyNumberFormat="1"/>
    <xf numFmtId="1" fontId="0" fillId="0" borderId="0" xfId="0" applyNumberFormat="1" applyAlignment="1">
      <alignment horizontal="center" vertical="center"/>
    </xf>
    <xf numFmtId="0" fontId="14" fillId="0" borderId="13" xfId="0" applyFont="1" applyBorder="1" applyAlignment="1">
      <alignment wrapText="1"/>
    </xf>
    <xf numFmtId="0" fontId="14" fillId="0" borderId="0" xfId="0" applyFont="1" applyAlignment="1">
      <alignment wrapText="1"/>
    </xf>
    <xf numFmtId="43" fontId="14" fillId="0" borderId="0" xfId="1" applyFont="1"/>
    <xf numFmtId="165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0" xfId="0" applyFont="1"/>
    <xf numFmtId="0" fontId="1" fillId="0" borderId="0" xfId="0" applyFont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7" fillId="0" borderId="0" xfId="0" quotePrefix="1" applyNumberFormat="1" applyFont="1"/>
    <xf numFmtId="2" fontId="6" fillId="0" borderId="1" xfId="0" applyNumberFormat="1" applyFont="1" applyBorder="1" applyAlignment="1">
      <alignment horizontal="center"/>
    </xf>
    <xf numFmtId="2" fontId="3" fillId="0" borderId="0" xfId="0" applyNumberFormat="1" applyFont="1"/>
    <xf numFmtId="2" fontId="6" fillId="0" borderId="0" xfId="0" applyNumberFormat="1" applyFont="1"/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0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7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7" fillId="2" borderId="0" xfId="0" applyFont="1" applyFill="1" applyAlignment="1">
      <alignment horizontal="left" vertical="center"/>
    </xf>
    <xf numFmtId="43" fontId="1" fillId="0" borderId="1" xfId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0" fillId="3" borderId="0" xfId="0" applyFill="1"/>
    <xf numFmtId="2" fontId="0" fillId="4" borderId="1" xfId="0" applyNumberForma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17" fillId="2" borderId="0" xfId="0" applyFont="1" applyFill="1"/>
    <xf numFmtId="0" fontId="17" fillId="3" borderId="0" xfId="0" applyFont="1" applyFill="1"/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14" fillId="0" borderId="0" xfId="1" applyFont="1" applyAlignment="1">
      <alignment horizontal="right"/>
    </xf>
    <xf numFmtId="43" fontId="14" fillId="0" borderId="0" xfId="0" applyNumberFormat="1" applyFont="1"/>
    <xf numFmtId="43" fontId="0" fillId="0" borderId="0" xfId="1" applyFont="1"/>
    <xf numFmtId="43" fontId="11" fillId="0" borderId="1" xfId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2" fontId="17" fillId="2" borderId="0" xfId="0" applyNumberFormat="1" applyFont="1" applyFill="1"/>
    <xf numFmtId="164" fontId="0" fillId="3" borderId="1" xfId="0" applyNumberFormat="1" applyFill="1" applyBorder="1" applyAlignment="1">
      <alignment horizontal="center"/>
    </xf>
    <xf numFmtId="2" fontId="17" fillId="3" borderId="0" xfId="0" applyNumberFormat="1" applyFont="1" applyFill="1"/>
    <xf numFmtId="2" fontId="0" fillId="4" borderId="1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2" fontId="15" fillId="0" borderId="5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1" fillId="0" borderId="0" xfId="0" applyFont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58"/>
  <sheetViews>
    <sheetView topLeftCell="A10" zoomScale="80" zoomScaleNormal="80" workbookViewId="0">
      <selection activeCell="J19" sqref="J19"/>
    </sheetView>
  </sheetViews>
  <sheetFormatPr defaultRowHeight="15" x14ac:dyDescent="0.25"/>
  <cols>
    <col min="2" max="2" width="14" bestFit="1" customWidth="1"/>
    <col min="3" max="3" width="13.140625" customWidth="1"/>
    <col min="4" max="4" width="9.28515625" bestFit="1" customWidth="1"/>
    <col min="5" max="5" width="18.28515625" customWidth="1"/>
    <col min="6" max="6" width="16.140625" customWidth="1"/>
    <col min="7" max="7" width="16" customWidth="1"/>
    <col min="8" max="8" width="16.42578125" bestFit="1" customWidth="1"/>
    <col min="9" max="9" width="17.28515625" customWidth="1"/>
    <col min="10" max="10" width="15.7109375" customWidth="1"/>
    <col min="11" max="11" width="17.28515625" customWidth="1"/>
    <col min="12" max="12" width="5.85546875" customWidth="1"/>
    <col min="13" max="13" width="8" customWidth="1"/>
    <col min="14" max="14" width="5.28515625" customWidth="1"/>
    <col min="15" max="15" width="10.5703125" customWidth="1"/>
    <col min="16" max="19" width="19.7109375" customWidth="1"/>
    <col min="28" max="28" width="13.140625" bestFit="1" customWidth="1"/>
    <col min="29" max="29" width="9.42578125" bestFit="1" customWidth="1"/>
  </cols>
  <sheetData>
    <row r="1" spans="1:19" ht="18.75" x14ac:dyDescent="0.3">
      <c r="A1" s="6"/>
      <c r="B1" s="6"/>
      <c r="C1" s="7"/>
      <c r="D1" s="68" t="s">
        <v>121</v>
      </c>
      <c r="E1" s="8"/>
      <c r="F1" s="8"/>
      <c r="G1" s="3"/>
      <c r="H1" s="3"/>
      <c r="I1" s="3"/>
      <c r="J1" s="3"/>
    </row>
    <row r="2" spans="1:19" ht="33.75" customHeight="1" x14ac:dyDescent="0.25">
      <c r="A2" s="34"/>
      <c r="B2" s="34"/>
      <c r="C2" s="35"/>
      <c r="D2" s="36"/>
      <c r="E2" s="36"/>
      <c r="F2" s="36"/>
      <c r="G2" s="178" t="s">
        <v>50</v>
      </c>
      <c r="H2" s="179"/>
      <c r="I2" s="180"/>
      <c r="J2" s="175" t="s">
        <v>65</v>
      </c>
      <c r="K2" s="175" t="s">
        <v>66</v>
      </c>
    </row>
    <row r="3" spans="1:19" ht="17.25" customHeight="1" x14ac:dyDescent="0.25">
      <c r="A3" s="181" t="s">
        <v>0</v>
      </c>
      <c r="B3" s="184" t="s">
        <v>1</v>
      </c>
      <c r="C3" s="184" t="s">
        <v>2</v>
      </c>
      <c r="D3" s="183" t="s">
        <v>93</v>
      </c>
      <c r="E3" s="182" t="s">
        <v>11</v>
      </c>
      <c r="F3" s="182" t="s">
        <v>12</v>
      </c>
      <c r="G3" s="156" t="s">
        <v>51</v>
      </c>
      <c r="H3" s="160" t="s">
        <v>67</v>
      </c>
      <c r="I3" s="161"/>
      <c r="J3" s="176"/>
      <c r="K3" s="176"/>
    </row>
    <row r="4" spans="1:19" ht="17.25" customHeight="1" x14ac:dyDescent="0.25">
      <c r="A4" s="181"/>
      <c r="B4" s="184"/>
      <c r="C4" s="184"/>
      <c r="D4" s="183"/>
      <c r="E4" s="182"/>
      <c r="F4" s="182"/>
      <c r="G4" s="157"/>
      <c r="H4" s="162"/>
      <c r="I4" s="163"/>
      <c r="J4" s="176"/>
      <c r="K4" s="176"/>
    </row>
    <row r="5" spans="1:19" ht="17.25" customHeight="1" x14ac:dyDescent="0.25">
      <c r="A5" s="181"/>
      <c r="B5" s="184"/>
      <c r="C5" s="184"/>
      <c r="D5" s="183"/>
      <c r="E5" s="182"/>
      <c r="F5" s="182"/>
      <c r="G5" s="158"/>
      <c r="H5" s="61" t="s">
        <v>64</v>
      </c>
      <c r="I5" s="61" t="s">
        <v>68</v>
      </c>
      <c r="J5" s="177"/>
      <c r="K5" s="177"/>
      <c r="L5" s="41" t="s">
        <v>94</v>
      </c>
      <c r="M5" s="41" t="s">
        <v>95</v>
      </c>
      <c r="N5" s="41" t="s">
        <v>96</v>
      </c>
      <c r="O5" s="41" t="s">
        <v>97</v>
      </c>
    </row>
    <row r="6" spans="1:19" ht="15" customHeight="1" x14ac:dyDescent="0.25">
      <c r="A6" s="181"/>
      <c r="B6" s="62" t="s">
        <v>3</v>
      </c>
      <c r="C6" s="62" t="s">
        <v>4</v>
      </c>
      <c r="D6" s="62" t="s">
        <v>5</v>
      </c>
      <c r="E6" s="63" t="s">
        <v>6</v>
      </c>
      <c r="F6" s="63" t="s">
        <v>7</v>
      </c>
      <c r="G6" s="64" t="s">
        <v>52</v>
      </c>
      <c r="H6" s="65" t="s">
        <v>53</v>
      </c>
      <c r="I6" s="66" t="s">
        <v>82</v>
      </c>
      <c r="J6" s="37" t="s">
        <v>83</v>
      </c>
      <c r="K6" s="37" t="s">
        <v>84</v>
      </c>
      <c r="L6" s="47"/>
      <c r="M6" s="47"/>
      <c r="N6" s="47"/>
      <c r="O6" s="47"/>
    </row>
    <row r="7" spans="1:19" ht="30" x14ac:dyDescent="0.25">
      <c r="A7" s="9">
        <v>1</v>
      </c>
      <c r="B7" s="167" t="s">
        <v>23</v>
      </c>
      <c r="C7" s="40" t="s">
        <v>24</v>
      </c>
      <c r="D7" s="11">
        <v>74</v>
      </c>
      <c r="E7" s="168">
        <v>1049281950</v>
      </c>
      <c r="F7" s="164">
        <f>E22/D22/12</f>
        <v>177698.63</v>
      </c>
      <c r="G7" s="69">
        <f>ROUND($F$22*D7,2)</f>
        <v>13149698.619999999</v>
      </c>
      <c r="H7" s="70">
        <f>'74 MLDIndirapuram'!G34</f>
        <v>7889819</v>
      </c>
      <c r="I7" s="70">
        <f>'74 MLDIndirapuram'!V34</f>
        <v>4686928.47</v>
      </c>
      <c r="J7" s="16">
        <f>'74 MLDIndirapuram'!W34</f>
        <v>381341.3</v>
      </c>
      <c r="K7" s="16">
        <f>H7+I7</f>
        <v>12576747.470000001</v>
      </c>
      <c r="L7" s="57">
        <f>'74 MLDIndirapuram'!K36</f>
        <v>0</v>
      </c>
      <c r="M7" s="56">
        <f>'74 MLDIndirapuram'!N36</f>
        <v>0</v>
      </c>
      <c r="N7" s="57">
        <f>'74 MLDIndirapuram'!Q36</f>
        <v>1</v>
      </c>
      <c r="O7" s="57">
        <f>'74 MLDIndirapuram'!T36</f>
        <v>28</v>
      </c>
      <c r="P7" s="80">
        <f>SUM(L7:O7)</f>
        <v>29</v>
      </c>
      <c r="Q7" s="1">
        <f>+K7-12576747.13</f>
        <v>0.34</v>
      </c>
    </row>
    <row r="8" spans="1:19" ht="30" x14ac:dyDescent="0.25">
      <c r="A8" s="9">
        <v>2</v>
      </c>
      <c r="B8" s="167"/>
      <c r="C8" s="40" t="s">
        <v>24</v>
      </c>
      <c r="D8" s="11">
        <v>56</v>
      </c>
      <c r="E8" s="169"/>
      <c r="F8" s="165"/>
      <c r="G8" s="69">
        <f t="shared" ref="G8:G21" si="0">ROUND($F$22*D8,2)</f>
        <v>9951123.2799999993</v>
      </c>
      <c r="H8" s="70">
        <f>'56 Indirapuram'!G34</f>
        <v>5640154.5199999996</v>
      </c>
      <c r="I8" s="70">
        <f>'56 Indirapuram'!V34</f>
        <v>3363949.47</v>
      </c>
      <c r="J8" s="16">
        <f>'56 Indirapuram'!W34</f>
        <v>290000</v>
      </c>
      <c r="K8" s="16">
        <f t="shared" ref="K8:K21" si="1">H8+I8</f>
        <v>9004103.9900000002</v>
      </c>
      <c r="L8" s="57">
        <f>'56 Indirapuram'!K36</f>
        <v>0</v>
      </c>
      <c r="M8" s="56">
        <f>'56 Indirapuram'!N36</f>
        <v>1</v>
      </c>
      <c r="N8" s="57">
        <f>'56 Indirapuram'!Q36</f>
        <v>0</v>
      </c>
      <c r="O8" s="57">
        <f>'56 Indirapuram'!T36</f>
        <v>28</v>
      </c>
      <c r="P8" s="80">
        <f t="shared" ref="P8:P20" si="2">SUM(L8:O8)</f>
        <v>29</v>
      </c>
      <c r="Q8" s="1">
        <f>+K8-8983960.16</f>
        <v>20143.830000000002</v>
      </c>
    </row>
    <row r="9" spans="1:19" ht="30.75" customHeight="1" x14ac:dyDescent="0.25">
      <c r="A9" s="9">
        <v>3</v>
      </c>
      <c r="B9" s="167"/>
      <c r="C9" s="10" t="s">
        <v>25</v>
      </c>
      <c r="D9" s="11">
        <v>70</v>
      </c>
      <c r="E9" s="169"/>
      <c r="F9" s="165"/>
      <c r="G9" s="69">
        <f t="shared" si="0"/>
        <v>12438904.1</v>
      </c>
      <c r="H9" s="70">
        <f>'70 MLD Dudahera'!G34</f>
        <v>6678625.5199999996</v>
      </c>
      <c r="I9" s="70">
        <f>'70 MLD Dudahera'!V34</f>
        <v>3959470.74</v>
      </c>
      <c r="J9" s="16">
        <f>'70 MLD Dudahera'!W34</f>
        <v>373167</v>
      </c>
      <c r="K9" s="16">
        <f t="shared" si="1"/>
        <v>10638096.26</v>
      </c>
      <c r="L9" s="57">
        <f>'70 MLD Dudahera'!K36</f>
        <v>0</v>
      </c>
      <c r="M9" s="56">
        <f>'70 MLD Dudahera'!N36</f>
        <v>2</v>
      </c>
      <c r="N9" s="57">
        <f>'70 MLD Dudahera'!Q36</f>
        <v>0</v>
      </c>
      <c r="O9" s="57">
        <f>'70 MLD Dudahera'!T36</f>
        <v>28</v>
      </c>
      <c r="P9" s="80">
        <f t="shared" si="2"/>
        <v>30</v>
      </c>
      <c r="Q9" s="1">
        <f>+K9-10494982.37</f>
        <v>143113.89000000001</v>
      </c>
    </row>
    <row r="10" spans="1:19" ht="31.5" customHeight="1" x14ac:dyDescent="0.25">
      <c r="A10" s="9">
        <v>4</v>
      </c>
      <c r="B10" s="167"/>
      <c r="C10" s="10" t="s">
        <v>26</v>
      </c>
      <c r="D10" s="11">
        <v>56</v>
      </c>
      <c r="E10" s="169"/>
      <c r="F10" s="165"/>
      <c r="G10" s="69">
        <f t="shared" si="0"/>
        <v>9951123.2799999993</v>
      </c>
      <c r="H10" s="70">
        <f>'56 MLd Dudahaida'!G34</f>
        <v>5970674.0800000001</v>
      </c>
      <c r="I10" s="70">
        <f>'56 MLd Dudahaida'!V34</f>
        <v>3582404.56</v>
      </c>
      <c r="J10" s="16">
        <f>'56 MLd Dudahaida'!W34</f>
        <v>280000</v>
      </c>
      <c r="K10" s="16">
        <f t="shared" si="1"/>
        <v>9553078.6400000006</v>
      </c>
      <c r="L10" s="57">
        <f>'56 MLd Dudahaida'!K36</f>
        <v>0</v>
      </c>
      <c r="M10" s="56">
        <f>'56 MLd Dudahaida'!N36</f>
        <v>0</v>
      </c>
      <c r="N10" s="57">
        <f>'56 MLd Dudahaida'!Q36</f>
        <v>0</v>
      </c>
      <c r="O10" s="57">
        <f>'56 MLd Dudahaida'!T36</f>
        <v>28</v>
      </c>
      <c r="P10" s="80">
        <f t="shared" si="2"/>
        <v>28</v>
      </c>
      <c r="Q10" s="1">
        <f>+K10-9553078.09</f>
        <v>0.55000000000000004</v>
      </c>
    </row>
    <row r="11" spans="1:19" ht="16.5" customHeight="1" x14ac:dyDescent="0.25">
      <c r="A11" s="9">
        <v>5</v>
      </c>
      <c r="B11" s="167"/>
      <c r="C11" s="12" t="s">
        <v>27</v>
      </c>
      <c r="D11" s="11">
        <v>3</v>
      </c>
      <c r="E11" s="169"/>
      <c r="F11" s="165"/>
      <c r="G11" s="69">
        <f t="shared" si="0"/>
        <v>533095.89</v>
      </c>
      <c r="H11" s="70">
        <f>'3 MLD Pilkhuwa'!G34</f>
        <v>319743.21000000002</v>
      </c>
      <c r="I11" s="70">
        <f>'3 MLD Pilkhuwa'!V34</f>
        <v>212401.03</v>
      </c>
      <c r="J11" s="16">
        <f>'3 MLD Pilkhuwa'!W34</f>
        <v>10000</v>
      </c>
      <c r="K11" s="16">
        <f t="shared" si="1"/>
        <v>532144.24</v>
      </c>
      <c r="L11" s="57">
        <f>'3 MLD Pilkhuwa'!K36</f>
        <v>0</v>
      </c>
      <c r="M11" s="56">
        <f>'3 MLD Pilkhuwa'!N36</f>
        <v>0</v>
      </c>
      <c r="N11" s="57">
        <f>'3 MLD Pilkhuwa'!Q36</f>
        <v>0</v>
      </c>
      <c r="O11" s="57">
        <f>'3 MLD Pilkhuwa'!T36</f>
        <v>1</v>
      </c>
      <c r="P11" s="80">
        <f t="shared" si="2"/>
        <v>1</v>
      </c>
      <c r="Q11" s="1">
        <f>+K11-528412.25</f>
        <v>3731.99</v>
      </c>
      <c r="R11" s="1"/>
      <c r="S11" s="1"/>
    </row>
    <row r="12" spans="1:19" ht="16.5" customHeight="1" x14ac:dyDescent="0.25">
      <c r="A12" s="9">
        <v>6</v>
      </c>
      <c r="B12" s="167"/>
      <c r="C12" s="12" t="s">
        <v>28</v>
      </c>
      <c r="D12" s="11">
        <v>30</v>
      </c>
      <c r="E12" s="169"/>
      <c r="F12" s="165"/>
      <c r="G12" s="69">
        <f t="shared" si="0"/>
        <v>5330958.9000000004</v>
      </c>
      <c r="H12" s="70">
        <f>'30 MLD LONI'!G34</f>
        <v>2015102.32</v>
      </c>
      <c r="I12" s="70">
        <f>'30 MLD LONI'!V34</f>
        <v>1257040.1200000001</v>
      </c>
      <c r="J12" s="16">
        <f>'30 MLD LONI'!W34</f>
        <v>100000</v>
      </c>
      <c r="K12" s="16">
        <f t="shared" si="1"/>
        <v>3272142.44</v>
      </c>
      <c r="L12" s="57">
        <f>'30 MLD LONI'!K36</f>
        <v>1</v>
      </c>
      <c r="M12" s="56">
        <f>'30 MLD LONI'!N36</f>
        <v>0</v>
      </c>
      <c r="N12" s="57">
        <f>'3 MLD Pilkhuwa'!Q36</f>
        <v>0</v>
      </c>
      <c r="O12" s="57">
        <f>'30 MLD LONI'!T36</f>
        <v>8</v>
      </c>
      <c r="P12" s="80">
        <f t="shared" si="2"/>
        <v>9</v>
      </c>
      <c r="Q12" s="2">
        <f>+K12-3039446.13</f>
        <v>232696</v>
      </c>
      <c r="R12" s="2"/>
      <c r="S12" s="2"/>
    </row>
    <row r="13" spans="1:19" ht="16.5" customHeight="1" x14ac:dyDescent="0.25">
      <c r="A13" s="9">
        <v>7</v>
      </c>
      <c r="B13" s="167"/>
      <c r="C13" s="159" t="s">
        <v>29</v>
      </c>
      <c r="D13" s="11">
        <v>0.81</v>
      </c>
      <c r="E13" s="169"/>
      <c r="F13" s="165"/>
      <c r="G13" s="69">
        <f t="shared" si="0"/>
        <v>143935.89000000001</v>
      </c>
      <c r="H13" s="70">
        <f>'.81 MLD'!G34</f>
        <v>43713.88</v>
      </c>
      <c r="I13" s="70">
        <f>'.81 MLD'!V34</f>
        <v>24563.16</v>
      </c>
      <c r="J13" s="16">
        <f>'.81 MLD'!W34</f>
        <v>360000</v>
      </c>
      <c r="K13" s="16">
        <f t="shared" si="1"/>
        <v>68277.039999999994</v>
      </c>
      <c r="L13" s="57">
        <f>'.81 MLD'!K36</f>
        <v>0</v>
      </c>
      <c r="M13" s="56">
        <f>'.81 MLD'!N36</f>
        <v>4</v>
      </c>
      <c r="N13" s="57">
        <f>'.81 MLD'!Q36</f>
        <v>4</v>
      </c>
      <c r="O13" s="57">
        <f>'.81 MLD'!T36</f>
        <v>28</v>
      </c>
      <c r="P13" s="80">
        <f t="shared" si="2"/>
        <v>36</v>
      </c>
      <c r="Q13" s="1">
        <f>+K13-68744.5</f>
        <v>-467.46</v>
      </c>
    </row>
    <row r="14" spans="1:19" ht="16.5" customHeight="1" x14ac:dyDescent="0.25">
      <c r="A14" s="9">
        <v>8</v>
      </c>
      <c r="B14" s="167"/>
      <c r="C14" s="159"/>
      <c r="D14" s="11">
        <v>1.76</v>
      </c>
      <c r="E14" s="169"/>
      <c r="F14" s="165"/>
      <c r="G14" s="69">
        <f t="shared" si="0"/>
        <v>312749.59000000003</v>
      </c>
      <c r="H14" s="70">
        <f>'1.76 MLD'!G34</f>
        <v>71435</v>
      </c>
      <c r="I14" s="70">
        <f>'1.76 MLD'!V34</f>
        <v>40139.68</v>
      </c>
      <c r="J14" s="16">
        <f>'1.76 MLD'!W34</f>
        <v>360000</v>
      </c>
      <c r="K14" s="16">
        <f t="shared" si="1"/>
        <v>111574.68</v>
      </c>
      <c r="L14" s="57">
        <f>'1.76 MLD'!K36</f>
        <v>0</v>
      </c>
      <c r="M14" s="56">
        <f>'1.76 MLD'!N36</f>
        <v>4</v>
      </c>
      <c r="N14" s="57">
        <f>'1.76 MLD'!P36</f>
        <v>0</v>
      </c>
      <c r="O14" s="57">
        <f>'1.76 MLD'!T36</f>
        <v>28</v>
      </c>
      <c r="P14" s="80">
        <f t="shared" si="2"/>
        <v>32</v>
      </c>
      <c r="Q14" s="1">
        <f>+K14-112594.93</f>
        <v>-1020.25</v>
      </c>
    </row>
    <row r="15" spans="1:19" ht="16.5" customHeight="1" x14ac:dyDescent="0.25">
      <c r="A15" s="9">
        <v>9</v>
      </c>
      <c r="B15" s="167"/>
      <c r="C15" s="12" t="s">
        <v>30</v>
      </c>
      <c r="D15" s="11">
        <v>24</v>
      </c>
      <c r="E15" s="169"/>
      <c r="F15" s="165"/>
      <c r="G15" s="69">
        <f t="shared" si="0"/>
        <v>4264767.12</v>
      </c>
      <c r="H15" s="70">
        <f>'24 MLD Bijnore'!G34</f>
        <v>2267713.87</v>
      </c>
      <c r="I15" s="70">
        <f>'24 MLD Bijnore'!V34</f>
        <v>1506506.07</v>
      </c>
      <c r="J15" s="16">
        <f>'24 MLD Bijnore'!W34</f>
        <v>10000</v>
      </c>
      <c r="K15" s="16">
        <f t="shared" si="1"/>
        <v>3774219.94</v>
      </c>
      <c r="L15" s="57">
        <f>'24 MLD Bijnore'!K36</f>
        <v>0</v>
      </c>
      <c r="M15" s="56">
        <f>'24 MLD Bijnore'!N36</f>
        <v>0</v>
      </c>
      <c r="N15" s="57">
        <f>'24 MLD Bijnore'!Q36</f>
        <v>0</v>
      </c>
      <c r="O15" s="57">
        <f>'24 MLD Bijnore'!T36</f>
        <v>1</v>
      </c>
      <c r="P15" s="80">
        <f t="shared" si="2"/>
        <v>1</v>
      </c>
      <c r="Q15" s="1">
        <f>+K15-3752611.53</f>
        <v>21608.41</v>
      </c>
    </row>
    <row r="16" spans="1:19" ht="16.5" customHeight="1" x14ac:dyDescent="0.25">
      <c r="A16" s="9">
        <v>10</v>
      </c>
      <c r="B16" s="167"/>
      <c r="C16" s="159" t="s">
        <v>31</v>
      </c>
      <c r="D16" s="11">
        <v>15</v>
      </c>
      <c r="E16" s="169"/>
      <c r="F16" s="165"/>
      <c r="G16" s="69">
        <f t="shared" si="0"/>
        <v>2665479.4500000002</v>
      </c>
      <c r="H16" s="70">
        <f>'15 MLD RAMPUR'!G37</f>
        <v>0</v>
      </c>
      <c r="I16" s="70">
        <f>'15 MLD RAMPUR'!V37</f>
        <v>0</v>
      </c>
      <c r="J16" s="16">
        <v>0</v>
      </c>
      <c r="K16" s="16">
        <f t="shared" si="1"/>
        <v>0</v>
      </c>
      <c r="L16" s="57"/>
      <c r="M16" s="56"/>
      <c r="N16" s="57"/>
      <c r="O16" s="57"/>
      <c r="P16" s="80">
        <f t="shared" si="2"/>
        <v>0</v>
      </c>
    </row>
    <row r="17" spans="1:28" ht="16.5" customHeight="1" x14ac:dyDescent="0.25">
      <c r="A17" s="9">
        <v>11</v>
      </c>
      <c r="B17" s="167"/>
      <c r="C17" s="159"/>
      <c r="D17" s="11">
        <v>5</v>
      </c>
      <c r="E17" s="169"/>
      <c r="F17" s="165"/>
      <c r="G17" s="69">
        <f t="shared" si="0"/>
        <v>888493.15</v>
      </c>
      <c r="H17" s="70">
        <v>0</v>
      </c>
      <c r="I17" s="70">
        <v>0</v>
      </c>
      <c r="J17" s="16">
        <v>0</v>
      </c>
      <c r="K17" s="16">
        <f t="shared" si="1"/>
        <v>0</v>
      </c>
      <c r="L17" s="57"/>
      <c r="M17" s="56"/>
      <c r="N17" s="57"/>
      <c r="O17" s="57"/>
      <c r="P17" s="80">
        <f t="shared" si="2"/>
        <v>0</v>
      </c>
    </row>
    <row r="18" spans="1:28" ht="16.5" customHeight="1" x14ac:dyDescent="0.25">
      <c r="A18" s="9">
        <v>12</v>
      </c>
      <c r="B18" s="167"/>
      <c r="C18" s="159"/>
      <c r="D18" s="11">
        <v>14</v>
      </c>
      <c r="E18" s="169"/>
      <c r="F18" s="165"/>
      <c r="G18" s="69">
        <f t="shared" si="0"/>
        <v>2487780.8199999998</v>
      </c>
      <c r="H18" s="70">
        <f>'14 MLD RAMPUR'!G37</f>
        <v>0</v>
      </c>
      <c r="I18" s="70">
        <f>'14 MLD RAMPUR'!V37</f>
        <v>0</v>
      </c>
      <c r="J18" s="16">
        <v>0</v>
      </c>
      <c r="K18" s="16">
        <f t="shared" si="1"/>
        <v>0</v>
      </c>
      <c r="L18" s="57"/>
      <c r="M18" s="56"/>
      <c r="N18" s="57"/>
      <c r="O18" s="57"/>
      <c r="P18" s="80">
        <f t="shared" si="2"/>
        <v>0</v>
      </c>
    </row>
    <row r="19" spans="1:28" ht="16.5" customHeight="1" x14ac:dyDescent="0.25">
      <c r="A19" s="9">
        <v>13</v>
      </c>
      <c r="B19" s="167"/>
      <c r="C19" s="12" t="s">
        <v>32</v>
      </c>
      <c r="D19" s="11">
        <v>72</v>
      </c>
      <c r="E19" s="169"/>
      <c r="F19" s="165"/>
      <c r="G19" s="69">
        <f t="shared" si="0"/>
        <v>12794301.359999999</v>
      </c>
      <c r="H19" s="70">
        <f>'72 MLD MEERUT'!G34</f>
        <v>6933685.9199999999</v>
      </c>
      <c r="I19" s="70">
        <f>'72 MLD MEERUT'!V34</f>
        <v>3945597.46</v>
      </c>
      <c r="J19" s="16">
        <f>'72 MLD MEERUT'!W34</f>
        <v>127117.54</v>
      </c>
      <c r="K19" s="16">
        <f t="shared" si="1"/>
        <v>10879283.380000001</v>
      </c>
      <c r="L19" s="57">
        <f>'72 MLD MEERUT'!K36</f>
        <v>7</v>
      </c>
      <c r="M19" s="56">
        <f>'24 MLD Bijnore'!N36</f>
        <v>0</v>
      </c>
      <c r="N19" s="57">
        <f>'72 MLD MEERUT'!Q36</f>
        <v>1</v>
      </c>
      <c r="O19" s="57">
        <f>'72 MLD MEERUT'!T36</f>
        <v>2</v>
      </c>
      <c r="P19" s="80">
        <f t="shared" si="2"/>
        <v>10</v>
      </c>
      <c r="Q19" s="1">
        <f>+K19-11441315.44</f>
        <v>-562032.06000000006</v>
      </c>
    </row>
    <row r="20" spans="1:28" ht="16.5" customHeight="1" x14ac:dyDescent="0.25">
      <c r="A20" s="9">
        <v>14</v>
      </c>
      <c r="B20" s="167"/>
      <c r="C20" s="12" t="s">
        <v>33</v>
      </c>
      <c r="D20" s="11">
        <v>32.5</v>
      </c>
      <c r="E20" s="169"/>
      <c r="F20" s="165"/>
      <c r="G20" s="69">
        <f t="shared" si="0"/>
        <v>5775205.4800000004</v>
      </c>
      <c r="H20" s="70">
        <f>'32.5 MLD '!G34</f>
        <v>3340988.02</v>
      </c>
      <c r="I20" s="70">
        <f>'32.5 MLD '!V34</f>
        <v>1907341.15</v>
      </c>
      <c r="J20" s="16">
        <f>'32.5 MLD '!W34</f>
        <v>160000</v>
      </c>
      <c r="K20" s="16">
        <f t="shared" si="1"/>
        <v>5248329.17</v>
      </c>
      <c r="L20" s="57">
        <f>'32.5 MLD '!K36</f>
        <v>0</v>
      </c>
      <c r="M20" s="56">
        <f>'32.5 MLD '!N36</f>
        <v>16</v>
      </c>
      <c r="N20" s="57">
        <f>'32.5 MLD '!Q36</f>
        <v>0</v>
      </c>
      <c r="O20" s="57">
        <f>'32.5 MLD '!T36</f>
        <v>0</v>
      </c>
      <c r="P20" s="80">
        <f t="shared" si="2"/>
        <v>16</v>
      </c>
      <c r="Q20" s="1">
        <f>+K20-5009768.49</f>
        <v>238560.68</v>
      </c>
    </row>
    <row r="21" spans="1:28" ht="16.5" customHeight="1" x14ac:dyDescent="0.25">
      <c r="A21" s="9">
        <v>15</v>
      </c>
      <c r="B21" s="167"/>
      <c r="C21" s="12" t="s">
        <v>34</v>
      </c>
      <c r="D21" s="13">
        <v>38</v>
      </c>
      <c r="E21" s="170"/>
      <c r="F21" s="166"/>
      <c r="G21" s="69">
        <f t="shared" si="0"/>
        <v>6752547.9400000004</v>
      </c>
      <c r="H21" s="70">
        <f>'38 MLD'!G34</f>
        <v>4051414.65</v>
      </c>
      <c r="I21" s="70">
        <f>'38 MLD'!V34</f>
        <v>2700943.27</v>
      </c>
      <c r="J21" s="16">
        <v>0</v>
      </c>
      <c r="K21" s="16">
        <f t="shared" si="1"/>
        <v>6752357.9199999999</v>
      </c>
      <c r="P21" s="140">
        <f>SUM(P7:P20)</f>
        <v>221</v>
      </c>
      <c r="Q21" s="138">
        <f>+K21-4020169.38</f>
        <v>2732188.54</v>
      </c>
    </row>
    <row r="22" spans="1:28" ht="16.5" customHeight="1" x14ac:dyDescent="0.25">
      <c r="A22" s="72"/>
      <c r="B22" s="73"/>
      <c r="C22" s="74" t="s">
        <v>35</v>
      </c>
      <c r="D22" s="75">
        <f>SUM(D7:D21)</f>
        <v>492.07</v>
      </c>
      <c r="E22" s="76">
        <f t="shared" ref="E22:F22" si="3">SUM(E7:E21)</f>
        <v>1049281950</v>
      </c>
      <c r="F22" s="77">
        <f t="shared" si="3"/>
        <v>177698.63</v>
      </c>
      <c r="G22" s="77">
        <f>SUM(G7:G21)</f>
        <v>87440164.870000005</v>
      </c>
      <c r="H22" s="16">
        <f>SUM(H7:H21)</f>
        <v>45223069.990000002</v>
      </c>
      <c r="I22" s="16">
        <f t="shared" ref="I22:K22" si="4">SUM(I7:I21)</f>
        <v>27187285.18</v>
      </c>
      <c r="J22" s="16">
        <f>SUM(J7:J21)</f>
        <v>2451625.84</v>
      </c>
      <c r="K22" s="16">
        <f t="shared" si="4"/>
        <v>72410355.170000002</v>
      </c>
      <c r="L22" s="1"/>
    </row>
    <row r="23" spans="1:28" x14ac:dyDescent="0.25">
      <c r="H23" s="5"/>
    </row>
    <row r="24" spans="1:28" ht="36" customHeight="1" x14ac:dyDescent="0.25">
      <c r="A24" s="171" t="s">
        <v>69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11" t="s">
        <v>70</v>
      </c>
      <c r="O24" s="60"/>
      <c r="P24" s="24"/>
    </row>
    <row r="25" spans="1:28" s="58" customFormat="1" ht="22.5" customHeight="1" x14ac:dyDescent="0.25">
      <c r="A25" s="146">
        <v>1</v>
      </c>
      <c r="B25" s="146"/>
      <c r="C25" s="146"/>
      <c r="D25" s="150" t="s">
        <v>70</v>
      </c>
      <c r="E25" s="172"/>
      <c r="F25" s="172"/>
      <c r="G25" s="172"/>
      <c r="H25" s="172"/>
      <c r="I25" s="172"/>
      <c r="J25" s="173"/>
      <c r="K25" s="38">
        <f>+K22</f>
        <v>72410355.170000002</v>
      </c>
      <c r="O25" s="60"/>
      <c r="P25" s="24"/>
    </row>
    <row r="26" spans="1:28" s="58" customFormat="1" ht="22.5" customHeight="1" x14ac:dyDescent="0.25">
      <c r="A26" s="146">
        <v>2</v>
      </c>
      <c r="B26" s="146"/>
      <c r="C26" s="146"/>
      <c r="D26" s="150" t="s">
        <v>120</v>
      </c>
      <c r="E26" s="151"/>
      <c r="F26" s="151"/>
      <c r="G26" s="151"/>
      <c r="H26" s="151"/>
      <c r="I26" s="151"/>
      <c r="J26" s="152"/>
      <c r="K26" s="38">
        <f>+J22</f>
        <v>2451625.84</v>
      </c>
      <c r="O26" s="60"/>
      <c r="P26" s="24"/>
    </row>
    <row r="27" spans="1:28" s="58" customFormat="1" ht="22.5" customHeight="1" x14ac:dyDescent="0.25">
      <c r="A27" s="146">
        <v>3</v>
      </c>
      <c r="B27" s="146"/>
      <c r="C27" s="146"/>
      <c r="D27" s="150" t="s">
        <v>119</v>
      </c>
      <c r="E27" s="151"/>
      <c r="F27" s="151"/>
      <c r="G27" s="151"/>
      <c r="H27" s="151"/>
      <c r="I27" s="151"/>
      <c r="J27" s="152"/>
      <c r="K27" s="38">
        <f>4925936.86-K26</f>
        <v>2474311.02</v>
      </c>
      <c r="O27" s="60"/>
      <c r="P27" s="24"/>
      <c r="AB27" s="58" t="s">
        <v>86</v>
      </c>
    </row>
    <row r="28" spans="1:28" s="58" customFormat="1" ht="39.75" customHeight="1" x14ac:dyDescent="0.25">
      <c r="A28" s="146">
        <v>4</v>
      </c>
      <c r="B28" s="146"/>
      <c r="C28" s="146"/>
      <c r="D28" s="150" t="s">
        <v>134</v>
      </c>
      <c r="E28" s="151"/>
      <c r="F28" s="151"/>
      <c r="G28" s="151"/>
      <c r="H28" s="151"/>
      <c r="I28" s="151"/>
      <c r="J28" s="152"/>
      <c r="K28" s="38">
        <f>+Q21</f>
        <v>2732188.54</v>
      </c>
      <c r="L28" s="81"/>
      <c r="M28" s="82"/>
      <c r="N28" s="82"/>
      <c r="O28" s="82"/>
      <c r="P28" s="24"/>
      <c r="AB28" s="58">
        <v>300000</v>
      </c>
    </row>
    <row r="29" spans="1:28" s="58" customFormat="1" ht="22.5" customHeight="1" x14ac:dyDescent="0.25">
      <c r="A29" s="146" t="s">
        <v>123</v>
      </c>
      <c r="B29" s="146"/>
      <c r="C29" s="146"/>
      <c r="D29" s="147" t="s">
        <v>71</v>
      </c>
      <c r="E29" s="148"/>
      <c r="F29" s="148"/>
      <c r="G29" s="148"/>
      <c r="H29" s="148"/>
      <c r="I29" s="148"/>
      <c r="J29" s="149"/>
      <c r="K29" s="139">
        <f>+K25-K26-K27-K28</f>
        <v>64752229.770000003</v>
      </c>
      <c r="L29" s="81"/>
      <c r="M29" s="82"/>
      <c r="N29" s="82"/>
      <c r="O29" s="82"/>
      <c r="P29" s="24">
        <f>+K29-64655893.55</f>
        <v>96336.22</v>
      </c>
      <c r="AB29" s="58">
        <v>500000</v>
      </c>
    </row>
    <row r="30" spans="1:28" s="58" customFormat="1" ht="22.5" customHeight="1" x14ac:dyDescent="0.25">
      <c r="A30" s="146" t="s">
        <v>124</v>
      </c>
      <c r="B30" s="146"/>
      <c r="C30" s="146"/>
      <c r="D30" s="150" t="s">
        <v>72</v>
      </c>
      <c r="E30" s="151"/>
      <c r="F30" s="151"/>
      <c r="G30" s="151"/>
      <c r="H30" s="151"/>
      <c r="I30" s="151"/>
      <c r="J30" s="152"/>
      <c r="K30" s="38">
        <f>+K29*0.05</f>
        <v>3237611.49</v>
      </c>
      <c r="P30" s="59">
        <f>+K30-3232794.68</f>
        <v>4816.8100000000004</v>
      </c>
      <c r="AB30" s="58">
        <v>100000</v>
      </c>
    </row>
    <row r="31" spans="1:28" s="58" customFormat="1" ht="22.5" customHeight="1" x14ac:dyDescent="0.25">
      <c r="A31" s="174" t="s">
        <v>125</v>
      </c>
      <c r="B31" s="174"/>
      <c r="C31" s="174"/>
      <c r="D31" s="150" t="s">
        <v>85</v>
      </c>
      <c r="E31" s="151"/>
      <c r="F31" s="151"/>
      <c r="G31" s="151"/>
      <c r="H31" s="151"/>
      <c r="I31" s="151"/>
      <c r="J31" s="152"/>
      <c r="K31" s="38">
        <f>(K29+K30)*0.05</f>
        <v>3399492.06</v>
      </c>
      <c r="P31" s="59">
        <f>+K31-3394434.41</f>
        <v>5057.6499999999996</v>
      </c>
      <c r="AB31" s="58">
        <v>100000</v>
      </c>
    </row>
    <row r="32" spans="1:28" s="58" customFormat="1" ht="22.5" customHeight="1" x14ac:dyDescent="0.25">
      <c r="A32" s="174" t="s">
        <v>122</v>
      </c>
      <c r="B32" s="174"/>
      <c r="C32" s="174"/>
      <c r="D32" s="150" t="s">
        <v>118</v>
      </c>
      <c r="E32" s="151"/>
      <c r="F32" s="151"/>
      <c r="G32" s="151"/>
      <c r="H32" s="151"/>
      <c r="I32" s="151"/>
      <c r="J32" s="152"/>
      <c r="K32" s="38">
        <f>(K29+K30+K31)*0.05</f>
        <v>3569466.67</v>
      </c>
      <c r="P32" s="59">
        <f>+K32-3564156.13</f>
        <v>5310.54</v>
      </c>
    </row>
    <row r="33" spans="1:29" s="58" customFormat="1" ht="22.5" customHeight="1" x14ac:dyDescent="0.25">
      <c r="A33" s="146" t="s">
        <v>126</v>
      </c>
      <c r="B33" s="146"/>
      <c r="C33" s="146"/>
      <c r="D33" s="147" t="s">
        <v>73</v>
      </c>
      <c r="E33" s="148"/>
      <c r="F33" s="148"/>
      <c r="G33" s="148"/>
      <c r="H33" s="148"/>
      <c r="I33" s="148"/>
      <c r="J33" s="149"/>
      <c r="K33" s="139">
        <f>+K29+K30+K31+K32</f>
        <v>74958799.989999995</v>
      </c>
      <c r="P33" s="136">
        <f>SUM(P30:P32)</f>
        <v>15185</v>
      </c>
      <c r="AB33" s="58">
        <v>5000000</v>
      </c>
    </row>
    <row r="34" spans="1:29" s="58" customFormat="1" ht="22.5" customHeight="1" x14ac:dyDescent="0.25">
      <c r="A34" s="146">
        <v>10</v>
      </c>
      <c r="B34" s="146"/>
      <c r="C34" s="146"/>
      <c r="D34" s="150" t="s">
        <v>74</v>
      </c>
      <c r="E34" s="151"/>
      <c r="F34" s="151"/>
      <c r="G34" s="151"/>
      <c r="H34" s="151"/>
      <c r="I34" s="151"/>
      <c r="J34" s="152"/>
      <c r="K34" s="38">
        <v>0</v>
      </c>
      <c r="P34" s="58">
        <v>74847278.769999996</v>
      </c>
      <c r="AB34" s="58">
        <v>130568</v>
      </c>
    </row>
    <row r="35" spans="1:29" s="58" customFormat="1" ht="22.5" customHeight="1" x14ac:dyDescent="0.25">
      <c r="A35" s="146" t="s">
        <v>127</v>
      </c>
      <c r="B35" s="146"/>
      <c r="C35" s="146"/>
      <c r="D35" s="147" t="s">
        <v>75</v>
      </c>
      <c r="E35" s="148"/>
      <c r="F35" s="148"/>
      <c r="G35" s="148"/>
      <c r="H35" s="148"/>
      <c r="I35" s="148"/>
      <c r="J35" s="149"/>
      <c r="K35" s="139">
        <f>+K33+K34</f>
        <v>74958799.989999995</v>
      </c>
      <c r="P35" s="137">
        <f>+P34+P33</f>
        <v>74862463.769999996</v>
      </c>
      <c r="AB35" s="58">
        <v>1760144.22</v>
      </c>
    </row>
    <row r="36" spans="1:29" s="58" customFormat="1" ht="22.5" customHeight="1" x14ac:dyDescent="0.25">
      <c r="A36" s="146" t="s">
        <v>128</v>
      </c>
      <c r="B36" s="146"/>
      <c r="C36" s="146"/>
      <c r="D36" s="150" t="s">
        <v>117</v>
      </c>
      <c r="E36" s="151"/>
      <c r="F36" s="151"/>
      <c r="G36" s="151"/>
      <c r="H36" s="151"/>
      <c r="I36" s="151"/>
      <c r="J36" s="152"/>
      <c r="K36" s="39">
        <f>+K35*0.18</f>
        <v>13492584</v>
      </c>
      <c r="P36" s="83"/>
      <c r="AB36" s="58">
        <v>4594084</v>
      </c>
    </row>
    <row r="37" spans="1:29" s="58" customFormat="1" ht="22.5" customHeight="1" x14ac:dyDescent="0.25">
      <c r="A37" s="146" t="s">
        <v>129</v>
      </c>
      <c r="B37" s="146"/>
      <c r="C37" s="146"/>
      <c r="D37" s="150" t="s">
        <v>54</v>
      </c>
      <c r="E37" s="151"/>
      <c r="F37" s="151"/>
      <c r="G37" s="151"/>
      <c r="H37" s="151"/>
      <c r="I37" s="151"/>
      <c r="J37" s="152"/>
      <c r="K37" s="39">
        <f>K35*10%</f>
        <v>7495880</v>
      </c>
      <c r="P37" s="58">
        <v>2502003.84</v>
      </c>
      <c r="AB37" s="58">
        <v>119127.52</v>
      </c>
    </row>
    <row r="38" spans="1:29" s="58" customFormat="1" ht="22.5" customHeight="1" x14ac:dyDescent="0.25">
      <c r="A38" s="146">
        <v>14</v>
      </c>
      <c r="B38" s="146"/>
      <c r="C38" s="146"/>
      <c r="D38" s="150" t="s">
        <v>76</v>
      </c>
      <c r="E38" s="151"/>
      <c r="F38" s="151"/>
      <c r="G38" s="151"/>
      <c r="H38" s="151"/>
      <c r="I38" s="151"/>
      <c r="J38" s="152"/>
      <c r="K38" s="39">
        <v>607737</v>
      </c>
      <c r="P38" s="58">
        <v>2423933.02</v>
      </c>
      <c r="AB38" s="58">
        <f>SUM(AB28:AB37)</f>
        <v>12603923.74</v>
      </c>
    </row>
    <row r="39" spans="1:29" s="58" customFormat="1" ht="22.5" customHeight="1" x14ac:dyDescent="0.25">
      <c r="A39" s="146" t="s">
        <v>130</v>
      </c>
      <c r="B39" s="146"/>
      <c r="C39" s="146"/>
      <c r="D39" s="153" t="s">
        <v>77</v>
      </c>
      <c r="E39" s="154"/>
      <c r="F39" s="154"/>
      <c r="G39" s="154"/>
      <c r="H39" s="154"/>
      <c r="I39" s="154"/>
      <c r="J39" s="155"/>
      <c r="K39" s="71">
        <f>K35+K36+K37+K38</f>
        <v>96555000.989999995</v>
      </c>
      <c r="P39" s="58">
        <v>2732188.54</v>
      </c>
      <c r="AB39" s="58">
        <v>16424655.630000001</v>
      </c>
    </row>
    <row r="40" spans="1:29" ht="15.75" x14ac:dyDescent="0.25">
      <c r="K40" s="1"/>
      <c r="P40" s="137">
        <f>SUM(P37:P39)</f>
        <v>7658125.4000000004</v>
      </c>
      <c r="AB40" s="1" t="e">
        <f>AB39-#REF!</f>
        <v>#REF!</v>
      </c>
      <c r="AC40" t="e">
        <f>AB40/2</f>
        <v>#REF!</v>
      </c>
    </row>
    <row r="41" spans="1:29" x14ac:dyDescent="0.25">
      <c r="K41" s="1"/>
      <c r="AC41" t="e">
        <f>AC40+#REF!</f>
        <v>#REF!</v>
      </c>
    </row>
    <row r="42" spans="1:29" x14ac:dyDescent="0.25">
      <c r="I42" s="79"/>
    </row>
    <row r="43" spans="1:29" x14ac:dyDescent="0.25">
      <c r="I43" s="79"/>
    </row>
    <row r="51" spans="11:11" ht="15.75" x14ac:dyDescent="0.25">
      <c r="K51" s="83"/>
    </row>
    <row r="56" spans="11:11" ht="15.75" x14ac:dyDescent="0.25">
      <c r="K56" s="83"/>
    </row>
    <row r="58" spans="11:11" ht="15.75" x14ac:dyDescent="0.25">
      <c r="K58" s="83"/>
    </row>
  </sheetData>
  <mergeCells count="47">
    <mergeCell ref="D28:J28"/>
    <mergeCell ref="D29:J29"/>
    <mergeCell ref="A31:C31"/>
    <mergeCell ref="A32:C32"/>
    <mergeCell ref="K2:K5"/>
    <mergeCell ref="J2:J5"/>
    <mergeCell ref="G2:I2"/>
    <mergeCell ref="A3:A6"/>
    <mergeCell ref="F3:F5"/>
    <mergeCell ref="E3:E5"/>
    <mergeCell ref="D3:D5"/>
    <mergeCell ref="C3:C5"/>
    <mergeCell ref="B3:B5"/>
    <mergeCell ref="D30:J30"/>
    <mergeCell ref="D31:J31"/>
    <mergeCell ref="D32:J32"/>
    <mergeCell ref="D38:J38"/>
    <mergeCell ref="A38:C38"/>
    <mergeCell ref="A39:C39"/>
    <mergeCell ref="D39:J39"/>
    <mergeCell ref="G3:G5"/>
    <mergeCell ref="C13:C14"/>
    <mergeCell ref="C16:C18"/>
    <mergeCell ref="H3:I4"/>
    <mergeCell ref="F7:F21"/>
    <mergeCell ref="B7:B21"/>
    <mergeCell ref="E7:E21"/>
    <mergeCell ref="A24:J24"/>
    <mergeCell ref="D25:J25"/>
    <mergeCell ref="A25:C25"/>
    <mergeCell ref="D26:J26"/>
    <mergeCell ref="D27:J27"/>
    <mergeCell ref="D35:J35"/>
    <mergeCell ref="D36:J36"/>
    <mergeCell ref="D37:J37"/>
    <mergeCell ref="A33:C33"/>
    <mergeCell ref="A34:C34"/>
    <mergeCell ref="A35:C35"/>
    <mergeCell ref="A36:C36"/>
    <mergeCell ref="A37:C37"/>
    <mergeCell ref="D33:J33"/>
    <mergeCell ref="D34:J34"/>
    <mergeCell ref="A26:C26"/>
    <mergeCell ref="A27:C27"/>
    <mergeCell ref="A28:C28"/>
    <mergeCell ref="A29:C29"/>
    <mergeCell ref="A30:C30"/>
  </mergeCells>
  <pageMargins left="0.78740157480314965" right="0.19685039370078741" top="0.31496062992125984" bottom="0.23622047244094491" header="0.31496062992125984" footer="0.31496062992125984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39"/>
  <sheetViews>
    <sheetView topLeftCell="A2" zoomScaleNormal="100" workbookViewId="0">
      <pane xSplit="1" topLeftCell="M1" activePane="topRight" state="frozen"/>
      <selection activeCell="K16" sqref="K16"/>
      <selection pane="topRight" activeCell="V15" sqref="V15"/>
    </sheetView>
  </sheetViews>
  <sheetFormatPr defaultColWidth="9.140625" defaultRowHeight="15.75" x14ac:dyDescent="0.25"/>
  <cols>
    <col min="1" max="1" width="9.42578125" style="23" bestFit="1" customWidth="1"/>
    <col min="2" max="2" width="12.7109375" style="23" customWidth="1"/>
    <col min="3" max="3" width="8.5703125" style="23" customWidth="1"/>
    <col min="4" max="4" width="8.7109375" style="23" customWidth="1"/>
    <col min="5" max="5" width="10.140625" style="23" customWidth="1"/>
    <col min="6" max="6" width="12.5703125" style="23" customWidth="1"/>
    <col min="7" max="7" width="13.28515625" style="23" customWidth="1"/>
    <col min="8" max="8" width="12.7109375" style="23" customWidth="1"/>
    <col min="9" max="9" width="12.5703125" style="23" bestFit="1" customWidth="1"/>
    <col min="10" max="10" width="9.7109375" style="23" customWidth="1"/>
    <col min="11" max="11" width="12.42578125" style="23" customWidth="1"/>
    <col min="12" max="12" width="9.140625" style="23" customWidth="1"/>
    <col min="13" max="13" width="9.85546875" style="23" customWidth="1"/>
    <col min="14" max="14" width="11.5703125" style="23" customWidth="1"/>
    <col min="15" max="15" width="10.140625" style="23" customWidth="1"/>
    <col min="16" max="16" width="9.5703125" style="23" customWidth="1"/>
    <col min="17" max="17" width="12.85546875" style="23" customWidth="1"/>
    <col min="18" max="18" width="10" style="23" customWidth="1"/>
    <col min="19" max="19" width="10.42578125" style="23" customWidth="1"/>
    <col min="20" max="20" width="10.140625" style="23" bestFit="1" customWidth="1"/>
    <col min="21" max="21" width="11.85546875" style="23" customWidth="1"/>
    <col min="22" max="22" width="15.42578125" style="23" customWidth="1"/>
    <col min="23" max="23" width="13.7109375" style="23" customWidth="1"/>
    <col min="24" max="24" width="9.140625" style="28"/>
  </cols>
  <sheetData>
    <row r="1" spans="1:30" ht="18.75" x14ac:dyDescent="0.3">
      <c r="A1" s="188" t="str">
        <f>'3 MLD Pilkhuwa'!A1:V1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88"/>
      <c r="Y1" s="3"/>
      <c r="Z1" s="3"/>
      <c r="AA1" s="3"/>
      <c r="AB1" s="3"/>
      <c r="AC1" s="3"/>
      <c r="AD1" s="3"/>
    </row>
    <row r="2" spans="1:30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88"/>
      <c r="X2" s="30"/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90" t="s">
        <v>15</v>
      </c>
      <c r="D3" s="194"/>
      <c r="E3" s="44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5"/>
    </row>
    <row r="4" spans="1:30" s="19" customFormat="1" ht="17.25" customHeight="1" x14ac:dyDescent="0.25">
      <c r="A4" s="211" t="s">
        <v>14</v>
      </c>
      <c r="B4" s="209" t="s">
        <v>22</v>
      </c>
      <c r="C4" s="215" t="s">
        <v>37</v>
      </c>
      <c r="D4" s="213" t="s">
        <v>56</v>
      </c>
      <c r="E4" s="213" t="s">
        <v>59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  <c r="X4" s="31"/>
    </row>
    <row r="5" spans="1:30" s="19" customFormat="1" ht="31.5" customHeight="1" x14ac:dyDescent="0.25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X5" s="31"/>
    </row>
    <row r="6" spans="1:30" x14ac:dyDescent="0.25">
      <c r="A6" s="15">
        <v>44958</v>
      </c>
      <c r="B6" s="14">
        <f>Summary!$G$15/28</f>
        <v>152313.10999999999</v>
      </c>
      <c r="C6" s="14">
        <v>24</v>
      </c>
      <c r="D6" s="14">
        <v>21.46</v>
      </c>
      <c r="E6" s="14">
        <f>MIN(D6,C6)</f>
        <v>21.46</v>
      </c>
      <c r="F6" s="14">
        <f>B6*60%</f>
        <v>91387.87</v>
      </c>
      <c r="G6" s="14">
        <f>(F6*E6)/C6</f>
        <v>81715.990000000005</v>
      </c>
      <c r="H6" s="14">
        <f>B6*40%</f>
        <v>60925.24</v>
      </c>
      <c r="I6" s="14">
        <f>(H6*E6)/C6</f>
        <v>54477.32</v>
      </c>
      <c r="J6" s="14">
        <v>9</v>
      </c>
      <c r="K6" s="14">
        <f t="shared" ref="K6" si="0">I6*50%</f>
        <v>27238.66</v>
      </c>
      <c r="L6" s="14">
        <f t="shared" ref="L6" si="1">IF(J6&gt;20,(MAX($B$34*0.1/100,10000)),0)</f>
        <v>0</v>
      </c>
      <c r="M6" s="89">
        <v>48</v>
      </c>
      <c r="N6" s="14">
        <f t="shared" ref="N6" si="2">I6*15%</f>
        <v>8171.6</v>
      </c>
      <c r="O6" s="14">
        <f t="shared" ref="O6" si="3">IF(M6&gt;100,(MAX($B$34*0.1/100,10000)),0)</f>
        <v>0</v>
      </c>
      <c r="P6" s="89">
        <v>22</v>
      </c>
      <c r="Q6" s="14">
        <f t="shared" ref="Q6" si="4">I6*25%</f>
        <v>13619.33</v>
      </c>
      <c r="R6" s="14">
        <f t="shared" ref="R6" si="5">IF(P6&gt;30,(MAX($B$34*0.1/100,10000)),0)</f>
        <v>0</v>
      </c>
      <c r="S6" s="89">
        <v>140</v>
      </c>
      <c r="T6" s="14">
        <f t="shared" ref="T6" si="6">I6*10%</f>
        <v>5447.73</v>
      </c>
      <c r="U6" s="14">
        <f t="shared" ref="U6" si="7">IF(S6&gt;1000,(MAX($B$34*0.1/100,10000)),0)</f>
        <v>0</v>
      </c>
      <c r="V6" s="14">
        <f>T6+Q6+N6+K6</f>
        <v>54477.32</v>
      </c>
      <c r="W6" s="14">
        <f>U6+R6+O6+L6</f>
        <v>0</v>
      </c>
    </row>
    <row r="7" spans="1:30" x14ac:dyDescent="0.25">
      <c r="A7" s="15">
        <v>44959</v>
      </c>
      <c r="B7" s="14">
        <f>Summary!$G$15/28</f>
        <v>152313.10999999999</v>
      </c>
      <c r="C7" s="14">
        <v>24</v>
      </c>
      <c r="D7" s="14">
        <v>21.67</v>
      </c>
      <c r="E7" s="14">
        <f t="shared" ref="E7:E33" si="8">MIN(D7,C7)</f>
        <v>21.67</v>
      </c>
      <c r="F7" s="14">
        <f t="shared" ref="F7:F33" si="9">B7*60%</f>
        <v>91387.87</v>
      </c>
      <c r="G7" s="14">
        <f t="shared" ref="G7:G33" si="10">(F7*E7)/C7</f>
        <v>82515.63</v>
      </c>
      <c r="H7" s="14">
        <f t="shared" ref="H7:H33" si="11">B7*40%</f>
        <v>60925.24</v>
      </c>
      <c r="I7" s="14">
        <f t="shared" ref="I7:I33" si="12">(H7*E7)/C7</f>
        <v>55010.41</v>
      </c>
      <c r="J7" s="14">
        <v>12</v>
      </c>
      <c r="K7" s="14">
        <f t="shared" ref="K7:K33" si="13">I7*50%</f>
        <v>27505.21</v>
      </c>
      <c r="L7" s="14">
        <f t="shared" ref="L7:L33" si="14">IF(J7&gt;20,(MAX($B$34*0.1/100,10000)),0)</f>
        <v>0</v>
      </c>
      <c r="M7" s="89">
        <v>56</v>
      </c>
      <c r="N7" s="14">
        <f t="shared" ref="N7:N33" si="15">I7*15%</f>
        <v>8251.56</v>
      </c>
      <c r="O7" s="14">
        <f t="shared" ref="O7:O33" si="16">IF(M7&gt;100,(MAX($B$34*0.1/100,10000)),0)</f>
        <v>0</v>
      </c>
      <c r="P7" s="89">
        <v>19</v>
      </c>
      <c r="Q7" s="14">
        <f t="shared" ref="Q7:Q33" si="17">I7*25%</f>
        <v>13752.6</v>
      </c>
      <c r="R7" s="14">
        <f t="shared" ref="R7:R33" si="18">IF(P7&gt;30,(MAX($B$34*0.1/100,10000)),0)</f>
        <v>0</v>
      </c>
      <c r="S7" s="89">
        <v>110</v>
      </c>
      <c r="T7" s="14">
        <f t="shared" ref="T7:T33" si="19">I7*10%</f>
        <v>5501.04</v>
      </c>
      <c r="U7" s="14">
        <f t="shared" ref="U7:U33" si="20">IF(S7&gt;1000,(MAX($B$34*0.1/100,10000)),0)</f>
        <v>0</v>
      </c>
      <c r="V7" s="14">
        <f t="shared" ref="V7:V33" si="21">T7+Q7+N7+K7</f>
        <v>55010.41</v>
      </c>
      <c r="W7" s="14">
        <f t="shared" ref="W7:W33" si="22">U7+R7+O7+L7</f>
        <v>0</v>
      </c>
    </row>
    <row r="8" spans="1:30" s="114" customFormat="1" x14ac:dyDescent="0.25">
      <c r="A8" s="112">
        <v>44960</v>
      </c>
      <c r="B8" s="113">
        <f>Summary!$G$15/28</f>
        <v>152313.10999999999</v>
      </c>
      <c r="C8" s="113">
        <v>24</v>
      </c>
      <c r="D8" s="113">
        <v>21.38</v>
      </c>
      <c r="E8" s="14">
        <f t="shared" si="8"/>
        <v>21.38</v>
      </c>
      <c r="F8" s="113">
        <f t="shared" si="9"/>
        <v>91387.87</v>
      </c>
      <c r="G8" s="14">
        <f t="shared" si="10"/>
        <v>81411.360000000001</v>
      </c>
      <c r="H8" s="113">
        <f t="shared" si="11"/>
        <v>60925.24</v>
      </c>
      <c r="I8" s="14">
        <f t="shared" si="12"/>
        <v>54274.23</v>
      </c>
      <c r="J8" s="113">
        <v>10</v>
      </c>
      <c r="K8" s="14">
        <f t="shared" si="13"/>
        <v>27137.119999999999</v>
      </c>
      <c r="L8" s="14">
        <f t="shared" si="14"/>
        <v>0</v>
      </c>
      <c r="M8" s="133">
        <v>52</v>
      </c>
      <c r="N8" s="14">
        <f t="shared" si="15"/>
        <v>8141.13</v>
      </c>
      <c r="O8" s="14">
        <f t="shared" si="16"/>
        <v>0</v>
      </c>
      <c r="P8" s="133">
        <v>18</v>
      </c>
      <c r="Q8" s="14">
        <f t="shared" si="17"/>
        <v>13568.56</v>
      </c>
      <c r="R8" s="14">
        <f t="shared" si="18"/>
        <v>0</v>
      </c>
      <c r="S8" s="133">
        <v>348</v>
      </c>
      <c r="T8" s="14">
        <f t="shared" si="19"/>
        <v>5427.42</v>
      </c>
      <c r="U8" s="14">
        <f t="shared" si="20"/>
        <v>0</v>
      </c>
      <c r="V8" s="14">
        <f t="shared" si="21"/>
        <v>54274.23</v>
      </c>
      <c r="W8" s="14">
        <f t="shared" si="22"/>
        <v>0</v>
      </c>
      <c r="X8" s="124" t="s">
        <v>131</v>
      </c>
    </row>
    <row r="9" spans="1:30" x14ac:dyDescent="0.25">
      <c r="A9" s="15">
        <v>44961</v>
      </c>
      <c r="B9" s="14">
        <f>Summary!$G$15/28</f>
        <v>152313.10999999999</v>
      </c>
      <c r="C9" s="14">
        <v>24</v>
      </c>
      <c r="D9" s="14">
        <v>21.09</v>
      </c>
      <c r="E9" s="14">
        <f t="shared" si="8"/>
        <v>21.09</v>
      </c>
      <c r="F9" s="14">
        <f t="shared" si="9"/>
        <v>91387.87</v>
      </c>
      <c r="G9" s="14">
        <f t="shared" si="10"/>
        <v>80307.09</v>
      </c>
      <c r="H9" s="14">
        <f t="shared" si="11"/>
        <v>60925.24</v>
      </c>
      <c r="I9" s="14">
        <f t="shared" si="12"/>
        <v>53538.05</v>
      </c>
      <c r="J9" s="14">
        <v>11</v>
      </c>
      <c r="K9" s="14">
        <f t="shared" si="13"/>
        <v>26769.03</v>
      </c>
      <c r="L9" s="14">
        <f t="shared" si="14"/>
        <v>0</v>
      </c>
      <c r="M9" s="89">
        <v>52</v>
      </c>
      <c r="N9" s="14">
        <f t="shared" si="15"/>
        <v>8030.71</v>
      </c>
      <c r="O9" s="14">
        <f t="shared" si="16"/>
        <v>0</v>
      </c>
      <c r="P9" s="89">
        <v>21</v>
      </c>
      <c r="Q9" s="14">
        <f t="shared" si="17"/>
        <v>13384.51</v>
      </c>
      <c r="R9" s="14">
        <f t="shared" si="18"/>
        <v>0</v>
      </c>
      <c r="S9" s="89">
        <v>140</v>
      </c>
      <c r="T9" s="14">
        <f t="shared" si="19"/>
        <v>5353.81</v>
      </c>
      <c r="U9" s="14">
        <f t="shared" si="20"/>
        <v>0</v>
      </c>
      <c r="V9" s="14">
        <f t="shared" si="21"/>
        <v>53538.06</v>
      </c>
      <c r="W9" s="14">
        <f t="shared" si="22"/>
        <v>0</v>
      </c>
    </row>
    <row r="10" spans="1:30" x14ac:dyDescent="0.25">
      <c r="A10" s="15">
        <v>44962</v>
      </c>
      <c r="B10" s="14">
        <f>Summary!$G$15/28</f>
        <v>152313.10999999999</v>
      </c>
      <c r="C10" s="14">
        <v>24</v>
      </c>
      <c r="D10" s="14">
        <v>21.28</v>
      </c>
      <c r="E10" s="14">
        <f t="shared" si="8"/>
        <v>21.28</v>
      </c>
      <c r="F10" s="14">
        <f t="shared" si="9"/>
        <v>91387.87</v>
      </c>
      <c r="G10" s="14">
        <f t="shared" si="10"/>
        <v>81030.58</v>
      </c>
      <c r="H10" s="14">
        <f t="shared" si="11"/>
        <v>60925.24</v>
      </c>
      <c r="I10" s="14">
        <f t="shared" si="12"/>
        <v>54020.38</v>
      </c>
      <c r="J10" s="14">
        <v>8</v>
      </c>
      <c r="K10" s="14">
        <f t="shared" si="13"/>
        <v>27010.19</v>
      </c>
      <c r="L10" s="14">
        <f t="shared" si="14"/>
        <v>0</v>
      </c>
      <c r="M10" s="89">
        <v>48</v>
      </c>
      <c r="N10" s="14">
        <f t="shared" si="15"/>
        <v>8103.06</v>
      </c>
      <c r="O10" s="14">
        <f t="shared" si="16"/>
        <v>0</v>
      </c>
      <c r="P10" s="89">
        <v>19</v>
      </c>
      <c r="Q10" s="14">
        <f t="shared" si="17"/>
        <v>13505.1</v>
      </c>
      <c r="R10" s="14">
        <f t="shared" si="18"/>
        <v>0</v>
      </c>
      <c r="S10" s="89">
        <v>120</v>
      </c>
      <c r="T10" s="14">
        <f t="shared" si="19"/>
        <v>5402.04</v>
      </c>
      <c r="U10" s="14">
        <f t="shared" si="20"/>
        <v>0</v>
      </c>
      <c r="V10" s="14">
        <f t="shared" si="21"/>
        <v>54020.39</v>
      </c>
      <c r="W10" s="14">
        <f t="shared" si="22"/>
        <v>0</v>
      </c>
    </row>
    <row r="11" spans="1:30" x14ac:dyDescent="0.25">
      <c r="A11" s="15">
        <v>44963</v>
      </c>
      <c r="B11" s="14">
        <f>Summary!$G$15/28</f>
        <v>152313.10999999999</v>
      </c>
      <c r="C11" s="14">
        <v>24</v>
      </c>
      <c r="D11" s="14">
        <v>21.58</v>
      </c>
      <c r="E11" s="14">
        <f t="shared" si="8"/>
        <v>21.58</v>
      </c>
      <c r="F11" s="14">
        <f t="shared" si="9"/>
        <v>91387.87</v>
      </c>
      <c r="G11" s="14">
        <f t="shared" si="10"/>
        <v>82172.929999999993</v>
      </c>
      <c r="H11" s="14">
        <f t="shared" si="11"/>
        <v>60925.24</v>
      </c>
      <c r="I11" s="14">
        <f t="shared" si="12"/>
        <v>54781.94</v>
      </c>
      <c r="J11" s="14">
        <v>12</v>
      </c>
      <c r="K11" s="14">
        <f t="shared" si="13"/>
        <v>27390.97</v>
      </c>
      <c r="L11" s="14">
        <f t="shared" si="14"/>
        <v>0</v>
      </c>
      <c r="M11" s="89">
        <v>56</v>
      </c>
      <c r="N11" s="14">
        <f t="shared" si="15"/>
        <v>8217.2900000000009</v>
      </c>
      <c r="O11" s="14">
        <f t="shared" si="16"/>
        <v>0</v>
      </c>
      <c r="P11" s="89">
        <v>22</v>
      </c>
      <c r="Q11" s="14">
        <f t="shared" si="17"/>
        <v>13695.49</v>
      </c>
      <c r="R11" s="14">
        <f t="shared" si="18"/>
        <v>0</v>
      </c>
      <c r="S11" s="89">
        <v>170</v>
      </c>
      <c r="T11" s="14">
        <f t="shared" si="19"/>
        <v>5478.19</v>
      </c>
      <c r="U11" s="14">
        <f t="shared" si="20"/>
        <v>0</v>
      </c>
      <c r="V11" s="14">
        <f t="shared" si="21"/>
        <v>54781.94</v>
      </c>
      <c r="W11" s="14">
        <f t="shared" si="22"/>
        <v>0</v>
      </c>
    </row>
    <row r="12" spans="1:30" s="120" customFormat="1" x14ac:dyDescent="0.25">
      <c r="A12" s="117">
        <v>44964</v>
      </c>
      <c r="B12" s="118">
        <f>Summary!$G$15/28</f>
        <v>152313.10999999999</v>
      </c>
      <c r="C12" s="118">
        <v>24</v>
      </c>
      <c r="D12" s="118">
        <v>21.41</v>
      </c>
      <c r="E12" s="14">
        <f t="shared" si="8"/>
        <v>21.41</v>
      </c>
      <c r="F12" s="118">
        <f t="shared" si="9"/>
        <v>91387.87</v>
      </c>
      <c r="G12" s="14">
        <f t="shared" si="10"/>
        <v>81525.600000000006</v>
      </c>
      <c r="H12" s="118">
        <f t="shared" si="11"/>
        <v>60925.24</v>
      </c>
      <c r="I12" s="14">
        <f t="shared" si="12"/>
        <v>54350.39</v>
      </c>
      <c r="J12" s="118">
        <v>10</v>
      </c>
      <c r="K12" s="14">
        <f t="shared" si="13"/>
        <v>27175.200000000001</v>
      </c>
      <c r="L12" s="14">
        <f t="shared" si="14"/>
        <v>0</v>
      </c>
      <c r="M12" s="134">
        <v>40</v>
      </c>
      <c r="N12" s="14">
        <f t="shared" si="15"/>
        <v>8152.56</v>
      </c>
      <c r="O12" s="14">
        <f t="shared" si="16"/>
        <v>0</v>
      </c>
      <c r="P12" s="134">
        <v>26</v>
      </c>
      <c r="Q12" s="14">
        <f t="shared" si="17"/>
        <v>13587.6</v>
      </c>
      <c r="R12" s="14">
        <f t="shared" si="18"/>
        <v>0</v>
      </c>
      <c r="S12" s="134">
        <v>110</v>
      </c>
      <c r="T12" s="14">
        <f t="shared" si="19"/>
        <v>5435.04</v>
      </c>
      <c r="U12" s="14">
        <f t="shared" si="20"/>
        <v>0</v>
      </c>
      <c r="V12" s="14">
        <f t="shared" si="21"/>
        <v>54350.400000000001</v>
      </c>
      <c r="W12" s="14">
        <f t="shared" si="22"/>
        <v>0</v>
      </c>
      <c r="X12" s="125" t="s">
        <v>132</v>
      </c>
    </row>
    <row r="13" spans="1:30" x14ac:dyDescent="0.25">
      <c r="A13" s="15">
        <v>44965</v>
      </c>
      <c r="B13" s="14">
        <f>Summary!$G$15/28</f>
        <v>152313.10999999999</v>
      </c>
      <c r="C13" s="14">
        <v>24</v>
      </c>
      <c r="D13" s="14">
        <v>21.34</v>
      </c>
      <c r="E13" s="14">
        <f t="shared" si="8"/>
        <v>21.34</v>
      </c>
      <c r="F13" s="14">
        <f t="shared" si="9"/>
        <v>91387.87</v>
      </c>
      <c r="G13" s="14">
        <f t="shared" si="10"/>
        <v>81259.05</v>
      </c>
      <c r="H13" s="14">
        <f t="shared" si="11"/>
        <v>60925.24</v>
      </c>
      <c r="I13" s="14">
        <f t="shared" si="12"/>
        <v>54172.69</v>
      </c>
      <c r="J13" s="14">
        <v>10</v>
      </c>
      <c r="K13" s="14">
        <f t="shared" si="13"/>
        <v>27086.35</v>
      </c>
      <c r="L13" s="14">
        <f t="shared" si="14"/>
        <v>0</v>
      </c>
      <c r="M13" s="89">
        <v>52</v>
      </c>
      <c r="N13" s="14">
        <f t="shared" si="15"/>
        <v>8125.9</v>
      </c>
      <c r="O13" s="14">
        <f t="shared" si="16"/>
        <v>0</v>
      </c>
      <c r="P13" s="89">
        <v>21</v>
      </c>
      <c r="Q13" s="14">
        <f t="shared" si="17"/>
        <v>13543.17</v>
      </c>
      <c r="R13" s="14">
        <f t="shared" si="18"/>
        <v>0</v>
      </c>
      <c r="S13" s="89">
        <v>190</v>
      </c>
      <c r="T13" s="14">
        <f t="shared" si="19"/>
        <v>5417.27</v>
      </c>
      <c r="U13" s="14">
        <f t="shared" si="20"/>
        <v>0</v>
      </c>
      <c r="V13" s="14">
        <f t="shared" si="21"/>
        <v>54172.69</v>
      </c>
      <c r="W13" s="14">
        <f t="shared" si="22"/>
        <v>0</v>
      </c>
    </row>
    <row r="14" spans="1:30" s="114" customFormat="1" x14ac:dyDescent="0.25">
      <c r="A14" s="112">
        <v>44966</v>
      </c>
      <c r="B14" s="113">
        <f>Summary!$G$15/28</f>
        <v>152313.10999999999</v>
      </c>
      <c r="C14" s="113">
        <v>24</v>
      </c>
      <c r="D14" s="113">
        <v>20.89</v>
      </c>
      <c r="E14" s="14">
        <f t="shared" si="8"/>
        <v>20.89</v>
      </c>
      <c r="F14" s="113">
        <f t="shared" si="9"/>
        <v>91387.87</v>
      </c>
      <c r="G14" s="14">
        <f t="shared" si="10"/>
        <v>79545.53</v>
      </c>
      <c r="H14" s="113">
        <f t="shared" si="11"/>
        <v>60925.24</v>
      </c>
      <c r="I14" s="14">
        <f t="shared" si="12"/>
        <v>53030.34</v>
      </c>
      <c r="J14" s="113">
        <v>7</v>
      </c>
      <c r="K14" s="14">
        <f t="shared" si="13"/>
        <v>26515.17</v>
      </c>
      <c r="L14" s="14">
        <f t="shared" si="14"/>
        <v>0</v>
      </c>
      <c r="M14" s="133">
        <v>40</v>
      </c>
      <c r="N14" s="14">
        <f t="shared" si="15"/>
        <v>7954.55</v>
      </c>
      <c r="O14" s="14">
        <f t="shared" si="16"/>
        <v>0</v>
      </c>
      <c r="P14" s="133">
        <v>10</v>
      </c>
      <c r="Q14" s="14">
        <f t="shared" si="17"/>
        <v>13257.59</v>
      </c>
      <c r="R14" s="14">
        <f t="shared" si="18"/>
        <v>0</v>
      </c>
      <c r="S14" s="135">
        <v>7000</v>
      </c>
      <c r="T14" s="14">
        <v>0</v>
      </c>
      <c r="U14" s="14">
        <f t="shared" si="20"/>
        <v>10000</v>
      </c>
      <c r="V14" s="14">
        <f t="shared" si="21"/>
        <v>47727.31</v>
      </c>
      <c r="W14" s="14">
        <f t="shared" si="22"/>
        <v>10000</v>
      </c>
      <c r="X14" s="124" t="s">
        <v>131</v>
      </c>
    </row>
    <row r="15" spans="1:30" x14ac:dyDescent="0.25">
      <c r="A15" s="15">
        <v>44967</v>
      </c>
      <c r="B15" s="14">
        <f>Summary!$G$15/28</f>
        <v>152313.10999999999</v>
      </c>
      <c r="C15" s="14">
        <v>24</v>
      </c>
      <c r="D15" s="14">
        <v>21.32</v>
      </c>
      <c r="E15" s="14">
        <f t="shared" si="8"/>
        <v>21.32</v>
      </c>
      <c r="F15" s="14">
        <f t="shared" si="9"/>
        <v>91387.87</v>
      </c>
      <c r="G15" s="14">
        <f t="shared" si="10"/>
        <v>81182.89</v>
      </c>
      <c r="H15" s="14">
        <f t="shared" si="11"/>
        <v>60925.24</v>
      </c>
      <c r="I15" s="14">
        <f t="shared" si="12"/>
        <v>54121.919999999998</v>
      </c>
      <c r="J15" s="14">
        <v>9</v>
      </c>
      <c r="K15" s="14">
        <f t="shared" si="13"/>
        <v>27060.959999999999</v>
      </c>
      <c r="L15" s="14">
        <f t="shared" si="14"/>
        <v>0</v>
      </c>
      <c r="M15" s="89">
        <v>52</v>
      </c>
      <c r="N15" s="14">
        <f t="shared" si="15"/>
        <v>8118.29</v>
      </c>
      <c r="O15" s="14">
        <f t="shared" si="16"/>
        <v>0</v>
      </c>
      <c r="P15" s="89">
        <v>22</v>
      </c>
      <c r="Q15" s="14">
        <f t="shared" si="17"/>
        <v>13530.48</v>
      </c>
      <c r="R15" s="14">
        <f t="shared" si="18"/>
        <v>0</v>
      </c>
      <c r="S15" s="89">
        <v>170</v>
      </c>
      <c r="T15" s="14">
        <f t="shared" si="19"/>
        <v>5412.19</v>
      </c>
      <c r="U15" s="14">
        <f t="shared" si="20"/>
        <v>0</v>
      </c>
      <c r="V15" s="14">
        <f t="shared" si="21"/>
        <v>54121.919999999998</v>
      </c>
      <c r="W15" s="14">
        <f t="shared" si="22"/>
        <v>0</v>
      </c>
    </row>
    <row r="16" spans="1:30" x14ac:dyDescent="0.25">
      <c r="A16" s="15">
        <v>44968</v>
      </c>
      <c r="B16" s="14">
        <f>Summary!$G$15/28</f>
        <v>152313.10999999999</v>
      </c>
      <c r="C16" s="14">
        <v>24</v>
      </c>
      <c r="D16" s="14">
        <v>21.17</v>
      </c>
      <c r="E16" s="14">
        <f t="shared" si="8"/>
        <v>21.17</v>
      </c>
      <c r="F16" s="14">
        <f t="shared" si="9"/>
        <v>91387.87</v>
      </c>
      <c r="G16" s="14">
        <f t="shared" si="10"/>
        <v>80611.72</v>
      </c>
      <c r="H16" s="14">
        <f t="shared" si="11"/>
        <v>60925.24</v>
      </c>
      <c r="I16" s="14">
        <f t="shared" si="12"/>
        <v>53741.14</v>
      </c>
      <c r="J16" s="14">
        <v>8</v>
      </c>
      <c r="K16" s="14">
        <f t="shared" si="13"/>
        <v>26870.57</v>
      </c>
      <c r="L16" s="14">
        <f t="shared" si="14"/>
        <v>0</v>
      </c>
      <c r="M16" s="89">
        <v>48</v>
      </c>
      <c r="N16" s="14">
        <f t="shared" si="15"/>
        <v>8061.17</v>
      </c>
      <c r="O16" s="14">
        <f t="shared" si="16"/>
        <v>0</v>
      </c>
      <c r="P16" s="89">
        <v>19</v>
      </c>
      <c r="Q16" s="14">
        <f t="shared" si="17"/>
        <v>13435.29</v>
      </c>
      <c r="R16" s="14">
        <f t="shared" si="18"/>
        <v>0</v>
      </c>
      <c r="S16" s="89">
        <v>130</v>
      </c>
      <c r="T16" s="14">
        <f t="shared" si="19"/>
        <v>5374.11</v>
      </c>
      <c r="U16" s="14">
        <f t="shared" si="20"/>
        <v>0</v>
      </c>
      <c r="V16" s="14">
        <f t="shared" si="21"/>
        <v>53741.14</v>
      </c>
      <c r="W16" s="14">
        <f t="shared" si="22"/>
        <v>0</v>
      </c>
    </row>
    <row r="17" spans="1:24" x14ac:dyDescent="0.25">
      <c r="A17" s="15">
        <v>44969</v>
      </c>
      <c r="B17" s="14">
        <f>Summary!$G$15/28</f>
        <v>152313.10999999999</v>
      </c>
      <c r="C17" s="14">
        <v>24</v>
      </c>
      <c r="D17" s="14">
        <v>21.45</v>
      </c>
      <c r="E17" s="14">
        <f t="shared" si="8"/>
        <v>21.45</v>
      </c>
      <c r="F17" s="14">
        <f t="shared" si="9"/>
        <v>91387.87</v>
      </c>
      <c r="G17" s="14">
        <f t="shared" si="10"/>
        <v>81677.91</v>
      </c>
      <c r="H17" s="14">
        <f t="shared" si="11"/>
        <v>60925.24</v>
      </c>
      <c r="I17" s="14">
        <f t="shared" si="12"/>
        <v>54451.93</v>
      </c>
      <c r="J17" s="14">
        <v>12</v>
      </c>
      <c r="K17" s="14">
        <f t="shared" si="13"/>
        <v>27225.97</v>
      </c>
      <c r="L17" s="14">
        <f t="shared" si="14"/>
        <v>0</v>
      </c>
      <c r="M17" s="89">
        <v>56</v>
      </c>
      <c r="N17" s="14">
        <f t="shared" si="15"/>
        <v>8167.79</v>
      </c>
      <c r="O17" s="14">
        <f t="shared" si="16"/>
        <v>0</v>
      </c>
      <c r="P17" s="89">
        <v>23</v>
      </c>
      <c r="Q17" s="14">
        <f t="shared" si="17"/>
        <v>13612.98</v>
      </c>
      <c r="R17" s="14">
        <f t="shared" si="18"/>
        <v>0</v>
      </c>
      <c r="S17" s="89">
        <v>270</v>
      </c>
      <c r="T17" s="14">
        <f t="shared" si="19"/>
        <v>5445.19</v>
      </c>
      <c r="U17" s="14">
        <f t="shared" si="20"/>
        <v>0</v>
      </c>
      <c r="V17" s="14">
        <f t="shared" si="21"/>
        <v>54451.93</v>
      </c>
      <c r="W17" s="14">
        <f t="shared" si="22"/>
        <v>0</v>
      </c>
    </row>
    <row r="18" spans="1:24" x14ac:dyDescent="0.25">
      <c r="A18" s="15">
        <v>44970</v>
      </c>
      <c r="B18" s="14">
        <f>Summary!$G$15/28</f>
        <v>152313.10999999999</v>
      </c>
      <c r="C18" s="14">
        <v>24</v>
      </c>
      <c r="D18" s="14">
        <v>21.18</v>
      </c>
      <c r="E18" s="14">
        <f t="shared" si="8"/>
        <v>21.18</v>
      </c>
      <c r="F18" s="14">
        <f t="shared" si="9"/>
        <v>91387.87</v>
      </c>
      <c r="G18" s="14">
        <f t="shared" si="10"/>
        <v>80649.8</v>
      </c>
      <c r="H18" s="14">
        <f t="shared" si="11"/>
        <v>60925.24</v>
      </c>
      <c r="I18" s="14">
        <f t="shared" si="12"/>
        <v>53766.52</v>
      </c>
      <c r="J18" s="14">
        <v>8</v>
      </c>
      <c r="K18" s="14">
        <f t="shared" si="13"/>
        <v>26883.26</v>
      </c>
      <c r="L18" s="14">
        <f t="shared" si="14"/>
        <v>0</v>
      </c>
      <c r="M18" s="89">
        <v>40</v>
      </c>
      <c r="N18" s="14">
        <f t="shared" si="15"/>
        <v>8064.98</v>
      </c>
      <c r="O18" s="14">
        <f t="shared" si="16"/>
        <v>0</v>
      </c>
      <c r="P18" s="89">
        <v>21</v>
      </c>
      <c r="Q18" s="14">
        <f t="shared" si="17"/>
        <v>13441.63</v>
      </c>
      <c r="R18" s="14">
        <f t="shared" si="18"/>
        <v>0</v>
      </c>
      <c r="S18" s="89">
        <v>190</v>
      </c>
      <c r="T18" s="14">
        <f t="shared" si="19"/>
        <v>5376.65</v>
      </c>
      <c r="U18" s="14">
        <f t="shared" si="20"/>
        <v>0</v>
      </c>
      <c r="V18" s="14">
        <f t="shared" si="21"/>
        <v>53766.52</v>
      </c>
      <c r="W18" s="14">
        <f t="shared" si="22"/>
        <v>0</v>
      </c>
    </row>
    <row r="19" spans="1:24" s="120" customFormat="1" x14ac:dyDescent="0.25">
      <c r="A19" s="117">
        <v>44971</v>
      </c>
      <c r="B19" s="118">
        <f>Summary!$G$15/28</f>
        <v>152313.10999999999</v>
      </c>
      <c r="C19" s="118">
        <v>24</v>
      </c>
      <c r="D19" s="118">
        <v>21.65</v>
      </c>
      <c r="E19" s="14">
        <f t="shared" si="8"/>
        <v>21.65</v>
      </c>
      <c r="F19" s="118">
        <f t="shared" si="9"/>
        <v>91387.87</v>
      </c>
      <c r="G19" s="14">
        <f t="shared" si="10"/>
        <v>82439.47</v>
      </c>
      <c r="H19" s="118">
        <f t="shared" si="11"/>
        <v>60925.24</v>
      </c>
      <c r="I19" s="14">
        <f t="shared" si="12"/>
        <v>54959.64</v>
      </c>
      <c r="J19" s="118">
        <v>8</v>
      </c>
      <c r="K19" s="14">
        <f t="shared" si="13"/>
        <v>27479.82</v>
      </c>
      <c r="L19" s="14">
        <f t="shared" si="14"/>
        <v>0</v>
      </c>
      <c r="M19" s="134">
        <v>40</v>
      </c>
      <c r="N19" s="14">
        <f t="shared" si="15"/>
        <v>8243.9500000000007</v>
      </c>
      <c r="O19" s="14">
        <f t="shared" si="16"/>
        <v>0</v>
      </c>
      <c r="P19" s="134">
        <v>24</v>
      </c>
      <c r="Q19" s="14">
        <f t="shared" si="17"/>
        <v>13739.91</v>
      </c>
      <c r="R19" s="14">
        <f t="shared" si="18"/>
        <v>0</v>
      </c>
      <c r="S19" s="134">
        <v>700</v>
      </c>
      <c r="T19" s="14">
        <f t="shared" si="19"/>
        <v>5495.96</v>
      </c>
      <c r="U19" s="14">
        <f t="shared" si="20"/>
        <v>0</v>
      </c>
      <c r="V19" s="14">
        <f t="shared" si="21"/>
        <v>54959.64</v>
      </c>
      <c r="W19" s="14">
        <f t="shared" si="22"/>
        <v>0</v>
      </c>
      <c r="X19" s="125" t="s">
        <v>133</v>
      </c>
    </row>
    <row r="20" spans="1:24" x14ac:dyDescent="0.25">
      <c r="A20" s="15">
        <v>44972</v>
      </c>
      <c r="B20" s="14">
        <f>Summary!$G$15/28</f>
        <v>152313.10999999999</v>
      </c>
      <c r="C20" s="14">
        <v>24</v>
      </c>
      <c r="D20" s="14">
        <v>20.99</v>
      </c>
      <c r="E20" s="14">
        <f t="shared" si="8"/>
        <v>20.99</v>
      </c>
      <c r="F20" s="14">
        <f t="shared" si="9"/>
        <v>91387.87</v>
      </c>
      <c r="G20" s="14">
        <f t="shared" si="10"/>
        <v>79926.31</v>
      </c>
      <c r="H20" s="14">
        <f t="shared" si="11"/>
        <v>60925.24</v>
      </c>
      <c r="I20" s="14">
        <f t="shared" si="12"/>
        <v>53284.2</v>
      </c>
      <c r="J20" s="14">
        <v>9</v>
      </c>
      <c r="K20" s="14">
        <f t="shared" si="13"/>
        <v>26642.1</v>
      </c>
      <c r="L20" s="14">
        <f t="shared" si="14"/>
        <v>0</v>
      </c>
      <c r="M20" s="89">
        <v>48</v>
      </c>
      <c r="N20" s="14">
        <f t="shared" si="15"/>
        <v>7992.63</v>
      </c>
      <c r="O20" s="14">
        <f t="shared" si="16"/>
        <v>0</v>
      </c>
      <c r="P20" s="89">
        <v>20</v>
      </c>
      <c r="Q20" s="14">
        <f t="shared" si="17"/>
        <v>13321.05</v>
      </c>
      <c r="R20" s="14">
        <f t="shared" si="18"/>
        <v>0</v>
      </c>
      <c r="S20" s="89">
        <v>140</v>
      </c>
      <c r="T20" s="14">
        <f t="shared" si="19"/>
        <v>5328.42</v>
      </c>
      <c r="U20" s="14">
        <f t="shared" si="20"/>
        <v>0</v>
      </c>
      <c r="V20" s="14">
        <f t="shared" si="21"/>
        <v>53284.2</v>
      </c>
      <c r="W20" s="14">
        <f t="shared" si="22"/>
        <v>0</v>
      </c>
    </row>
    <row r="21" spans="1:24" x14ac:dyDescent="0.25">
      <c r="A21" s="15">
        <v>44973</v>
      </c>
      <c r="B21" s="14">
        <f>Summary!$G$15/28</f>
        <v>152313.10999999999</v>
      </c>
      <c r="C21" s="14">
        <v>24</v>
      </c>
      <c r="D21" s="14">
        <v>21.04</v>
      </c>
      <c r="E21" s="14">
        <f t="shared" si="8"/>
        <v>21.04</v>
      </c>
      <c r="F21" s="14">
        <f t="shared" si="9"/>
        <v>91387.87</v>
      </c>
      <c r="G21" s="14">
        <f t="shared" si="10"/>
        <v>80116.7</v>
      </c>
      <c r="H21" s="14">
        <f t="shared" si="11"/>
        <v>60925.24</v>
      </c>
      <c r="I21" s="14">
        <f t="shared" si="12"/>
        <v>53411.13</v>
      </c>
      <c r="J21" s="14">
        <v>10</v>
      </c>
      <c r="K21" s="14">
        <f t="shared" si="13"/>
        <v>26705.57</v>
      </c>
      <c r="L21" s="14">
        <f t="shared" si="14"/>
        <v>0</v>
      </c>
      <c r="M21" s="89">
        <v>52</v>
      </c>
      <c r="N21" s="14">
        <f t="shared" si="15"/>
        <v>8011.67</v>
      </c>
      <c r="O21" s="14">
        <f t="shared" si="16"/>
        <v>0</v>
      </c>
      <c r="P21" s="89">
        <v>23</v>
      </c>
      <c r="Q21" s="14">
        <f t="shared" si="17"/>
        <v>13352.78</v>
      </c>
      <c r="R21" s="14">
        <f t="shared" si="18"/>
        <v>0</v>
      </c>
      <c r="S21" s="89">
        <v>170</v>
      </c>
      <c r="T21" s="14">
        <f t="shared" si="19"/>
        <v>5341.11</v>
      </c>
      <c r="U21" s="14">
        <f t="shared" si="20"/>
        <v>0</v>
      </c>
      <c r="V21" s="14">
        <f t="shared" si="21"/>
        <v>53411.13</v>
      </c>
      <c r="W21" s="14">
        <f t="shared" si="22"/>
        <v>0</v>
      </c>
    </row>
    <row r="22" spans="1:24" x14ac:dyDescent="0.25">
      <c r="A22" s="15">
        <v>44974</v>
      </c>
      <c r="B22" s="14">
        <f>Summary!$G$15/28</f>
        <v>152313.10999999999</v>
      </c>
      <c r="C22" s="14">
        <v>24</v>
      </c>
      <c r="D22" s="14">
        <v>21.11</v>
      </c>
      <c r="E22" s="14">
        <f t="shared" si="8"/>
        <v>21.11</v>
      </c>
      <c r="F22" s="14">
        <f t="shared" si="9"/>
        <v>91387.87</v>
      </c>
      <c r="G22" s="14">
        <f t="shared" si="10"/>
        <v>80383.25</v>
      </c>
      <c r="H22" s="14">
        <f t="shared" si="11"/>
        <v>60925.24</v>
      </c>
      <c r="I22" s="14">
        <f t="shared" si="12"/>
        <v>53588.83</v>
      </c>
      <c r="J22" s="14">
        <v>8</v>
      </c>
      <c r="K22" s="14">
        <f t="shared" si="13"/>
        <v>26794.42</v>
      </c>
      <c r="L22" s="14">
        <f t="shared" si="14"/>
        <v>0</v>
      </c>
      <c r="M22" s="89">
        <v>48</v>
      </c>
      <c r="N22" s="14">
        <f t="shared" si="15"/>
        <v>8038.32</v>
      </c>
      <c r="O22" s="14">
        <f t="shared" si="16"/>
        <v>0</v>
      </c>
      <c r="P22" s="89">
        <v>21</v>
      </c>
      <c r="Q22" s="14">
        <f t="shared" si="17"/>
        <v>13397.21</v>
      </c>
      <c r="R22" s="14">
        <f t="shared" si="18"/>
        <v>0</v>
      </c>
      <c r="S22" s="89">
        <v>140</v>
      </c>
      <c r="T22" s="14">
        <f t="shared" si="19"/>
        <v>5358.88</v>
      </c>
      <c r="U22" s="14">
        <f t="shared" si="20"/>
        <v>0</v>
      </c>
      <c r="V22" s="14">
        <f t="shared" si="21"/>
        <v>53588.83</v>
      </c>
      <c r="W22" s="14">
        <f t="shared" si="22"/>
        <v>0</v>
      </c>
    </row>
    <row r="23" spans="1:24" x14ac:dyDescent="0.25">
      <c r="A23" s="15">
        <v>44975</v>
      </c>
      <c r="B23" s="14">
        <f>Summary!$G$15/28</f>
        <v>152313.10999999999</v>
      </c>
      <c r="C23" s="14">
        <v>24</v>
      </c>
      <c r="D23" s="14">
        <v>20.87</v>
      </c>
      <c r="E23" s="14">
        <f t="shared" si="8"/>
        <v>20.87</v>
      </c>
      <c r="F23" s="14">
        <f t="shared" si="9"/>
        <v>91387.87</v>
      </c>
      <c r="G23" s="14">
        <f t="shared" si="10"/>
        <v>79469.37</v>
      </c>
      <c r="H23" s="14">
        <f t="shared" si="11"/>
        <v>60925.24</v>
      </c>
      <c r="I23" s="14">
        <f t="shared" si="12"/>
        <v>52979.57</v>
      </c>
      <c r="J23" s="14">
        <v>11</v>
      </c>
      <c r="K23" s="14">
        <f t="shared" si="13"/>
        <v>26489.79</v>
      </c>
      <c r="L23" s="14">
        <f t="shared" si="14"/>
        <v>0</v>
      </c>
      <c r="M23" s="89">
        <v>56</v>
      </c>
      <c r="N23" s="14">
        <f t="shared" si="15"/>
        <v>7946.94</v>
      </c>
      <c r="O23" s="14">
        <f t="shared" si="16"/>
        <v>0</v>
      </c>
      <c r="P23" s="89">
        <v>24</v>
      </c>
      <c r="Q23" s="14">
        <f t="shared" si="17"/>
        <v>13244.89</v>
      </c>
      <c r="R23" s="14">
        <f t="shared" si="18"/>
        <v>0</v>
      </c>
      <c r="S23" s="89">
        <v>290</v>
      </c>
      <c r="T23" s="14">
        <f t="shared" si="19"/>
        <v>5297.96</v>
      </c>
      <c r="U23" s="14">
        <f t="shared" si="20"/>
        <v>0</v>
      </c>
      <c r="V23" s="14">
        <f t="shared" si="21"/>
        <v>52979.58</v>
      </c>
      <c r="W23" s="14">
        <f t="shared" si="22"/>
        <v>0</v>
      </c>
    </row>
    <row r="24" spans="1:24" x14ac:dyDescent="0.25">
      <c r="A24" s="15">
        <v>44976</v>
      </c>
      <c r="B24" s="14">
        <f>Summary!$G$15/28</f>
        <v>152313.10999999999</v>
      </c>
      <c r="C24" s="14">
        <v>24</v>
      </c>
      <c r="D24" s="14">
        <v>21.1</v>
      </c>
      <c r="E24" s="14">
        <f t="shared" si="8"/>
        <v>21.1</v>
      </c>
      <c r="F24" s="14">
        <f t="shared" si="9"/>
        <v>91387.87</v>
      </c>
      <c r="G24" s="14">
        <f t="shared" si="10"/>
        <v>80345.17</v>
      </c>
      <c r="H24" s="14">
        <f t="shared" si="11"/>
        <v>60925.24</v>
      </c>
      <c r="I24" s="14">
        <f t="shared" si="12"/>
        <v>53563.44</v>
      </c>
      <c r="J24" s="14">
        <v>10</v>
      </c>
      <c r="K24" s="14">
        <f t="shared" si="13"/>
        <v>26781.72</v>
      </c>
      <c r="L24" s="14">
        <f t="shared" si="14"/>
        <v>0</v>
      </c>
      <c r="M24" s="89">
        <v>52</v>
      </c>
      <c r="N24" s="14">
        <f t="shared" si="15"/>
        <v>8034.52</v>
      </c>
      <c r="O24" s="14">
        <f t="shared" si="16"/>
        <v>0</v>
      </c>
      <c r="P24" s="89">
        <v>21</v>
      </c>
      <c r="Q24" s="14">
        <f t="shared" si="17"/>
        <v>13390.86</v>
      </c>
      <c r="R24" s="14">
        <f t="shared" si="18"/>
        <v>0</v>
      </c>
      <c r="S24" s="89">
        <v>170</v>
      </c>
      <c r="T24" s="14">
        <f t="shared" si="19"/>
        <v>5356.34</v>
      </c>
      <c r="U24" s="14">
        <f t="shared" si="20"/>
        <v>0</v>
      </c>
      <c r="V24" s="14">
        <f t="shared" si="21"/>
        <v>53563.44</v>
      </c>
      <c r="W24" s="14">
        <f t="shared" si="22"/>
        <v>0</v>
      </c>
    </row>
    <row r="25" spans="1:24" x14ac:dyDescent="0.25">
      <c r="A25" s="15">
        <v>44977</v>
      </c>
      <c r="B25" s="14">
        <f>Summary!$G$15/28</f>
        <v>152313.10999999999</v>
      </c>
      <c r="C25" s="14">
        <v>24</v>
      </c>
      <c r="D25" s="14">
        <v>21.93</v>
      </c>
      <c r="E25" s="14">
        <f t="shared" si="8"/>
        <v>21.93</v>
      </c>
      <c r="F25" s="14">
        <f t="shared" si="9"/>
        <v>91387.87</v>
      </c>
      <c r="G25" s="14">
        <f t="shared" si="10"/>
        <v>83505.67</v>
      </c>
      <c r="H25" s="14">
        <f t="shared" si="11"/>
        <v>60925.24</v>
      </c>
      <c r="I25" s="14">
        <f t="shared" si="12"/>
        <v>55670.44</v>
      </c>
      <c r="J25" s="14">
        <v>9</v>
      </c>
      <c r="K25" s="14">
        <f t="shared" si="13"/>
        <v>27835.22</v>
      </c>
      <c r="L25" s="14">
        <f t="shared" si="14"/>
        <v>0</v>
      </c>
      <c r="M25" s="89">
        <v>48</v>
      </c>
      <c r="N25" s="14">
        <f t="shared" si="15"/>
        <v>8350.57</v>
      </c>
      <c r="O25" s="14">
        <f t="shared" si="16"/>
        <v>0</v>
      </c>
      <c r="P25" s="89">
        <v>23</v>
      </c>
      <c r="Q25" s="14">
        <f t="shared" si="17"/>
        <v>13917.61</v>
      </c>
      <c r="R25" s="14">
        <f t="shared" si="18"/>
        <v>0</v>
      </c>
      <c r="S25" s="89">
        <v>230</v>
      </c>
      <c r="T25" s="14">
        <f t="shared" si="19"/>
        <v>5567.04</v>
      </c>
      <c r="U25" s="14">
        <f t="shared" si="20"/>
        <v>0</v>
      </c>
      <c r="V25" s="14">
        <f t="shared" si="21"/>
        <v>55670.44</v>
      </c>
      <c r="W25" s="14">
        <f t="shared" si="22"/>
        <v>0</v>
      </c>
    </row>
    <row r="26" spans="1:24" s="120" customFormat="1" x14ac:dyDescent="0.25">
      <c r="A26" s="117">
        <v>44978</v>
      </c>
      <c r="B26" s="118">
        <f>Summary!$G$15/28</f>
        <v>152313.10999999999</v>
      </c>
      <c r="C26" s="118">
        <v>24</v>
      </c>
      <c r="D26" s="118">
        <v>21.62</v>
      </c>
      <c r="E26" s="14">
        <f t="shared" si="8"/>
        <v>21.62</v>
      </c>
      <c r="F26" s="118">
        <f t="shared" si="9"/>
        <v>91387.87</v>
      </c>
      <c r="G26" s="14">
        <f t="shared" si="10"/>
        <v>82325.240000000005</v>
      </c>
      <c r="H26" s="118">
        <f t="shared" si="11"/>
        <v>60925.24</v>
      </c>
      <c r="I26" s="14">
        <f t="shared" si="12"/>
        <v>54883.49</v>
      </c>
      <c r="J26" s="118">
        <v>10</v>
      </c>
      <c r="K26" s="14">
        <f t="shared" si="13"/>
        <v>27441.75</v>
      </c>
      <c r="L26" s="14">
        <f t="shared" si="14"/>
        <v>0</v>
      </c>
      <c r="M26" s="134">
        <v>48</v>
      </c>
      <c r="N26" s="14">
        <f t="shared" si="15"/>
        <v>8232.52</v>
      </c>
      <c r="O26" s="14">
        <f t="shared" si="16"/>
        <v>0</v>
      </c>
      <c r="P26" s="134">
        <v>26</v>
      </c>
      <c r="Q26" s="14">
        <f t="shared" si="17"/>
        <v>13720.87</v>
      </c>
      <c r="R26" s="14">
        <f t="shared" si="18"/>
        <v>0</v>
      </c>
      <c r="S26" s="134">
        <v>120</v>
      </c>
      <c r="T26" s="14">
        <f t="shared" si="19"/>
        <v>5488.35</v>
      </c>
      <c r="U26" s="14">
        <f t="shared" si="20"/>
        <v>0</v>
      </c>
      <c r="V26" s="14">
        <f t="shared" si="21"/>
        <v>54883.49</v>
      </c>
      <c r="W26" s="14">
        <f t="shared" si="22"/>
        <v>0</v>
      </c>
      <c r="X26" s="125" t="s">
        <v>133</v>
      </c>
    </row>
    <row r="27" spans="1:24" x14ac:dyDescent="0.25">
      <c r="A27" s="15">
        <v>44979</v>
      </c>
      <c r="B27" s="14">
        <f>Summary!$G$15/28</f>
        <v>152313.10999999999</v>
      </c>
      <c r="C27" s="14">
        <v>24</v>
      </c>
      <c r="D27" s="14">
        <v>21.13</v>
      </c>
      <c r="E27" s="14">
        <f t="shared" si="8"/>
        <v>21.13</v>
      </c>
      <c r="F27" s="14">
        <f t="shared" si="9"/>
        <v>91387.87</v>
      </c>
      <c r="G27" s="14">
        <f t="shared" si="10"/>
        <v>80459.399999999994</v>
      </c>
      <c r="H27" s="14">
        <f t="shared" si="11"/>
        <v>60925.24</v>
      </c>
      <c r="I27" s="14">
        <f t="shared" si="12"/>
        <v>53639.6</v>
      </c>
      <c r="J27" s="14">
        <v>10</v>
      </c>
      <c r="K27" s="14">
        <f t="shared" si="13"/>
        <v>26819.8</v>
      </c>
      <c r="L27" s="14">
        <f t="shared" si="14"/>
        <v>0</v>
      </c>
      <c r="M27" s="89">
        <v>52</v>
      </c>
      <c r="N27" s="14">
        <f t="shared" si="15"/>
        <v>8045.94</v>
      </c>
      <c r="O27" s="14">
        <f t="shared" si="16"/>
        <v>0</v>
      </c>
      <c r="P27" s="89">
        <v>22</v>
      </c>
      <c r="Q27" s="14">
        <f t="shared" si="17"/>
        <v>13409.9</v>
      </c>
      <c r="R27" s="14">
        <f t="shared" si="18"/>
        <v>0</v>
      </c>
      <c r="S27" s="89">
        <v>170</v>
      </c>
      <c r="T27" s="14">
        <f t="shared" si="19"/>
        <v>5363.96</v>
      </c>
      <c r="U27" s="14">
        <f t="shared" si="20"/>
        <v>0</v>
      </c>
      <c r="V27" s="14">
        <f t="shared" si="21"/>
        <v>53639.6</v>
      </c>
      <c r="W27" s="14">
        <f t="shared" si="22"/>
        <v>0</v>
      </c>
    </row>
    <row r="28" spans="1:24" x14ac:dyDescent="0.25">
      <c r="A28" s="15">
        <v>44980</v>
      </c>
      <c r="B28" s="14">
        <f>Summary!$G$15/28</f>
        <v>152313.10999999999</v>
      </c>
      <c r="C28" s="14">
        <v>24</v>
      </c>
      <c r="D28" s="14">
        <v>21.18</v>
      </c>
      <c r="E28" s="14">
        <f t="shared" si="8"/>
        <v>21.18</v>
      </c>
      <c r="F28" s="14">
        <f t="shared" si="9"/>
        <v>91387.87</v>
      </c>
      <c r="G28" s="14">
        <f t="shared" si="10"/>
        <v>80649.8</v>
      </c>
      <c r="H28" s="14">
        <f t="shared" si="11"/>
        <v>60925.24</v>
      </c>
      <c r="I28" s="14">
        <f t="shared" si="12"/>
        <v>53766.52</v>
      </c>
      <c r="J28" s="14">
        <v>9</v>
      </c>
      <c r="K28" s="14">
        <f t="shared" si="13"/>
        <v>26883.26</v>
      </c>
      <c r="L28" s="14">
        <f t="shared" si="14"/>
        <v>0</v>
      </c>
      <c r="M28" s="89">
        <v>48</v>
      </c>
      <c r="N28" s="14">
        <f t="shared" si="15"/>
        <v>8064.98</v>
      </c>
      <c r="O28" s="14">
        <f t="shared" si="16"/>
        <v>0</v>
      </c>
      <c r="P28" s="89">
        <v>24</v>
      </c>
      <c r="Q28" s="14">
        <f t="shared" si="17"/>
        <v>13441.63</v>
      </c>
      <c r="R28" s="14">
        <f t="shared" si="18"/>
        <v>0</v>
      </c>
      <c r="S28" s="89">
        <v>290</v>
      </c>
      <c r="T28" s="14">
        <f t="shared" si="19"/>
        <v>5376.65</v>
      </c>
      <c r="U28" s="14">
        <f t="shared" si="20"/>
        <v>0</v>
      </c>
      <c r="V28" s="14">
        <f t="shared" si="21"/>
        <v>53766.52</v>
      </c>
      <c r="W28" s="14">
        <f t="shared" si="22"/>
        <v>0</v>
      </c>
    </row>
    <row r="29" spans="1:24" x14ac:dyDescent="0.25">
      <c r="A29" s="15">
        <v>44981</v>
      </c>
      <c r="B29" s="14">
        <f>Summary!$G$15/28</f>
        <v>152313.10999999999</v>
      </c>
      <c r="C29" s="14">
        <v>24</v>
      </c>
      <c r="D29" s="14">
        <v>21.91</v>
      </c>
      <c r="E29" s="14">
        <f t="shared" si="8"/>
        <v>21.91</v>
      </c>
      <c r="F29" s="14">
        <f t="shared" si="9"/>
        <v>91387.87</v>
      </c>
      <c r="G29" s="14">
        <f t="shared" si="10"/>
        <v>83429.509999999995</v>
      </c>
      <c r="H29" s="14">
        <f t="shared" si="11"/>
        <v>60925.24</v>
      </c>
      <c r="I29" s="14">
        <f t="shared" si="12"/>
        <v>55619.67</v>
      </c>
      <c r="J29" s="14">
        <v>10</v>
      </c>
      <c r="K29" s="14">
        <f t="shared" si="13"/>
        <v>27809.84</v>
      </c>
      <c r="L29" s="14">
        <f t="shared" si="14"/>
        <v>0</v>
      </c>
      <c r="M29" s="89">
        <v>56</v>
      </c>
      <c r="N29" s="14">
        <f t="shared" si="15"/>
        <v>8342.9500000000007</v>
      </c>
      <c r="O29" s="14">
        <f t="shared" si="16"/>
        <v>0</v>
      </c>
      <c r="P29" s="89">
        <v>23</v>
      </c>
      <c r="Q29" s="14">
        <f t="shared" si="17"/>
        <v>13904.92</v>
      </c>
      <c r="R29" s="14">
        <f t="shared" si="18"/>
        <v>0</v>
      </c>
      <c r="S29" s="89">
        <v>230</v>
      </c>
      <c r="T29" s="14">
        <f t="shared" si="19"/>
        <v>5561.97</v>
      </c>
      <c r="U29" s="14">
        <f t="shared" si="20"/>
        <v>0</v>
      </c>
      <c r="V29" s="14">
        <f t="shared" si="21"/>
        <v>55619.68</v>
      </c>
      <c r="W29" s="14">
        <f t="shared" si="22"/>
        <v>0</v>
      </c>
    </row>
    <row r="30" spans="1:24" x14ac:dyDescent="0.25">
      <c r="A30" s="15">
        <v>44982</v>
      </c>
      <c r="B30" s="14">
        <f>Summary!$G$15/28</f>
        <v>152313.10999999999</v>
      </c>
      <c r="C30" s="14">
        <v>24</v>
      </c>
      <c r="D30" s="14">
        <v>21.16</v>
      </c>
      <c r="E30" s="14">
        <f t="shared" si="8"/>
        <v>21.16</v>
      </c>
      <c r="F30" s="14">
        <f t="shared" si="9"/>
        <v>91387.87</v>
      </c>
      <c r="G30" s="14">
        <f t="shared" si="10"/>
        <v>80573.64</v>
      </c>
      <c r="H30" s="14">
        <f t="shared" si="11"/>
        <v>60925.24</v>
      </c>
      <c r="I30" s="14">
        <f t="shared" si="12"/>
        <v>53715.75</v>
      </c>
      <c r="J30" s="14">
        <v>8</v>
      </c>
      <c r="K30" s="14">
        <f t="shared" si="13"/>
        <v>26857.88</v>
      </c>
      <c r="L30" s="14">
        <f t="shared" si="14"/>
        <v>0</v>
      </c>
      <c r="M30" s="89">
        <v>48</v>
      </c>
      <c r="N30" s="14">
        <f t="shared" si="15"/>
        <v>8057.36</v>
      </c>
      <c r="O30" s="14">
        <f t="shared" si="16"/>
        <v>0</v>
      </c>
      <c r="P30" s="89">
        <v>20</v>
      </c>
      <c r="Q30" s="14">
        <f t="shared" si="17"/>
        <v>13428.94</v>
      </c>
      <c r="R30" s="14">
        <f t="shared" si="18"/>
        <v>0</v>
      </c>
      <c r="S30" s="89">
        <v>140</v>
      </c>
      <c r="T30" s="14">
        <f t="shared" si="19"/>
        <v>5371.58</v>
      </c>
      <c r="U30" s="14">
        <f t="shared" si="20"/>
        <v>0</v>
      </c>
      <c r="V30" s="14">
        <f t="shared" si="21"/>
        <v>53715.76</v>
      </c>
      <c r="W30" s="14">
        <f t="shared" si="22"/>
        <v>0</v>
      </c>
    </row>
    <row r="31" spans="1:24" x14ac:dyDescent="0.25">
      <c r="A31" s="15">
        <v>44983</v>
      </c>
      <c r="B31" s="14">
        <f>Summary!$G$15/28</f>
        <v>152313.10999999999</v>
      </c>
      <c r="C31" s="14">
        <v>24</v>
      </c>
      <c r="D31" s="14">
        <v>21.13</v>
      </c>
      <c r="E31" s="14">
        <f t="shared" si="8"/>
        <v>21.13</v>
      </c>
      <c r="F31" s="14">
        <f t="shared" si="9"/>
        <v>91387.87</v>
      </c>
      <c r="G31" s="14">
        <f t="shared" si="10"/>
        <v>80459.399999999994</v>
      </c>
      <c r="H31" s="14">
        <f t="shared" si="11"/>
        <v>60925.24</v>
      </c>
      <c r="I31" s="14">
        <f t="shared" si="12"/>
        <v>53639.6</v>
      </c>
      <c r="J31" s="14">
        <v>11</v>
      </c>
      <c r="K31" s="14">
        <f t="shared" si="13"/>
        <v>26819.8</v>
      </c>
      <c r="L31" s="14">
        <f t="shared" si="14"/>
        <v>0</v>
      </c>
      <c r="M31" s="89">
        <v>52</v>
      </c>
      <c r="N31" s="14">
        <f t="shared" si="15"/>
        <v>8045.94</v>
      </c>
      <c r="O31" s="14">
        <f t="shared" si="16"/>
        <v>0</v>
      </c>
      <c r="P31" s="89">
        <v>23</v>
      </c>
      <c r="Q31" s="14">
        <f t="shared" si="17"/>
        <v>13409.9</v>
      </c>
      <c r="R31" s="14">
        <f t="shared" si="18"/>
        <v>0</v>
      </c>
      <c r="S31" s="89">
        <v>190</v>
      </c>
      <c r="T31" s="14">
        <f t="shared" si="19"/>
        <v>5363.96</v>
      </c>
      <c r="U31" s="14">
        <f t="shared" si="20"/>
        <v>0</v>
      </c>
      <c r="V31" s="14">
        <f t="shared" si="21"/>
        <v>53639.6</v>
      </c>
      <c r="W31" s="14">
        <f t="shared" si="22"/>
        <v>0</v>
      </c>
    </row>
    <row r="32" spans="1:24" x14ac:dyDescent="0.25">
      <c r="A32" s="15">
        <v>44984</v>
      </c>
      <c r="B32" s="14">
        <f>Summary!$G$15/28</f>
        <v>152313.10999999999</v>
      </c>
      <c r="C32" s="14">
        <v>24</v>
      </c>
      <c r="D32" s="14">
        <v>20.61</v>
      </c>
      <c r="E32" s="14">
        <f t="shared" si="8"/>
        <v>20.61</v>
      </c>
      <c r="F32" s="14">
        <f t="shared" si="9"/>
        <v>91387.87</v>
      </c>
      <c r="G32" s="14">
        <f t="shared" si="10"/>
        <v>78479.33</v>
      </c>
      <c r="H32" s="14">
        <f t="shared" si="11"/>
        <v>60925.24</v>
      </c>
      <c r="I32" s="14">
        <f t="shared" si="12"/>
        <v>52319.55</v>
      </c>
      <c r="J32" s="14">
        <v>12</v>
      </c>
      <c r="K32" s="14">
        <f t="shared" si="13"/>
        <v>26159.78</v>
      </c>
      <c r="L32" s="14">
        <f t="shared" si="14"/>
        <v>0</v>
      </c>
      <c r="M32" s="89">
        <v>60</v>
      </c>
      <c r="N32" s="14">
        <f t="shared" si="15"/>
        <v>7847.93</v>
      </c>
      <c r="O32" s="14">
        <f t="shared" si="16"/>
        <v>0</v>
      </c>
      <c r="P32" s="89">
        <v>24</v>
      </c>
      <c r="Q32" s="14">
        <f t="shared" si="17"/>
        <v>13079.89</v>
      </c>
      <c r="R32" s="14">
        <f t="shared" si="18"/>
        <v>0</v>
      </c>
      <c r="S32" s="89">
        <v>240</v>
      </c>
      <c r="T32" s="14">
        <f t="shared" si="19"/>
        <v>5231.96</v>
      </c>
      <c r="U32" s="14">
        <f t="shared" si="20"/>
        <v>0</v>
      </c>
      <c r="V32" s="14">
        <f t="shared" si="21"/>
        <v>52319.56</v>
      </c>
      <c r="W32" s="14">
        <f t="shared" si="22"/>
        <v>0</v>
      </c>
    </row>
    <row r="33" spans="1:24" s="120" customFormat="1" x14ac:dyDescent="0.25">
      <c r="A33" s="117">
        <v>44985</v>
      </c>
      <c r="B33" s="118">
        <f>Summary!$G$15/28</f>
        <v>152313.10999999999</v>
      </c>
      <c r="C33" s="118">
        <v>24</v>
      </c>
      <c r="D33" s="118">
        <v>20.89</v>
      </c>
      <c r="E33" s="14">
        <f t="shared" si="8"/>
        <v>20.89</v>
      </c>
      <c r="F33" s="118">
        <f t="shared" si="9"/>
        <v>91387.87</v>
      </c>
      <c r="G33" s="14">
        <f t="shared" si="10"/>
        <v>79545.53</v>
      </c>
      <c r="H33" s="118">
        <f t="shared" si="11"/>
        <v>60925.24</v>
      </c>
      <c r="I33" s="14">
        <f t="shared" si="12"/>
        <v>53030.34</v>
      </c>
      <c r="J33" s="118">
        <v>8</v>
      </c>
      <c r="K33" s="14">
        <f t="shared" si="13"/>
        <v>26515.17</v>
      </c>
      <c r="L33" s="14">
        <f t="shared" si="14"/>
        <v>0</v>
      </c>
      <c r="M33" s="134">
        <v>32</v>
      </c>
      <c r="N33" s="14">
        <f t="shared" si="15"/>
        <v>7954.55</v>
      </c>
      <c r="O33" s="14">
        <f t="shared" si="16"/>
        <v>0</v>
      </c>
      <c r="P33" s="134">
        <v>24</v>
      </c>
      <c r="Q33" s="14">
        <f t="shared" si="17"/>
        <v>13257.59</v>
      </c>
      <c r="R33" s="14">
        <f t="shared" si="18"/>
        <v>0</v>
      </c>
      <c r="S33" s="134">
        <v>110</v>
      </c>
      <c r="T33" s="14">
        <f t="shared" si="19"/>
        <v>5303.03</v>
      </c>
      <c r="U33" s="14">
        <f t="shared" si="20"/>
        <v>0</v>
      </c>
      <c r="V33" s="14">
        <f t="shared" si="21"/>
        <v>53030.34</v>
      </c>
      <c r="W33" s="14">
        <f t="shared" si="22"/>
        <v>0</v>
      </c>
      <c r="X33" s="125" t="s">
        <v>132</v>
      </c>
    </row>
    <row r="34" spans="1:24" x14ac:dyDescent="0.25">
      <c r="A34" s="41" t="s">
        <v>20</v>
      </c>
      <c r="B34" s="20">
        <f>SUM(B6:B33)</f>
        <v>4264767.08</v>
      </c>
      <c r="C34" s="20"/>
      <c r="D34" s="20"/>
      <c r="E34" s="20"/>
      <c r="F34" s="20">
        <f>SUM(F6:F33)</f>
        <v>2558860.36</v>
      </c>
      <c r="G34" s="20">
        <f>SUM(G6:G33)</f>
        <v>2267713.87</v>
      </c>
      <c r="H34" s="20">
        <f>SUM(H6:H33)</f>
        <v>1705906.72</v>
      </c>
      <c r="I34" s="20">
        <f>SUM(I6:I33)</f>
        <v>1511809.03</v>
      </c>
      <c r="J34" s="20"/>
      <c r="K34" s="20">
        <f>SUM(K6:K33)</f>
        <v>755904.58</v>
      </c>
      <c r="L34" s="20">
        <f>SUM(L6:L33)</f>
        <v>0</v>
      </c>
      <c r="M34" s="20"/>
      <c r="N34" s="20">
        <f>SUM(N6:N33)</f>
        <v>226771.36</v>
      </c>
      <c r="O34" s="20">
        <f>SUM(O6:O33)</f>
        <v>0</v>
      </c>
      <c r="P34" s="20"/>
      <c r="Q34" s="20">
        <f>SUM(Q6:Q33)</f>
        <v>377952.28</v>
      </c>
      <c r="R34" s="20">
        <f>SUM(R6:R33)</f>
        <v>0</v>
      </c>
      <c r="S34" s="20"/>
      <c r="T34" s="20">
        <f>SUM(T6:T33)</f>
        <v>145877.85</v>
      </c>
      <c r="U34" s="20">
        <f>SUM(U6:U33)</f>
        <v>10000</v>
      </c>
      <c r="V34" s="20">
        <f>SUM(V6:V33)</f>
        <v>1506506.07</v>
      </c>
      <c r="W34" s="20">
        <f>SUM(W6:W33)</f>
        <v>10000</v>
      </c>
      <c r="X34" s="90"/>
    </row>
    <row r="35" spans="1:24" x14ac:dyDescent="0.25">
      <c r="A35" s="41"/>
      <c r="B35" s="20" t="s">
        <v>78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3774219.94</v>
      </c>
      <c r="W35" s="20"/>
      <c r="X35" s="32"/>
    </row>
    <row r="36" spans="1:24" x14ac:dyDescent="0.25">
      <c r="B36" s="228"/>
      <c r="C36" s="228"/>
      <c r="D36" s="228"/>
      <c r="E36" s="228"/>
      <c r="F36" s="228"/>
      <c r="G36" s="22"/>
      <c r="K36" s="23">
        <f>COUNTIF(K6:K33,"0")</f>
        <v>0</v>
      </c>
      <c r="N36" s="23">
        <f>COUNTIF(N6:N33,"0")</f>
        <v>0</v>
      </c>
      <c r="Q36" s="23">
        <f>COUNTIF(Q6:Q33,"0")</f>
        <v>0</v>
      </c>
      <c r="T36" s="23">
        <f>COUNTIF(T6:T33,"0")</f>
        <v>1</v>
      </c>
    </row>
    <row r="37" spans="1:24" x14ac:dyDescent="0.25">
      <c r="F37" s="91"/>
      <c r="G37" s="22"/>
      <c r="Q37" s="19"/>
      <c r="R37" s="19"/>
      <c r="S37" s="19"/>
      <c r="T37" s="19"/>
      <c r="U37" s="19"/>
      <c r="V37" s="19"/>
      <c r="W37" s="19"/>
    </row>
    <row r="39" spans="1:24" x14ac:dyDescent="0.25">
      <c r="C39" s="24"/>
    </row>
  </sheetData>
  <mergeCells count="20">
    <mergeCell ref="J4:L4"/>
    <mergeCell ref="P4:R4"/>
    <mergeCell ref="S4:U4"/>
    <mergeCell ref="H4:H5"/>
    <mergeCell ref="V4:V5"/>
    <mergeCell ref="B36:F36"/>
    <mergeCell ref="W4:W5"/>
    <mergeCell ref="A1:V1"/>
    <mergeCell ref="C3:D3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M4:O4"/>
  </mergeCells>
  <pageMargins left="0.25" right="0.25" top="0.75" bottom="0.75" header="0.3" footer="0.3"/>
  <pageSetup paperSize="9" scale="5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X39"/>
  <sheetViews>
    <sheetView tabSelected="1" zoomScaleNormal="100" workbookViewId="0">
      <pane xSplit="1" ySplit="1" topLeftCell="B7" activePane="bottomRight" state="frozen"/>
      <selection activeCell="K16" sqref="K16"/>
      <selection pane="topRight" activeCell="K16" sqref="K16"/>
      <selection pane="bottomLeft" activeCell="K16" sqref="K16"/>
      <selection pane="bottomRight" activeCell="Q19" sqref="Q19"/>
    </sheetView>
  </sheetViews>
  <sheetFormatPr defaultColWidth="9.140625" defaultRowHeight="15.75" x14ac:dyDescent="0.25"/>
  <cols>
    <col min="1" max="1" width="10.28515625" customWidth="1"/>
    <col min="2" max="2" width="13.7109375" customWidth="1"/>
    <col min="3" max="3" width="8.5703125" customWidth="1"/>
    <col min="6" max="6" width="12.5703125" customWidth="1"/>
    <col min="7" max="7" width="13.28515625" customWidth="1"/>
    <col min="8" max="8" width="12.7109375" customWidth="1"/>
    <col min="9" max="9" width="12.5703125" bestFit="1" customWidth="1"/>
    <col min="10" max="10" width="9.140625" customWidth="1"/>
    <col min="11" max="11" width="12.42578125" customWidth="1"/>
    <col min="12" max="12" width="9.28515625" customWidth="1"/>
    <col min="13" max="13" width="9.42578125" customWidth="1"/>
    <col min="14" max="14" width="11.5703125" customWidth="1"/>
    <col min="15" max="15" width="9.85546875" customWidth="1"/>
    <col min="16" max="16" width="9.7109375" customWidth="1"/>
    <col min="17" max="17" width="12.85546875" customWidth="1"/>
    <col min="18" max="18" width="10.85546875" customWidth="1"/>
    <col min="19" max="19" width="10.140625" customWidth="1"/>
    <col min="20" max="20" width="10.42578125" bestFit="1" customWidth="1"/>
    <col min="21" max="21" width="11.85546875" customWidth="1"/>
    <col min="22" max="22" width="15.42578125" customWidth="1"/>
    <col min="23" max="23" width="13.7109375" customWidth="1"/>
    <col min="24" max="24" width="9.140625" style="28"/>
  </cols>
  <sheetData>
    <row r="1" spans="1:24" ht="18.75" x14ac:dyDescent="0.25">
      <c r="A1" s="188" t="str">
        <f>'.81 MLD'!A1:V1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</row>
    <row r="2" spans="1:24" ht="18.75" x14ac:dyDescent="0.25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20</v>
      </c>
      <c r="U2" s="43">
        <v>21</v>
      </c>
      <c r="V2" s="43">
        <v>22</v>
      </c>
      <c r="W2" s="43">
        <v>23</v>
      </c>
    </row>
    <row r="3" spans="1:24" x14ac:dyDescent="0.25">
      <c r="A3" s="41"/>
      <c r="B3" s="41"/>
      <c r="C3" s="190" t="s">
        <v>15</v>
      </c>
      <c r="D3" s="194"/>
      <c r="E3" s="44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1"/>
    </row>
    <row r="4" spans="1:24" x14ac:dyDescent="0.25">
      <c r="A4" s="211" t="s">
        <v>14</v>
      </c>
      <c r="B4" s="209" t="s">
        <v>47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44"/>
      <c r="N4" s="41" t="s">
        <v>10</v>
      </c>
      <c r="O4" s="41"/>
      <c r="P4" s="41"/>
      <c r="Q4" s="41" t="s">
        <v>9</v>
      </c>
      <c r="R4" s="41"/>
      <c r="S4" s="41"/>
      <c r="T4" s="41" t="s">
        <v>13</v>
      </c>
      <c r="U4" s="41"/>
      <c r="V4" s="187" t="s">
        <v>55</v>
      </c>
      <c r="W4" s="187" t="s">
        <v>61</v>
      </c>
    </row>
    <row r="5" spans="1:24" ht="30" x14ac:dyDescent="0.25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</row>
    <row r="6" spans="1:24" x14ac:dyDescent="0.25">
      <c r="A6" s="15">
        <v>44958</v>
      </c>
      <c r="B6" s="14">
        <f>Summary!$G$19/31</f>
        <v>412719.4</v>
      </c>
      <c r="C6" s="14">
        <v>72</v>
      </c>
      <c r="D6" s="14">
        <v>72.12</v>
      </c>
      <c r="E6" s="14">
        <f>MIN(D6,C6)</f>
        <v>72</v>
      </c>
      <c r="F6" s="14">
        <f>B6*60%</f>
        <v>247631.64</v>
      </c>
      <c r="G6" s="14">
        <f>(F6*E6)/C6</f>
        <v>247631.64</v>
      </c>
      <c r="H6" s="14">
        <f>B6*40%</f>
        <v>165087.76</v>
      </c>
      <c r="I6" s="14">
        <f>(H6*E6)/C6</f>
        <v>165087.76</v>
      </c>
      <c r="J6" s="14">
        <v>7</v>
      </c>
      <c r="K6" s="14">
        <f t="shared" ref="K6" si="0">I6*50%</f>
        <v>82543.88</v>
      </c>
      <c r="L6" s="14">
        <f>IF(J6&gt;10,(MAX($B$34*0.1/100,10000)),0)</f>
        <v>0</v>
      </c>
      <c r="M6" s="14">
        <v>40</v>
      </c>
      <c r="N6" s="14">
        <f t="shared" ref="N6" si="1">I6*15%</f>
        <v>24763.16</v>
      </c>
      <c r="O6" s="14">
        <f t="shared" ref="O6" si="2">IF(M6&gt;100,(MAX($B$34*0.1/100,10000)),0)</f>
        <v>0</v>
      </c>
      <c r="P6" s="14">
        <v>6</v>
      </c>
      <c r="Q6" s="14">
        <f t="shared" ref="Q6" si="3">I6*25%</f>
        <v>41271.94</v>
      </c>
      <c r="R6" s="14">
        <f>IF(P6&gt;10,(MAX($B$34*0.1/100,10000)),0)</f>
        <v>0</v>
      </c>
      <c r="S6" s="14">
        <v>700</v>
      </c>
      <c r="T6" s="14">
        <f t="shared" ref="T6" si="4">I6*10%</f>
        <v>16508.78</v>
      </c>
      <c r="U6" s="14">
        <f t="shared" ref="U6" si="5">IF(S6&gt;1000,(MAX($B$34*0.1/100,10000)),0)</f>
        <v>0</v>
      </c>
      <c r="V6" s="14">
        <f>T6+Q6+N6+K6</f>
        <v>165087.76</v>
      </c>
      <c r="W6" s="14">
        <f>U6+R6+O6+L6</f>
        <v>0</v>
      </c>
    </row>
    <row r="7" spans="1:24" x14ac:dyDescent="0.25">
      <c r="A7" s="15">
        <v>44959</v>
      </c>
      <c r="B7" s="14">
        <f>Summary!$G$19/31</f>
        <v>412719.4</v>
      </c>
      <c r="C7" s="14">
        <v>72</v>
      </c>
      <c r="D7" s="14">
        <v>72.150000000000006</v>
      </c>
      <c r="E7" s="14">
        <f t="shared" ref="E7:E33" si="6">MIN(D7,C7)</f>
        <v>72</v>
      </c>
      <c r="F7" s="14">
        <f t="shared" ref="F7:F33" si="7">B7*60%</f>
        <v>247631.64</v>
      </c>
      <c r="G7" s="14">
        <f t="shared" ref="G7:G33" si="8">(F7*E7)/C7</f>
        <v>247631.64</v>
      </c>
      <c r="H7" s="14">
        <f t="shared" ref="H7:H33" si="9">B7*40%</f>
        <v>165087.76</v>
      </c>
      <c r="I7" s="14">
        <f t="shared" ref="I7:I33" si="10">(H7*E7)/C7</f>
        <v>165087.76</v>
      </c>
      <c r="J7" s="14">
        <v>7</v>
      </c>
      <c r="K7" s="14">
        <f t="shared" ref="K7:K33" si="11">I7*50%</f>
        <v>82543.88</v>
      </c>
      <c r="L7" s="14">
        <f t="shared" ref="L7:L33" si="12">IF(J7&gt;10,(MAX($B$34*0.1/100,10000)),0)</f>
        <v>0</v>
      </c>
      <c r="M7" s="14">
        <v>40</v>
      </c>
      <c r="N7" s="14">
        <f t="shared" ref="N7:N33" si="13">I7*15%</f>
        <v>24763.16</v>
      </c>
      <c r="O7" s="14">
        <f t="shared" ref="O7:O33" si="14">IF(M7&gt;100,(MAX($B$34*0.1/100,10000)),0)</f>
        <v>0</v>
      </c>
      <c r="P7" s="14">
        <v>7</v>
      </c>
      <c r="Q7" s="14">
        <f t="shared" ref="Q7:Q33" si="15">I7*25%</f>
        <v>41271.94</v>
      </c>
      <c r="R7" s="14">
        <f t="shared" ref="R7:R33" si="16">IF(P7&gt;10,(MAX($B$34*0.1/100,10000)),0)</f>
        <v>0</v>
      </c>
      <c r="S7" s="14">
        <v>800</v>
      </c>
      <c r="T7" s="14">
        <f t="shared" ref="T7:T33" si="17">I7*10%</f>
        <v>16508.78</v>
      </c>
      <c r="U7" s="14">
        <f t="shared" ref="U7:U33" si="18">IF(S7&gt;1000,(MAX($B$34*0.1/100,10000)),0)</f>
        <v>0</v>
      </c>
      <c r="V7" s="14">
        <f t="shared" ref="V7:V33" si="19">T7+Q7+N7+K7</f>
        <v>165087.76</v>
      </c>
      <c r="W7" s="14">
        <f t="shared" ref="W7:W33" si="20">U7+R7+O7+L7</f>
        <v>0</v>
      </c>
    </row>
    <row r="8" spans="1:24" s="114" customFormat="1" x14ac:dyDescent="0.25">
      <c r="A8" s="112">
        <v>44960</v>
      </c>
      <c r="B8" s="113">
        <f>Summary!$G$19/31</f>
        <v>412719.4</v>
      </c>
      <c r="C8" s="113">
        <v>72</v>
      </c>
      <c r="D8" s="113">
        <v>72.2</v>
      </c>
      <c r="E8" s="14">
        <f t="shared" si="6"/>
        <v>72</v>
      </c>
      <c r="F8" s="113">
        <f t="shared" si="7"/>
        <v>247631.64</v>
      </c>
      <c r="G8" s="14">
        <f t="shared" si="8"/>
        <v>247631.64</v>
      </c>
      <c r="H8" s="113">
        <f t="shared" si="9"/>
        <v>165087.76</v>
      </c>
      <c r="I8" s="14">
        <f t="shared" si="10"/>
        <v>165087.76</v>
      </c>
      <c r="J8" s="128">
        <v>7</v>
      </c>
      <c r="K8" s="14">
        <f t="shared" si="11"/>
        <v>82543.88</v>
      </c>
      <c r="L8" s="14">
        <f t="shared" si="12"/>
        <v>0</v>
      </c>
      <c r="M8" s="128">
        <v>88</v>
      </c>
      <c r="N8" s="14">
        <f t="shared" si="13"/>
        <v>24763.16</v>
      </c>
      <c r="O8" s="14">
        <f t="shared" si="14"/>
        <v>0</v>
      </c>
      <c r="P8" s="128">
        <v>8</v>
      </c>
      <c r="Q8" s="14">
        <f t="shared" si="15"/>
        <v>41271.94</v>
      </c>
      <c r="R8" s="14">
        <f t="shared" si="16"/>
        <v>0</v>
      </c>
      <c r="S8" s="128">
        <v>220</v>
      </c>
      <c r="T8" s="14">
        <f t="shared" si="17"/>
        <v>16508.78</v>
      </c>
      <c r="U8" s="14">
        <f t="shared" si="18"/>
        <v>0</v>
      </c>
      <c r="V8" s="14">
        <f t="shared" si="19"/>
        <v>165087.76</v>
      </c>
      <c r="W8" s="14">
        <f t="shared" si="20"/>
        <v>0</v>
      </c>
      <c r="X8" s="124" t="s">
        <v>131</v>
      </c>
    </row>
    <row r="9" spans="1:24" x14ac:dyDescent="0.25">
      <c r="A9" s="15">
        <v>44961</v>
      </c>
      <c r="B9" s="14">
        <f>Summary!$G$19/31</f>
        <v>412719.4</v>
      </c>
      <c r="C9" s="14">
        <v>72</v>
      </c>
      <c r="D9" s="14">
        <v>72.319999999999993</v>
      </c>
      <c r="E9" s="14">
        <f t="shared" si="6"/>
        <v>72</v>
      </c>
      <c r="F9" s="14">
        <f t="shared" si="7"/>
        <v>247631.64</v>
      </c>
      <c r="G9" s="14">
        <f t="shared" si="8"/>
        <v>247631.64</v>
      </c>
      <c r="H9" s="14">
        <f t="shared" si="9"/>
        <v>165087.76</v>
      </c>
      <c r="I9" s="14">
        <f t="shared" si="10"/>
        <v>165087.76</v>
      </c>
      <c r="J9" s="14">
        <v>9</v>
      </c>
      <c r="K9" s="14">
        <f t="shared" si="11"/>
        <v>82543.88</v>
      </c>
      <c r="L9" s="14">
        <f t="shared" si="12"/>
        <v>0</v>
      </c>
      <c r="M9" s="14">
        <v>40</v>
      </c>
      <c r="N9" s="14">
        <f t="shared" si="13"/>
        <v>24763.16</v>
      </c>
      <c r="O9" s="14">
        <f t="shared" si="14"/>
        <v>0</v>
      </c>
      <c r="P9" s="14">
        <v>7</v>
      </c>
      <c r="Q9" s="14">
        <f t="shared" si="15"/>
        <v>41271.94</v>
      </c>
      <c r="R9" s="14">
        <f t="shared" si="16"/>
        <v>0</v>
      </c>
      <c r="S9" s="14">
        <v>900</v>
      </c>
      <c r="T9" s="14">
        <f t="shared" si="17"/>
        <v>16508.78</v>
      </c>
      <c r="U9" s="14">
        <f t="shared" si="18"/>
        <v>0</v>
      </c>
      <c r="V9" s="14">
        <f t="shared" si="19"/>
        <v>165087.76</v>
      </c>
      <c r="W9" s="14">
        <f t="shared" si="20"/>
        <v>0</v>
      </c>
    </row>
    <row r="10" spans="1:24" x14ac:dyDescent="0.25">
      <c r="A10" s="15">
        <v>44962</v>
      </c>
      <c r="B10" s="14">
        <f>Summary!$G$19/31</f>
        <v>412719.4</v>
      </c>
      <c r="C10" s="14">
        <v>72</v>
      </c>
      <c r="D10" s="14">
        <v>72.19</v>
      </c>
      <c r="E10" s="14">
        <f t="shared" si="6"/>
        <v>72</v>
      </c>
      <c r="F10" s="14">
        <f t="shared" si="7"/>
        <v>247631.64</v>
      </c>
      <c r="G10" s="14">
        <f t="shared" si="8"/>
        <v>247631.64</v>
      </c>
      <c r="H10" s="14">
        <f t="shared" si="9"/>
        <v>165087.76</v>
      </c>
      <c r="I10" s="14">
        <f t="shared" si="10"/>
        <v>165087.76</v>
      </c>
      <c r="J10" s="14">
        <v>8</v>
      </c>
      <c r="K10" s="14">
        <f t="shared" si="11"/>
        <v>82543.88</v>
      </c>
      <c r="L10" s="14">
        <f t="shared" si="12"/>
        <v>0</v>
      </c>
      <c r="M10" s="14">
        <v>48</v>
      </c>
      <c r="N10" s="14">
        <f t="shared" si="13"/>
        <v>24763.16</v>
      </c>
      <c r="O10" s="14">
        <f t="shared" si="14"/>
        <v>0</v>
      </c>
      <c r="P10" s="14">
        <v>9</v>
      </c>
      <c r="Q10" s="14">
        <f t="shared" si="15"/>
        <v>41271.94</v>
      </c>
      <c r="R10" s="14">
        <f t="shared" si="16"/>
        <v>0</v>
      </c>
      <c r="S10" s="14">
        <v>800</v>
      </c>
      <c r="T10" s="14">
        <f t="shared" si="17"/>
        <v>16508.78</v>
      </c>
      <c r="U10" s="14">
        <f t="shared" si="18"/>
        <v>0</v>
      </c>
      <c r="V10" s="14">
        <f t="shared" si="19"/>
        <v>165087.76</v>
      </c>
      <c r="W10" s="14">
        <f t="shared" si="20"/>
        <v>0</v>
      </c>
    </row>
    <row r="11" spans="1:24" s="120" customFormat="1" x14ac:dyDescent="0.25">
      <c r="A11" s="117">
        <v>44963</v>
      </c>
      <c r="B11" s="118">
        <f>Summary!$G$19/31</f>
        <v>412719.4</v>
      </c>
      <c r="C11" s="118">
        <v>72</v>
      </c>
      <c r="D11" s="118">
        <v>72.25</v>
      </c>
      <c r="E11" s="14">
        <f t="shared" si="6"/>
        <v>72</v>
      </c>
      <c r="F11" s="118">
        <f t="shared" si="7"/>
        <v>247631.64</v>
      </c>
      <c r="G11" s="14">
        <f t="shared" si="8"/>
        <v>247631.64</v>
      </c>
      <c r="H11" s="118">
        <f t="shared" si="9"/>
        <v>165087.76</v>
      </c>
      <c r="I11" s="14">
        <f t="shared" si="10"/>
        <v>165087.76</v>
      </c>
      <c r="J11" s="118">
        <v>10</v>
      </c>
      <c r="K11" s="14">
        <f t="shared" si="11"/>
        <v>82543.88</v>
      </c>
      <c r="L11" s="14">
        <f t="shared" si="12"/>
        <v>0</v>
      </c>
      <c r="M11" s="118">
        <v>96</v>
      </c>
      <c r="N11" s="14">
        <f t="shared" si="13"/>
        <v>24763.16</v>
      </c>
      <c r="O11" s="14">
        <f t="shared" si="14"/>
        <v>0</v>
      </c>
      <c r="P11" s="118">
        <v>10</v>
      </c>
      <c r="Q11" s="14">
        <f t="shared" si="15"/>
        <v>41271.94</v>
      </c>
      <c r="R11" s="14">
        <f t="shared" si="16"/>
        <v>0</v>
      </c>
      <c r="S11" s="118">
        <v>630</v>
      </c>
      <c r="T11" s="14">
        <f t="shared" si="17"/>
        <v>16508.78</v>
      </c>
      <c r="U11" s="14">
        <f t="shared" si="18"/>
        <v>0</v>
      </c>
      <c r="V11" s="14">
        <f t="shared" si="19"/>
        <v>165087.76</v>
      </c>
      <c r="W11" s="14">
        <f t="shared" si="20"/>
        <v>0</v>
      </c>
      <c r="X11" s="125" t="s">
        <v>132</v>
      </c>
    </row>
    <row r="12" spans="1:24" x14ac:dyDescent="0.25">
      <c r="A12" s="15">
        <v>44964</v>
      </c>
      <c r="B12" s="14">
        <f>Summary!$G$19/31</f>
        <v>412719.4</v>
      </c>
      <c r="C12" s="14">
        <v>72</v>
      </c>
      <c r="D12" s="14">
        <v>72.349999999999994</v>
      </c>
      <c r="E12" s="14">
        <f t="shared" si="6"/>
        <v>72</v>
      </c>
      <c r="F12" s="14">
        <f t="shared" si="7"/>
        <v>247631.64</v>
      </c>
      <c r="G12" s="14">
        <f t="shared" si="8"/>
        <v>247631.64</v>
      </c>
      <c r="H12" s="14">
        <f t="shared" si="9"/>
        <v>165087.76</v>
      </c>
      <c r="I12" s="14">
        <f t="shared" si="10"/>
        <v>165087.76</v>
      </c>
      <c r="J12" s="14">
        <v>8</v>
      </c>
      <c r="K12" s="14">
        <f t="shared" si="11"/>
        <v>82543.88</v>
      </c>
      <c r="L12" s="14">
        <f t="shared" si="12"/>
        <v>0</v>
      </c>
      <c r="M12" s="14">
        <v>44</v>
      </c>
      <c r="N12" s="14">
        <f t="shared" si="13"/>
        <v>24763.16</v>
      </c>
      <c r="O12" s="14">
        <f t="shared" si="14"/>
        <v>0</v>
      </c>
      <c r="P12" s="14">
        <v>8</v>
      </c>
      <c r="Q12" s="14">
        <f t="shared" si="15"/>
        <v>41271.94</v>
      </c>
      <c r="R12" s="14">
        <f t="shared" si="16"/>
        <v>0</v>
      </c>
      <c r="S12" s="14">
        <v>850</v>
      </c>
      <c r="T12" s="14">
        <f t="shared" si="17"/>
        <v>16508.78</v>
      </c>
      <c r="U12" s="14">
        <f t="shared" si="18"/>
        <v>0</v>
      </c>
      <c r="V12" s="14">
        <f t="shared" si="19"/>
        <v>165087.76</v>
      </c>
      <c r="W12" s="14">
        <f t="shared" si="20"/>
        <v>0</v>
      </c>
    </row>
    <row r="13" spans="1:24" x14ac:dyDescent="0.25">
      <c r="A13" s="15">
        <v>44965</v>
      </c>
      <c r="B13" s="14">
        <f>Summary!$G$19/31</f>
        <v>412719.4</v>
      </c>
      <c r="C13" s="14">
        <v>72</v>
      </c>
      <c r="D13" s="14">
        <v>72.260000000000005</v>
      </c>
      <c r="E13" s="14">
        <f t="shared" si="6"/>
        <v>72</v>
      </c>
      <c r="F13" s="14">
        <f t="shared" si="7"/>
        <v>247631.64</v>
      </c>
      <c r="G13" s="14">
        <f t="shared" si="8"/>
        <v>247631.64</v>
      </c>
      <c r="H13" s="14">
        <f t="shared" si="9"/>
        <v>165087.76</v>
      </c>
      <c r="I13" s="14">
        <f t="shared" si="10"/>
        <v>165087.76</v>
      </c>
      <c r="J13" s="14">
        <v>7</v>
      </c>
      <c r="K13" s="14">
        <f t="shared" si="11"/>
        <v>82543.88</v>
      </c>
      <c r="L13" s="14">
        <f t="shared" si="12"/>
        <v>0</v>
      </c>
      <c r="M13" s="14">
        <v>40</v>
      </c>
      <c r="N13" s="14">
        <f t="shared" si="13"/>
        <v>24763.16</v>
      </c>
      <c r="O13" s="14">
        <f t="shared" si="14"/>
        <v>0</v>
      </c>
      <c r="P13" s="14">
        <v>6</v>
      </c>
      <c r="Q13" s="14">
        <f t="shared" si="15"/>
        <v>41271.94</v>
      </c>
      <c r="R13" s="14">
        <f t="shared" si="16"/>
        <v>0</v>
      </c>
      <c r="S13" s="14">
        <v>900</v>
      </c>
      <c r="T13" s="14">
        <f t="shared" si="17"/>
        <v>16508.78</v>
      </c>
      <c r="U13" s="14">
        <f t="shared" si="18"/>
        <v>0</v>
      </c>
      <c r="V13" s="14">
        <f t="shared" si="19"/>
        <v>165087.76</v>
      </c>
      <c r="W13" s="14">
        <f t="shared" si="20"/>
        <v>0</v>
      </c>
    </row>
    <row r="14" spans="1:24" s="114" customFormat="1" x14ac:dyDescent="0.25">
      <c r="A14" s="112">
        <v>44966</v>
      </c>
      <c r="B14" s="113">
        <f>Summary!$G$19/31</f>
        <v>412719.4</v>
      </c>
      <c r="C14" s="113">
        <v>72</v>
      </c>
      <c r="D14" s="113">
        <v>72.19</v>
      </c>
      <c r="E14" s="14">
        <f t="shared" si="6"/>
        <v>72</v>
      </c>
      <c r="F14" s="113">
        <f t="shared" si="7"/>
        <v>247631.64</v>
      </c>
      <c r="G14" s="14">
        <f t="shared" si="8"/>
        <v>247631.64</v>
      </c>
      <c r="H14" s="113">
        <f t="shared" si="9"/>
        <v>165087.76</v>
      </c>
      <c r="I14" s="14">
        <f t="shared" si="10"/>
        <v>165087.76</v>
      </c>
      <c r="J14" s="113">
        <v>8</v>
      </c>
      <c r="K14" s="14">
        <f t="shared" si="11"/>
        <v>82543.88</v>
      </c>
      <c r="L14" s="14">
        <f t="shared" si="12"/>
        <v>0</v>
      </c>
      <c r="M14" s="113">
        <v>84</v>
      </c>
      <c r="N14" s="14">
        <f t="shared" si="13"/>
        <v>24763.16</v>
      </c>
      <c r="O14" s="14">
        <f t="shared" si="14"/>
        <v>0</v>
      </c>
      <c r="P14" s="113">
        <v>10</v>
      </c>
      <c r="Q14" s="14">
        <f t="shared" si="15"/>
        <v>41271.94</v>
      </c>
      <c r="R14" s="14">
        <f t="shared" si="16"/>
        <v>0</v>
      </c>
      <c r="S14" s="121">
        <v>170000</v>
      </c>
      <c r="T14" s="14">
        <v>0</v>
      </c>
      <c r="U14" s="14">
        <f t="shared" si="18"/>
        <v>11556.14</v>
      </c>
      <c r="V14" s="14">
        <f t="shared" si="19"/>
        <v>148578.98000000001</v>
      </c>
      <c r="W14" s="14">
        <f t="shared" si="20"/>
        <v>11556.14</v>
      </c>
      <c r="X14" s="124" t="s">
        <v>131</v>
      </c>
    </row>
    <row r="15" spans="1:24" x14ac:dyDescent="0.25">
      <c r="A15" s="15">
        <v>44967</v>
      </c>
      <c r="B15" s="14">
        <f>Summary!$G$19/31</f>
        <v>412719.4</v>
      </c>
      <c r="C15" s="14">
        <v>72</v>
      </c>
      <c r="D15" s="14">
        <v>72.28</v>
      </c>
      <c r="E15" s="14">
        <f t="shared" si="6"/>
        <v>72</v>
      </c>
      <c r="F15" s="14">
        <f t="shared" si="7"/>
        <v>247631.64</v>
      </c>
      <c r="G15" s="14">
        <f t="shared" si="8"/>
        <v>247631.64</v>
      </c>
      <c r="H15" s="14">
        <f t="shared" si="9"/>
        <v>165087.76</v>
      </c>
      <c r="I15" s="14">
        <f t="shared" si="10"/>
        <v>165087.76</v>
      </c>
      <c r="J15" s="14">
        <v>9</v>
      </c>
      <c r="K15" s="14">
        <f t="shared" si="11"/>
        <v>82543.88</v>
      </c>
      <c r="L15" s="14">
        <f t="shared" si="12"/>
        <v>0</v>
      </c>
      <c r="M15" s="14">
        <v>52</v>
      </c>
      <c r="N15" s="14">
        <f t="shared" si="13"/>
        <v>24763.16</v>
      </c>
      <c r="O15" s="14">
        <f t="shared" si="14"/>
        <v>0</v>
      </c>
      <c r="P15" s="14">
        <v>9</v>
      </c>
      <c r="Q15" s="14">
        <f t="shared" si="15"/>
        <v>41271.94</v>
      </c>
      <c r="R15" s="14">
        <f t="shared" si="16"/>
        <v>0</v>
      </c>
      <c r="S15" s="14">
        <v>900</v>
      </c>
      <c r="T15" s="14">
        <f t="shared" si="17"/>
        <v>16508.78</v>
      </c>
      <c r="U15" s="14">
        <f t="shared" si="18"/>
        <v>0</v>
      </c>
      <c r="V15" s="14">
        <f t="shared" si="19"/>
        <v>165087.76</v>
      </c>
      <c r="W15" s="14">
        <f t="shared" si="20"/>
        <v>0</v>
      </c>
    </row>
    <row r="16" spans="1:24" x14ac:dyDescent="0.25">
      <c r="A16" s="15">
        <v>44968</v>
      </c>
      <c r="B16" s="14">
        <f>Summary!$G$19/31</f>
        <v>412719.4</v>
      </c>
      <c r="C16" s="14">
        <v>72</v>
      </c>
      <c r="D16" s="14">
        <v>72.2</v>
      </c>
      <c r="E16" s="14">
        <f t="shared" si="6"/>
        <v>72</v>
      </c>
      <c r="F16" s="14">
        <f t="shared" si="7"/>
        <v>247631.64</v>
      </c>
      <c r="G16" s="14">
        <f t="shared" si="8"/>
        <v>247631.64</v>
      </c>
      <c r="H16" s="14">
        <f t="shared" si="9"/>
        <v>165087.76</v>
      </c>
      <c r="I16" s="14">
        <f t="shared" si="10"/>
        <v>165087.76</v>
      </c>
      <c r="J16" s="14">
        <v>8</v>
      </c>
      <c r="K16" s="14">
        <f t="shared" si="11"/>
        <v>82543.88</v>
      </c>
      <c r="L16" s="14">
        <f t="shared" si="12"/>
        <v>0</v>
      </c>
      <c r="M16" s="14">
        <v>60</v>
      </c>
      <c r="N16" s="14">
        <f t="shared" si="13"/>
        <v>24763.16</v>
      </c>
      <c r="O16" s="14">
        <f t="shared" si="14"/>
        <v>0</v>
      </c>
      <c r="P16" s="14">
        <v>9</v>
      </c>
      <c r="Q16" s="14">
        <f t="shared" si="15"/>
        <v>41271.94</v>
      </c>
      <c r="R16" s="14">
        <f t="shared" si="16"/>
        <v>0</v>
      </c>
      <c r="S16" s="14">
        <v>800</v>
      </c>
      <c r="T16" s="14">
        <f t="shared" si="17"/>
        <v>16508.78</v>
      </c>
      <c r="U16" s="14">
        <f t="shared" si="18"/>
        <v>0</v>
      </c>
      <c r="V16" s="14">
        <f t="shared" si="19"/>
        <v>165087.76</v>
      </c>
      <c r="W16" s="14">
        <f t="shared" si="20"/>
        <v>0</v>
      </c>
    </row>
    <row r="17" spans="1:24" x14ac:dyDescent="0.25">
      <c r="A17" s="15">
        <v>44969</v>
      </c>
      <c r="B17" s="14">
        <f>Summary!$G$19/31</f>
        <v>412719.4</v>
      </c>
      <c r="C17" s="14">
        <v>72</v>
      </c>
      <c r="D17" s="14">
        <v>72.36</v>
      </c>
      <c r="E17" s="14">
        <f t="shared" si="6"/>
        <v>72</v>
      </c>
      <c r="F17" s="14">
        <f t="shared" si="7"/>
        <v>247631.64</v>
      </c>
      <c r="G17" s="14">
        <f t="shared" si="8"/>
        <v>247631.64</v>
      </c>
      <c r="H17" s="14">
        <f t="shared" si="9"/>
        <v>165087.76</v>
      </c>
      <c r="I17" s="14">
        <f t="shared" si="10"/>
        <v>165087.76</v>
      </c>
      <c r="J17" s="14">
        <v>7</v>
      </c>
      <c r="K17" s="14">
        <f t="shared" si="11"/>
        <v>82543.88</v>
      </c>
      <c r="L17" s="14">
        <f t="shared" si="12"/>
        <v>0</v>
      </c>
      <c r="M17" s="14">
        <v>56</v>
      </c>
      <c r="N17" s="14">
        <f t="shared" si="13"/>
        <v>24763.16</v>
      </c>
      <c r="O17" s="14">
        <f t="shared" si="14"/>
        <v>0</v>
      </c>
      <c r="P17" s="14">
        <v>8</v>
      </c>
      <c r="Q17" s="14">
        <f t="shared" si="15"/>
        <v>41271.94</v>
      </c>
      <c r="R17" s="14">
        <f t="shared" si="16"/>
        <v>0</v>
      </c>
      <c r="S17" s="14">
        <v>750</v>
      </c>
      <c r="T17" s="14">
        <f t="shared" si="17"/>
        <v>16508.78</v>
      </c>
      <c r="U17" s="14">
        <f t="shared" si="18"/>
        <v>0</v>
      </c>
      <c r="V17" s="14">
        <f t="shared" si="19"/>
        <v>165087.76</v>
      </c>
      <c r="W17" s="14">
        <f t="shared" si="20"/>
        <v>0</v>
      </c>
    </row>
    <row r="18" spans="1:24" s="120" customFormat="1" x14ac:dyDescent="0.25">
      <c r="A18" s="117">
        <v>44970</v>
      </c>
      <c r="B18" s="118">
        <f>Summary!$G$19/31</f>
        <v>412719.4</v>
      </c>
      <c r="C18" s="118">
        <v>72</v>
      </c>
      <c r="D18" s="118">
        <v>72.290000000000006</v>
      </c>
      <c r="E18" s="14">
        <f t="shared" si="6"/>
        <v>72</v>
      </c>
      <c r="F18" s="118">
        <f t="shared" si="7"/>
        <v>247631.64</v>
      </c>
      <c r="G18" s="14">
        <f t="shared" si="8"/>
        <v>247631.64</v>
      </c>
      <c r="H18" s="118">
        <f t="shared" si="9"/>
        <v>165087.76</v>
      </c>
      <c r="I18" s="14">
        <f t="shared" si="10"/>
        <v>165087.76</v>
      </c>
      <c r="J18" s="118">
        <v>8</v>
      </c>
      <c r="K18" s="14">
        <f t="shared" si="11"/>
        <v>82543.88</v>
      </c>
      <c r="L18" s="14">
        <f t="shared" si="12"/>
        <v>0</v>
      </c>
      <c r="M18" s="118">
        <v>88</v>
      </c>
      <c r="N18" s="14">
        <f t="shared" si="13"/>
        <v>24763.16</v>
      </c>
      <c r="O18" s="14">
        <f t="shared" si="14"/>
        <v>0</v>
      </c>
      <c r="P18" s="118">
        <v>8</v>
      </c>
      <c r="Q18" s="14">
        <f t="shared" si="15"/>
        <v>41271.94</v>
      </c>
      <c r="R18" s="14">
        <f t="shared" si="16"/>
        <v>0</v>
      </c>
      <c r="S18" s="118">
        <v>680</v>
      </c>
      <c r="T18" s="14">
        <f t="shared" si="17"/>
        <v>16508.78</v>
      </c>
      <c r="U18" s="14">
        <f t="shared" si="18"/>
        <v>0</v>
      </c>
      <c r="V18" s="14">
        <f t="shared" si="19"/>
        <v>165087.76</v>
      </c>
      <c r="W18" s="14">
        <f t="shared" si="20"/>
        <v>0</v>
      </c>
      <c r="X18" s="125" t="s">
        <v>132</v>
      </c>
    </row>
    <row r="19" spans="1:24" s="114" customFormat="1" x14ac:dyDescent="0.25">
      <c r="A19" s="112">
        <v>44971</v>
      </c>
      <c r="B19" s="113">
        <f>Summary!$G$19/31</f>
        <v>412719.4</v>
      </c>
      <c r="C19" s="113">
        <v>72</v>
      </c>
      <c r="D19" s="113">
        <v>72.180000000000007</v>
      </c>
      <c r="E19" s="14">
        <f t="shared" si="6"/>
        <v>72</v>
      </c>
      <c r="F19" s="113">
        <f t="shared" si="7"/>
        <v>247631.64</v>
      </c>
      <c r="G19" s="14">
        <f t="shared" si="8"/>
        <v>247631.64</v>
      </c>
      <c r="H19" s="113">
        <f t="shared" si="9"/>
        <v>165087.76</v>
      </c>
      <c r="I19" s="14">
        <f t="shared" si="10"/>
        <v>165087.76</v>
      </c>
      <c r="J19" s="113">
        <v>9</v>
      </c>
      <c r="K19" s="14">
        <f t="shared" si="11"/>
        <v>82543.88</v>
      </c>
      <c r="L19" s="14">
        <f t="shared" si="12"/>
        <v>0</v>
      </c>
      <c r="M19" s="113">
        <v>52</v>
      </c>
      <c r="N19" s="14">
        <f t="shared" si="13"/>
        <v>24763.16</v>
      </c>
      <c r="O19" s="14">
        <f t="shared" si="14"/>
        <v>0</v>
      </c>
      <c r="P19" s="121">
        <v>32</v>
      </c>
      <c r="Q19" s="14">
        <v>0</v>
      </c>
      <c r="R19" s="14">
        <f t="shared" si="16"/>
        <v>11556.14</v>
      </c>
      <c r="S19" s="113">
        <v>109</v>
      </c>
      <c r="T19" s="14">
        <f t="shared" si="17"/>
        <v>16508.78</v>
      </c>
      <c r="U19" s="14">
        <f t="shared" si="18"/>
        <v>0</v>
      </c>
      <c r="V19" s="14">
        <f t="shared" si="19"/>
        <v>123815.82</v>
      </c>
      <c r="W19" s="14">
        <f t="shared" si="20"/>
        <v>11556.14</v>
      </c>
      <c r="X19" s="124" t="s">
        <v>131</v>
      </c>
    </row>
    <row r="20" spans="1:24" x14ac:dyDescent="0.25">
      <c r="A20" s="15">
        <v>44972</v>
      </c>
      <c r="B20" s="14">
        <f>Summary!$G$19/31</f>
        <v>412719.4</v>
      </c>
      <c r="C20" s="14">
        <v>72</v>
      </c>
      <c r="D20" s="14">
        <v>72.27</v>
      </c>
      <c r="E20" s="14">
        <f t="shared" si="6"/>
        <v>72</v>
      </c>
      <c r="F20" s="14">
        <f t="shared" si="7"/>
        <v>247631.64</v>
      </c>
      <c r="G20" s="14">
        <f t="shared" si="8"/>
        <v>247631.64</v>
      </c>
      <c r="H20" s="14">
        <f t="shared" si="9"/>
        <v>165087.76</v>
      </c>
      <c r="I20" s="14">
        <f t="shared" si="10"/>
        <v>165087.76</v>
      </c>
      <c r="J20" s="14">
        <v>8</v>
      </c>
      <c r="K20" s="14">
        <f t="shared" si="11"/>
        <v>82543.88</v>
      </c>
      <c r="L20" s="14">
        <f t="shared" si="12"/>
        <v>0</v>
      </c>
      <c r="M20" s="14">
        <v>60</v>
      </c>
      <c r="N20" s="14">
        <f t="shared" si="13"/>
        <v>24763.16</v>
      </c>
      <c r="O20" s="14">
        <f t="shared" si="14"/>
        <v>0</v>
      </c>
      <c r="P20" s="14">
        <v>8</v>
      </c>
      <c r="Q20" s="14">
        <f t="shared" si="15"/>
        <v>41271.94</v>
      </c>
      <c r="R20" s="14">
        <f t="shared" si="16"/>
        <v>0</v>
      </c>
      <c r="S20" s="14">
        <v>800</v>
      </c>
      <c r="T20" s="14">
        <f t="shared" si="17"/>
        <v>16508.78</v>
      </c>
      <c r="U20" s="14">
        <f t="shared" si="18"/>
        <v>0</v>
      </c>
      <c r="V20" s="14">
        <f t="shared" si="19"/>
        <v>165087.76</v>
      </c>
      <c r="W20" s="14">
        <f t="shared" si="20"/>
        <v>0</v>
      </c>
    </row>
    <row r="21" spans="1:24" x14ac:dyDescent="0.25">
      <c r="A21" s="15">
        <v>44973</v>
      </c>
      <c r="B21" s="14">
        <f>Summary!$G$19/31</f>
        <v>412719.4</v>
      </c>
      <c r="C21" s="14">
        <v>72</v>
      </c>
      <c r="D21" s="14">
        <v>72.42</v>
      </c>
      <c r="E21" s="14">
        <f t="shared" si="6"/>
        <v>72</v>
      </c>
      <c r="F21" s="14">
        <f t="shared" si="7"/>
        <v>247631.64</v>
      </c>
      <c r="G21" s="14">
        <f t="shared" si="8"/>
        <v>247631.64</v>
      </c>
      <c r="H21" s="14">
        <f t="shared" si="9"/>
        <v>165087.76</v>
      </c>
      <c r="I21" s="14">
        <f t="shared" si="10"/>
        <v>165087.76</v>
      </c>
      <c r="J21" s="14">
        <v>7</v>
      </c>
      <c r="K21" s="14">
        <f t="shared" si="11"/>
        <v>82543.88</v>
      </c>
      <c r="L21" s="14">
        <f t="shared" si="12"/>
        <v>0</v>
      </c>
      <c r="M21" s="14">
        <v>48</v>
      </c>
      <c r="N21" s="14">
        <f t="shared" si="13"/>
        <v>24763.16</v>
      </c>
      <c r="O21" s="14">
        <f t="shared" si="14"/>
        <v>0</v>
      </c>
      <c r="P21" s="14">
        <v>8</v>
      </c>
      <c r="Q21" s="14">
        <f t="shared" si="15"/>
        <v>41271.94</v>
      </c>
      <c r="R21" s="14">
        <f t="shared" si="16"/>
        <v>0</v>
      </c>
      <c r="S21" s="14">
        <v>850</v>
      </c>
      <c r="T21" s="14">
        <f t="shared" si="17"/>
        <v>16508.78</v>
      </c>
      <c r="U21" s="14">
        <f t="shared" si="18"/>
        <v>0</v>
      </c>
      <c r="V21" s="14">
        <f t="shared" si="19"/>
        <v>165087.76</v>
      </c>
      <c r="W21" s="14">
        <f t="shared" si="20"/>
        <v>0</v>
      </c>
    </row>
    <row r="22" spans="1:24" x14ac:dyDescent="0.25">
      <c r="A22" s="15">
        <v>44974</v>
      </c>
      <c r="B22" s="14">
        <f>Summary!$G$19/31</f>
        <v>412719.4</v>
      </c>
      <c r="C22" s="14">
        <v>72</v>
      </c>
      <c r="D22" s="14">
        <v>72.36</v>
      </c>
      <c r="E22" s="14">
        <f t="shared" si="6"/>
        <v>72</v>
      </c>
      <c r="F22" s="14">
        <f t="shared" si="7"/>
        <v>247631.64</v>
      </c>
      <c r="G22" s="14">
        <f t="shared" si="8"/>
        <v>247631.64</v>
      </c>
      <c r="H22" s="14">
        <f t="shared" si="9"/>
        <v>165087.76</v>
      </c>
      <c r="I22" s="14">
        <f t="shared" si="10"/>
        <v>165087.76</v>
      </c>
      <c r="J22" s="14">
        <v>8</v>
      </c>
      <c r="K22" s="14">
        <f t="shared" si="11"/>
        <v>82543.88</v>
      </c>
      <c r="L22" s="14">
        <f t="shared" si="12"/>
        <v>0</v>
      </c>
      <c r="M22" s="14">
        <v>52</v>
      </c>
      <c r="N22" s="14">
        <f t="shared" si="13"/>
        <v>24763.16</v>
      </c>
      <c r="O22" s="14">
        <f t="shared" si="14"/>
        <v>0</v>
      </c>
      <c r="P22" s="14">
        <v>9</v>
      </c>
      <c r="Q22" s="14">
        <f t="shared" si="15"/>
        <v>41271.94</v>
      </c>
      <c r="R22" s="14">
        <f t="shared" si="16"/>
        <v>0</v>
      </c>
      <c r="S22" s="14">
        <v>900</v>
      </c>
      <c r="T22" s="14">
        <f t="shared" si="17"/>
        <v>16508.78</v>
      </c>
      <c r="U22" s="14">
        <f t="shared" si="18"/>
        <v>0</v>
      </c>
      <c r="V22" s="14">
        <f t="shared" si="19"/>
        <v>165087.76</v>
      </c>
      <c r="W22" s="14">
        <f t="shared" si="20"/>
        <v>0</v>
      </c>
    </row>
    <row r="23" spans="1:24" x14ac:dyDescent="0.25">
      <c r="A23" s="15">
        <v>44975</v>
      </c>
      <c r="B23" s="14">
        <f>Summary!$G$19/31</f>
        <v>412719.4</v>
      </c>
      <c r="C23" s="14">
        <v>72</v>
      </c>
      <c r="D23" s="14">
        <v>72.319999999999993</v>
      </c>
      <c r="E23" s="14">
        <f t="shared" si="6"/>
        <v>72</v>
      </c>
      <c r="F23" s="14">
        <f t="shared" si="7"/>
        <v>247631.64</v>
      </c>
      <c r="G23" s="14">
        <f t="shared" si="8"/>
        <v>247631.64</v>
      </c>
      <c r="H23" s="14">
        <f t="shared" si="9"/>
        <v>165087.76</v>
      </c>
      <c r="I23" s="14">
        <f t="shared" si="10"/>
        <v>165087.76</v>
      </c>
      <c r="J23" s="14">
        <v>6</v>
      </c>
      <c r="K23" s="14">
        <f t="shared" si="11"/>
        <v>82543.88</v>
      </c>
      <c r="L23" s="14">
        <f t="shared" si="12"/>
        <v>0</v>
      </c>
      <c r="M23" s="14">
        <v>44</v>
      </c>
      <c r="N23" s="14">
        <f t="shared" si="13"/>
        <v>24763.16</v>
      </c>
      <c r="O23" s="14">
        <f t="shared" si="14"/>
        <v>0</v>
      </c>
      <c r="P23" s="14">
        <v>7</v>
      </c>
      <c r="Q23" s="14">
        <f t="shared" si="15"/>
        <v>41271.94</v>
      </c>
      <c r="R23" s="14">
        <f t="shared" si="16"/>
        <v>0</v>
      </c>
      <c r="S23" s="14">
        <v>800</v>
      </c>
      <c r="T23" s="14">
        <f t="shared" si="17"/>
        <v>16508.78</v>
      </c>
      <c r="U23" s="14">
        <f t="shared" si="18"/>
        <v>0</v>
      </c>
      <c r="V23" s="14">
        <f t="shared" si="19"/>
        <v>165087.76</v>
      </c>
      <c r="W23" s="14">
        <f t="shared" si="20"/>
        <v>0</v>
      </c>
    </row>
    <row r="24" spans="1:24" x14ac:dyDescent="0.25">
      <c r="A24" s="15">
        <v>44976</v>
      </c>
      <c r="B24" s="14">
        <f>Summary!$G$19/31</f>
        <v>412719.4</v>
      </c>
      <c r="C24" s="14">
        <v>72</v>
      </c>
      <c r="D24" s="14">
        <v>72.3</v>
      </c>
      <c r="E24" s="14">
        <f t="shared" si="6"/>
        <v>72</v>
      </c>
      <c r="F24" s="14">
        <f t="shared" si="7"/>
        <v>247631.64</v>
      </c>
      <c r="G24" s="14">
        <f t="shared" si="8"/>
        <v>247631.64</v>
      </c>
      <c r="H24" s="14">
        <f t="shared" si="9"/>
        <v>165087.76</v>
      </c>
      <c r="I24" s="14">
        <f t="shared" si="10"/>
        <v>165087.76</v>
      </c>
      <c r="J24" s="14">
        <v>8</v>
      </c>
      <c r="K24" s="14">
        <f t="shared" si="11"/>
        <v>82543.88</v>
      </c>
      <c r="L24" s="14">
        <f t="shared" si="12"/>
        <v>0</v>
      </c>
      <c r="M24" s="14">
        <v>48</v>
      </c>
      <c r="N24" s="14">
        <f t="shared" si="13"/>
        <v>24763.16</v>
      </c>
      <c r="O24" s="14">
        <f t="shared" si="14"/>
        <v>0</v>
      </c>
      <c r="P24" s="14">
        <v>9</v>
      </c>
      <c r="Q24" s="14">
        <f t="shared" si="15"/>
        <v>41271.94</v>
      </c>
      <c r="R24" s="14">
        <f t="shared" si="16"/>
        <v>0</v>
      </c>
      <c r="S24" s="14">
        <v>750</v>
      </c>
      <c r="T24" s="14">
        <f t="shared" si="17"/>
        <v>16508.78</v>
      </c>
      <c r="U24" s="14">
        <f t="shared" si="18"/>
        <v>0</v>
      </c>
      <c r="V24" s="14">
        <f t="shared" si="19"/>
        <v>165087.76</v>
      </c>
      <c r="W24" s="14">
        <f t="shared" si="20"/>
        <v>0</v>
      </c>
    </row>
    <row r="25" spans="1:24" s="120" customFormat="1" x14ac:dyDescent="0.25">
      <c r="A25" s="117">
        <v>44977</v>
      </c>
      <c r="B25" s="118">
        <f>Summary!$G$19/31</f>
        <v>412719.4</v>
      </c>
      <c r="C25" s="118">
        <v>72</v>
      </c>
      <c r="D25" s="118">
        <v>72.42</v>
      </c>
      <c r="E25" s="14">
        <f t="shared" si="6"/>
        <v>72</v>
      </c>
      <c r="F25" s="118">
        <f t="shared" si="7"/>
        <v>247631.64</v>
      </c>
      <c r="G25" s="14">
        <f t="shared" si="8"/>
        <v>247631.64</v>
      </c>
      <c r="H25" s="118">
        <f t="shared" si="9"/>
        <v>165087.76</v>
      </c>
      <c r="I25" s="14">
        <f t="shared" si="10"/>
        <v>165087.76</v>
      </c>
      <c r="J25" s="118">
        <v>9</v>
      </c>
      <c r="K25" s="14">
        <f t="shared" si="11"/>
        <v>82543.88</v>
      </c>
      <c r="L25" s="14">
        <f t="shared" si="12"/>
        <v>0</v>
      </c>
      <c r="M25" s="118">
        <v>76</v>
      </c>
      <c r="N25" s="14">
        <f t="shared" si="13"/>
        <v>24763.16</v>
      </c>
      <c r="O25" s="14">
        <f t="shared" si="14"/>
        <v>0</v>
      </c>
      <c r="P25" s="118">
        <v>9</v>
      </c>
      <c r="Q25" s="14">
        <f t="shared" si="15"/>
        <v>41271.94</v>
      </c>
      <c r="R25" s="14">
        <f t="shared" si="16"/>
        <v>0</v>
      </c>
      <c r="S25" s="118">
        <v>600</v>
      </c>
      <c r="T25" s="14">
        <f t="shared" si="17"/>
        <v>16508.78</v>
      </c>
      <c r="U25" s="14">
        <f t="shared" si="18"/>
        <v>0</v>
      </c>
      <c r="V25" s="14">
        <f t="shared" si="19"/>
        <v>165087.76</v>
      </c>
      <c r="W25" s="14">
        <f t="shared" si="20"/>
        <v>0</v>
      </c>
      <c r="X25" s="125" t="s">
        <v>132</v>
      </c>
    </row>
    <row r="26" spans="1:24" s="114" customFormat="1" x14ac:dyDescent="0.25">
      <c r="A26" s="112">
        <v>44978</v>
      </c>
      <c r="B26" s="113">
        <f>Summary!$G$19/31</f>
        <v>412719.4</v>
      </c>
      <c r="C26" s="113">
        <v>72</v>
      </c>
      <c r="D26" s="113">
        <v>72.349999999999994</v>
      </c>
      <c r="E26" s="14">
        <f t="shared" si="6"/>
        <v>72</v>
      </c>
      <c r="F26" s="113">
        <f t="shared" si="7"/>
        <v>247631.64</v>
      </c>
      <c r="G26" s="14">
        <f t="shared" si="8"/>
        <v>247631.64</v>
      </c>
      <c r="H26" s="113">
        <f t="shared" si="9"/>
        <v>165087.76</v>
      </c>
      <c r="I26" s="14">
        <f t="shared" si="10"/>
        <v>165087.76</v>
      </c>
      <c r="J26" s="121">
        <v>14</v>
      </c>
      <c r="K26" s="14">
        <v>0</v>
      </c>
      <c r="L26" s="14">
        <f>IF(J26&gt;10,(MAX($B$34*0.1/100,10000)),0)</f>
        <v>11556.14</v>
      </c>
      <c r="M26" s="113">
        <v>76</v>
      </c>
      <c r="N26" s="14">
        <f t="shared" si="13"/>
        <v>24763.16</v>
      </c>
      <c r="O26" s="14">
        <f t="shared" si="14"/>
        <v>0</v>
      </c>
      <c r="P26" s="113">
        <v>10</v>
      </c>
      <c r="Q26" s="14">
        <f t="shared" si="15"/>
        <v>41271.94</v>
      </c>
      <c r="R26" s="14">
        <f t="shared" si="16"/>
        <v>0</v>
      </c>
      <c r="S26" s="121">
        <v>54000</v>
      </c>
      <c r="T26" s="14">
        <v>0</v>
      </c>
      <c r="U26" s="14">
        <f t="shared" si="18"/>
        <v>11556.14</v>
      </c>
      <c r="V26" s="14">
        <f t="shared" si="19"/>
        <v>66035.100000000006</v>
      </c>
      <c r="W26" s="14">
        <f t="shared" si="20"/>
        <v>23112.28</v>
      </c>
      <c r="X26" s="124" t="s">
        <v>131</v>
      </c>
    </row>
    <row r="27" spans="1:24" x14ac:dyDescent="0.25">
      <c r="A27" s="15">
        <v>44979</v>
      </c>
      <c r="B27" s="14">
        <f>Summary!$G$19/31</f>
        <v>412719.4</v>
      </c>
      <c r="C27" s="14">
        <v>72</v>
      </c>
      <c r="D27" s="14">
        <v>72.180000000000007</v>
      </c>
      <c r="E27" s="14">
        <f t="shared" si="6"/>
        <v>72</v>
      </c>
      <c r="F27" s="14">
        <f t="shared" si="7"/>
        <v>247631.64</v>
      </c>
      <c r="G27" s="14">
        <f t="shared" si="8"/>
        <v>247631.64</v>
      </c>
      <c r="H27" s="14">
        <f t="shared" si="9"/>
        <v>165087.76</v>
      </c>
      <c r="I27" s="14">
        <f t="shared" si="10"/>
        <v>165087.76</v>
      </c>
      <c r="J27" s="121">
        <v>8</v>
      </c>
      <c r="K27" s="14">
        <v>0</v>
      </c>
      <c r="L27" s="14">
        <v>11556.14</v>
      </c>
      <c r="M27" s="14">
        <v>48</v>
      </c>
      <c r="N27" s="14">
        <f t="shared" si="13"/>
        <v>24763.16</v>
      </c>
      <c r="O27" s="14">
        <f t="shared" si="14"/>
        <v>0</v>
      </c>
      <c r="P27" s="14">
        <v>9</v>
      </c>
      <c r="Q27" s="14">
        <f t="shared" si="15"/>
        <v>41271.94</v>
      </c>
      <c r="R27" s="14">
        <f t="shared" si="16"/>
        <v>0</v>
      </c>
      <c r="S27" s="14">
        <v>700</v>
      </c>
      <c r="T27" s="14">
        <f t="shared" si="17"/>
        <v>16508.78</v>
      </c>
      <c r="U27" s="14">
        <f t="shared" si="18"/>
        <v>0</v>
      </c>
      <c r="V27" s="14">
        <f t="shared" si="19"/>
        <v>82543.88</v>
      </c>
      <c r="W27" s="14">
        <f t="shared" si="20"/>
        <v>11556.14</v>
      </c>
    </row>
    <row r="28" spans="1:24" x14ac:dyDescent="0.25">
      <c r="A28" s="15">
        <v>44980</v>
      </c>
      <c r="B28" s="14">
        <f>Summary!$G$19/31</f>
        <v>412719.4</v>
      </c>
      <c r="C28" s="14">
        <v>72</v>
      </c>
      <c r="D28" s="14">
        <v>72.260000000000005</v>
      </c>
      <c r="E28" s="14">
        <f t="shared" si="6"/>
        <v>72</v>
      </c>
      <c r="F28" s="14">
        <f t="shared" si="7"/>
        <v>247631.64</v>
      </c>
      <c r="G28" s="14">
        <f t="shared" si="8"/>
        <v>247631.64</v>
      </c>
      <c r="H28" s="14">
        <f t="shared" si="9"/>
        <v>165087.76</v>
      </c>
      <c r="I28" s="14">
        <f t="shared" si="10"/>
        <v>165087.76</v>
      </c>
      <c r="J28" s="121">
        <v>9</v>
      </c>
      <c r="K28" s="14">
        <v>0</v>
      </c>
      <c r="L28" s="14">
        <v>11556.14</v>
      </c>
      <c r="M28" s="14">
        <v>44</v>
      </c>
      <c r="N28" s="14">
        <f t="shared" si="13"/>
        <v>24763.16</v>
      </c>
      <c r="O28" s="14">
        <f t="shared" si="14"/>
        <v>0</v>
      </c>
      <c r="P28" s="14">
        <v>7</v>
      </c>
      <c r="Q28" s="14">
        <f t="shared" si="15"/>
        <v>41271.94</v>
      </c>
      <c r="R28" s="14">
        <f t="shared" si="16"/>
        <v>0</v>
      </c>
      <c r="S28" s="14">
        <v>750</v>
      </c>
      <c r="T28" s="14">
        <f t="shared" si="17"/>
        <v>16508.78</v>
      </c>
      <c r="U28" s="14">
        <f t="shared" si="18"/>
        <v>0</v>
      </c>
      <c r="V28" s="14">
        <f t="shared" si="19"/>
        <v>82543.88</v>
      </c>
      <c r="W28" s="14">
        <f t="shared" si="20"/>
        <v>11556.14</v>
      </c>
    </row>
    <row r="29" spans="1:24" x14ac:dyDescent="0.25">
      <c r="A29" s="15">
        <v>44981</v>
      </c>
      <c r="B29" s="14">
        <f>Summary!$G$19/31</f>
        <v>412719.4</v>
      </c>
      <c r="C29" s="14">
        <v>72</v>
      </c>
      <c r="D29" s="14">
        <v>72.28</v>
      </c>
      <c r="E29" s="14">
        <f t="shared" si="6"/>
        <v>72</v>
      </c>
      <c r="F29" s="14">
        <f t="shared" si="7"/>
        <v>247631.64</v>
      </c>
      <c r="G29" s="14">
        <f t="shared" si="8"/>
        <v>247631.64</v>
      </c>
      <c r="H29" s="14">
        <f t="shared" si="9"/>
        <v>165087.76</v>
      </c>
      <c r="I29" s="14">
        <f t="shared" si="10"/>
        <v>165087.76</v>
      </c>
      <c r="J29" s="121">
        <v>8</v>
      </c>
      <c r="K29" s="14">
        <v>0</v>
      </c>
      <c r="L29" s="14">
        <v>11556.14</v>
      </c>
      <c r="M29" s="14">
        <v>40</v>
      </c>
      <c r="N29" s="14">
        <f t="shared" si="13"/>
        <v>24763.16</v>
      </c>
      <c r="O29" s="14">
        <f t="shared" si="14"/>
        <v>0</v>
      </c>
      <c r="P29" s="14">
        <v>8</v>
      </c>
      <c r="Q29" s="14">
        <f t="shared" si="15"/>
        <v>41271.94</v>
      </c>
      <c r="R29" s="14">
        <f t="shared" si="16"/>
        <v>0</v>
      </c>
      <c r="S29" s="14">
        <v>800</v>
      </c>
      <c r="T29" s="14">
        <f t="shared" si="17"/>
        <v>16508.78</v>
      </c>
      <c r="U29" s="14">
        <f t="shared" si="18"/>
        <v>0</v>
      </c>
      <c r="V29" s="14">
        <f t="shared" si="19"/>
        <v>82543.88</v>
      </c>
      <c r="W29" s="14">
        <f t="shared" si="20"/>
        <v>11556.14</v>
      </c>
    </row>
    <row r="30" spans="1:24" x14ac:dyDescent="0.25">
      <c r="A30" s="15">
        <v>44982</v>
      </c>
      <c r="B30" s="14">
        <f>Summary!$G$19/31</f>
        <v>412719.4</v>
      </c>
      <c r="C30" s="14">
        <v>72</v>
      </c>
      <c r="D30" s="14">
        <v>72.59</v>
      </c>
      <c r="E30" s="14">
        <f t="shared" si="6"/>
        <v>72</v>
      </c>
      <c r="F30" s="14">
        <f t="shared" si="7"/>
        <v>247631.64</v>
      </c>
      <c r="G30" s="14">
        <f t="shared" si="8"/>
        <v>247631.64</v>
      </c>
      <c r="H30" s="14">
        <f t="shared" si="9"/>
        <v>165087.76</v>
      </c>
      <c r="I30" s="14">
        <f t="shared" si="10"/>
        <v>165087.76</v>
      </c>
      <c r="J30" s="121">
        <v>9</v>
      </c>
      <c r="K30" s="14">
        <v>0</v>
      </c>
      <c r="L30" s="14">
        <v>11556.14</v>
      </c>
      <c r="M30" s="14">
        <v>52</v>
      </c>
      <c r="N30" s="14">
        <f t="shared" si="13"/>
        <v>24763.16</v>
      </c>
      <c r="O30" s="14">
        <f t="shared" si="14"/>
        <v>0</v>
      </c>
      <c r="P30" s="14">
        <v>9</v>
      </c>
      <c r="Q30" s="14">
        <f t="shared" si="15"/>
        <v>41271.94</v>
      </c>
      <c r="R30" s="14">
        <f t="shared" si="16"/>
        <v>0</v>
      </c>
      <c r="S30" s="14">
        <v>750</v>
      </c>
      <c r="T30" s="14">
        <f t="shared" si="17"/>
        <v>16508.78</v>
      </c>
      <c r="U30" s="14">
        <f t="shared" si="18"/>
        <v>0</v>
      </c>
      <c r="V30" s="14">
        <f t="shared" si="19"/>
        <v>82543.88</v>
      </c>
      <c r="W30" s="14">
        <f t="shared" si="20"/>
        <v>11556.14</v>
      </c>
    </row>
    <row r="31" spans="1:24" x14ac:dyDescent="0.25">
      <c r="A31" s="15">
        <v>44983</v>
      </c>
      <c r="B31" s="14">
        <f>Summary!$G$19/31</f>
        <v>412719.4</v>
      </c>
      <c r="C31" s="14">
        <v>72</v>
      </c>
      <c r="D31" s="14">
        <v>72.180000000000007</v>
      </c>
      <c r="E31" s="14">
        <f t="shared" si="6"/>
        <v>72</v>
      </c>
      <c r="F31" s="14">
        <f t="shared" si="7"/>
        <v>247631.64</v>
      </c>
      <c r="G31" s="14">
        <f t="shared" si="8"/>
        <v>247631.64</v>
      </c>
      <c r="H31" s="14">
        <f t="shared" si="9"/>
        <v>165087.76</v>
      </c>
      <c r="I31" s="14">
        <f t="shared" si="10"/>
        <v>165087.76</v>
      </c>
      <c r="J31" s="121">
        <v>10</v>
      </c>
      <c r="K31" s="14">
        <v>0</v>
      </c>
      <c r="L31" s="14">
        <v>11556.14</v>
      </c>
      <c r="M31" s="14">
        <v>52</v>
      </c>
      <c r="N31" s="14">
        <f t="shared" si="13"/>
        <v>24763.16</v>
      </c>
      <c r="O31" s="14">
        <f t="shared" si="14"/>
        <v>0</v>
      </c>
      <c r="P31" s="14">
        <v>9</v>
      </c>
      <c r="Q31" s="14">
        <f t="shared" si="15"/>
        <v>41271.94</v>
      </c>
      <c r="R31" s="14">
        <f t="shared" si="16"/>
        <v>0</v>
      </c>
      <c r="S31" s="14">
        <v>850</v>
      </c>
      <c r="T31" s="14">
        <f t="shared" si="17"/>
        <v>16508.78</v>
      </c>
      <c r="U31" s="14">
        <f t="shared" si="18"/>
        <v>0</v>
      </c>
      <c r="V31" s="14">
        <f t="shared" si="19"/>
        <v>82543.88</v>
      </c>
      <c r="W31" s="14">
        <f t="shared" si="20"/>
        <v>11556.14</v>
      </c>
    </row>
    <row r="32" spans="1:24" s="120" customFormat="1" x14ac:dyDescent="0.25">
      <c r="A32" s="117">
        <v>44984</v>
      </c>
      <c r="B32" s="118">
        <f>Summary!$G$19/31</f>
        <v>412719.4</v>
      </c>
      <c r="C32" s="118">
        <v>72</v>
      </c>
      <c r="D32" s="118">
        <v>72.23</v>
      </c>
      <c r="E32" s="14">
        <f t="shared" si="6"/>
        <v>72</v>
      </c>
      <c r="F32" s="118">
        <f t="shared" si="7"/>
        <v>247631.64</v>
      </c>
      <c r="G32" s="14">
        <f t="shared" si="8"/>
        <v>247631.64</v>
      </c>
      <c r="H32" s="118">
        <f t="shared" si="9"/>
        <v>165087.76</v>
      </c>
      <c r="I32" s="14">
        <f t="shared" si="10"/>
        <v>165087.76</v>
      </c>
      <c r="J32" s="121">
        <v>12</v>
      </c>
      <c r="K32" s="14">
        <v>0</v>
      </c>
      <c r="L32" s="14">
        <f t="shared" si="12"/>
        <v>11556.14</v>
      </c>
      <c r="M32" s="121">
        <v>124</v>
      </c>
      <c r="N32" s="14">
        <v>0</v>
      </c>
      <c r="O32" s="14">
        <f t="shared" si="14"/>
        <v>11556.14</v>
      </c>
      <c r="P32" s="118">
        <v>10</v>
      </c>
      <c r="Q32" s="14">
        <f t="shared" si="15"/>
        <v>41271.94</v>
      </c>
      <c r="R32" s="14">
        <f t="shared" si="16"/>
        <v>0</v>
      </c>
      <c r="S32" s="118">
        <v>610</v>
      </c>
      <c r="T32" s="14">
        <f t="shared" si="17"/>
        <v>16508.78</v>
      </c>
      <c r="U32" s="14">
        <f t="shared" si="18"/>
        <v>0</v>
      </c>
      <c r="V32" s="14">
        <f t="shared" si="19"/>
        <v>57780.72</v>
      </c>
      <c r="W32" s="14">
        <f t="shared" si="20"/>
        <v>23112.28</v>
      </c>
      <c r="X32" s="125" t="s">
        <v>132</v>
      </c>
    </row>
    <row r="33" spans="1:24" x14ac:dyDescent="0.25">
      <c r="A33" s="15">
        <v>44985</v>
      </c>
      <c r="B33" s="14">
        <f>Summary!$G$19/31</f>
        <v>412719.4</v>
      </c>
      <c r="C33" s="14">
        <v>72</v>
      </c>
      <c r="D33" s="14">
        <v>72.3</v>
      </c>
      <c r="E33" s="14">
        <f t="shared" si="6"/>
        <v>72</v>
      </c>
      <c r="F33" s="14">
        <f t="shared" si="7"/>
        <v>247631.64</v>
      </c>
      <c r="G33" s="14">
        <f t="shared" si="8"/>
        <v>247631.64</v>
      </c>
      <c r="H33" s="14">
        <f t="shared" si="9"/>
        <v>165087.76</v>
      </c>
      <c r="I33" s="14">
        <f t="shared" si="10"/>
        <v>165087.76</v>
      </c>
      <c r="J33" s="14">
        <v>8</v>
      </c>
      <c r="K33" s="14">
        <f t="shared" si="11"/>
        <v>82543.88</v>
      </c>
      <c r="L33" s="14">
        <f t="shared" si="12"/>
        <v>0</v>
      </c>
      <c r="M33" s="14">
        <v>56</v>
      </c>
      <c r="N33" s="14">
        <f t="shared" si="13"/>
        <v>24763.16</v>
      </c>
      <c r="O33" s="14">
        <f t="shared" si="14"/>
        <v>0</v>
      </c>
      <c r="P33" s="14">
        <v>9</v>
      </c>
      <c r="Q33" s="14">
        <f t="shared" si="15"/>
        <v>41271.94</v>
      </c>
      <c r="R33" s="14">
        <f t="shared" si="16"/>
        <v>0</v>
      </c>
      <c r="S33" s="14">
        <v>900</v>
      </c>
      <c r="T33" s="14">
        <f t="shared" si="17"/>
        <v>16508.78</v>
      </c>
      <c r="U33" s="14">
        <f t="shared" si="18"/>
        <v>0</v>
      </c>
      <c r="V33" s="14">
        <f t="shared" si="19"/>
        <v>165087.76</v>
      </c>
      <c r="W33" s="14">
        <f t="shared" si="20"/>
        <v>0</v>
      </c>
    </row>
    <row r="34" spans="1:24" ht="15" x14ac:dyDescent="0.25">
      <c r="A34" s="41" t="s">
        <v>20</v>
      </c>
      <c r="B34" s="20">
        <f>SUM(B6:B33)</f>
        <v>11556143.199999999</v>
      </c>
      <c r="C34" s="20"/>
      <c r="D34" s="20">
        <f>AVERAGE(D6:D33)</f>
        <v>72.28</v>
      </c>
      <c r="E34" s="20"/>
      <c r="F34" s="20">
        <f>SUM(F6:F33)</f>
        <v>6933685.9199999999</v>
      </c>
      <c r="G34" s="20">
        <f>SUM(G6:G33)</f>
        <v>6933685.9199999999</v>
      </c>
      <c r="H34" s="20">
        <f>SUM(H6:H33)</f>
        <v>4622457.28</v>
      </c>
      <c r="I34" s="20">
        <f>SUM(I6:I33)</f>
        <v>4622457.28</v>
      </c>
      <c r="J34" s="20"/>
      <c r="K34" s="20">
        <f>SUM(K6:K33)</f>
        <v>1733421.48</v>
      </c>
      <c r="L34" s="20">
        <f>SUM(L6:L33)</f>
        <v>80892.98</v>
      </c>
      <c r="M34" s="20"/>
      <c r="N34" s="20">
        <f>SUM(N6:N33)</f>
        <v>668605.31999999995</v>
      </c>
      <c r="O34" s="20">
        <f>SUM(O6:O33)</f>
        <v>11556.14</v>
      </c>
      <c r="P34" s="20"/>
      <c r="Q34" s="20">
        <f>SUM(Q6:Q33)</f>
        <v>1114342.3799999999</v>
      </c>
      <c r="R34" s="20">
        <f>SUM(R6:R33)</f>
        <v>11556.14</v>
      </c>
      <c r="S34" s="20"/>
      <c r="T34" s="20">
        <f>SUM(T6:T33)</f>
        <v>429228.28</v>
      </c>
      <c r="U34" s="20">
        <f>SUM(U6:U33)</f>
        <v>23112.28</v>
      </c>
      <c r="V34" s="20">
        <f>SUM(V6:V33)</f>
        <v>3945597.46</v>
      </c>
      <c r="W34" s="20">
        <f>SUM(W6:W33)</f>
        <v>127117.54</v>
      </c>
      <c r="X34"/>
    </row>
    <row r="35" spans="1:24" x14ac:dyDescent="0.25">
      <c r="A35" s="41"/>
      <c r="B35" s="20"/>
      <c r="C35" s="20"/>
      <c r="D35" s="14"/>
      <c r="E35" s="20"/>
      <c r="F35" s="20" t="s">
        <v>78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10879283.380000001</v>
      </c>
      <c r="W35" s="20"/>
      <c r="X35" s="32"/>
    </row>
    <row r="36" spans="1:24" x14ac:dyDescent="0.25">
      <c r="D36" s="14"/>
      <c r="K36">
        <f>COUNTIF(K6:K33,"0")</f>
        <v>7</v>
      </c>
      <c r="N36">
        <f>COUNTIF(N6:N33,"0")</f>
        <v>1</v>
      </c>
      <c r="Q36">
        <f>COUNTIF(Q6:Q33,"0")</f>
        <v>1</v>
      </c>
      <c r="T36">
        <f>COUNTIF(T6:T33,"0")</f>
        <v>2</v>
      </c>
      <c r="V36" s="1"/>
    </row>
    <row r="39" spans="1:24" x14ac:dyDescent="0.25">
      <c r="C39" s="1">
        <f>B34/31</f>
        <v>372778.81</v>
      </c>
    </row>
  </sheetData>
  <mergeCells count="16">
    <mergeCell ref="W4:W5"/>
    <mergeCell ref="H4:H5"/>
    <mergeCell ref="V4:V5"/>
    <mergeCell ref="A1:V1"/>
    <mergeCell ref="C3:D3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J4:L4"/>
  </mergeCells>
  <conditionalFormatting sqref="J6:J27 J29:J33">
    <cfRule type="cellIs" dxfId="3" priority="1" operator="greaterThan">
      <formula>$M$2</formula>
    </cfRule>
    <cfRule type="cellIs" dxfId="2" priority="2" operator="greaterThan">
      <formula>31</formula>
    </cfRule>
    <cfRule type="cellIs" dxfId="1" priority="3" operator="greaterThan">
      <formula>31</formula>
    </cfRule>
    <cfRule type="cellIs" dxfId="0" priority="4" operator="greaterThan">
      <formula>$M$2</formula>
    </cfRule>
  </conditionalFormatting>
  <pageMargins left="0.25" right="0.25" top="0.75" bottom="0.75" header="0.3" footer="0.3"/>
  <pageSetup paperSize="9" scale="5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X38"/>
  <sheetViews>
    <sheetView zoomScaleNormal="100" workbookViewId="0">
      <pane xSplit="1" ySplit="1" topLeftCell="M17" activePane="bottomRight" state="frozen"/>
      <selection activeCell="K16" sqref="K16"/>
      <selection pane="topRight" activeCell="K16" sqref="K16"/>
      <selection pane="bottomLeft" activeCell="K16" sqref="K16"/>
      <selection pane="bottomRight" activeCell="V6" sqref="V6:W33"/>
    </sheetView>
  </sheetViews>
  <sheetFormatPr defaultColWidth="9.140625" defaultRowHeight="15.75" x14ac:dyDescent="0.25"/>
  <cols>
    <col min="1" max="1" width="10.42578125" bestFit="1" customWidth="1"/>
    <col min="2" max="2" width="13.7109375" customWidth="1"/>
    <col min="3" max="3" width="8.5703125" customWidth="1"/>
    <col min="6" max="6" width="12.5703125" customWidth="1"/>
    <col min="7" max="7" width="13.28515625" customWidth="1"/>
    <col min="8" max="8" width="12.7109375" customWidth="1"/>
    <col min="9" max="9" width="12.5703125" bestFit="1" customWidth="1"/>
    <col min="10" max="10" width="9.28515625" customWidth="1"/>
    <col min="11" max="11" width="12.42578125" customWidth="1"/>
    <col min="12" max="12" width="10.85546875" customWidth="1"/>
    <col min="13" max="13" width="9.7109375" customWidth="1"/>
    <col min="14" max="14" width="11.5703125" customWidth="1"/>
    <col min="15" max="15" width="10.140625" customWidth="1"/>
    <col min="16" max="16" width="9.28515625" customWidth="1"/>
    <col min="17" max="17" width="12.85546875" customWidth="1"/>
    <col min="18" max="18" width="9" customWidth="1"/>
    <col min="19" max="19" width="9.42578125" customWidth="1"/>
    <col min="20" max="20" width="10.140625" bestFit="1" customWidth="1"/>
    <col min="21" max="21" width="11.85546875" customWidth="1"/>
    <col min="22" max="22" width="15.42578125" customWidth="1"/>
    <col min="23" max="23" width="13.7109375" customWidth="1"/>
    <col min="24" max="24" width="11.42578125" style="28" bestFit="1" customWidth="1"/>
    <col min="25" max="25" width="11.42578125" bestFit="1" customWidth="1"/>
  </cols>
  <sheetData>
    <row r="1" spans="1:24" ht="18.75" x14ac:dyDescent="0.25">
      <c r="A1" s="188" t="str">
        <f>'1.76 MLD'!A1:V1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</row>
    <row r="2" spans="1:24" ht="18.75" x14ac:dyDescent="0.25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</row>
    <row r="3" spans="1:24" x14ac:dyDescent="0.25">
      <c r="A3" s="41"/>
      <c r="B3" s="41"/>
      <c r="C3" s="190" t="s">
        <v>15</v>
      </c>
      <c r="D3" s="194"/>
      <c r="E3" s="44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5"/>
    </row>
    <row r="4" spans="1:24" x14ac:dyDescent="0.25">
      <c r="A4" s="211" t="s">
        <v>14</v>
      </c>
      <c r="B4" s="209" t="s">
        <v>48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41"/>
      <c r="N4" s="41" t="s">
        <v>10</v>
      </c>
      <c r="O4" s="4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</row>
    <row r="5" spans="1:24" ht="29.25" customHeight="1" x14ac:dyDescent="0.25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0.25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</v>
      </c>
      <c r="U5" s="4" t="s">
        <v>61</v>
      </c>
      <c r="V5" s="187"/>
      <c r="W5" s="187"/>
    </row>
    <row r="6" spans="1:24" ht="15" customHeight="1" x14ac:dyDescent="0.25">
      <c r="A6" s="15">
        <v>44958</v>
      </c>
      <c r="B6" s="14">
        <f>Summary!$G$20/28</f>
        <v>206257.34</v>
      </c>
      <c r="C6" s="14">
        <v>32.5</v>
      </c>
      <c r="D6" s="14">
        <v>31.2</v>
      </c>
      <c r="E6" s="14">
        <f t="shared" ref="E6:E33" si="0">MIN(D6,C6)</f>
        <v>31.2</v>
      </c>
      <c r="F6" s="14">
        <f>B6*60%</f>
        <v>123754.4</v>
      </c>
      <c r="G6" s="14">
        <f>(F6*E6)/C6</f>
        <v>118804.22</v>
      </c>
      <c r="H6" s="14">
        <f>B6*40%</f>
        <v>82502.94</v>
      </c>
      <c r="I6" s="14">
        <f>(H6*E6)/C6</f>
        <v>79202.820000000007</v>
      </c>
      <c r="J6" s="14">
        <v>26</v>
      </c>
      <c r="K6" s="14">
        <f t="shared" ref="K6:K33" si="1">$I6*50%</f>
        <v>39601.410000000003</v>
      </c>
      <c r="L6" s="14">
        <f t="shared" ref="L6" si="2">IF(J6&gt;30,(MAX($B$34*0.1/100,10000)),0)</f>
        <v>0</v>
      </c>
      <c r="M6" s="14">
        <v>93</v>
      </c>
      <c r="N6" s="14">
        <f t="shared" ref="N6:N18" si="3">$I6*25%</f>
        <v>19800.71</v>
      </c>
      <c r="O6" s="14">
        <f t="shared" ref="O6" si="4">IF(M6&gt;100,(MAX($B$34*0.1/100,10000)),0)</f>
        <v>0</v>
      </c>
      <c r="P6" s="14">
        <v>47</v>
      </c>
      <c r="Q6" s="14">
        <f>I6*25%</f>
        <v>19800.71</v>
      </c>
      <c r="R6" s="14">
        <f t="shared" ref="R6" si="5">IF(P6&gt;50,(MAX($B$34*0.1/100,10000)),0)</f>
        <v>0</v>
      </c>
      <c r="S6" s="87"/>
      <c r="T6" s="14"/>
      <c r="U6" s="14"/>
      <c r="V6" s="14">
        <f>T6+Q6+N6+K6</f>
        <v>79202.83</v>
      </c>
      <c r="W6" s="14">
        <f>U6+R6+O6+L6</f>
        <v>0</v>
      </c>
    </row>
    <row r="7" spans="1:24" x14ac:dyDescent="0.25">
      <c r="A7" s="15">
        <v>44959</v>
      </c>
      <c r="B7" s="14">
        <f>Summary!$G$20/28</f>
        <v>206257.34</v>
      </c>
      <c r="C7" s="14">
        <v>32.5</v>
      </c>
      <c r="D7" s="14">
        <v>32.299999999999997</v>
      </c>
      <c r="E7" s="14">
        <f t="shared" si="0"/>
        <v>32.299999999999997</v>
      </c>
      <c r="F7" s="14">
        <f t="shared" ref="F7:F33" si="6">B7*60%</f>
        <v>123754.4</v>
      </c>
      <c r="G7" s="14">
        <f t="shared" ref="G7:G33" si="7">(F7*E7)/C7</f>
        <v>122992.83</v>
      </c>
      <c r="H7" s="14">
        <f t="shared" ref="H7:H33" si="8">B7*40%</f>
        <v>82502.94</v>
      </c>
      <c r="I7" s="14">
        <f t="shared" ref="I7:I33" si="9">(H7*E7)/C7</f>
        <v>81995.23</v>
      </c>
      <c r="J7" s="14">
        <v>28</v>
      </c>
      <c r="K7" s="14">
        <f t="shared" si="1"/>
        <v>40997.620000000003</v>
      </c>
      <c r="L7" s="14">
        <f t="shared" ref="L7:L33" si="10">IF(J7&gt;30,(MAX($B$34*0.1/100,10000)),0)</f>
        <v>0</v>
      </c>
      <c r="M7" s="14">
        <v>96</v>
      </c>
      <c r="N7" s="14">
        <f t="shared" si="3"/>
        <v>20498.810000000001</v>
      </c>
      <c r="O7" s="14">
        <f t="shared" ref="O7:O33" si="11">IF(M7&gt;100,(MAX($B$34*0.1/100,10000)),0)</f>
        <v>0</v>
      </c>
      <c r="P7" s="14">
        <v>44</v>
      </c>
      <c r="Q7" s="14">
        <f t="shared" ref="Q7:Q33" si="12">I7*25%</f>
        <v>20498.810000000001</v>
      </c>
      <c r="R7" s="14">
        <f t="shared" ref="R7:R33" si="13">IF(P7&gt;50,(MAX($B$34*0.1/100,10000)),0)</f>
        <v>0</v>
      </c>
      <c r="S7" s="87"/>
      <c r="T7" s="14"/>
      <c r="U7" s="14"/>
      <c r="V7" s="14">
        <f t="shared" ref="V7:V33" si="14">T7+Q7+N7+K7</f>
        <v>81995.240000000005</v>
      </c>
      <c r="W7" s="14">
        <f t="shared" ref="W7:W33" si="15">U7+R7+O7+L7</f>
        <v>0</v>
      </c>
    </row>
    <row r="8" spans="1:24" s="114" customFormat="1" x14ac:dyDescent="0.25">
      <c r="A8" s="112">
        <v>44960</v>
      </c>
      <c r="B8" s="113">
        <f>Summary!$G$20/28</f>
        <v>206257.34</v>
      </c>
      <c r="C8" s="113">
        <v>32.5</v>
      </c>
      <c r="D8" s="113">
        <v>32.5</v>
      </c>
      <c r="E8" s="14">
        <f t="shared" si="0"/>
        <v>32.5</v>
      </c>
      <c r="F8" s="113">
        <f t="shared" si="6"/>
        <v>123754.4</v>
      </c>
      <c r="G8" s="14">
        <f t="shared" si="7"/>
        <v>123754.4</v>
      </c>
      <c r="H8" s="113">
        <f t="shared" si="8"/>
        <v>82502.94</v>
      </c>
      <c r="I8" s="14">
        <f t="shared" si="9"/>
        <v>82502.94</v>
      </c>
      <c r="J8" s="113">
        <v>30</v>
      </c>
      <c r="K8" s="14">
        <f t="shared" si="1"/>
        <v>41251.47</v>
      </c>
      <c r="L8" s="14">
        <f t="shared" si="10"/>
        <v>0</v>
      </c>
      <c r="M8" s="121">
        <v>152</v>
      </c>
      <c r="N8" s="14">
        <v>0</v>
      </c>
      <c r="O8" s="14">
        <f t="shared" si="11"/>
        <v>10000</v>
      </c>
      <c r="P8" s="113">
        <v>46</v>
      </c>
      <c r="Q8" s="14">
        <f t="shared" si="12"/>
        <v>20625.740000000002</v>
      </c>
      <c r="R8" s="14">
        <f t="shared" si="13"/>
        <v>0</v>
      </c>
      <c r="S8" s="129"/>
      <c r="T8" s="113"/>
      <c r="U8" s="113"/>
      <c r="V8" s="14">
        <f t="shared" si="14"/>
        <v>61877.21</v>
      </c>
      <c r="W8" s="14">
        <f t="shared" si="15"/>
        <v>10000</v>
      </c>
      <c r="X8" s="124" t="s">
        <v>131</v>
      </c>
    </row>
    <row r="9" spans="1:24" x14ac:dyDescent="0.25">
      <c r="A9" s="15">
        <v>44961</v>
      </c>
      <c r="B9" s="14">
        <f>Summary!$G$20/28</f>
        <v>206257.34</v>
      </c>
      <c r="C9" s="14">
        <v>32.5</v>
      </c>
      <c r="D9" s="14">
        <v>28.6</v>
      </c>
      <c r="E9" s="14">
        <f t="shared" si="0"/>
        <v>28.6</v>
      </c>
      <c r="F9" s="14">
        <f t="shared" si="6"/>
        <v>123754.4</v>
      </c>
      <c r="G9" s="14">
        <f t="shared" si="7"/>
        <v>108903.87</v>
      </c>
      <c r="H9" s="14">
        <f t="shared" si="8"/>
        <v>82502.94</v>
      </c>
      <c r="I9" s="14">
        <f t="shared" si="9"/>
        <v>72602.59</v>
      </c>
      <c r="J9" s="14">
        <v>28</v>
      </c>
      <c r="K9" s="14">
        <f t="shared" si="1"/>
        <v>36301.300000000003</v>
      </c>
      <c r="L9" s="14">
        <f t="shared" si="10"/>
        <v>0</v>
      </c>
      <c r="M9" s="14">
        <v>96</v>
      </c>
      <c r="N9" s="14">
        <f t="shared" si="3"/>
        <v>18150.650000000001</v>
      </c>
      <c r="O9" s="14">
        <f t="shared" si="11"/>
        <v>0</v>
      </c>
      <c r="P9" s="14">
        <v>42</v>
      </c>
      <c r="Q9" s="14">
        <f t="shared" si="12"/>
        <v>18150.650000000001</v>
      </c>
      <c r="R9" s="14">
        <f t="shared" si="13"/>
        <v>0</v>
      </c>
      <c r="S9" s="87"/>
      <c r="T9" s="14"/>
      <c r="U9" s="14"/>
      <c r="V9" s="14">
        <f t="shared" si="14"/>
        <v>72602.600000000006</v>
      </c>
      <c r="W9" s="14">
        <f t="shared" si="15"/>
        <v>0</v>
      </c>
    </row>
    <row r="10" spans="1:24" x14ac:dyDescent="0.25">
      <c r="A10" s="15">
        <v>44962</v>
      </c>
      <c r="B10" s="14">
        <f>Summary!$G$20/28</f>
        <v>206257.34</v>
      </c>
      <c r="C10" s="14">
        <v>32.5</v>
      </c>
      <c r="D10" s="14">
        <v>31.5</v>
      </c>
      <c r="E10" s="14">
        <f t="shared" si="0"/>
        <v>31.5</v>
      </c>
      <c r="F10" s="14">
        <f t="shared" si="6"/>
        <v>123754.4</v>
      </c>
      <c r="G10" s="14">
        <f t="shared" si="7"/>
        <v>119946.57</v>
      </c>
      <c r="H10" s="14">
        <f t="shared" si="8"/>
        <v>82502.94</v>
      </c>
      <c r="I10" s="14">
        <f t="shared" si="9"/>
        <v>79964.39</v>
      </c>
      <c r="J10" s="14">
        <v>27</v>
      </c>
      <c r="K10" s="14">
        <f t="shared" si="1"/>
        <v>39982.199999999997</v>
      </c>
      <c r="L10" s="14">
        <f t="shared" si="10"/>
        <v>0</v>
      </c>
      <c r="M10" s="14">
        <v>93</v>
      </c>
      <c r="N10" s="14">
        <f t="shared" si="3"/>
        <v>19991.099999999999</v>
      </c>
      <c r="O10" s="14">
        <f t="shared" si="11"/>
        <v>0</v>
      </c>
      <c r="P10" s="14">
        <v>45</v>
      </c>
      <c r="Q10" s="14">
        <f t="shared" si="12"/>
        <v>19991.099999999999</v>
      </c>
      <c r="R10" s="14">
        <f t="shared" si="13"/>
        <v>0</v>
      </c>
      <c r="S10" s="87"/>
      <c r="T10" s="14"/>
      <c r="U10" s="14"/>
      <c r="V10" s="14">
        <f t="shared" si="14"/>
        <v>79964.399999999994</v>
      </c>
      <c r="W10" s="14">
        <f t="shared" si="15"/>
        <v>0</v>
      </c>
    </row>
    <row r="11" spans="1:24" s="120" customFormat="1" x14ac:dyDescent="0.25">
      <c r="A11" s="117">
        <v>44963</v>
      </c>
      <c r="B11" s="118">
        <f>Summary!$G$20/28</f>
        <v>206257.34</v>
      </c>
      <c r="C11" s="118">
        <v>32.5</v>
      </c>
      <c r="D11" s="118">
        <v>31.2</v>
      </c>
      <c r="E11" s="14">
        <f t="shared" si="0"/>
        <v>31.2</v>
      </c>
      <c r="F11" s="118">
        <f t="shared" si="6"/>
        <v>123754.4</v>
      </c>
      <c r="G11" s="14">
        <f t="shared" si="7"/>
        <v>118804.22</v>
      </c>
      <c r="H11" s="118">
        <f t="shared" si="8"/>
        <v>82502.94</v>
      </c>
      <c r="I11" s="14">
        <f t="shared" si="9"/>
        <v>79202.820000000007</v>
      </c>
      <c r="J11" s="118">
        <v>24</v>
      </c>
      <c r="K11" s="14">
        <f t="shared" si="1"/>
        <v>39601.410000000003</v>
      </c>
      <c r="L11" s="14">
        <f t="shared" si="10"/>
        <v>0</v>
      </c>
      <c r="M11" s="118">
        <v>96</v>
      </c>
      <c r="N11" s="14">
        <f t="shared" si="3"/>
        <v>19800.71</v>
      </c>
      <c r="O11" s="14">
        <f t="shared" si="11"/>
        <v>0</v>
      </c>
      <c r="P11" s="118">
        <v>48</v>
      </c>
      <c r="Q11" s="14">
        <f t="shared" si="12"/>
        <v>19800.71</v>
      </c>
      <c r="R11" s="14">
        <f t="shared" si="13"/>
        <v>0</v>
      </c>
      <c r="S11" s="130"/>
      <c r="T11" s="118"/>
      <c r="U11" s="118"/>
      <c r="V11" s="14">
        <f t="shared" si="14"/>
        <v>79202.83</v>
      </c>
      <c r="W11" s="14">
        <f t="shared" si="15"/>
        <v>0</v>
      </c>
      <c r="X11" s="125"/>
    </row>
    <row r="12" spans="1:24" x14ac:dyDescent="0.25">
      <c r="A12" s="15">
        <v>44964</v>
      </c>
      <c r="B12" s="14">
        <f>Summary!$G$20/28</f>
        <v>206257.34</v>
      </c>
      <c r="C12" s="14">
        <v>32.5</v>
      </c>
      <c r="D12" s="14">
        <v>31.4</v>
      </c>
      <c r="E12" s="14">
        <f t="shared" si="0"/>
        <v>31.4</v>
      </c>
      <c r="F12" s="14">
        <f t="shared" si="6"/>
        <v>123754.4</v>
      </c>
      <c r="G12" s="14">
        <f t="shared" si="7"/>
        <v>119565.79</v>
      </c>
      <c r="H12" s="14">
        <f t="shared" si="8"/>
        <v>82502.94</v>
      </c>
      <c r="I12" s="14">
        <f t="shared" si="9"/>
        <v>79710.53</v>
      </c>
      <c r="J12" s="14">
        <v>26</v>
      </c>
      <c r="K12" s="14">
        <f t="shared" si="1"/>
        <v>39855.269999999997</v>
      </c>
      <c r="L12" s="14">
        <f t="shared" si="10"/>
        <v>0</v>
      </c>
      <c r="M12" s="14">
        <v>91</v>
      </c>
      <c r="N12" s="14">
        <f t="shared" si="3"/>
        <v>19927.63</v>
      </c>
      <c r="O12" s="14">
        <f t="shared" si="11"/>
        <v>0</v>
      </c>
      <c r="P12" s="14">
        <v>46</v>
      </c>
      <c r="Q12" s="14">
        <f t="shared" si="12"/>
        <v>19927.63</v>
      </c>
      <c r="R12" s="14">
        <f t="shared" si="13"/>
        <v>0</v>
      </c>
      <c r="S12" s="87"/>
      <c r="T12" s="14"/>
      <c r="U12" s="14"/>
      <c r="V12" s="14">
        <f t="shared" si="14"/>
        <v>79710.53</v>
      </c>
      <c r="W12" s="14">
        <f t="shared" si="15"/>
        <v>0</v>
      </c>
    </row>
    <row r="13" spans="1:24" x14ac:dyDescent="0.25">
      <c r="A13" s="15">
        <v>44965</v>
      </c>
      <c r="B13" s="14">
        <f>Summary!$G$20/28</f>
        <v>206257.34</v>
      </c>
      <c r="C13" s="14">
        <v>32.5</v>
      </c>
      <c r="D13" s="14">
        <v>28.6</v>
      </c>
      <c r="E13" s="14">
        <f t="shared" si="0"/>
        <v>28.6</v>
      </c>
      <c r="F13" s="14">
        <f t="shared" si="6"/>
        <v>123754.4</v>
      </c>
      <c r="G13" s="14">
        <f t="shared" si="7"/>
        <v>108903.87</v>
      </c>
      <c r="H13" s="14">
        <f t="shared" si="8"/>
        <v>82502.94</v>
      </c>
      <c r="I13" s="14">
        <f t="shared" si="9"/>
        <v>72602.59</v>
      </c>
      <c r="J13" s="14">
        <v>28</v>
      </c>
      <c r="K13" s="14">
        <f t="shared" si="1"/>
        <v>36301.300000000003</v>
      </c>
      <c r="L13" s="14">
        <f t="shared" si="10"/>
        <v>0</v>
      </c>
      <c r="M13" s="14">
        <v>96</v>
      </c>
      <c r="N13" s="14">
        <f t="shared" si="3"/>
        <v>18150.650000000001</v>
      </c>
      <c r="O13" s="14">
        <f t="shared" si="11"/>
        <v>0</v>
      </c>
      <c r="P13" s="14">
        <v>42</v>
      </c>
      <c r="Q13" s="14">
        <f t="shared" si="12"/>
        <v>18150.650000000001</v>
      </c>
      <c r="R13" s="14">
        <f t="shared" si="13"/>
        <v>0</v>
      </c>
      <c r="S13" s="87"/>
      <c r="T13" s="14"/>
      <c r="U13" s="14"/>
      <c r="V13" s="14">
        <f t="shared" si="14"/>
        <v>72602.600000000006</v>
      </c>
      <c r="W13" s="14">
        <f t="shared" si="15"/>
        <v>0</v>
      </c>
    </row>
    <row r="14" spans="1:24" s="114" customFormat="1" x14ac:dyDescent="0.25">
      <c r="A14" s="112">
        <v>44966</v>
      </c>
      <c r="B14" s="113">
        <f>Summary!$G$20/28</f>
        <v>206257.34</v>
      </c>
      <c r="C14" s="113">
        <v>32.5</v>
      </c>
      <c r="D14" s="113">
        <v>32.200000000000003</v>
      </c>
      <c r="E14" s="14">
        <f t="shared" si="0"/>
        <v>32.200000000000003</v>
      </c>
      <c r="F14" s="113">
        <f t="shared" si="6"/>
        <v>123754.4</v>
      </c>
      <c r="G14" s="14">
        <f t="shared" si="7"/>
        <v>122612.05</v>
      </c>
      <c r="H14" s="113">
        <f t="shared" si="8"/>
        <v>82502.94</v>
      </c>
      <c r="I14" s="14">
        <f t="shared" si="9"/>
        <v>81741.37</v>
      </c>
      <c r="J14" s="113">
        <v>24</v>
      </c>
      <c r="K14" s="14">
        <f t="shared" si="1"/>
        <v>40870.69</v>
      </c>
      <c r="L14" s="14">
        <f t="shared" si="10"/>
        <v>0</v>
      </c>
      <c r="M14" s="113">
        <v>100</v>
      </c>
      <c r="N14" s="14">
        <f t="shared" si="3"/>
        <v>20435.34</v>
      </c>
      <c r="O14" s="14">
        <f t="shared" si="11"/>
        <v>0</v>
      </c>
      <c r="P14" s="113">
        <v>48</v>
      </c>
      <c r="Q14" s="14">
        <f t="shared" si="12"/>
        <v>20435.34</v>
      </c>
      <c r="R14" s="14">
        <f t="shared" si="13"/>
        <v>0</v>
      </c>
      <c r="S14" s="129"/>
      <c r="T14" s="113"/>
      <c r="U14" s="113"/>
      <c r="V14" s="14">
        <f t="shared" si="14"/>
        <v>81741.37</v>
      </c>
      <c r="W14" s="14">
        <f t="shared" si="15"/>
        <v>0</v>
      </c>
      <c r="X14" s="124" t="s">
        <v>131</v>
      </c>
    </row>
    <row r="15" spans="1:24" x14ac:dyDescent="0.25">
      <c r="A15" s="15">
        <v>44967</v>
      </c>
      <c r="B15" s="14">
        <f>Summary!$G$20/28</f>
        <v>206257.34</v>
      </c>
      <c r="C15" s="14">
        <v>32.5</v>
      </c>
      <c r="D15" s="14">
        <v>32</v>
      </c>
      <c r="E15" s="14">
        <f t="shared" si="0"/>
        <v>32</v>
      </c>
      <c r="F15" s="14">
        <f t="shared" si="6"/>
        <v>123754.4</v>
      </c>
      <c r="G15" s="14">
        <f t="shared" si="7"/>
        <v>121850.49</v>
      </c>
      <c r="H15" s="14">
        <f t="shared" si="8"/>
        <v>82502.94</v>
      </c>
      <c r="I15" s="14">
        <f t="shared" si="9"/>
        <v>81233.66</v>
      </c>
      <c r="J15" s="14">
        <v>27</v>
      </c>
      <c r="K15" s="14">
        <f t="shared" si="1"/>
        <v>40616.83</v>
      </c>
      <c r="L15" s="14">
        <f t="shared" si="10"/>
        <v>0</v>
      </c>
      <c r="M15" s="14">
        <v>93</v>
      </c>
      <c r="N15" s="14">
        <f t="shared" si="3"/>
        <v>20308.419999999998</v>
      </c>
      <c r="O15" s="14">
        <f t="shared" si="11"/>
        <v>0</v>
      </c>
      <c r="P15" s="14">
        <v>43</v>
      </c>
      <c r="Q15" s="14">
        <f t="shared" si="12"/>
        <v>20308.419999999998</v>
      </c>
      <c r="R15" s="14">
        <f t="shared" si="13"/>
        <v>0</v>
      </c>
      <c r="S15" s="87"/>
      <c r="T15" s="14"/>
      <c r="U15" s="14"/>
      <c r="V15" s="14">
        <f t="shared" si="14"/>
        <v>81233.67</v>
      </c>
      <c r="W15" s="14">
        <f t="shared" si="15"/>
        <v>0</v>
      </c>
    </row>
    <row r="16" spans="1:24" x14ac:dyDescent="0.25">
      <c r="A16" s="15">
        <v>44968</v>
      </c>
      <c r="B16" s="14">
        <f>Summary!$G$20/28</f>
        <v>206257.34</v>
      </c>
      <c r="C16" s="14">
        <v>32.5</v>
      </c>
      <c r="D16" s="14">
        <v>32</v>
      </c>
      <c r="E16" s="14">
        <f t="shared" si="0"/>
        <v>32</v>
      </c>
      <c r="F16" s="14">
        <f t="shared" si="6"/>
        <v>123754.4</v>
      </c>
      <c r="G16" s="14">
        <f t="shared" si="7"/>
        <v>121850.49</v>
      </c>
      <c r="H16" s="14">
        <f t="shared" si="8"/>
        <v>82502.94</v>
      </c>
      <c r="I16" s="14">
        <f t="shared" si="9"/>
        <v>81233.66</v>
      </c>
      <c r="J16" s="14">
        <v>28</v>
      </c>
      <c r="K16" s="14">
        <f t="shared" si="1"/>
        <v>40616.83</v>
      </c>
      <c r="L16" s="14">
        <f t="shared" si="10"/>
        <v>0</v>
      </c>
      <c r="M16" s="14">
        <v>96</v>
      </c>
      <c r="N16" s="14">
        <f t="shared" si="3"/>
        <v>20308.419999999998</v>
      </c>
      <c r="O16" s="14">
        <f t="shared" si="11"/>
        <v>0</v>
      </c>
      <c r="P16" s="14">
        <v>45</v>
      </c>
      <c r="Q16" s="14">
        <f t="shared" si="12"/>
        <v>20308.419999999998</v>
      </c>
      <c r="R16" s="14">
        <f t="shared" si="13"/>
        <v>0</v>
      </c>
      <c r="S16" s="87"/>
      <c r="T16" s="14"/>
      <c r="U16" s="14"/>
      <c r="V16" s="14">
        <f t="shared" si="14"/>
        <v>81233.67</v>
      </c>
      <c r="W16" s="14">
        <f t="shared" si="15"/>
        <v>0</v>
      </c>
    </row>
    <row r="17" spans="1:24" x14ac:dyDescent="0.25">
      <c r="A17" s="15">
        <v>44969</v>
      </c>
      <c r="B17" s="14">
        <f>Summary!$G$20/28</f>
        <v>206257.34</v>
      </c>
      <c r="C17" s="14">
        <v>32.5</v>
      </c>
      <c r="D17" s="14">
        <v>31.1</v>
      </c>
      <c r="E17" s="14">
        <f t="shared" si="0"/>
        <v>31.1</v>
      </c>
      <c r="F17" s="14">
        <f t="shared" si="6"/>
        <v>123754.4</v>
      </c>
      <c r="G17" s="14">
        <f t="shared" si="7"/>
        <v>118423.44</v>
      </c>
      <c r="H17" s="14">
        <f t="shared" si="8"/>
        <v>82502.94</v>
      </c>
      <c r="I17" s="14">
        <f t="shared" si="9"/>
        <v>78948.97</v>
      </c>
      <c r="J17" s="14">
        <v>26</v>
      </c>
      <c r="K17" s="14">
        <f t="shared" si="1"/>
        <v>39474.49</v>
      </c>
      <c r="L17" s="14">
        <f t="shared" si="10"/>
        <v>0</v>
      </c>
      <c r="M17" s="14">
        <v>93</v>
      </c>
      <c r="N17" s="14">
        <f t="shared" si="3"/>
        <v>19737.240000000002</v>
      </c>
      <c r="O17" s="14">
        <f t="shared" si="11"/>
        <v>0</v>
      </c>
      <c r="P17" s="14">
        <v>42</v>
      </c>
      <c r="Q17" s="14">
        <f t="shared" si="12"/>
        <v>19737.240000000002</v>
      </c>
      <c r="R17" s="14">
        <f t="shared" si="13"/>
        <v>0</v>
      </c>
      <c r="S17" s="87"/>
      <c r="T17" s="14"/>
      <c r="U17" s="14"/>
      <c r="V17" s="14">
        <f t="shared" si="14"/>
        <v>78948.97</v>
      </c>
      <c r="W17" s="14">
        <f t="shared" si="15"/>
        <v>0</v>
      </c>
    </row>
    <row r="18" spans="1:24" ht="15.75" customHeight="1" x14ac:dyDescent="0.25">
      <c r="A18" s="15">
        <v>44970</v>
      </c>
      <c r="B18" s="14">
        <f>Summary!$G$20/28</f>
        <v>206257.34</v>
      </c>
      <c r="C18" s="14">
        <v>32.5</v>
      </c>
      <c r="D18" s="14">
        <v>31.1</v>
      </c>
      <c r="E18" s="14">
        <f t="shared" si="0"/>
        <v>31.1</v>
      </c>
      <c r="F18" s="14">
        <f t="shared" si="6"/>
        <v>123754.4</v>
      </c>
      <c r="G18" s="14">
        <f t="shared" si="7"/>
        <v>118423.44</v>
      </c>
      <c r="H18" s="14">
        <f t="shared" si="8"/>
        <v>82502.94</v>
      </c>
      <c r="I18" s="14">
        <f t="shared" si="9"/>
        <v>78948.97</v>
      </c>
      <c r="J18" s="14">
        <v>24</v>
      </c>
      <c r="K18" s="14">
        <f t="shared" si="1"/>
        <v>39474.49</v>
      </c>
      <c r="L18" s="14">
        <f t="shared" si="10"/>
        <v>0</v>
      </c>
      <c r="M18" s="14">
        <v>91</v>
      </c>
      <c r="N18" s="14">
        <f t="shared" si="3"/>
        <v>19737.240000000002</v>
      </c>
      <c r="O18" s="14">
        <f t="shared" si="11"/>
        <v>0</v>
      </c>
      <c r="P18" s="14">
        <v>44</v>
      </c>
      <c r="Q18" s="14">
        <f t="shared" si="12"/>
        <v>19737.240000000002</v>
      </c>
      <c r="R18" s="14">
        <f t="shared" si="13"/>
        <v>0</v>
      </c>
      <c r="S18" s="87"/>
      <c r="T18" s="14"/>
      <c r="U18" s="14"/>
      <c r="V18" s="14">
        <f t="shared" si="14"/>
        <v>78948.97</v>
      </c>
      <c r="W18" s="14">
        <f t="shared" si="15"/>
        <v>0</v>
      </c>
    </row>
    <row r="19" spans="1:24" s="120" customFormat="1" x14ac:dyDescent="0.25">
      <c r="A19" s="117">
        <v>44971</v>
      </c>
      <c r="B19" s="118">
        <f>Summary!$G$20/28</f>
        <v>206257.34</v>
      </c>
      <c r="C19" s="118">
        <v>32.5</v>
      </c>
      <c r="D19" s="118">
        <v>31.6</v>
      </c>
      <c r="E19" s="14">
        <f t="shared" si="0"/>
        <v>31.6</v>
      </c>
      <c r="F19" s="118">
        <f t="shared" si="6"/>
        <v>123754.4</v>
      </c>
      <c r="G19" s="14">
        <f t="shared" si="7"/>
        <v>120327.36</v>
      </c>
      <c r="H19" s="118">
        <f t="shared" si="8"/>
        <v>82502.94</v>
      </c>
      <c r="I19" s="14">
        <f t="shared" si="9"/>
        <v>80218.240000000005</v>
      </c>
      <c r="J19" s="118">
        <v>28</v>
      </c>
      <c r="K19" s="14">
        <f t="shared" si="1"/>
        <v>40109.120000000003</v>
      </c>
      <c r="L19" s="14">
        <f t="shared" si="10"/>
        <v>0</v>
      </c>
      <c r="M19" s="121">
        <v>112</v>
      </c>
      <c r="N19" s="14">
        <v>0</v>
      </c>
      <c r="O19" s="14">
        <f t="shared" si="11"/>
        <v>10000</v>
      </c>
      <c r="P19" s="118">
        <v>36</v>
      </c>
      <c r="Q19" s="14">
        <f t="shared" si="12"/>
        <v>20054.560000000001</v>
      </c>
      <c r="R19" s="14">
        <f t="shared" si="13"/>
        <v>0</v>
      </c>
      <c r="S19" s="130"/>
      <c r="T19" s="118"/>
      <c r="U19" s="118"/>
      <c r="V19" s="14">
        <f t="shared" si="14"/>
        <v>60163.68</v>
      </c>
      <c r="W19" s="14">
        <f t="shared" si="15"/>
        <v>10000</v>
      </c>
      <c r="X19" s="125" t="s">
        <v>131</v>
      </c>
    </row>
    <row r="20" spans="1:24" x14ac:dyDescent="0.25">
      <c r="A20" s="15">
        <v>44972</v>
      </c>
      <c r="B20" s="14">
        <f>Summary!$G$20/28</f>
        <v>206257.34</v>
      </c>
      <c r="C20" s="14">
        <v>32.5</v>
      </c>
      <c r="D20" s="14">
        <v>31.4</v>
      </c>
      <c r="E20" s="14">
        <f t="shared" si="0"/>
        <v>31.4</v>
      </c>
      <c r="F20" s="14">
        <f t="shared" si="6"/>
        <v>123754.4</v>
      </c>
      <c r="G20" s="14">
        <f t="shared" si="7"/>
        <v>119565.79</v>
      </c>
      <c r="H20" s="14">
        <f t="shared" si="8"/>
        <v>82502.94</v>
      </c>
      <c r="I20" s="14">
        <f t="shared" si="9"/>
        <v>79710.53</v>
      </c>
      <c r="J20" s="14">
        <v>27</v>
      </c>
      <c r="K20" s="14">
        <f t="shared" si="1"/>
        <v>39855.269999999997</v>
      </c>
      <c r="L20" s="14">
        <f t="shared" si="10"/>
        <v>0</v>
      </c>
      <c r="M20" s="121">
        <v>91</v>
      </c>
      <c r="N20" s="14">
        <v>0</v>
      </c>
      <c r="O20" s="14">
        <v>10000</v>
      </c>
      <c r="P20" s="14">
        <v>45</v>
      </c>
      <c r="Q20" s="14">
        <f t="shared" si="12"/>
        <v>19927.63</v>
      </c>
      <c r="R20" s="14">
        <f t="shared" si="13"/>
        <v>0</v>
      </c>
      <c r="S20" s="87"/>
      <c r="T20" s="14"/>
      <c r="U20" s="14"/>
      <c r="V20" s="14">
        <f t="shared" si="14"/>
        <v>59782.9</v>
      </c>
      <c r="W20" s="14">
        <f t="shared" si="15"/>
        <v>10000</v>
      </c>
    </row>
    <row r="21" spans="1:24" x14ac:dyDescent="0.25">
      <c r="A21" s="15">
        <v>44973</v>
      </c>
      <c r="B21" s="14">
        <f>Summary!$G$20/28</f>
        <v>206257.34</v>
      </c>
      <c r="C21" s="14">
        <v>32.5</v>
      </c>
      <c r="D21" s="14">
        <v>31.6</v>
      </c>
      <c r="E21" s="14">
        <f t="shared" si="0"/>
        <v>31.6</v>
      </c>
      <c r="F21" s="14">
        <f t="shared" si="6"/>
        <v>123754.4</v>
      </c>
      <c r="G21" s="14">
        <f t="shared" si="7"/>
        <v>120327.36</v>
      </c>
      <c r="H21" s="14">
        <f t="shared" si="8"/>
        <v>82502.94</v>
      </c>
      <c r="I21" s="14">
        <f t="shared" si="9"/>
        <v>80218.240000000005</v>
      </c>
      <c r="J21" s="14">
        <v>28</v>
      </c>
      <c r="K21" s="14">
        <f t="shared" si="1"/>
        <v>40109.120000000003</v>
      </c>
      <c r="L21" s="14">
        <f t="shared" si="10"/>
        <v>0</v>
      </c>
      <c r="M21" s="121">
        <v>93</v>
      </c>
      <c r="N21" s="14">
        <v>0</v>
      </c>
      <c r="O21" s="14">
        <v>10000</v>
      </c>
      <c r="P21" s="14">
        <v>43</v>
      </c>
      <c r="Q21" s="14">
        <f t="shared" si="12"/>
        <v>20054.560000000001</v>
      </c>
      <c r="R21" s="14">
        <f t="shared" si="13"/>
        <v>0</v>
      </c>
      <c r="S21" s="87"/>
      <c r="T21" s="14"/>
      <c r="U21" s="14"/>
      <c r="V21" s="14">
        <f t="shared" si="14"/>
        <v>60163.68</v>
      </c>
      <c r="W21" s="14">
        <f t="shared" si="15"/>
        <v>10000</v>
      </c>
    </row>
    <row r="22" spans="1:24" x14ac:dyDescent="0.25">
      <c r="A22" s="15">
        <v>44974</v>
      </c>
      <c r="B22" s="14">
        <f>Summary!$G$20/28</f>
        <v>206257.34</v>
      </c>
      <c r="C22" s="14">
        <v>32.5</v>
      </c>
      <c r="D22" s="14">
        <v>29.3</v>
      </c>
      <c r="E22" s="14">
        <f t="shared" si="0"/>
        <v>29.3</v>
      </c>
      <c r="F22" s="14">
        <f t="shared" si="6"/>
        <v>123754.4</v>
      </c>
      <c r="G22" s="14">
        <f t="shared" si="7"/>
        <v>111569.35</v>
      </c>
      <c r="H22" s="14">
        <f t="shared" si="8"/>
        <v>82502.94</v>
      </c>
      <c r="I22" s="14">
        <f t="shared" si="9"/>
        <v>74379.570000000007</v>
      </c>
      <c r="J22" s="14">
        <v>25</v>
      </c>
      <c r="K22" s="14">
        <f t="shared" si="1"/>
        <v>37189.79</v>
      </c>
      <c r="L22" s="14">
        <f t="shared" si="10"/>
        <v>0</v>
      </c>
      <c r="M22" s="121">
        <v>91</v>
      </c>
      <c r="N22" s="14">
        <v>0</v>
      </c>
      <c r="O22" s="14">
        <v>10000</v>
      </c>
      <c r="P22" s="14">
        <v>48</v>
      </c>
      <c r="Q22" s="14">
        <f t="shared" si="12"/>
        <v>18594.89</v>
      </c>
      <c r="R22" s="14">
        <f t="shared" si="13"/>
        <v>0</v>
      </c>
      <c r="S22" s="87"/>
      <c r="T22" s="14"/>
      <c r="U22" s="14"/>
      <c r="V22" s="14">
        <f t="shared" si="14"/>
        <v>55784.68</v>
      </c>
      <c r="W22" s="14">
        <f t="shared" si="15"/>
        <v>10000</v>
      </c>
    </row>
    <row r="23" spans="1:24" x14ac:dyDescent="0.25">
      <c r="A23" s="15">
        <v>44975</v>
      </c>
      <c r="B23" s="14">
        <f>Summary!$G$20/28</f>
        <v>206257.34</v>
      </c>
      <c r="C23" s="14">
        <v>32.5</v>
      </c>
      <c r="D23" s="14">
        <v>32</v>
      </c>
      <c r="E23" s="14">
        <f t="shared" si="0"/>
        <v>32</v>
      </c>
      <c r="F23" s="14">
        <f t="shared" si="6"/>
        <v>123754.4</v>
      </c>
      <c r="G23" s="14">
        <f t="shared" si="7"/>
        <v>121850.49</v>
      </c>
      <c r="H23" s="14">
        <f t="shared" si="8"/>
        <v>82502.94</v>
      </c>
      <c r="I23" s="14">
        <f t="shared" si="9"/>
        <v>81233.66</v>
      </c>
      <c r="J23" s="14">
        <v>29</v>
      </c>
      <c r="K23" s="14">
        <f t="shared" si="1"/>
        <v>40616.83</v>
      </c>
      <c r="L23" s="14">
        <f t="shared" si="10"/>
        <v>0</v>
      </c>
      <c r="M23" s="121">
        <v>96</v>
      </c>
      <c r="N23" s="14">
        <v>0</v>
      </c>
      <c r="O23" s="14">
        <v>10000</v>
      </c>
      <c r="P23" s="14">
        <v>44</v>
      </c>
      <c r="Q23" s="14">
        <f t="shared" si="12"/>
        <v>20308.419999999998</v>
      </c>
      <c r="R23" s="14">
        <f t="shared" si="13"/>
        <v>0</v>
      </c>
      <c r="S23" s="87"/>
      <c r="T23" s="14"/>
      <c r="U23" s="14"/>
      <c r="V23" s="14">
        <f t="shared" si="14"/>
        <v>60925.25</v>
      </c>
      <c r="W23" s="14">
        <f t="shared" si="15"/>
        <v>10000</v>
      </c>
    </row>
    <row r="24" spans="1:24" x14ac:dyDescent="0.25">
      <c r="A24" s="15">
        <v>44976</v>
      </c>
      <c r="B24" s="14">
        <f>Summary!$G$20/28</f>
        <v>206257.34</v>
      </c>
      <c r="C24" s="14">
        <v>32.5</v>
      </c>
      <c r="D24" s="14">
        <v>31.4</v>
      </c>
      <c r="E24" s="14">
        <f t="shared" si="0"/>
        <v>31.4</v>
      </c>
      <c r="F24" s="14">
        <f t="shared" si="6"/>
        <v>123754.4</v>
      </c>
      <c r="G24" s="14">
        <f t="shared" si="7"/>
        <v>119565.79</v>
      </c>
      <c r="H24" s="14">
        <f t="shared" si="8"/>
        <v>82502.94</v>
      </c>
      <c r="I24" s="14">
        <f t="shared" si="9"/>
        <v>79710.53</v>
      </c>
      <c r="J24" s="14">
        <v>26</v>
      </c>
      <c r="K24" s="14">
        <f t="shared" si="1"/>
        <v>39855.269999999997</v>
      </c>
      <c r="L24" s="14">
        <f t="shared" si="10"/>
        <v>0</v>
      </c>
      <c r="M24" s="121">
        <v>91</v>
      </c>
      <c r="N24" s="14">
        <v>0</v>
      </c>
      <c r="O24" s="14">
        <v>10000</v>
      </c>
      <c r="P24" s="14">
        <v>47</v>
      </c>
      <c r="Q24" s="14">
        <f t="shared" si="12"/>
        <v>19927.63</v>
      </c>
      <c r="R24" s="14">
        <f t="shared" si="13"/>
        <v>0</v>
      </c>
      <c r="S24" s="87"/>
      <c r="T24" s="14"/>
      <c r="U24" s="14"/>
      <c r="V24" s="14">
        <f t="shared" si="14"/>
        <v>59782.9</v>
      </c>
      <c r="W24" s="14">
        <f t="shared" si="15"/>
        <v>10000</v>
      </c>
    </row>
    <row r="25" spans="1:24" x14ac:dyDescent="0.25">
      <c r="A25" s="15">
        <v>44977</v>
      </c>
      <c r="B25" s="14">
        <f>Summary!$G$20/28</f>
        <v>206257.34</v>
      </c>
      <c r="C25" s="14">
        <v>32.5</v>
      </c>
      <c r="D25" s="14">
        <v>31.7</v>
      </c>
      <c r="E25" s="14">
        <f t="shared" si="0"/>
        <v>31.7</v>
      </c>
      <c r="F25" s="14">
        <f t="shared" si="6"/>
        <v>123754.4</v>
      </c>
      <c r="G25" s="14">
        <f t="shared" si="7"/>
        <v>120708.14</v>
      </c>
      <c r="H25" s="14">
        <f t="shared" si="8"/>
        <v>82502.94</v>
      </c>
      <c r="I25" s="14">
        <f t="shared" si="9"/>
        <v>80472.100000000006</v>
      </c>
      <c r="J25" s="14">
        <v>28</v>
      </c>
      <c r="K25" s="14">
        <f t="shared" si="1"/>
        <v>40236.050000000003</v>
      </c>
      <c r="L25" s="14">
        <f t="shared" si="10"/>
        <v>0</v>
      </c>
      <c r="M25" s="121">
        <v>96</v>
      </c>
      <c r="N25" s="14">
        <v>0</v>
      </c>
      <c r="O25" s="14">
        <v>10000</v>
      </c>
      <c r="P25" s="14">
        <v>42</v>
      </c>
      <c r="Q25" s="14">
        <f t="shared" si="12"/>
        <v>20118.03</v>
      </c>
      <c r="R25" s="14">
        <f t="shared" si="13"/>
        <v>0</v>
      </c>
      <c r="S25" s="87"/>
      <c r="T25" s="14"/>
      <c r="U25" s="14"/>
      <c r="V25" s="14">
        <f t="shared" si="14"/>
        <v>60354.080000000002</v>
      </c>
      <c r="W25" s="14">
        <f t="shared" si="15"/>
        <v>10000</v>
      </c>
    </row>
    <row r="26" spans="1:24" s="120" customFormat="1" x14ac:dyDescent="0.25">
      <c r="A26" s="117">
        <v>44978</v>
      </c>
      <c r="B26" s="118">
        <f>Summary!$G$20/28</f>
        <v>206257.34</v>
      </c>
      <c r="C26" s="118">
        <v>32.5</v>
      </c>
      <c r="D26" s="118">
        <v>32.1</v>
      </c>
      <c r="E26" s="14">
        <f t="shared" si="0"/>
        <v>32.1</v>
      </c>
      <c r="F26" s="118">
        <f t="shared" si="6"/>
        <v>123754.4</v>
      </c>
      <c r="G26" s="14">
        <f t="shared" si="7"/>
        <v>122231.27</v>
      </c>
      <c r="H26" s="118">
        <f t="shared" si="8"/>
        <v>82502.94</v>
      </c>
      <c r="I26" s="14">
        <f t="shared" si="9"/>
        <v>81487.520000000004</v>
      </c>
      <c r="J26" s="118">
        <v>24</v>
      </c>
      <c r="K26" s="14">
        <f t="shared" si="1"/>
        <v>40743.760000000002</v>
      </c>
      <c r="L26" s="14">
        <f t="shared" si="10"/>
        <v>0</v>
      </c>
      <c r="M26" s="121">
        <v>124</v>
      </c>
      <c r="N26" s="14">
        <v>0</v>
      </c>
      <c r="O26" s="14">
        <f t="shared" si="11"/>
        <v>10000</v>
      </c>
      <c r="P26" s="118">
        <v>30</v>
      </c>
      <c r="Q26" s="14">
        <f t="shared" si="12"/>
        <v>20371.88</v>
      </c>
      <c r="R26" s="14">
        <f t="shared" si="13"/>
        <v>0</v>
      </c>
      <c r="S26" s="130"/>
      <c r="T26" s="118"/>
      <c r="U26" s="118"/>
      <c r="V26" s="14">
        <f t="shared" si="14"/>
        <v>61115.64</v>
      </c>
      <c r="W26" s="14">
        <f t="shared" si="15"/>
        <v>10000</v>
      </c>
      <c r="X26" s="125" t="s">
        <v>131</v>
      </c>
    </row>
    <row r="27" spans="1:24" x14ac:dyDescent="0.25">
      <c r="A27" s="15">
        <v>44979</v>
      </c>
      <c r="B27" s="14">
        <f>Summary!$G$20/28</f>
        <v>206257.34</v>
      </c>
      <c r="C27" s="14">
        <v>32.5</v>
      </c>
      <c r="D27" s="14">
        <v>32.5</v>
      </c>
      <c r="E27" s="14">
        <f t="shared" si="0"/>
        <v>32.5</v>
      </c>
      <c r="F27" s="14">
        <f t="shared" si="6"/>
        <v>123754.4</v>
      </c>
      <c r="G27" s="14">
        <f t="shared" si="7"/>
        <v>123754.4</v>
      </c>
      <c r="H27" s="14">
        <f t="shared" si="8"/>
        <v>82502.94</v>
      </c>
      <c r="I27" s="14">
        <f t="shared" si="9"/>
        <v>82502.94</v>
      </c>
      <c r="J27" s="14">
        <v>26</v>
      </c>
      <c r="K27" s="14">
        <f t="shared" si="1"/>
        <v>41251.47</v>
      </c>
      <c r="L27" s="14">
        <f t="shared" si="10"/>
        <v>0</v>
      </c>
      <c r="M27" s="121">
        <v>93</v>
      </c>
      <c r="N27" s="14">
        <v>0</v>
      </c>
      <c r="O27" s="14">
        <v>10000</v>
      </c>
      <c r="P27" s="14">
        <v>44</v>
      </c>
      <c r="Q27" s="14">
        <f t="shared" si="12"/>
        <v>20625.740000000002</v>
      </c>
      <c r="R27" s="14">
        <f t="shared" si="13"/>
        <v>0</v>
      </c>
      <c r="S27" s="87"/>
      <c r="T27" s="14"/>
      <c r="U27" s="14"/>
      <c r="V27" s="14">
        <f t="shared" si="14"/>
        <v>61877.21</v>
      </c>
      <c r="W27" s="14">
        <f t="shared" si="15"/>
        <v>10000</v>
      </c>
    </row>
    <row r="28" spans="1:24" x14ac:dyDescent="0.25">
      <c r="A28" s="15">
        <v>44980</v>
      </c>
      <c r="B28" s="14">
        <f>Summary!$G$20/28</f>
        <v>206257.34</v>
      </c>
      <c r="C28" s="14">
        <v>32.5</v>
      </c>
      <c r="D28" s="14">
        <v>31.6</v>
      </c>
      <c r="E28" s="14">
        <f t="shared" si="0"/>
        <v>31.6</v>
      </c>
      <c r="F28" s="14">
        <f t="shared" si="6"/>
        <v>123754.4</v>
      </c>
      <c r="G28" s="14">
        <f t="shared" si="7"/>
        <v>120327.36</v>
      </c>
      <c r="H28" s="14">
        <f t="shared" si="8"/>
        <v>82502.94</v>
      </c>
      <c r="I28" s="14">
        <f t="shared" si="9"/>
        <v>80218.240000000005</v>
      </c>
      <c r="J28" s="14">
        <v>28</v>
      </c>
      <c r="K28" s="14">
        <f t="shared" si="1"/>
        <v>40109.120000000003</v>
      </c>
      <c r="L28" s="14">
        <f t="shared" si="10"/>
        <v>0</v>
      </c>
      <c r="M28" s="121">
        <v>96</v>
      </c>
      <c r="N28" s="14">
        <v>0</v>
      </c>
      <c r="O28" s="14">
        <v>10000</v>
      </c>
      <c r="P28" s="14">
        <v>46</v>
      </c>
      <c r="Q28" s="14">
        <f t="shared" si="12"/>
        <v>20054.560000000001</v>
      </c>
      <c r="R28" s="14">
        <f t="shared" si="13"/>
        <v>0</v>
      </c>
      <c r="S28" s="87"/>
      <c r="T28" s="14"/>
      <c r="U28" s="14"/>
      <c r="V28" s="14">
        <f t="shared" si="14"/>
        <v>60163.68</v>
      </c>
      <c r="W28" s="14">
        <f t="shared" si="15"/>
        <v>10000</v>
      </c>
    </row>
    <row r="29" spans="1:24" x14ac:dyDescent="0.25">
      <c r="A29" s="15">
        <v>44981</v>
      </c>
      <c r="B29" s="14">
        <f>Summary!$G$20/28</f>
        <v>206257.34</v>
      </c>
      <c r="C29" s="14">
        <v>32.5</v>
      </c>
      <c r="D29" s="14">
        <v>31.8</v>
      </c>
      <c r="E29" s="14">
        <f t="shared" si="0"/>
        <v>31.8</v>
      </c>
      <c r="F29" s="14">
        <f t="shared" si="6"/>
        <v>123754.4</v>
      </c>
      <c r="G29" s="14">
        <f t="shared" si="7"/>
        <v>121088.92</v>
      </c>
      <c r="H29" s="14">
        <f t="shared" si="8"/>
        <v>82502.94</v>
      </c>
      <c r="I29" s="14">
        <f t="shared" si="9"/>
        <v>80725.95</v>
      </c>
      <c r="J29" s="14">
        <v>25</v>
      </c>
      <c r="K29" s="14">
        <f t="shared" si="1"/>
        <v>40362.980000000003</v>
      </c>
      <c r="L29" s="14">
        <f t="shared" si="10"/>
        <v>0</v>
      </c>
      <c r="M29" s="121">
        <v>93</v>
      </c>
      <c r="N29" s="14">
        <v>0</v>
      </c>
      <c r="O29" s="14">
        <v>10000</v>
      </c>
      <c r="P29" s="14">
        <v>43</v>
      </c>
      <c r="Q29" s="14">
        <f t="shared" si="12"/>
        <v>20181.490000000002</v>
      </c>
      <c r="R29" s="14">
        <f t="shared" si="13"/>
        <v>0</v>
      </c>
      <c r="S29" s="87"/>
      <c r="T29" s="14"/>
      <c r="U29" s="14"/>
      <c r="V29" s="14">
        <f t="shared" si="14"/>
        <v>60544.47</v>
      </c>
      <c r="W29" s="14">
        <f t="shared" si="15"/>
        <v>10000</v>
      </c>
    </row>
    <row r="30" spans="1:24" x14ac:dyDescent="0.25">
      <c r="A30" s="15">
        <v>44982</v>
      </c>
      <c r="B30" s="14">
        <f>Summary!$G$20/28</f>
        <v>206257.34</v>
      </c>
      <c r="C30" s="14">
        <v>32.5</v>
      </c>
      <c r="D30" s="14">
        <v>31.2</v>
      </c>
      <c r="E30" s="14">
        <f t="shared" si="0"/>
        <v>31.2</v>
      </c>
      <c r="F30" s="14">
        <f t="shared" si="6"/>
        <v>123754.4</v>
      </c>
      <c r="G30" s="14">
        <f t="shared" si="7"/>
        <v>118804.22</v>
      </c>
      <c r="H30" s="14">
        <f t="shared" si="8"/>
        <v>82502.94</v>
      </c>
      <c r="I30" s="14">
        <f t="shared" si="9"/>
        <v>79202.820000000007</v>
      </c>
      <c r="J30" s="14">
        <v>23</v>
      </c>
      <c r="K30" s="14">
        <f t="shared" si="1"/>
        <v>39601.410000000003</v>
      </c>
      <c r="L30" s="14">
        <f t="shared" si="10"/>
        <v>0</v>
      </c>
      <c r="M30" s="121">
        <v>91</v>
      </c>
      <c r="N30" s="14">
        <v>0</v>
      </c>
      <c r="O30" s="14">
        <v>10000</v>
      </c>
      <c r="P30" s="14">
        <v>45</v>
      </c>
      <c r="Q30" s="14">
        <f t="shared" si="12"/>
        <v>19800.71</v>
      </c>
      <c r="R30" s="14">
        <f t="shared" si="13"/>
        <v>0</v>
      </c>
      <c r="S30" s="87"/>
      <c r="T30" s="14"/>
      <c r="U30" s="14"/>
      <c r="V30" s="14">
        <f t="shared" si="14"/>
        <v>59402.12</v>
      </c>
      <c r="W30" s="14">
        <f t="shared" si="15"/>
        <v>10000</v>
      </c>
    </row>
    <row r="31" spans="1:24" x14ac:dyDescent="0.25">
      <c r="A31" s="15">
        <v>44983</v>
      </c>
      <c r="B31" s="14">
        <f>Summary!$G$20/28</f>
        <v>206257.34</v>
      </c>
      <c r="C31" s="14">
        <v>32.5</v>
      </c>
      <c r="D31" s="14">
        <v>32.200000000000003</v>
      </c>
      <c r="E31" s="14">
        <f t="shared" si="0"/>
        <v>32.200000000000003</v>
      </c>
      <c r="F31" s="14">
        <f t="shared" si="6"/>
        <v>123754.4</v>
      </c>
      <c r="G31" s="14">
        <f t="shared" si="7"/>
        <v>122612.05</v>
      </c>
      <c r="H31" s="14">
        <f t="shared" si="8"/>
        <v>82502.94</v>
      </c>
      <c r="I31" s="14">
        <f t="shared" si="9"/>
        <v>81741.37</v>
      </c>
      <c r="J31" s="14">
        <v>28</v>
      </c>
      <c r="K31" s="14">
        <f t="shared" si="1"/>
        <v>40870.69</v>
      </c>
      <c r="L31" s="14">
        <f t="shared" si="10"/>
        <v>0</v>
      </c>
      <c r="M31" s="121">
        <v>96</v>
      </c>
      <c r="N31" s="14">
        <v>0</v>
      </c>
      <c r="O31" s="14">
        <v>10000</v>
      </c>
      <c r="P31" s="14">
        <v>42</v>
      </c>
      <c r="Q31" s="14">
        <f t="shared" si="12"/>
        <v>20435.34</v>
      </c>
      <c r="R31" s="14">
        <f t="shared" si="13"/>
        <v>0</v>
      </c>
      <c r="S31" s="87"/>
      <c r="T31" s="14"/>
      <c r="U31" s="14"/>
      <c r="V31" s="14">
        <f t="shared" si="14"/>
        <v>61306.03</v>
      </c>
      <c r="W31" s="14">
        <f t="shared" si="15"/>
        <v>10000</v>
      </c>
    </row>
    <row r="32" spans="1:24" x14ac:dyDescent="0.25">
      <c r="A32" s="15">
        <v>44984</v>
      </c>
      <c r="B32" s="14">
        <f>Summary!$G$20/28</f>
        <v>206257.34</v>
      </c>
      <c r="C32" s="14">
        <v>32.5</v>
      </c>
      <c r="D32" s="14">
        <v>29.8</v>
      </c>
      <c r="E32" s="14">
        <f t="shared" si="0"/>
        <v>29.8</v>
      </c>
      <c r="F32" s="14">
        <f t="shared" si="6"/>
        <v>123754.4</v>
      </c>
      <c r="G32" s="14">
        <f t="shared" si="7"/>
        <v>113473.27</v>
      </c>
      <c r="H32" s="14">
        <f t="shared" si="8"/>
        <v>82502.94</v>
      </c>
      <c r="I32" s="14">
        <f t="shared" si="9"/>
        <v>75648.850000000006</v>
      </c>
      <c r="J32" s="14">
        <v>26</v>
      </c>
      <c r="K32" s="14">
        <f t="shared" si="1"/>
        <v>37824.43</v>
      </c>
      <c r="L32" s="14">
        <f t="shared" si="10"/>
        <v>0</v>
      </c>
      <c r="M32" s="121">
        <v>93</v>
      </c>
      <c r="N32" s="14">
        <v>0</v>
      </c>
      <c r="O32" s="14">
        <v>10000</v>
      </c>
      <c r="P32" s="14">
        <v>44</v>
      </c>
      <c r="Q32" s="14">
        <f t="shared" si="12"/>
        <v>18912.21</v>
      </c>
      <c r="R32" s="14">
        <f t="shared" si="13"/>
        <v>0</v>
      </c>
      <c r="S32" s="87"/>
      <c r="T32" s="14"/>
      <c r="U32" s="14"/>
      <c r="V32" s="14">
        <f t="shared" si="14"/>
        <v>56736.639999999999</v>
      </c>
      <c r="W32" s="14">
        <f t="shared" si="15"/>
        <v>10000</v>
      </c>
    </row>
    <row r="33" spans="1:24" s="120" customFormat="1" x14ac:dyDescent="0.25">
      <c r="A33" s="117">
        <v>44985</v>
      </c>
      <c r="B33" s="118">
        <f>Summary!$G$20/28</f>
        <v>206257.34</v>
      </c>
      <c r="C33" s="118">
        <v>32.5</v>
      </c>
      <c r="D33" s="118">
        <v>31.5</v>
      </c>
      <c r="E33" s="14">
        <f t="shared" si="0"/>
        <v>31.5</v>
      </c>
      <c r="F33" s="118">
        <f t="shared" si="6"/>
        <v>123754.4</v>
      </c>
      <c r="G33" s="14">
        <f t="shared" si="7"/>
        <v>119946.57</v>
      </c>
      <c r="H33" s="118">
        <f t="shared" si="8"/>
        <v>82502.94</v>
      </c>
      <c r="I33" s="14">
        <f t="shared" si="9"/>
        <v>79964.39</v>
      </c>
      <c r="J33" s="118">
        <v>28</v>
      </c>
      <c r="K33" s="14">
        <f t="shared" si="1"/>
        <v>39982.199999999997</v>
      </c>
      <c r="L33" s="14">
        <f t="shared" si="10"/>
        <v>0</v>
      </c>
      <c r="M33" s="121">
        <v>112</v>
      </c>
      <c r="N33" s="14">
        <v>0</v>
      </c>
      <c r="O33" s="14">
        <f t="shared" si="11"/>
        <v>10000</v>
      </c>
      <c r="P33" s="118">
        <v>40</v>
      </c>
      <c r="Q33" s="14">
        <f t="shared" si="12"/>
        <v>19991.099999999999</v>
      </c>
      <c r="R33" s="14">
        <f t="shared" si="13"/>
        <v>0</v>
      </c>
      <c r="S33" s="130"/>
      <c r="T33" s="118"/>
      <c r="U33" s="118"/>
      <c r="V33" s="14">
        <f t="shared" si="14"/>
        <v>59973.3</v>
      </c>
      <c r="W33" s="14">
        <f t="shared" si="15"/>
        <v>10000</v>
      </c>
      <c r="X33" s="125"/>
    </row>
    <row r="34" spans="1:24" s="21" customFormat="1" x14ac:dyDescent="0.25">
      <c r="A34" s="41" t="s">
        <v>20</v>
      </c>
      <c r="B34" s="20">
        <f>SUM(B6:B33)</f>
        <v>5775205.5199999996</v>
      </c>
      <c r="C34" s="20"/>
      <c r="D34" s="20">
        <f>AVERAGE(D6:D33)</f>
        <v>31.34</v>
      </c>
      <c r="E34" s="20"/>
      <c r="F34" s="20">
        <f>SUM(F6:F33)</f>
        <v>3465123.2</v>
      </c>
      <c r="G34" s="20">
        <f>SUM(G6:G33)</f>
        <v>3340988.02</v>
      </c>
      <c r="H34" s="20">
        <f>SUM(H6:H33)</f>
        <v>2310082.3199999998</v>
      </c>
      <c r="I34" s="20">
        <f>SUM(I6:I33)</f>
        <v>2227325.4900000002</v>
      </c>
      <c r="J34" s="20"/>
      <c r="K34" s="20">
        <f>SUM(K6:K33)</f>
        <v>1113662.82</v>
      </c>
      <c r="L34" s="20">
        <f>SUM(L6:L33)</f>
        <v>0</v>
      </c>
      <c r="M34" s="20"/>
      <c r="N34" s="20">
        <f>SUM(N6:N33)</f>
        <v>236846.92</v>
      </c>
      <c r="O34" s="20">
        <f>SUM(O6:O33)</f>
        <v>160000</v>
      </c>
      <c r="P34" s="20"/>
      <c r="Q34" s="20">
        <f>SUM(Q6:Q33)</f>
        <v>556831.41</v>
      </c>
      <c r="R34" s="20">
        <f>SUM(R6:R33)</f>
        <v>0</v>
      </c>
      <c r="S34" s="20"/>
      <c r="T34" s="20">
        <f>SUM(T6:T33)</f>
        <v>0</v>
      </c>
      <c r="U34" s="20">
        <f>SUM(U6:U33)</f>
        <v>0</v>
      </c>
      <c r="V34" s="20">
        <f>SUM(V6:V33)</f>
        <v>1907341.15</v>
      </c>
      <c r="W34" s="20">
        <f>SUM(W6:W33)</f>
        <v>160000</v>
      </c>
      <c r="X34" s="28"/>
    </row>
    <row r="35" spans="1:24" x14ac:dyDescent="0.25">
      <c r="A35" s="41"/>
      <c r="B35" s="20" t="s">
        <v>78</v>
      </c>
      <c r="C35" s="20"/>
      <c r="D35" s="229"/>
      <c r="E35" s="230"/>
      <c r="F35" s="23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5248329.17</v>
      </c>
      <c r="W35" s="20"/>
      <c r="X35" s="32"/>
    </row>
    <row r="36" spans="1:24" x14ac:dyDescent="0.25">
      <c r="K36">
        <f>COUNTIF(K6:K33,"0")</f>
        <v>0</v>
      </c>
      <c r="N36">
        <f>COUNTIF(N6:N33,"0")</f>
        <v>16</v>
      </c>
      <c r="Q36">
        <f>COUNTIF(Q6:Q33,"0")</f>
        <v>0</v>
      </c>
      <c r="T36">
        <f>COUNTIF(T6:T33,"0")</f>
        <v>0</v>
      </c>
    </row>
    <row r="37" spans="1:24" x14ac:dyDescent="0.25">
      <c r="C37" s="1"/>
      <c r="V37" s="1"/>
    </row>
    <row r="38" spans="1:24" x14ac:dyDescent="0.25">
      <c r="V38" s="1"/>
    </row>
  </sheetData>
  <mergeCells count="19">
    <mergeCell ref="A1:V1"/>
    <mergeCell ref="C3:D3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J4:L4"/>
    <mergeCell ref="P4:R4"/>
    <mergeCell ref="S4:U4"/>
    <mergeCell ref="W4:W5"/>
    <mergeCell ref="H4:H5"/>
    <mergeCell ref="D35:F35"/>
    <mergeCell ref="V4:V5"/>
  </mergeCells>
  <pageMargins left="0.25" right="0.25" top="0.75" bottom="0.75" header="0.3" footer="0.3"/>
  <pageSetup paperSize="9" scale="5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Y46"/>
  <sheetViews>
    <sheetView zoomScaleNormal="100" workbookViewId="0">
      <pane xSplit="1" ySplit="1" topLeftCell="M16" activePane="bottomRight" state="frozen"/>
      <selection activeCell="K16" sqref="K16"/>
      <selection pane="topRight" activeCell="K16" sqref="K16"/>
      <selection pane="bottomLeft" activeCell="K16" sqref="K16"/>
      <selection pane="bottomRight" activeCell="V35" sqref="V35"/>
    </sheetView>
  </sheetViews>
  <sheetFormatPr defaultColWidth="9.140625" defaultRowHeight="15.75" x14ac:dyDescent="0.25"/>
  <cols>
    <col min="1" max="1" width="10.5703125" bestFit="1" customWidth="1"/>
    <col min="2" max="2" width="13.7109375" customWidth="1"/>
    <col min="3" max="3" width="8.5703125" customWidth="1"/>
    <col min="6" max="6" width="12.5703125" customWidth="1"/>
    <col min="7" max="7" width="13.28515625" customWidth="1"/>
    <col min="8" max="8" width="12.7109375" customWidth="1"/>
    <col min="9" max="9" width="12.5703125" bestFit="1" customWidth="1"/>
    <col min="10" max="10" width="9.140625" customWidth="1"/>
    <col min="11" max="11" width="12.42578125" customWidth="1"/>
    <col min="12" max="12" width="9.5703125" customWidth="1"/>
    <col min="13" max="13" width="10.7109375" customWidth="1"/>
    <col min="14" max="14" width="11.5703125" customWidth="1"/>
    <col min="15" max="15" width="11.42578125" customWidth="1"/>
    <col min="16" max="16" width="9.85546875" customWidth="1"/>
    <col min="17" max="17" width="12.85546875" customWidth="1"/>
    <col min="18" max="18" width="9.85546875" customWidth="1"/>
    <col min="19" max="19" width="10.42578125" customWidth="1"/>
    <col min="20" max="20" width="10.42578125" bestFit="1" customWidth="1"/>
    <col min="21" max="21" width="11.85546875" customWidth="1"/>
    <col min="22" max="22" width="15.42578125" customWidth="1"/>
    <col min="23" max="23" width="13.7109375" customWidth="1"/>
    <col min="24" max="24" width="11.42578125" style="28" bestFit="1" customWidth="1"/>
    <col min="25" max="25" width="11.7109375" bestFit="1" customWidth="1"/>
  </cols>
  <sheetData>
    <row r="1" spans="1:24" ht="18.75" x14ac:dyDescent="0.25">
      <c r="A1" s="188" t="str">
        <f>'.81 MLD'!A1:V1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</row>
    <row r="2" spans="1:24" ht="18.75" x14ac:dyDescent="0.25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</row>
    <row r="3" spans="1:24" x14ac:dyDescent="0.25">
      <c r="A3" s="41"/>
      <c r="B3" s="41"/>
      <c r="C3" s="190" t="s">
        <v>15</v>
      </c>
      <c r="D3" s="191"/>
      <c r="E3" s="191"/>
      <c r="F3" s="185" t="s">
        <v>18</v>
      </c>
      <c r="G3" s="185"/>
      <c r="H3" s="185" t="s">
        <v>19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85"/>
    </row>
    <row r="4" spans="1:24" x14ac:dyDescent="0.25">
      <c r="A4" s="211" t="s">
        <v>14</v>
      </c>
      <c r="B4" s="209" t="s">
        <v>49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90</v>
      </c>
      <c r="K4" s="191"/>
      <c r="L4" s="191"/>
      <c r="M4" s="44"/>
      <c r="N4" s="41" t="s">
        <v>91</v>
      </c>
      <c r="O4" s="41"/>
      <c r="P4" s="41"/>
      <c r="Q4" s="41" t="s">
        <v>92</v>
      </c>
      <c r="R4" s="41"/>
      <c r="S4" s="41"/>
      <c r="T4" s="41" t="s">
        <v>116</v>
      </c>
      <c r="U4" s="41"/>
      <c r="V4" s="187" t="s">
        <v>55</v>
      </c>
      <c r="W4" s="187" t="s">
        <v>61</v>
      </c>
    </row>
    <row r="5" spans="1:24" ht="30" x14ac:dyDescent="0.25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</row>
    <row r="6" spans="1:24" x14ac:dyDescent="0.25">
      <c r="A6" s="15">
        <v>44958</v>
      </c>
      <c r="B6" s="14">
        <f>Summary!$G$21/28</f>
        <v>241162.43</v>
      </c>
      <c r="C6" s="14">
        <v>38</v>
      </c>
      <c r="D6" s="14">
        <v>38.270000000000003</v>
      </c>
      <c r="E6" s="86">
        <f>MIN(D6,C6)</f>
        <v>38</v>
      </c>
      <c r="F6" s="14">
        <f>B6*60%</f>
        <v>144697.46</v>
      </c>
      <c r="G6" s="14">
        <f>(F6*E6)/C6</f>
        <v>144697.46</v>
      </c>
      <c r="H6" s="14">
        <f>B6*40%</f>
        <v>96464.97</v>
      </c>
      <c r="I6" s="14">
        <f>(H6*E6)/C6</f>
        <v>96464.97</v>
      </c>
      <c r="J6" s="14">
        <v>20</v>
      </c>
      <c r="K6" s="14">
        <f t="shared" ref="K6" si="0">+I6*0.5</f>
        <v>48232.49</v>
      </c>
      <c r="L6" s="14">
        <f t="shared" ref="L6" si="1">IF(J6&gt;30,(MAX($B$34*0.1/100,10000)),0)</f>
        <v>0</v>
      </c>
      <c r="M6" s="14">
        <v>102</v>
      </c>
      <c r="N6" s="14">
        <f t="shared" ref="N6" si="2">+I6*15/100</f>
        <v>14469.75</v>
      </c>
      <c r="O6" s="14">
        <f t="shared" ref="O6" si="3">IF(M6&gt;250,(MAX($B$34*0.1/100,10000)),0)</f>
        <v>0</v>
      </c>
      <c r="P6" s="14">
        <v>32</v>
      </c>
      <c r="Q6" s="14">
        <f>+I6*0.25</f>
        <v>24116.240000000002</v>
      </c>
      <c r="R6" s="14">
        <f t="shared" ref="R6" si="4">IF(P6&gt;50,(MAX($B$34*0.1/100,10000)),0)</f>
        <v>0</v>
      </c>
      <c r="S6" s="14">
        <v>870</v>
      </c>
      <c r="T6" s="14">
        <f>I6*0.1</f>
        <v>9646.5</v>
      </c>
      <c r="U6" s="14">
        <f t="shared" ref="U6" si="5">IF(S6&gt;1000,(MAX($B$34*0.1/100,10000)),0)</f>
        <v>0</v>
      </c>
      <c r="V6" s="14">
        <f>T6+Q6+N6+K6</f>
        <v>96464.98</v>
      </c>
      <c r="W6" s="14">
        <f>U6+R6+O6+L6</f>
        <v>0</v>
      </c>
    </row>
    <row r="7" spans="1:24" x14ac:dyDescent="0.25">
      <c r="A7" s="15">
        <v>44959</v>
      </c>
      <c r="B7" s="14">
        <f>Summary!$G$21/28</f>
        <v>241162.43</v>
      </c>
      <c r="C7" s="14">
        <v>38</v>
      </c>
      <c r="D7" s="14">
        <v>38.86</v>
      </c>
      <c r="E7" s="86">
        <f t="shared" ref="E7:E33" si="6">MIN(D7,C7)</f>
        <v>38</v>
      </c>
      <c r="F7" s="14">
        <f t="shared" ref="F7:F33" si="7">B7*60%</f>
        <v>144697.46</v>
      </c>
      <c r="G7" s="14">
        <f t="shared" ref="G7:G33" si="8">(F7*E7)/C7</f>
        <v>144697.46</v>
      </c>
      <c r="H7" s="14">
        <f t="shared" ref="H7:H33" si="9">B7*40%</f>
        <v>96464.97</v>
      </c>
      <c r="I7" s="14">
        <f t="shared" ref="I7:I33" si="10">(H7*E7)/C7</f>
        <v>96464.97</v>
      </c>
      <c r="J7" s="14">
        <v>19</v>
      </c>
      <c r="K7" s="14">
        <f t="shared" ref="K7:K33" si="11">+I7*0.5</f>
        <v>48232.49</v>
      </c>
      <c r="L7" s="14">
        <f t="shared" ref="L7:L33" si="12">IF(J7&gt;30,(MAX($B$34*0.1/100,10000)),0)</f>
        <v>0</v>
      </c>
      <c r="M7" s="14">
        <v>108</v>
      </c>
      <c r="N7" s="14">
        <f t="shared" ref="N7:N33" si="13">+I7*15/100</f>
        <v>14469.75</v>
      </c>
      <c r="O7" s="14">
        <f t="shared" ref="O7:O33" si="14">IF(M7&gt;250,(MAX($B$34*0.1/100,10000)),0)</f>
        <v>0</v>
      </c>
      <c r="P7" s="14">
        <v>34</v>
      </c>
      <c r="Q7" s="14">
        <f t="shared" ref="Q7:Q33" si="15">+I7*0.25</f>
        <v>24116.240000000002</v>
      </c>
      <c r="R7" s="14">
        <f t="shared" ref="R7:R33" si="16">IF(P7&gt;50,(MAX($B$34*0.1/100,10000)),0)</f>
        <v>0</v>
      </c>
      <c r="S7" s="14">
        <v>940</v>
      </c>
      <c r="T7" s="14">
        <f t="shared" ref="T7:T33" si="17">I7*0.1</f>
        <v>9646.5</v>
      </c>
      <c r="U7" s="14">
        <f t="shared" ref="U7:U33" si="18">IF(S7&gt;1000,(MAX($B$34*0.1/100,10000)),0)</f>
        <v>0</v>
      </c>
      <c r="V7" s="14">
        <f t="shared" ref="V7:V33" si="19">T7+Q7+N7+K7</f>
        <v>96464.98</v>
      </c>
      <c r="W7" s="14">
        <f t="shared" ref="W7:W33" si="20">U7+R7+O7+L7</f>
        <v>0</v>
      </c>
    </row>
    <row r="8" spans="1:24" s="114" customFormat="1" x14ac:dyDescent="0.25">
      <c r="A8" s="112">
        <v>44960</v>
      </c>
      <c r="B8" s="113">
        <f>Summary!$G$21/28</f>
        <v>241162.43</v>
      </c>
      <c r="C8" s="113">
        <v>38</v>
      </c>
      <c r="D8" s="113">
        <v>38.56</v>
      </c>
      <c r="E8" s="86">
        <f t="shared" si="6"/>
        <v>38</v>
      </c>
      <c r="F8" s="113">
        <f t="shared" si="7"/>
        <v>144697.46</v>
      </c>
      <c r="G8" s="14">
        <f t="shared" si="8"/>
        <v>144697.46</v>
      </c>
      <c r="H8" s="113">
        <f t="shared" si="9"/>
        <v>96464.97</v>
      </c>
      <c r="I8" s="14">
        <f t="shared" si="10"/>
        <v>96464.97</v>
      </c>
      <c r="J8" s="113">
        <v>10</v>
      </c>
      <c r="K8" s="14">
        <f t="shared" si="11"/>
        <v>48232.49</v>
      </c>
      <c r="L8" s="14">
        <f t="shared" si="12"/>
        <v>0</v>
      </c>
      <c r="M8" s="113">
        <v>56</v>
      </c>
      <c r="N8" s="14">
        <f t="shared" si="13"/>
        <v>14469.75</v>
      </c>
      <c r="O8" s="14">
        <f t="shared" si="14"/>
        <v>0</v>
      </c>
      <c r="P8" s="113">
        <v>22</v>
      </c>
      <c r="Q8" s="14">
        <f t="shared" si="15"/>
        <v>24116.240000000002</v>
      </c>
      <c r="R8" s="14">
        <f t="shared" si="16"/>
        <v>0</v>
      </c>
      <c r="S8" s="113">
        <v>542</v>
      </c>
      <c r="T8" s="14">
        <f t="shared" si="17"/>
        <v>9646.5</v>
      </c>
      <c r="U8" s="14">
        <f t="shared" si="18"/>
        <v>0</v>
      </c>
      <c r="V8" s="14">
        <f t="shared" si="19"/>
        <v>96464.98</v>
      </c>
      <c r="W8" s="14">
        <f t="shared" si="20"/>
        <v>0</v>
      </c>
      <c r="X8" s="124" t="s">
        <v>131</v>
      </c>
    </row>
    <row r="9" spans="1:24" x14ac:dyDescent="0.25">
      <c r="A9" s="15">
        <v>44961</v>
      </c>
      <c r="B9" s="14">
        <f>Summary!$G$21/28</f>
        <v>241162.43</v>
      </c>
      <c r="C9" s="14">
        <v>38</v>
      </c>
      <c r="D9" s="14">
        <v>38.86</v>
      </c>
      <c r="E9" s="86">
        <f t="shared" si="6"/>
        <v>38</v>
      </c>
      <c r="F9" s="14">
        <f t="shared" si="7"/>
        <v>144697.46</v>
      </c>
      <c r="G9" s="14">
        <f t="shared" si="8"/>
        <v>144697.46</v>
      </c>
      <c r="H9" s="14">
        <f t="shared" si="9"/>
        <v>96464.97</v>
      </c>
      <c r="I9" s="14">
        <f t="shared" si="10"/>
        <v>96464.97</v>
      </c>
      <c r="J9" s="14">
        <v>18</v>
      </c>
      <c r="K9" s="14">
        <f t="shared" si="11"/>
        <v>48232.49</v>
      </c>
      <c r="L9" s="14">
        <f t="shared" si="12"/>
        <v>0</v>
      </c>
      <c r="M9" s="14">
        <v>108</v>
      </c>
      <c r="N9" s="14">
        <f t="shared" si="13"/>
        <v>14469.75</v>
      </c>
      <c r="O9" s="14">
        <f t="shared" si="14"/>
        <v>0</v>
      </c>
      <c r="P9" s="14">
        <v>34</v>
      </c>
      <c r="Q9" s="14">
        <f t="shared" si="15"/>
        <v>24116.240000000002</v>
      </c>
      <c r="R9" s="14">
        <f t="shared" si="16"/>
        <v>0</v>
      </c>
      <c r="S9" s="14">
        <v>900</v>
      </c>
      <c r="T9" s="14">
        <f t="shared" si="17"/>
        <v>9646.5</v>
      </c>
      <c r="U9" s="14">
        <f t="shared" si="18"/>
        <v>0</v>
      </c>
      <c r="V9" s="14">
        <f t="shared" si="19"/>
        <v>96464.98</v>
      </c>
      <c r="W9" s="14">
        <f t="shared" si="20"/>
        <v>0</v>
      </c>
    </row>
    <row r="10" spans="1:24" x14ac:dyDescent="0.25">
      <c r="A10" s="15">
        <v>44962</v>
      </c>
      <c r="B10" s="14">
        <f>Summary!$G$21/28</f>
        <v>241162.43</v>
      </c>
      <c r="C10" s="14">
        <v>38</v>
      </c>
      <c r="D10" s="14">
        <v>37.97</v>
      </c>
      <c r="E10" s="86">
        <f t="shared" si="6"/>
        <v>37.97</v>
      </c>
      <c r="F10" s="14">
        <f t="shared" si="7"/>
        <v>144697.46</v>
      </c>
      <c r="G10" s="14">
        <f t="shared" si="8"/>
        <v>144583.23000000001</v>
      </c>
      <c r="H10" s="14">
        <f t="shared" si="9"/>
        <v>96464.97</v>
      </c>
      <c r="I10" s="14">
        <f t="shared" si="10"/>
        <v>96388.81</v>
      </c>
      <c r="J10" s="14">
        <v>22</v>
      </c>
      <c r="K10" s="14">
        <f t="shared" si="11"/>
        <v>48194.41</v>
      </c>
      <c r="L10" s="14">
        <f t="shared" si="12"/>
        <v>0</v>
      </c>
      <c r="M10" s="14">
        <v>100</v>
      </c>
      <c r="N10" s="14">
        <f t="shared" si="13"/>
        <v>14458.32</v>
      </c>
      <c r="O10" s="14">
        <f t="shared" si="14"/>
        <v>0</v>
      </c>
      <c r="P10" s="14">
        <v>30</v>
      </c>
      <c r="Q10" s="14">
        <f t="shared" si="15"/>
        <v>24097.200000000001</v>
      </c>
      <c r="R10" s="14">
        <f t="shared" si="16"/>
        <v>0</v>
      </c>
      <c r="S10" s="14">
        <v>970</v>
      </c>
      <c r="T10" s="14">
        <f t="shared" si="17"/>
        <v>9638.8799999999992</v>
      </c>
      <c r="U10" s="14">
        <f t="shared" si="18"/>
        <v>0</v>
      </c>
      <c r="V10" s="14">
        <f t="shared" si="19"/>
        <v>96388.81</v>
      </c>
      <c r="W10" s="14">
        <f t="shared" si="20"/>
        <v>0</v>
      </c>
    </row>
    <row r="11" spans="1:24" x14ac:dyDescent="0.25">
      <c r="A11" s="15">
        <v>44963</v>
      </c>
      <c r="B11" s="14">
        <f>Summary!$G$21/28</f>
        <v>241162.43</v>
      </c>
      <c r="C11" s="14">
        <v>38</v>
      </c>
      <c r="D11" s="14">
        <v>38.270000000000003</v>
      </c>
      <c r="E11" s="86">
        <f t="shared" si="6"/>
        <v>38</v>
      </c>
      <c r="F11" s="14">
        <f t="shared" si="7"/>
        <v>144697.46</v>
      </c>
      <c r="G11" s="14">
        <f t="shared" si="8"/>
        <v>144697.46</v>
      </c>
      <c r="H11" s="14">
        <f t="shared" si="9"/>
        <v>96464.97</v>
      </c>
      <c r="I11" s="14">
        <f t="shared" si="10"/>
        <v>96464.97</v>
      </c>
      <c r="J11" s="14">
        <v>20</v>
      </c>
      <c r="K11" s="14">
        <f t="shared" si="11"/>
        <v>48232.49</v>
      </c>
      <c r="L11" s="14">
        <f t="shared" si="12"/>
        <v>0</v>
      </c>
      <c r="M11" s="14">
        <v>96</v>
      </c>
      <c r="N11" s="14">
        <f t="shared" si="13"/>
        <v>14469.75</v>
      </c>
      <c r="O11" s="14">
        <f t="shared" si="14"/>
        <v>0</v>
      </c>
      <c r="P11" s="14">
        <v>40</v>
      </c>
      <c r="Q11" s="14">
        <f t="shared" si="15"/>
        <v>24116.240000000002</v>
      </c>
      <c r="R11" s="14">
        <f t="shared" si="16"/>
        <v>0</v>
      </c>
      <c r="S11" s="14">
        <v>876</v>
      </c>
      <c r="T11" s="14">
        <f t="shared" si="17"/>
        <v>9646.5</v>
      </c>
      <c r="U11" s="14">
        <f t="shared" si="18"/>
        <v>0</v>
      </c>
      <c r="V11" s="14">
        <f t="shared" si="19"/>
        <v>96464.98</v>
      </c>
      <c r="W11" s="14">
        <f t="shared" si="20"/>
        <v>0</v>
      </c>
    </row>
    <row r="12" spans="1:24" s="120" customFormat="1" x14ac:dyDescent="0.25">
      <c r="A12" s="117">
        <v>44964</v>
      </c>
      <c r="B12" s="118">
        <f>Summary!$G$21/28</f>
        <v>241162.43</v>
      </c>
      <c r="C12" s="118">
        <v>38</v>
      </c>
      <c r="D12" s="118">
        <v>38.86</v>
      </c>
      <c r="E12" s="86">
        <f t="shared" si="6"/>
        <v>38</v>
      </c>
      <c r="F12" s="118">
        <f t="shared" si="7"/>
        <v>144697.46</v>
      </c>
      <c r="G12" s="14">
        <f t="shared" si="8"/>
        <v>144697.46</v>
      </c>
      <c r="H12" s="118">
        <f t="shared" si="9"/>
        <v>96464.97</v>
      </c>
      <c r="I12" s="14">
        <f t="shared" si="10"/>
        <v>96464.97</v>
      </c>
      <c r="J12" s="118">
        <v>25</v>
      </c>
      <c r="K12" s="14">
        <f t="shared" si="11"/>
        <v>48232.49</v>
      </c>
      <c r="L12" s="14">
        <f t="shared" si="12"/>
        <v>0</v>
      </c>
      <c r="M12" s="118">
        <v>180</v>
      </c>
      <c r="N12" s="14">
        <f t="shared" si="13"/>
        <v>14469.75</v>
      </c>
      <c r="O12" s="14">
        <f t="shared" si="14"/>
        <v>0</v>
      </c>
      <c r="P12" s="118">
        <v>45</v>
      </c>
      <c r="Q12" s="14">
        <f t="shared" si="15"/>
        <v>24116.240000000002</v>
      </c>
      <c r="R12" s="14">
        <f t="shared" si="16"/>
        <v>0</v>
      </c>
      <c r="S12" s="118">
        <v>430</v>
      </c>
      <c r="T12" s="14">
        <f t="shared" si="17"/>
        <v>9646.5</v>
      </c>
      <c r="U12" s="14">
        <f t="shared" si="18"/>
        <v>0</v>
      </c>
      <c r="V12" s="14">
        <f t="shared" si="19"/>
        <v>96464.98</v>
      </c>
      <c r="W12" s="14">
        <f t="shared" si="20"/>
        <v>0</v>
      </c>
      <c r="X12" s="125" t="s">
        <v>132</v>
      </c>
    </row>
    <row r="13" spans="1:24" s="114" customFormat="1" x14ac:dyDescent="0.25">
      <c r="A13" s="112">
        <v>44965</v>
      </c>
      <c r="B13" s="113">
        <f>Summary!$G$21/28</f>
        <v>241162.43</v>
      </c>
      <c r="C13" s="113">
        <v>38</v>
      </c>
      <c r="D13" s="113">
        <v>38.119999999999997</v>
      </c>
      <c r="E13" s="86">
        <f t="shared" si="6"/>
        <v>38</v>
      </c>
      <c r="F13" s="113">
        <f t="shared" si="7"/>
        <v>144697.46</v>
      </c>
      <c r="G13" s="14">
        <f t="shared" si="8"/>
        <v>144697.46</v>
      </c>
      <c r="H13" s="113">
        <f t="shared" si="9"/>
        <v>96464.97</v>
      </c>
      <c r="I13" s="14">
        <f t="shared" si="10"/>
        <v>96464.97</v>
      </c>
      <c r="J13" s="113">
        <v>9</v>
      </c>
      <c r="K13" s="14">
        <f t="shared" si="11"/>
        <v>48232.49</v>
      </c>
      <c r="L13" s="14">
        <f t="shared" si="12"/>
        <v>0</v>
      </c>
      <c r="M13" s="113">
        <v>48</v>
      </c>
      <c r="N13" s="14">
        <f t="shared" si="13"/>
        <v>14469.75</v>
      </c>
      <c r="O13" s="14">
        <f t="shared" si="14"/>
        <v>0</v>
      </c>
      <c r="P13" s="113">
        <v>10</v>
      </c>
      <c r="Q13" s="14">
        <f t="shared" si="15"/>
        <v>24116.240000000002</v>
      </c>
      <c r="R13" s="14">
        <f t="shared" si="16"/>
        <v>0</v>
      </c>
      <c r="S13" s="113">
        <v>2</v>
      </c>
      <c r="T13" s="14">
        <f t="shared" si="17"/>
        <v>9646.5</v>
      </c>
      <c r="U13" s="14">
        <f t="shared" si="18"/>
        <v>0</v>
      </c>
      <c r="V13" s="14">
        <f t="shared" si="19"/>
        <v>96464.98</v>
      </c>
      <c r="W13" s="14">
        <f t="shared" si="20"/>
        <v>0</v>
      </c>
      <c r="X13" s="124" t="s">
        <v>131</v>
      </c>
    </row>
    <row r="14" spans="1:24" x14ac:dyDescent="0.25">
      <c r="A14" s="15">
        <v>44966</v>
      </c>
      <c r="B14" s="14">
        <f>Summary!$G$21/28</f>
        <v>241162.43</v>
      </c>
      <c r="C14" s="14">
        <v>38</v>
      </c>
      <c r="D14" s="14">
        <v>38.56</v>
      </c>
      <c r="E14" s="86">
        <f t="shared" si="6"/>
        <v>38</v>
      </c>
      <c r="F14" s="14">
        <f t="shared" si="7"/>
        <v>144697.46</v>
      </c>
      <c r="G14" s="14">
        <f t="shared" si="8"/>
        <v>144697.46</v>
      </c>
      <c r="H14" s="14">
        <f t="shared" si="9"/>
        <v>96464.97</v>
      </c>
      <c r="I14" s="14">
        <f t="shared" si="10"/>
        <v>96464.97</v>
      </c>
      <c r="J14" s="14">
        <v>26</v>
      </c>
      <c r="K14" s="14">
        <f t="shared" si="11"/>
        <v>48232.49</v>
      </c>
      <c r="L14" s="14">
        <f t="shared" si="12"/>
        <v>0</v>
      </c>
      <c r="M14" s="14">
        <v>108</v>
      </c>
      <c r="N14" s="14">
        <f t="shared" si="13"/>
        <v>14469.75</v>
      </c>
      <c r="O14" s="14">
        <f t="shared" si="14"/>
        <v>0</v>
      </c>
      <c r="P14" s="14">
        <v>36</v>
      </c>
      <c r="Q14" s="14">
        <f t="shared" si="15"/>
        <v>24116.240000000002</v>
      </c>
      <c r="R14" s="14">
        <f t="shared" si="16"/>
        <v>0</v>
      </c>
      <c r="S14" s="14">
        <v>940</v>
      </c>
      <c r="T14" s="14">
        <f t="shared" si="17"/>
        <v>9646.5</v>
      </c>
      <c r="U14" s="14">
        <f t="shared" si="18"/>
        <v>0</v>
      </c>
      <c r="V14" s="14">
        <f t="shared" si="19"/>
        <v>96464.98</v>
      </c>
      <c r="W14" s="14">
        <f t="shared" si="20"/>
        <v>0</v>
      </c>
    </row>
    <row r="15" spans="1:24" x14ac:dyDescent="0.25">
      <c r="A15" s="15">
        <v>44967</v>
      </c>
      <c r="B15" s="14">
        <f>Summary!$G$21/28</f>
        <v>241162.43</v>
      </c>
      <c r="C15" s="14">
        <v>38</v>
      </c>
      <c r="D15" s="14">
        <v>38.119999999999997</v>
      </c>
      <c r="E15" s="86">
        <f t="shared" si="6"/>
        <v>38</v>
      </c>
      <c r="F15" s="14">
        <f t="shared" si="7"/>
        <v>144697.46</v>
      </c>
      <c r="G15" s="14">
        <f t="shared" si="8"/>
        <v>144697.46</v>
      </c>
      <c r="H15" s="14">
        <f t="shared" si="9"/>
        <v>96464.97</v>
      </c>
      <c r="I15" s="14">
        <f t="shared" si="10"/>
        <v>96464.97</v>
      </c>
      <c r="J15" s="14">
        <v>22</v>
      </c>
      <c r="K15" s="14">
        <f t="shared" si="11"/>
        <v>48232.49</v>
      </c>
      <c r="L15" s="14">
        <f t="shared" si="12"/>
        <v>0</v>
      </c>
      <c r="M15" s="14">
        <v>100</v>
      </c>
      <c r="N15" s="14">
        <f t="shared" si="13"/>
        <v>14469.75</v>
      </c>
      <c r="O15" s="14">
        <f t="shared" si="14"/>
        <v>0</v>
      </c>
      <c r="P15" s="14">
        <v>34</v>
      </c>
      <c r="Q15" s="14">
        <f t="shared" si="15"/>
        <v>24116.240000000002</v>
      </c>
      <c r="R15" s="14">
        <f t="shared" si="16"/>
        <v>0</v>
      </c>
      <c r="S15" s="14">
        <v>680</v>
      </c>
      <c r="T15" s="14">
        <f t="shared" si="17"/>
        <v>9646.5</v>
      </c>
      <c r="U15" s="14">
        <f t="shared" si="18"/>
        <v>0</v>
      </c>
      <c r="V15" s="14">
        <f t="shared" si="19"/>
        <v>96464.98</v>
      </c>
      <c r="W15" s="14">
        <f t="shared" si="20"/>
        <v>0</v>
      </c>
    </row>
    <row r="16" spans="1:24" x14ac:dyDescent="0.25">
      <c r="A16" s="15">
        <v>44968</v>
      </c>
      <c r="B16" s="14">
        <f>Summary!$G$21/28</f>
        <v>241162.43</v>
      </c>
      <c r="C16" s="14">
        <v>38</v>
      </c>
      <c r="D16" s="14">
        <v>38.71</v>
      </c>
      <c r="E16" s="86">
        <f t="shared" si="6"/>
        <v>38</v>
      </c>
      <c r="F16" s="14">
        <f t="shared" si="7"/>
        <v>144697.46</v>
      </c>
      <c r="G16" s="14">
        <f t="shared" si="8"/>
        <v>144697.46</v>
      </c>
      <c r="H16" s="14">
        <f t="shared" si="9"/>
        <v>96464.97</v>
      </c>
      <c r="I16" s="14">
        <f t="shared" si="10"/>
        <v>96464.97</v>
      </c>
      <c r="J16" s="14">
        <v>24</v>
      </c>
      <c r="K16" s="14">
        <f t="shared" si="11"/>
        <v>48232.49</v>
      </c>
      <c r="L16" s="14">
        <f t="shared" si="12"/>
        <v>0</v>
      </c>
      <c r="M16" s="14">
        <v>98</v>
      </c>
      <c r="N16" s="14">
        <f t="shared" si="13"/>
        <v>14469.75</v>
      </c>
      <c r="O16" s="14">
        <f t="shared" si="14"/>
        <v>0</v>
      </c>
      <c r="P16" s="14">
        <v>32</v>
      </c>
      <c r="Q16" s="14">
        <f t="shared" si="15"/>
        <v>24116.240000000002</v>
      </c>
      <c r="R16" s="14">
        <f t="shared" si="16"/>
        <v>0</v>
      </c>
      <c r="S16" s="14">
        <v>828</v>
      </c>
      <c r="T16" s="14">
        <f t="shared" si="17"/>
        <v>9646.5</v>
      </c>
      <c r="U16" s="14">
        <f t="shared" si="18"/>
        <v>0</v>
      </c>
      <c r="V16" s="14">
        <f t="shared" si="19"/>
        <v>96464.98</v>
      </c>
      <c r="W16" s="14">
        <f t="shared" si="20"/>
        <v>0</v>
      </c>
    </row>
    <row r="17" spans="1:24" x14ac:dyDescent="0.25">
      <c r="A17" s="15">
        <v>44969</v>
      </c>
      <c r="B17" s="14">
        <f>Summary!$G$21/28</f>
        <v>241162.43</v>
      </c>
      <c r="C17" s="14">
        <v>38</v>
      </c>
      <c r="D17" s="14">
        <v>38.56</v>
      </c>
      <c r="E17" s="86">
        <f t="shared" si="6"/>
        <v>38</v>
      </c>
      <c r="F17" s="14">
        <f t="shared" si="7"/>
        <v>144697.46</v>
      </c>
      <c r="G17" s="14">
        <f t="shared" si="8"/>
        <v>144697.46</v>
      </c>
      <c r="H17" s="14">
        <f t="shared" si="9"/>
        <v>96464.97</v>
      </c>
      <c r="I17" s="14">
        <f t="shared" si="10"/>
        <v>96464.97</v>
      </c>
      <c r="J17" s="14">
        <v>28</v>
      </c>
      <c r="K17" s="14">
        <f t="shared" si="11"/>
        <v>48232.49</v>
      </c>
      <c r="L17" s="14">
        <f t="shared" si="12"/>
        <v>0</v>
      </c>
      <c r="M17" s="14">
        <v>118</v>
      </c>
      <c r="N17" s="14">
        <f t="shared" si="13"/>
        <v>14469.75</v>
      </c>
      <c r="O17" s="14">
        <f t="shared" si="14"/>
        <v>0</v>
      </c>
      <c r="P17" s="14">
        <v>40</v>
      </c>
      <c r="Q17" s="14">
        <f t="shared" si="15"/>
        <v>24116.240000000002</v>
      </c>
      <c r="R17" s="14">
        <f t="shared" si="16"/>
        <v>0</v>
      </c>
      <c r="S17" s="14">
        <v>904</v>
      </c>
      <c r="T17" s="14">
        <f t="shared" si="17"/>
        <v>9646.5</v>
      </c>
      <c r="U17" s="14">
        <f t="shared" si="18"/>
        <v>0</v>
      </c>
      <c r="V17" s="14">
        <f t="shared" si="19"/>
        <v>96464.98</v>
      </c>
      <c r="W17" s="14">
        <f t="shared" si="20"/>
        <v>0</v>
      </c>
    </row>
    <row r="18" spans="1:24" x14ac:dyDescent="0.25">
      <c r="A18" s="15">
        <v>44970</v>
      </c>
      <c r="B18" s="14">
        <f>Summary!$G$21/28</f>
        <v>241162.43</v>
      </c>
      <c r="C18" s="14">
        <v>38</v>
      </c>
      <c r="D18" s="14">
        <v>38.86</v>
      </c>
      <c r="E18" s="86">
        <f t="shared" si="6"/>
        <v>38</v>
      </c>
      <c r="F18" s="14">
        <f t="shared" si="7"/>
        <v>144697.46</v>
      </c>
      <c r="G18" s="14">
        <f t="shared" si="8"/>
        <v>144697.46</v>
      </c>
      <c r="H18" s="14">
        <f t="shared" si="9"/>
        <v>96464.97</v>
      </c>
      <c r="I18" s="14">
        <f t="shared" si="10"/>
        <v>96464.97</v>
      </c>
      <c r="J18" s="14">
        <v>26</v>
      </c>
      <c r="K18" s="14">
        <f t="shared" si="11"/>
        <v>48232.49</v>
      </c>
      <c r="L18" s="14">
        <f t="shared" si="12"/>
        <v>0</v>
      </c>
      <c r="M18" s="14">
        <v>90</v>
      </c>
      <c r="N18" s="14">
        <f t="shared" si="13"/>
        <v>14469.75</v>
      </c>
      <c r="O18" s="14">
        <f t="shared" si="14"/>
        <v>0</v>
      </c>
      <c r="P18" s="14">
        <v>38</v>
      </c>
      <c r="Q18" s="14">
        <f t="shared" si="15"/>
        <v>24116.240000000002</v>
      </c>
      <c r="R18" s="14">
        <f t="shared" si="16"/>
        <v>0</v>
      </c>
      <c r="S18" s="14">
        <v>816</v>
      </c>
      <c r="T18" s="14">
        <f t="shared" si="17"/>
        <v>9646.5</v>
      </c>
      <c r="U18" s="14">
        <f t="shared" si="18"/>
        <v>0</v>
      </c>
      <c r="V18" s="14">
        <f t="shared" si="19"/>
        <v>96464.98</v>
      </c>
      <c r="W18" s="14">
        <f t="shared" si="20"/>
        <v>0</v>
      </c>
    </row>
    <row r="19" spans="1:24" s="120" customFormat="1" x14ac:dyDescent="0.25">
      <c r="A19" s="117">
        <v>44971</v>
      </c>
      <c r="B19" s="118">
        <f>Summary!$G$21/28</f>
        <v>241162.43</v>
      </c>
      <c r="C19" s="118">
        <v>38</v>
      </c>
      <c r="D19" s="118">
        <v>38.56</v>
      </c>
      <c r="E19" s="86">
        <f t="shared" si="6"/>
        <v>38</v>
      </c>
      <c r="F19" s="118">
        <f t="shared" si="7"/>
        <v>144697.46</v>
      </c>
      <c r="G19" s="14">
        <f t="shared" si="8"/>
        <v>144697.46</v>
      </c>
      <c r="H19" s="118">
        <f t="shared" si="9"/>
        <v>96464.97</v>
      </c>
      <c r="I19" s="14">
        <f t="shared" si="10"/>
        <v>96464.97</v>
      </c>
      <c r="J19" s="118">
        <v>24</v>
      </c>
      <c r="K19" s="14">
        <f t="shared" si="11"/>
        <v>48232.49</v>
      </c>
      <c r="L19" s="14">
        <f t="shared" si="12"/>
        <v>0</v>
      </c>
      <c r="M19" s="118">
        <v>176</v>
      </c>
      <c r="N19" s="14">
        <f t="shared" si="13"/>
        <v>14469.75</v>
      </c>
      <c r="O19" s="14">
        <f t="shared" si="14"/>
        <v>0</v>
      </c>
      <c r="P19" s="118">
        <v>40</v>
      </c>
      <c r="Q19" s="14">
        <f t="shared" si="15"/>
        <v>24116.240000000002</v>
      </c>
      <c r="R19" s="14">
        <f t="shared" si="16"/>
        <v>0</v>
      </c>
      <c r="S19" s="118">
        <v>490</v>
      </c>
      <c r="T19" s="14">
        <f t="shared" si="17"/>
        <v>9646.5</v>
      </c>
      <c r="U19" s="14">
        <f t="shared" si="18"/>
        <v>0</v>
      </c>
      <c r="V19" s="14">
        <f t="shared" si="19"/>
        <v>96464.98</v>
      </c>
      <c r="W19" s="14">
        <f t="shared" si="20"/>
        <v>0</v>
      </c>
      <c r="X19" s="125" t="s">
        <v>133</v>
      </c>
    </row>
    <row r="20" spans="1:24" x14ac:dyDescent="0.25">
      <c r="A20" s="15">
        <v>44972</v>
      </c>
      <c r="B20" s="14">
        <f>Summary!$G$21/28</f>
        <v>241162.43</v>
      </c>
      <c r="C20" s="14">
        <v>38</v>
      </c>
      <c r="D20" s="14">
        <v>38.71</v>
      </c>
      <c r="E20" s="86">
        <f t="shared" si="6"/>
        <v>38</v>
      </c>
      <c r="F20" s="14">
        <f t="shared" si="7"/>
        <v>144697.46</v>
      </c>
      <c r="G20" s="14">
        <f t="shared" si="8"/>
        <v>144697.46</v>
      </c>
      <c r="H20" s="14">
        <f t="shared" si="9"/>
        <v>96464.97</v>
      </c>
      <c r="I20" s="14">
        <f t="shared" si="10"/>
        <v>96464.97</v>
      </c>
      <c r="J20" s="14">
        <v>20</v>
      </c>
      <c r="K20" s="14">
        <f t="shared" si="11"/>
        <v>48232.49</v>
      </c>
      <c r="L20" s="14">
        <f t="shared" si="12"/>
        <v>0</v>
      </c>
      <c r="M20" s="14">
        <v>102</v>
      </c>
      <c r="N20" s="14">
        <f t="shared" si="13"/>
        <v>14469.75</v>
      </c>
      <c r="O20" s="14">
        <f t="shared" si="14"/>
        <v>0</v>
      </c>
      <c r="P20" s="14">
        <v>32</v>
      </c>
      <c r="Q20" s="14">
        <f t="shared" si="15"/>
        <v>24116.240000000002</v>
      </c>
      <c r="R20" s="14">
        <f t="shared" si="16"/>
        <v>0</v>
      </c>
      <c r="S20" s="14">
        <v>870</v>
      </c>
      <c r="T20" s="14">
        <f t="shared" si="17"/>
        <v>9646.5</v>
      </c>
      <c r="U20" s="14">
        <f t="shared" si="18"/>
        <v>0</v>
      </c>
      <c r="V20" s="14">
        <f t="shared" si="19"/>
        <v>96464.98</v>
      </c>
      <c r="W20" s="14">
        <f t="shared" si="20"/>
        <v>0</v>
      </c>
    </row>
    <row r="21" spans="1:24" x14ac:dyDescent="0.25">
      <c r="A21" s="15">
        <v>44973</v>
      </c>
      <c r="B21" s="14">
        <f>Summary!$G$21/28</f>
        <v>241162.43</v>
      </c>
      <c r="C21" s="14">
        <v>38</v>
      </c>
      <c r="D21" s="14">
        <v>38.56</v>
      </c>
      <c r="E21" s="86">
        <f t="shared" si="6"/>
        <v>38</v>
      </c>
      <c r="F21" s="14">
        <f t="shared" si="7"/>
        <v>144697.46</v>
      </c>
      <c r="G21" s="14">
        <f t="shared" si="8"/>
        <v>144697.46</v>
      </c>
      <c r="H21" s="14">
        <f t="shared" si="9"/>
        <v>96464.97</v>
      </c>
      <c r="I21" s="14">
        <f t="shared" si="10"/>
        <v>96464.97</v>
      </c>
      <c r="J21" s="14">
        <v>22</v>
      </c>
      <c r="K21" s="14">
        <f t="shared" si="11"/>
        <v>48232.49</v>
      </c>
      <c r="L21" s="14">
        <f t="shared" si="12"/>
        <v>0</v>
      </c>
      <c r="M21" s="14">
        <v>100</v>
      </c>
      <c r="N21" s="14">
        <f t="shared" si="13"/>
        <v>14469.75</v>
      </c>
      <c r="O21" s="14">
        <f t="shared" si="14"/>
        <v>0</v>
      </c>
      <c r="P21" s="14">
        <v>30</v>
      </c>
      <c r="Q21" s="14">
        <f t="shared" si="15"/>
        <v>24116.240000000002</v>
      </c>
      <c r="R21" s="14">
        <f t="shared" si="16"/>
        <v>0</v>
      </c>
      <c r="S21" s="14">
        <v>778</v>
      </c>
      <c r="T21" s="14">
        <f t="shared" si="17"/>
        <v>9646.5</v>
      </c>
      <c r="U21" s="14">
        <f t="shared" si="18"/>
        <v>0</v>
      </c>
      <c r="V21" s="14">
        <f t="shared" si="19"/>
        <v>96464.98</v>
      </c>
      <c r="W21" s="14">
        <f t="shared" si="20"/>
        <v>0</v>
      </c>
    </row>
    <row r="22" spans="1:24" x14ac:dyDescent="0.25">
      <c r="A22" s="15">
        <v>44974</v>
      </c>
      <c r="B22" s="14">
        <f>Summary!$G$21/28</f>
        <v>241162.43</v>
      </c>
      <c r="C22" s="14">
        <v>38</v>
      </c>
      <c r="D22" s="14">
        <v>38.270000000000003</v>
      </c>
      <c r="E22" s="86">
        <f t="shared" si="6"/>
        <v>38</v>
      </c>
      <c r="F22" s="14">
        <f t="shared" si="7"/>
        <v>144697.46</v>
      </c>
      <c r="G22" s="14">
        <f t="shared" si="8"/>
        <v>144697.46</v>
      </c>
      <c r="H22" s="14">
        <f t="shared" si="9"/>
        <v>96464.97</v>
      </c>
      <c r="I22" s="14">
        <f t="shared" si="10"/>
        <v>96464.97</v>
      </c>
      <c r="J22" s="14">
        <v>24</v>
      </c>
      <c r="K22" s="14">
        <f t="shared" si="11"/>
        <v>48232.49</v>
      </c>
      <c r="L22" s="14">
        <f t="shared" si="12"/>
        <v>0</v>
      </c>
      <c r="M22" s="14">
        <v>104</v>
      </c>
      <c r="N22" s="14">
        <f t="shared" si="13"/>
        <v>14469.75</v>
      </c>
      <c r="O22" s="14">
        <f t="shared" si="14"/>
        <v>0</v>
      </c>
      <c r="P22" s="14">
        <v>32</v>
      </c>
      <c r="Q22" s="14">
        <f t="shared" si="15"/>
        <v>24116.240000000002</v>
      </c>
      <c r="R22" s="14">
        <f t="shared" si="16"/>
        <v>0</v>
      </c>
      <c r="S22" s="14">
        <v>810</v>
      </c>
      <c r="T22" s="14">
        <f t="shared" si="17"/>
        <v>9646.5</v>
      </c>
      <c r="U22" s="14">
        <f t="shared" si="18"/>
        <v>0</v>
      </c>
      <c r="V22" s="14">
        <f t="shared" si="19"/>
        <v>96464.98</v>
      </c>
      <c r="W22" s="14">
        <f t="shared" si="20"/>
        <v>0</v>
      </c>
    </row>
    <row r="23" spans="1:24" x14ac:dyDescent="0.25">
      <c r="A23" s="15">
        <v>44975</v>
      </c>
      <c r="B23" s="14">
        <f>Summary!$G$21/28</f>
        <v>241162.43</v>
      </c>
      <c r="C23" s="14">
        <v>38</v>
      </c>
      <c r="D23" s="14">
        <v>38.56</v>
      </c>
      <c r="E23" s="86">
        <f t="shared" si="6"/>
        <v>38</v>
      </c>
      <c r="F23" s="14">
        <f t="shared" si="7"/>
        <v>144697.46</v>
      </c>
      <c r="G23" s="14">
        <f t="shared" si="8"/>
        <v>144697.46</v>
      </c>
      <c r="H23" s="14">
        <f t="shared" si="9"/>
        <v>96464.97</v>
      </c>
      <c r="I23" s="14">
        <f t="shared" si="10"/>
        <v>96464.97</v>
      </c>
      <c r="J23" s="14">
        <v>20</v>
      </c>
      <c r="K23" s="14">
        <f t="shared" si="11"/>
        <v>48232.49</v>
      </c>
      <c r="L23" s="14">
        <f t="shared" si="12"/>
        <v>0</v>
      </c>
      <c r="M23" s="14">
        <v>96</v>
      </c>
      <c r="N23" s="14">
        <f t="shared" si="13"/>
        <v>14469.75</v>
      </c>
      <c r="O23" s="14">
        <f t="shared" si="14"/>
        <v>0</v>
      </c>
      <c r="P23" s="14">
        <v>38</v>
      </c>
      <c r="Q23" s="14">
        <f t="shared" si="15"/>
        <v>24116.240000000002</v>
      </c>
      <c r="R23" s="14">
        <f t="shared" si="16"/>
        <v>0</v>
      </c>
      <c r="S23" s="14">
        <v>788</v>
      </c>
      <c r="T23" s="14">
        <f t="shared" si="17"/>
        <v>9646.5</v>
      </c>
      <c r="U23" s="14">
        <f t="shared" si="18"/>
        <v>0</v>
      </c>
      <c r="V23" s="14">
        <f t="shared" si="19"/>
        <v>96464.98</v>
      </c>
      <c r="W23" s="14">
        <f t="shared" si="20"/>
        <v>0</v>
      </c>
    </row>
    <row r="24" spans="1:24" x14ac:dyDescent="0.25">
      <c r="A24" s="15">
        <v>44976</v>
      </c>
      <c r="B24" s="14">
        <f>Summary!$G$21/28</f>
        <v>241162.43</v>
      </c>
      <c r="C24" s="14">
        <v>38</v>
      </c>
      <c r="D24" s="14">
        <v>38.71</v>
      </c>
      <c r="E24" s="86">
        <f t="shared" si="6"/>
        <v>38</v>
      </c>
      <c r="F24" s="14">
        <f t="shared" si="7"/>
        <v>144697.46</v>
      </c>
      <c r="G24" s="14">
        <f t="shared" si="8"/>
        <v>144697.46</v>
      </c>
      <c r="H24" s="14">
        <f t="shared" si="9"/>
        <v>96464.97</v>
      </c>
      <c r="I24" s="14">
        <f t="shared" si="10"/>
        <v>96464.97</v>
      </c>
      <c r="J24" s="14">
        <v>22</v>
      </c>
      <c r="K24" s="14">
        <f t="shared" si="11"/>
        <v>48232.49</v>
      </c>
      <c r="L24" s="14">
        <f t="shared" si="12"/>
        <v>0</v>
      </c>
      <c r="M24" s="14">
        <v>110</v>
      </c>
      <c r="N24" s="14">
        <f t="shared" si="13"/>
        <v>14469.75</v>
      </c>
      <c r="O24" s="14">
        <f t="shared" si="14"/>
        <v>0</v>
      </c>
      <c r="P24" s="14">
        <v>28</v>
      </c>
      <c r="Q24" s="14">
        <f t="shared" si="15"/>
        <v>24116.240000000002</v>
      </c>
      <c r="R24" s="14">
        <f t="shared" si="16"/>
        <v>0</v>
      </c>
      <c r="S24" s="14">
        <v>916</v>
      </c>
      <c r="T24" s="14">
        <f t="shared" si="17"/>
        <v>9646.5</v>
      </c>
      <c r="U24" s="14">
        <f t="shared" si="18"/>
        <v>0</v>
      </c>
      <c r="V24" s="14">
        <f t="shared" si="19"/>
        <v>96464.98</v>
      </c>
      <c r="W24" s="14">
        <f t="shared" si="20"/>
        <v>0</v>
      </c>
    </row>
    <row r="25" spans="1:24" x14ac:dyDescent="0.25">
      <c r="A25" s="15">
        <v>44977</v>
      </c>
      <c r="B25" s="14">
        <f>Summary!$G$21/28</f>
        <v>241162.43</v>
      </c>
      <c r="C25" s="14">
        <v>38</v>
      </c>
      <c r="D25" s="14">
        <v>38.56</v>
      </c>
      <c r="E25" s="86">
        <f t="shared" si="6"/>
        <v>38</v>
      </c>
      <c r="F25" s="14">
        <f t="shared" si="7"/>
        <v>144697.46</v>
      </c>
      <c r="G25" s="14">
        <f t="shared" si="8"/>
        <v>144697.46</v>
      </c>
      <c r="H25" s="14">
        <f t="shared" si="9"/>
        <v>96464.97</v>
      </c>
      <c r="I25" s="14">
        <f t="shared" si="10"/>
        <v>96464.97</v>
      </c>
      <c r="J25" s="14">
        <v>26</v>
      </c>
      <c r="K25" s="14">
        <f t="shared" si="11"/>
        <v>48232.49</v>
      </c>
      <c r="L25" s="14">
        <f t="shared" si="12"/>
        <v>0</v>
      </c>
      <c r="M25" s="14">
        <v>108</v>
      </c>
      <c r="N25" s="14">
        <f t="shared" si="13"/>
        <v>14469.75</v>
      </c>
      <c r="O25" s="14">
        <f t="shared" si="14"/>
        <v>0</v>
      </c>
      <c r="P25" s="14">
        <v>26</v>
      </c>
      <c r="Q25" s="14">
        <f t="shared" si="15"/>
        <v>24116.240000000002</v>
      </c>
      <c r="R25" s="14">
        <f t="shared" si="16"/>
        <v>0</v>
      </c>
      <c r="S25" s="14">
        <v>770</v>
      </c>
      <c r="T25" s="14">
        <f t="shared" si="17"/>
        <v>9646.5</v>
      </c>
      <c r="U25" s="14">
        <f t="shared" si="18"/>
        <v>0</v>
      </c>
      <c r="V25" s="14">
        <f t="shared" si="19"/>
        <v>96464.98</v>
      </c>
      <c r="W25" s="14">
        <f t="shared" si="20"/>
        <v>0</v>
      </c>
    </row>
    <row r="26" spans="1:24" s="120" customFormat="1" x14ac:dyDescent="0.25">
      <c r="A26" s="117">
        <v>44978</v>
      </c>
      <c r="B26" s="118">
        <f>Summary!$G$21/28</f>
        <v>241162.43</v>
      </c>
      <c r="C26" s="118">
        <v>38</v>
      </c>
      <c r="D26" s="118">
        <v>38.409999999999997</v>
      </c>
      <c r="E26" s="86">
        <f t="shared" si="6"/>
        <v>38</v>
      </c>
      <c r="F26" s="118">
        <f t="shared" si="7"/>
        <v>144697.46</v>
      </c>
      <c r="G26" s="14">
        <f t="shared" si="8"/>
        <v>144697.46</v>
      </c>
      <c r="H26" s="118">
        <f t="shared" si="9"/>
        <v>96464.97</v>
      </c>
      <c r="I26" s="14">
        <f t="shared" si="10"/>
        <v>96464.97</v>
      </c>
      <c r="J26" s="118">
        <v>25</v>
      </c>
      <c r="K26" s="14">
        <f t="shared" si="11"/>
        <v>48232.49</v>
      </c>
      <c r="L26" s="14">
        <f t="shared" si="12"/>
        <v>0</v>
      </c>
      <c r="M26" s="118">
        <v>180</v>
      </c>
      <c r="N26" s="14">
        <f t="shared" si="13"/>
        <v>14469.75</v>
      </c>
      <c r="O26" s="14">
        <f t="shared" si="14"/>
        <v>0</v>
      </c>
      <c r="P26" s="118">
        <v>40</v>
      </c>
      <c r="Q26" s="14">
        <f t="shared" si="15"/>
        <v>24116.240000000002</v>
      </c>
      <c r="R26" s="14">
        <f t="shared" si="16"/>
        <v>0</v>
      </c>
      <c r="S26" s="118">
        <v>430</v>
      </c>
      <c r="T26" s="14">
        <f t="shared" si="17"/>
        <v>9646.5</v>
      </c>
      <c r="U26" s="14">
        <f t="shared" si="18"/>
        <v>0</v>
      </c>
      <c r="V26" s="14">
        <f t="shared" si="19"/>
        <v>96464.98</v>
      </c>
      <c r="W26" s="14">
        <f t="shared" si="20"/>
        <v>0</v>
      </c>
      <c r="X26" s="125" t="s">
        <v>132</v>
      </c>
    </row>
    <row r="27" spans="1:24" x14ac:dyDescent="0.25">
      <c r="A27" s="15">
        <v>44979</v>
      </c>
      <c r="B27" s="14">
        <f>Summary!$G$21/28</f>
        <v>241162.43</v>
      </c>
      <c r="C27" s="14">
        <v>38</v>
      </c>
      <c r="D27" s="14">
        <v>38.26</v>
      </c>
      <c r="E27" s="86">
        <f t="shared" si="6"/>
        <v>38</v>
      </c>
      <c r="F27" s="14">
        <f t="shared" si="7"/>
        <v>144697.46</v>
      </c>
      <c r="G27" s="14">
        <f t="shared" si="8"/>
        <v>144697.46</v>
      </c>
      <c r="H27" s="14">
        <f t="shared" si="9"/>
        <v>96464.97</v>
      </c>
      <c r="I27" s="14">
        <f t="shared" si="10"/>
        <v>96464.97</v>
      </c>
      <c r="J27" s="14">
        <v>22</v>
      </c>
      <c r="K27" s="14">
        <f t="shared" si="11"/>
        <v>48232.49</v>
      </c>
      <c r="L27" s="14">
        <f t="shared" si="12"/>
        <v>0</v>
      </c>
      <c r="M27" s="14">
        <v>94</v>
      </c>
      <c r="N27" s="14">
        <f t="shared" si="13"/>
        <v>14469.75</v>
      </c>
      <c r="O27" s="14">
        <f t="shared" si="14"/>
        <v>0</v>
      </c>
      <c r="P27" s="14">
        <v>32</v>
      </c>
      <c r="Q27" s="14">
        <f t="shared" si="15"/>
        <v>24116.240000000002</v>
      </c>
      <c r="R27" s="14">
        <f t="shared" si="16"/>
        <v>0</v>
      </c>
      <c r="S27" s="14">
        <v>816</v>
      </c>
      <c r="T27" s="14">
        <f t="shared" si="17"/>
        <v>9646.5</v>
      </c>
      <c r="U27" s="14">
        <f t="shared" si="18"/>
        <v>0</v>
      </c>
      <c r="V27" s="14">
        <f t="shared" si="19"/>
        <v>96464.98</v>
      </c>
      <c r="W27" s="14">
        <f t="shared" si="20"/>
        <v>0</v>
      </c>
    </row>
    <row r="28" spans="1:24" x14ac:dyDescent="0.25">
      <c r="A28" s="15">
        <v>44980</v>
      </c>
      <c r="B28" s="14">
        <f>Summary!$G$21/28</f>
        <v>241162.43</v>
      </c>
      <c r="C28" s="14">
        <v>38</v>
      </c>
      <c r="D28" s="14">
        <v>38.56</v>
      </c>
      <c r="E28" s="86">
        <f t="shared" si="6"/>
        <v>38</v>
      </c>
      <c r="F28" s="14">
        <f t="shared" si="7"/>
        <v>144697.46</v>
      </c>
      <c r="G28" s="14">
        <f t="shared" si="8"/>
        <v>144697.46</v>
      </c>
      <c r="H28" s="14">
        <f t="shared" si="9"/>
        <v>96464.97</v>
      </c>
      <c r="I28" s="14">
        <f t="shared" si="10"/>
        <v>96464.97</v>
      </c>
      <c r="J28" s="14">
        <v>26</v>
      </c>
      <c r="K28" s="14">
        <f t="shared" si="11"/>
        <v>48232.49</v>
      </c>
      <c r="L28" s="14">
        <f t="shared" si="12"/>
        <v>0</v>
      </c>
      <c r="M28" s="14">
        <v>120</v>
      </c>
      <c r="N28" s="14">
        <f t="shared" si="13"/>
        <v>14469.75</v>
      </c>
      <c r="O28" s="14">
        <f t="shared" si="14"/>
        <v>0</v>
      </c>
      <c r="P28" s="14">
        <v>38</v>
      </c>
      <c r="Q28" s="14">
        <f t="shared" si="15"/>
        <v>24116.240000000002</v>
      </c>
      <c r="R28" s="14">
        <f t="shared" si="16"/>
        <v>0</v>
      </c>
      <c r="S28" s="14">
        <v>918</v>
      </c>
      <c r="T28" s="14">
        <f t="shared" si="17"/>
        <v>9646.5</v>
      </c>
      <c r="U28" s="14">
        <f t="shared" si="18"/>
        <v>0</v>
      </c>
      <c r="V28" s="14">
        <f t="shared" si="19"/>
        <v>96464.98</v>
      </c>
      <c r="W28" s="14">
        <f t="shared" si="20"/>
        <v>0</v>
      </c>
    </row>
    <row r="29" spans="1:24" x14ac:dyDescent="0.25">
      <c r="A29" s="15">
        <v>44981</v>
      </c>
      <c r="B29" s="14">
        <f>Summary!$G$21/28</f>
        <v>241162.43</v>
      </c>
      <c r="C29" s="14">
        <v>38</v>
      </c>
      <c r="D29" s="14">
        <v>38.409999999999997</v>
      </c>
      <c r="E29" s="86">
        <f t="shared" si="6"/>
        <v>38</v>
      </c>
      <c r="F29" s="14">
        <f t="shared" si="7"/>
        <v>144697.46</v>
      </c>
      <c r="G29" s="14">
        <f t="shared" si="8"/>
        <v>144697.46</v>
      </c>
      <c r="H29" s="14">
        <f t="shared" si="9"/>
        <v>96464.97</v>
      </c>
      <c r="I29" s="14">
        <f t="shared" si="10"/>
        <v>96464.97</v>
      </c>
      <c r="J29" s="14">
        <v>24</v>
      </c>
      <c r="K29" s="14">
        <f t="shared" si="11"/>
        <v>48232.49</v>
      </c>
      <c r="L29" s="14">
        <f t="shared" si="12"/>
        <v>0</v>
      </c>
      <c r="M29" s="14">
        <v>104</v>
      </c>
      <c r="N29" s="14">
        <f t="shared" si="13"/>
        <v>14469.75</v>
      </c>
      <c r="O29" s="14">
        <f t="shared" si="14"/>
        <v>0</v>
      </c>
      <c r="P29" s="14">
        <v>40</v>
      </c>
      <c r="Q29" s="14">
        <f t="shared" si="15"/>
        <v>24116.240000000002</v>
      </c>
      <c r="R29" s="14">
        <f t="shared" si="16"/>
        <v>0</v>
      </c>
      <c r="S29" s="14">
        <v>870</v>
      </c>
      <c r="T29" s="14">
        <f t="shared" si="17"/>
        <v>9646.5</v>
      </c>
      <c r="U29" s="14">
        <f t="shared" si="18"/>
        <v>0</v>
      </c>
      <c r="V29" s="14">
        <f t="shared" si="19"/>
        <v>96464.98</v>
      </c>
      <c r="W29" s="14">
        <f t="shared" si="20"/>
        <v>0</v>
      </c>
    </row>
    <row r="30" spans="1:24" x14ac:dyDescent="0.25">
      <c r="A30" s="15">
        <v>44982</v>
      </c>
      <c r="B30" s="14">
        <f>Summary!$G$21/28</f>
        <v>241162.43</v>
      </c>
      <c r="C30" s="14">
        <v>38</v>
      </c>
      <c r="D30" s="14">
        <v>38.71</v>
      </c>
      <c r="E30" s="86">
        <f t="shared" si="6"/>
        <v>38</v>
      </c>
      <c r="F30" s="14">
        <f t="shared" si="7"/>
        <v>144697.46</v>
      </c>
      <c r="G30" s="14">
        <f t="shared" si="8"/>
        <v>144697.46</v>
      </c>
      <c r="H30" s="14">
        <f t="shared" si="9"/>
        <v>96464.97</v>
      </c>
      <c r="I30" s="14">
        <f t="shared" si="10"/>
        <v>96464.97</v>
      </c>
      <c r="J30" s="14">
        <v>28</v>
      </c>
      <c r="K30" s="14">
        <f t="shared" si="11"/>
        <v>48232.49</v>
      </c>
      <c r="L30" s="14">
        <f t="shared" si="12"/>
        <v>0</v>
      </c>
      <c r="M30" s="14">
        <v>110</v>
      </c>
      <c r="N30" s="14">
        <f t="shared" si="13"/>
        <v>14469.75</v>
      </c>
      <c r="O30" s="14">
        <f t="shared" si="14"/>
        <v>0</v>
      </c>
      <c r="P30" s="14">
        <v>38</v>
      </c>
      <c r="Q30" s="14">
        <f t="shared" si="15"/>
        <v>24116.240000000002</v>
      </c>
      <c r="R30" s="14">
        <f t="shared" si="16"/>
        <v>0</v>
      </c>
      <c r="S30" s="14">
        <v>810</v>
      </c>
      <c r="T30" s="14">
        <f t="shared" si="17"/>
        <v>9646.5</v>
      </c>
      <c r="U30" s="14">
        <f t="shared" si="18"/>
        <v>0</v>
      </c>
      <c r="V30" s="14">
        <f t="shared" si="19"/>
        <v>96464.98</v>
      </c>
      <c r="W30" s="14">
        <f t="shared" si="20"/>
        <v>0</v>
      </c>
    </row>
    <row r="31" spans="1:24" x14ac:dyDescent="0.25">
      <c r="A31" s="15">
        <v>44983</v>
      </c>
      <c r="B31" s="14">
        <f>Summary!$G$21/28</f>
        <v>241162.43</v>
      </c>
      <c r="C31" s="14">
        <v>38</v>
      </c>
      <c r="D31" s="14">
        <v>38.270000000000003</v>
      </c>
      <c r="E31" s="86">
        <f t="shared" si="6"/>
        <v>38</v>
      </c>
      <c r="F31" s="14">
        <f t="shared" si="7"/>
        <v>144697.46</v>
      </c>
      <c r="G31" s="14">
        <f t="shared" si="8"/>
        <v>144697.46</v>
      </c>
      <c r="H31" s="14">
        <f t="shared" si="9"/>
        <v>96464.97</v>
      </c>
      <c r="I31" s="14">
        <f t="shared" si="10"/>
        <v>96464.97</v>
      </c>
      <c r="J31" s="14">
        <v>24</v>
      </c>
      <c r="K31" s="14">
        <f t="shared" si="11"/>
        <v>48232.49</v>
      </c>
      <c r="L31" s="14">
        <f t="shared" si="12"/>
        <v>0</v>
      </c>
      <c r="M31" s="14">
        <v>118</v>
      </c>
      <c r="N31" s="14">
        <f t="shared" si="13"/>
        <v>14469.75</v>
      </c>
      <c r="O31" s="14">
        <f t="shared" si="14"/>
        <v>0</v>
      </c>
      <c r="P31" s="14">
        <v>36</v>
      </c>
      <c r="Q31" s="14">
        <f t="shared" si="15"/>
        <v>24116.240000000002</v>
      </c>
      <c r="R31" s="14">
        <f t="shared" si="16"/>
        <v>0</v>
      </c>
      <c r="S31" s="14">
        <v>918</v>
      </c>
      <c r="T31" s="14">
        <f t="shared" si="17"/>
        <v>9646.5</v>
      </c>
      <c r="U31" s="14">
        <f t="shared" si="18"/>
        <v>0</v>
      </c>
      <c r="V31" s="14">
        <f t="shared" si="19"/>
        <v>96464.98</v>
      </c>
      <c r="W31" s="14">
        <f t="shared" si="20"/>
        <v>0</v>
      </c>
    </row>
    <row r="32" spans="1:24" x14ac:dyDescent="0.25">
      <c r="A32" s="15">
        <v>44984</v>
      </c>
      <c r="B32" s="14">
        <f>Summary!$G$21/28</f>
        <v>241162.43</v>
      </c>
      <c r="C32" s="14">
        <v>38</v>
      </c>
      <c r="D32" s="14">
        <v>38.56</v>
      </c>
      <c r="E32" s="86">
        <f t="shared" si="6"/>
        <v>38</v>
      </c>
      <c r="F32" s="14">
        <f t="shared" si="7"/>
        <v>144697.46</v>
      </c>
      <c r="G32" s="14">
        <f t="shared" si="8"/>
        <v>144697.46</v>
      </c>
      <c r="H32" s="14">
        <f t="shared" si="9"/>
        <v>96464.97</v>
      </c>
      <c r="I32" s="14">
        <f t="shared" si="10"/>
        <v>96464.97</v>
      </c>
      <c r="J32" s="14">
        <v>26</v>
      </c>
      <c r="K32" s="14">
        <f t="shared" si="11"/>
        <v>48232.49</v>
      </c>
      <c r="L32" s="14">
        <f t="shared" si="12"/>
        <v>0</v>
      </c>
      <c r="M32" s="14">
        <v>106</v>
      </c>
      <c r="N32" s="14">
        <f t="shared" si="13"/>
        <v>14469.75</v>
      </c>
      <c r="O32" s="14">
        <f t="shared" si="14"/>
        <v>0</v>
      </c>
      <c r="P32" s="14">
        <v>38</v>
      </c>
      <c r="Q32" s="14">
        <f t="shared" si="15"/>
        <v>24116.240000000002</v>
      </c>
      <c r="R32" s="14">
        <f t="shared" si="16"/>
        <v>0</v>
      </c>
      <c r="S32" s="14">
        <v>960</v>
      </c>
      <c r="T32" s="14">
        <f t="shared" si="17"/>
        <v>9646.5</v>
      </c>
      <c r="U32" s="14">
        <f t="shared" si="18"/>
        <v>0</v>
      </c>
      <c r="V32" s="14">
        <f t="shared" si="19"/>
        <v>96464.98</v>
      </c>
      <c r="W32" s="14">
        <f t="shared" si="20"/>
        <v>0</v>
      </c>
    </row>
    <row r="33" spans="1:25" s="120" customFormat="1" x14ac:dyDescent="0.25">
      <c r="A33" s="117">
        <v>44985</v>
      </c>
      <c r="B33" s="118">
        <f>Summary!$G$21/28</f>
        <v>241162.43</v>
      </c>
      <c r="C33" s="118">
        <v>38</v>
      </c>
      <c r="D33" s="118">
        <v>38.71</v>
      </c>
      <c r="E33" s="86">
        <f t="shared" si="6"/>
        <v>38</v>
      </c>
      <c r="F33" s="118">
        <f t="shared" si="7"/>
        <v>144697.46</v>
      </c>
      <c r="G33" s="14">
        <f t="shared" si="8"/>
        <v>144697.46</v>
      </c>
      <c r="H33" s="118">
        <f t="shared" si="9"/>
        <v>96464.97</v>
      </c>
      <c r="I33" s="14">
        <f t="shared" si="10"/>
        <v>96464.97</v>
      </c>
      <c r="J33" s="118">
        <v>26</v>
      </c>
      <c r="K33" s="14">
        <f t="shared" si="11"/>
        <v>48232.49</v>
      </c>
      <c r="L33" s="14">
        <f t="shared" si="12"/>
        <v>0</v>
      </c>
      <c r="M33" s="118">
        <v>188</v>
      </c>
      <c r="N33" s="14">
        <f t="shared" si="13"/>
        <v>14469.75</v>
      </c>
      <c r="O33" s="14">
        <f t="shared" si="14"/>
        <v>0</v>
      </c>
      <c r="P33" s="118">
        <v>50</v>
      </c>
      <c r="Q33" s="14">
        <f t="shared" si="15"/>
        <v>24116.240000000002</v>
      </c>
      <c r="R33" s="14">
        <f t="shared" si="16"/>
        <v>0</v>
      </c>
      <c r="S33" s="118">
        <v>630</v>
      </c>
      <c r="T33" s="14">
        <f t="shared" si="17"/>
        <v>9646.5</v>
      </c>
      <c r="U33" s="14">
        <f t="shared" si="18"/>
        <v>0</v>
      </c>
      <c r="V33" s="14">
        <f t="shared" si="19"/>
        <v>96464.98</v>
      </c>
      <c r="W33" s="14">
        <f t="shared" si="20"/>
        <v>0</v>
      </c>
      <c r="X33" s="125" t="s">
        <v>132</v>
      </c>
    </row>
    <row r="34" spans="1:25" x14ac:dyDescent="0.25">
      <c r="A34" s="41" t="s">
        <v>20</v>
      </c>
      <c r="B34" s="20">
        <f>SUM(B6:B33)</f>
        <v>6752548.04</v>
      </c>
      <c r="C34" s="20"/>
      <c r="D34" s="20"/>
      <c r="E34" s="14"/>
      <c r="F34" s="20">
        <f>SUM(F6:F33)</f>
        <v>4051528.88</v>
      </c>
      <c r="G34" s="20">
        <f>SUM(G6:G33)</f>
        <v>4051414.65</v>
      </c>
      <c r="H34" s="20">
        <f>SUM(H6:H33)</f>
        <v>2701019.16</v>
      </c>
      <c r="I34" s="20">
        <f>SUM(I6:I33)</f>
        <v>2700943</v>
      </c>
      <c r="J34" s="20"/>
      <c r="K34" s="20">
        <f>SUM(K6:K33)</f>
        <v>1350471.64</v>
      </c>
      <c r="L34" s="20">
        <f>SUM(L6:L33)</f>
        <v>0</v>
      </c>
      <c r="M34" s="20"/>
      <c r="N34" s="20">
        <f>SUM(N6:N33)</f>
        <v>405141.57</v>
      </c>
      <c r="O34" s="20">
        <f>SUM(O6:O33)</f>
        <v>0</v>
      </c>
      <c r="P34" s="20"/>
      <c r="Q34" s="20">
        <f>SUM(Q6:Q33)</f>
        <v>675235.68</v>
      </c>
      <c r="R34" s="20">
        <f>SUM(R6:R33)</f>
        <v>0</v>
      </c>
      <c r="S34" s="20"/>
      <c r="T34" s="20">
        <f>SUM(T6:T33)</f>
        <v>270094.38</v>
      </c>
      <c r="U34" s="20">
        <f>SUM(U6:U33)</f>
        <v>0</v>
      </c>
      <c r="V34" s="20">
        <f>SUM(V6:V33)</f>
        <v>2700943.27</v>
      </c>
      <c r="W34" s="20">
        <f>SUM(W6:W33)</f>
        <v>0</v>
      </c>
    </row>
    <row r="35" spans="1:25" x14ac:dyDescent="0.25">
      <c r="A35" s="41"/>
      <c r="B35" s="20" t="s">
        <v>63</v>
      </c>
      <c r="C35" s="20"/>
      <c r="D35" s="229"/>
      <c r="E35" s="230"/>
      <c r="F35" s="23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6752357.9199999999</v>
      </c>
      <c r="W35" s="20"/>
      <c r="X35" s="32"/>
      <c r="Y35" s="1"/>
    </row>
    <row r="36" spans="1:25" x14ac:dyDescent="0.25">
      <c r="C36" s="1"/>
      <c r="T36" s="1"/>
    </row>
    <row r="41" spans="1:25" x14ac:dyDescent="0.25">
      <c r="B41">
        <v>2058014.78</v>
      </c>
      <c r="G41">
        <f>B41*60%</f>
        <v>1234808.868</v>
      </c>
      <c r="V41">
        <f>B41*40%</f>
        <v>823205.91200000001</v>
      </c>
    </row>
    <row r="42" spans="1:25" x14ac:dyDescent="0.25">
      <c r="G42" s="1">
        <f>G34-G41</f>
        <v>2816605.78</v>
      </c>
      <c r="V42" s="1">
        <f>V34-V41</f>
        <v>1877737.36</v>
      </c>
    </row>
    <row r="43" spans="1:25" x14ac:dyDescent="0.25">
      <c r="G43">
        <v>437124.73</v>
      </c>
      <c r="H43">
        <f>G43+V43</f>
        <v>728541.21</v>
      </c>
      <c r="V43">
        <v>291416.48</v>
      </c>
    </row>
    <row r="44" spans="1:25" x14ac:dyDescent="0.25">
      <c r="G44" s="1">
        <f>G42-G43</f>
        <v>2379481.0499999998</v>
      </c>
      <c r="V44" s="1">
        <f>V42-V43</f>
        <v>1586320.88</v>
      </c>
    </row>
    <row r="45" spans="1:25" x14ac:dyDescent="0.25">
      <c r="G45" s="1"/>
    </row>
    <row r="46" spans="1:25" x14ac:dyDescent="0.25">
      <c r="V46" s="1">
        <f>V44+G44</f>
        <v>3965801.93</v>
      </c>
    </row>
  </sheetData>
  <mergeCells count="17">
    <mergeCell ref="A1:V1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C3:E3"/>
    <mergeCell ref="J4:L4"/>
    <mergeCell ref="W4:W5"/>
    <mergeCell ref="D35:F35"/>
    <mergeCell ref="H4:H5"/>
    <mergeCell ref="V4:V5"/>
  </mergeCells>
  <pageMargins left="0.25" right="0.25" top="0.75" bottom="0.75" header="0.3" footer="0.3"/>
  <pageSetup paperSize="9" scale="5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42"/>
  <sheetViews>
    <sheetView zoomScale="90" zoomScaleNormal="90" workbookViewId="0">
      <pane xSplit="1" ySplit="1" topLeftCell="B2" activePane="bottomRight" state="frozen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9.140625" defaultRowHeight="15" x14ac:dyDescent="0.25"/>
  <cols>
    <col min="1" max="1" width="10.28515625" style="23" customWidth="1"/>
    <col min="2" max="2" width="13.7109375" style="23" customWidth="1"/>
    <col min="3" max="3" width="8.5703125" style="23" customWidth="1"/>
    <col min="4" max="5" width="9.140625" style="23"/>
    <col min="6" max="6" width="12.28515625" style="23" customWidth="1"/>
    <col min="7" max="7" width="11.7109375" style="23" customWidth="1"/>
    <col min="8" max="8" width="11.85546875" style="23" bestFit="1" customWidth="1"/>
    <col min="9" max="9" width="12.7109375" style="23" bestFit="1" customWidth="1"/>
    <col min="10" max="10" width="9.42578125" style="23" customWidth="1"/>
    <col min="11" max="11" width="10.28515625" style="23" customWidth="1"/>
    <col min="12" max="12" width="8.5703125" style="23" customWidth="1"/>
    <col min="13" max="13" width="9.140625" style="23" customWidth="1"/>
    <col min="14" max="14" width="10.5703125" style="23" bestFit="1" customWidth="1"/>
    <col min="15" max="15" width="8.5703125" style="23" bestFit="1" customWidth="1"/>
    <col min="16" max="16" width="9.5703125" style="23" customWidth="1"/>
    <col min="17" max="17" width="10.5703125" style="23" bestFit="1" customWidth="1"/>
    <col min="18" max="18" width="7.42578125" style="23" customWidth="1"/>
    <col min="19" max="19" width="9.42578125" style="23" customWidth="1"/>
    <col min="20" max="20" width="8.5703125" style="23" customWidth="1"/>
    <col min="21" max="21" width="10.28515625" style="23" customWidth="1"/>
    <col min="22" max="22" width="14.28515625" style="23" customWidth="1"/>
    <col min="23" max="23" width="10.140625" style="23" customWidth="1"/>
    <col min="24" max="24" width="9.140625" style="21"/>
  </cols>
  <sheetData>
    <row r="1" spans="1:30" ht="18.75" x14ac:dyDescent="0.3">
      <c r="A1" s="188" t="str">
        <f>'3 MLD Pilkhuwa'!A1:V1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X1" s="3"/>
      <c r="Y1" s="3"/>
      <c r="Z1" s="3"/>
      <c r="AA1" s="3"/>
      <c r="AB1" s="3"/>
      <c r="AC1" s="3"/>
      <c r="AD1" s="3"/>
    </row>
    <row r="2" spans="1:30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20</v>
      </c>
      <c r="U2" s="43">
        <v>21</v>
      </c>
      <c r="V2" s="43">
        <v>22</v>
      </c>
      <c r="W2" s="43">
        <v>23</v>
      </c>
      <c r="X2" s="18"/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90" t="s">
        <v>15</v>
      </c>
      <c r="D3" s="194"/>
      <c r="E3" s="44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1"/>
    </row>
    <row r="4" spans="1:30" s="19" customFormat="1" ht="17.25" customHeight="1" x14ac:dyDescent="0.25">
      <c r="A4" s="211" t="s">
        <v>14</v>
      </c>
      <c r="B4" s="209" t="s">
        <v>44</v>
      </c>
      <c r="C4" s="211" t="s">
        <v>37</v>
      </c>
      <c r="D4" s="209" t="s">
        <v>56</v>
      </c>
      <c r="E4" s="192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 t="s">
        <v>10</v>
      </c>
      <c r="O4" s="191"/>
      <c r="P4" s="190" t="s">
        <v>9</v>
      </c>
      <c r="Q4" s="191" t="s">
        <v>9</v>
      </c>
      <c r="R4" s="191"/>
      <c r="S4" s="190" t="s">
        <v>13</v>
      </c>
      <c r="T4" s="191" t="s">
        <v>13</v>
      </c>
      <c r="U4" s="191"/>
      <c r="V4" s="187" t="s">
        <v>55</v>
      </c>
      <c r="W4" s="187" t="s">
        <v>61</v>
      </c>
    </row>
    <row r="5" spans="1:30" s="19" customFormat="1" ht="30" x14ac:dyDescent="0.25">
      <c r="A5" s="212"/>
      <c r="B5" s="210"/>
      <c r="C5" s="212"/>
      <c r="D5" s="210"/>
      <c r="E5" s="193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0.25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</v>
      </c>
      <c r="U5" s="4" t="s">
        <v>61</v>
      </c>
      <c r="V5" s="187"/>
      <c r="W5" s="187"/>
    </row>
    <row r="6" spans="1:30" x14ac:dyDescent="0.25">
      <c r="A6" s="15">
        <v>44682</v>
      </c>
      <c r="B6" s="14">
        <f>Summary!$G$16/31</f>
        <v>85983.21</v>
      </c>
      <c r="C6" s="14">
        <v>15</v>
      </c>
      <c r="D6" s="14"/>
      <c r="E6" s="14"/>
      <c r="F6" s="14">
        <f>B6*60%</f>
        <v>51589.93</v>
      </c>
      <c r="G6" s="14">
        <f>(F6*E6)/C6</f>
        <v>0</v>
      </c>
      <c r="H6" s="14">
        <f>B6*40%</f>
        <v>34393.279999999999</v>
      </c>
      <c r="I6" s="14">
        <f>(H6*E6)/C6</f>
        <v>0</v>
      </c>
      <c r="J6" s="14"/>
      <c r="K6" s="14">
        <f t="shared" ref="K6" si="0">I6*50%</f>
        <v>0</v>
      </c>
      <c r="L6" s="14">
        <f t="shared" ref="L6" si="1">IF(J6&gt;30,(MAX($B$37*0.1/100,10000)),0)</f>
        <v>0</v>
      </c>
      <c r="M6" s="14"/>
      <c r="N6" s="14">
        <f>I6*25%</f>
        <v>0</v>
      </c>
      <c r="O6" s="14">
        <f t="shared" ref="O6" si="2">IF(M6&gt;100,(MAX($B$37*0.1/100,10000)),0)</f>
        <v>0</v>
      </c>
      <c r="P6" s="14"/>
      <c r="Q6" s="14">
        <f t="shared" ref="Q6" si="3">I6*25%</f>
        <v>0</v>
      </c>
      <c r="R6" s="14">
        <f t="shared" ref="R6" si="4">IF(P6&gt;50,(MAX($B$37*0.1/100,10000)),0)</f>
        <v>0</v>
      </c>
      <c r="S6" s="14"/>
      <c r="T6" s="14"/>
      <c r="U6" s="14"/>
      <c r="V6" s="14">
        <f>T6+Q6+N6+K6</f>
        <v>0</v>
      </c>
      <c r="W6" s="14">
        <f>U6+R6+O6+L6</f>
        <v>0</v>
      </c>
    </row>
    <row r="7" spans="1:30" x14ac:dyDescent="0.25">
      <c r="A7" s="15">
        <v>44683</v>
      </c>
      <c r="B7" s="14">
        <f>Summary!$G$16/31</f>
        <v>85983.21</v>
      </c>
      <c r="C7" s="14">
        <v>15</v>
      </c>
      <c r="D7" s="14"/>
      <c r="E7" s="14"/>
      <c r="F7" s="14">
        <f t="shared" ref="F7:F34" si="5">B7*60%</f>
        <v>51589.93</v>
      </c>
      <c r="G7" s="14">
        <f t="shared" ref="G7:G34" si="6">(F7*E7)/C7</f>
        <v>0</v>
      </c>
      <c r="H7" s="14">
        <f t="shared" ref="H7:H34" si="7">B7*40%</f>
        <v>34393.279999999999</v>
      </c>
      <c r="I7" s="14">
        <f t="shared" ref="I7:I34" si="8">(H7*E7)/C7</f>
        <v>0</v>
      </c>
      <c r="J7" s="14"/>
      <c r="K7" s="14">
        <f t="shared" ref="K7:K36" si="9">I7*50%</f>
        <v>0</v>
      </c>
      <c r="L7" s="14">
        <f t="shared" ref="L7:L36" si="10">IF(J7&gt;30,(MAX($B$37*0.1/100,10000)),0)</f>
        <v>0</v>
      </c>
      <c r="M7" s="14"/>
      <c r="N7" s="14">
        <f t="shared" ref="N7:N36" si="11">I7*25%</f>
        <v>0</v>
      </c>
      <c r="O7" s="14">
        <f t="shared" ref="O7:O36" si="12">IF(M7&gt;100,(MAX($B$37*0.1/100,10000)),0)</f>
        <v>0</v>
      </c>
      <c r="P7" s="14"/>
      <c r="Q7" s="14">
        <f t="shared" ref="Q7:Q36" si="13">I7*25%</f>
        <v>0</v>
      </c>
      <c r="R7" s="14">
        <f t="shared" ref="R7:R36" si="14">IF(P7&gt;50,(MAX($B$37*0.1/100,10000)),0)</f>
        <v>0</v>
      </c>
      <c r="S7" s="14"/>
      <c r="T7" s="14"/>
      <c r="U7" s="14"/>
      <c r="V7" s="14">
        <f t="shared" ref="V7:V36" si="15">T7+Q7+N7+K7</f>
        <v>0</v>
      </c>
      <c r="W7" s="14">
        <f t="shared" ref="W7:W36" si="16">U7+R7+O7+L7</f>
        <v>0</v>
      </c>
    </row>
    <row r="8" spans="1:30" x14ac:dyDescent="0.25">
      <c r="A8" s="15">
        <v>44684</v>
      </c>
      <c r="B8" s="14">
        <f>Summary!$G$16/31</f>
        <v>85983.21</v>
      </c>
      <c r="C8" s="14">
        <v>15</v>
      </c>
      <c r="D8" s="14"/>
      <c r="E8" s="14"/>
      <c r="F8" s="14">
        <f t="shared" si="5"/>
        <v>51589.93</v>
      </c>
      <c r="G8" s="14">
        <f t="shared" si="6"/>
        <v>0</v>
      </c>
      <c r="H8" s="14">
        <f t="shared" si="7"/>
        <v>34393.279999999999</v>
      </c>
      <c r="I8" s="14">
        <f t="shared" si="8"/>
        <v>0</v>
      </c>
      <c r="J8" s="14"/>
      <c r="K8" s="14">
        <f t="shared" si="9"/>
        <v>0</v>
      </c>
      <c r="L8" s="14">
        <f t="shared" si="10"/>
        <v>0</v>
      </c>
      <c r="M8" s="14"/>
      <c r="N8" s="14">
        <f t="shared" si="11"/>
        <v>0</v>
      </c>
      <c r="O8" s="14">
        <f t="shared" si="12"/>
        <v>0</v>
      </c>
      <c r="P8" s="14"/>
      <c r="Q8" s="14">
        <f t="shared" si="13"/>
        <v>0</v>
      </c>
      <c r="R8" s="14">
        <f t="shared" si="14"/>
        <v>0</v>
      </c>
      <c r="S8" s="14"/>
      <c r="T8" s="14"/>
      <c r="U8" s="14"/>
      <c r="V8" s="14">
        <f t="shared" si="15"/>
        <v>0</v>
      </c>
      <c r="W8" s="14">
        <f t="shared" si="16"/>
        <v>0</v>
      </c>
    </row>
    <row r="9" spans="1:30" x14ac:dyDescent="0.25">
      <c r="A9" s="15">
        <v>44685</v>
      </c>
      <c r="B9" s="14">
        <f>Summary!$G$16/31</f>
        <v>85983.21</v>
      </c>
      <c r="C9" s="14">
        <v>15</v>
      </c>
      <c r="D9" s="14"/>
      <c r="E9" s="14"/>
      <c r="F9" s="14">
        <f t="shared" si="5"/>
        <v>51589.93</v>
      </c>
      <c r="G9" s="14">
        <f t="shared" si="6"/>
        <v>0</v>
      </c>
      <c r="H9" s="14">
        <f t="shared" si="7"/>
        <v>34393.279999999999</v>
      </c>
      <c r="I9" s="14">
        <f t="shared" si="8"/>
        <v>0</v>
      </c>
      <c r="J9" s="14"/>
      <c r="K9" s="14">
        <f t="shared" si="9"/>
        <v>0</v>
      </c>
      <c r="L9" s="14">
        <f t="shared" si="10"/>
        <v>0</v>
      </c>
      <c r="M9" s="14"/>
      <c r="N9" s="14">
        <f t="shared" si="11"/>
        <v>0</v>
      </c>
      <c r="O9" s="14">
        <f t="shared" si="12"/>
        <v>0</v>
      </c>
      <c r="P9" s="14"/>
      <c r="Q9" s="14">
        <f t="shared" si="13"/>
        <v>0</v>
      </c>
      <c r="R9" s="14">
        <f t="shared" si="14"/>
        <v>0</v>
      </c>
      <c r="S9" s="14"/>
      <c r="T9" s="14"/>
      <c r="U9" s="14"/>
      <c r="V9" s="14">
        <f t="shared" si="15"/>
        <v>0</v>
      </c>
      <c r="W9" s="14">
        <f t="shared" si="16"/>
        <v>0</v>
      </c>
    </row>
    <row r="10" spans="1:30" x14ac:dyDescent="0.25">
      <c r="A10" s="15">
        <v>44686</v>
      </c>
      <c r="B10" s="14">
        <f>Summary!$G$16/31</f>
        <v>85983.21</v>
      </c>
      <c r="C10" s="14">
        <v>15</v>
      </c>
      <c r="D10" s="14"/>
      <c r="E10" s="14"/>
      <c r="F10" s="14">
        <f t="shared" si="5"/>
        <v>51589.93</v>
      </c>
      <c r="G10" s="14">
        <f t="shared" si="6"/>
        <v>0</v>
      </c>
      <c r="H10" s="14">
        <f t="shared" si="7"/>
        <v>34393.279999999999</v>
      </c>
      <c r="I10" s="14">
        <f t="shared" si="8"/>
        <v>0</v>
      </c>
      <c r="J10" s="14"/>
      <c r="K10" s="14">
        <f t="shared" si="9"/>
        <v>0</v>
      </c>
      <c r="L10" s="14">
        <f t="shared" si="10"/>
        <v>0</v>
      </c>
      <c r="M10" s="14"/>
      <c r="N10" s="14">
        <f t="shared" si="11"/>
        <v>0</v>
      </c>
      <c r="O10" s="14">
        <f t="shared" si="12"/>
        <v>0</v>
      </c>
      <c r="P10" s="14"/>
      <c r="Q10" s="14">
        <f t="shared" si="13"/>
        <v>0</v>
      </c>
      <c r="R10" s="14">
        <f t="shared" si="14"/>
        <v>0</v>
      </c>
      <c r="S10" s="14"/>
      <c r="T10" s="14"/>
      <c r="U10" s="14"/>
      <c r="V10" s="14">
        <f t="shared" si="15"/>
        <v>0</v>
      </c>
      <c r="W10" s="14">
        <f t="shared" si="16"/>
        <v>0</v>
      </c>
    </row>
    <row r="11" spans="1:30" x14ac:dyDescent="0.25">
      <c r="A11" s="15">
        <v>44687</v>
      </c>
      <c r="B11" s="14">
        <f>Summary!$G$16/31</f>
        <v>85983.21</v>
      </c>
      <c r="C11" s="14">
        <v>15</v>
      </c>
      <c r="D11" s="14"/>
      <c r="E11" s="14"/>
      <c r="F11" s="14">
        <f t="shared" si="5"/>
        <v>51589.93</v>
      </c>
      <c r="G11" s="14">
        <f t="shared" si="6"/>
        <v>0</v>
      </c>
      <c r="H11" s="14">
        <f t="shared" si="7"/>
        <v>34393.279999999999</v>
      </c>
      <c r="I11" s="14">
        <f t="shared" si="8"/>
        <v>0</v>
      </c>
      <c r="J11" s="14"/>
      <c r="K11" s="14">
        <f t="shared" si="9"/>
        <v>0</v>
      </c>
      <c r="L11" s="14">
        <f t="shared" si="10"/>
        <v>0</v>
      </c>
      <c r="M11" s="14"/>
      <c r="N11" s="14">
        <f t="shared" si="11"/>
        <v>0</v>
      </c>
      <c r="O11" s="14">
        <f t="shared" si="12"/>
        <v>0</v>
      </c>
      <c r="P11" s="14"/>
      <c r="Q11" s="14">
        <f t="shared" si="13"/>
        <v>0</v>
      </c>
      <c r="R11" s="14">
        <f t="shared" si="14"/>
        <v>0</v>
      </c>
      <c r="S11" s="14"/>
      <c r="T11" s="14"/>
      <c r="U11" s="14"/>
      <c r="V11" s="14">
        <f t="shared" si="15"/>
        <v>0</v>
      </c>
      <c r="W11" s="14">
        <f t="shared" si="16"/>
        <v>0</v>
      </c>
    </row>
    <row r="12" spans="1:30" x14ac:dyDescent="0.25">
      <c r="A12" s="15">
        <v>44688</v>
      </c>
      <c r="B12" s="14">
        <f>Summary!$G$16/31</f>
        <v>85983.21</v>
      </c>
      <c r="C12" s="14">
        <v>15</v>
      </c>
      <c r="D12" s="14"/>
      <c r="E12" s="14"/>
      <c r="F12" s="14">
        <f t="shared" si="5"/>
        <v>51589.93</v>
      </c>
      <c r="G12" s="14">
        <f t="shared" si="6"/>
        <v>0</v>
      </c>
      <c r="H12" s="14">
        <f t="shared" si="7"/>
        <v>34393.279999999999</v>
      </c>
      <c r="I12" s="14">
        <f t="shared" si="8"/>
        <v>0</v>
      </c>
      <c r="J12" s="14"/>
      <c r="K12" s="14">
        <f t="shared" si="9"/>
        <v>0</v>
      </c>
      <c r="L12" s="14">
        <f t="shared" si="10"/>
        <v>0</v>
      </c>
      <c r="M12" s="14"/>
      <c r="N12" s="14">
        <f t="shared" si="11"/>
        <v>0</v>
      </c>
      <c r="O12" s="14">
        <f t="shared" si="12"/>
        <v>0</v>
      </c>
      <c r="P12" s="14"/>
      <c r="Q12" s="14">
        <f t="shared" si="13"/>
        <v>0</v>
      </c>
      <c r="R12" s="14">
        <f t="shared" si="14"/>
        <v>0</v>
      </c>
      <c r="S12" s="14"/>
      <c r="T12" s="14"/>
      <c r="U12" s="14"/>
      <c r="V12" s="14">
        <f t="shared" si="15"/>
        <v>0</v>
      </c>
      <c r="W12" s="14">
        <f t="shared" si="16"/>
        <v>0</v>
      </c>
    </row>
    <row r="13" spans="1:30" x14ac:dyDescent="0.25">
      <c r="A13" s="15">
        <v>44689</v>
      </c>
      <c r="B13" s="14">
        <f>Summary!$G$16/31</f>
        <v>85983.21</v>
      </c>
      <c r="C13" s="14">
        <v>15</v>
      </c>
      <c r="D13" s="14"/>
      <c r="E13" s="14"/>
      <c r="F13" s="14">
        <f t="shared" si="5"/>
        <v>51589.93</v>
      </c>
      <c r="G13" s="14">
        <f t="shared" si="6"/>
        <v>0</v>
      </c>
      <c r="H13" s="14">
        <f t="shared" si="7"/>
        <v>34393.279999999999</v>
      </c>
      <c r="I13" s="14">
        <f t="shared" si="8"/>
        <v>0</v>
      </c>
      <c r="J13" s="14"/>
      <c r="K13" s="14">
        <f t="shared" si="9"/>
        <v>0</v>
      </c>
      <c r="L13" s="14">
        <f t="shared" si="10"/>
        <v>0</v>
      </c>
      <c r="M13" s="14"/>
      <c r="N13" s="14">
        <f t="shared" si="11"/>
        <v>0</v>
      </c>
      <c r="O13" s="14">
        <f t="shared" si="12"/>
        <v>0</v>
      </c>
      <c r="P13" s="14"/>
      <c r="Q13" s="14">
        <f t="shared" si="13"/>
        <v>0</v>
      </c>
      <c r="R13" s="14">
        <f t="shared" si="14"/>
        <v>0</v>
      </c>
      <c r="S13" s="14"/>
      <c r="T13" s="14"/>
      <c r="U13" s="14"/>
      <c r="V13" s="14">
        <f t="shared" si="15"/>
        <v>0</v>
      </c>
      <c r="W13" s="14">
        <f t="shared" si="16"/>
        <v>0</v>
      </c>
    </row>
    <row r="14" spans="1:30" x14ac:dyDescent="0.25">
      <c r="A14" s="15">
        <v>44690</v>
      </c>
      <c r="B14" s="14">
        <f>Summary!$G$16/31</f>
        <v>85983.21</v>
      </c>
      <c r="C14" s="14">
        <v>15</v>
      </c>
      <c r="D14" s="14"/>
      <c r="E14" s="14"/>
      <c r="F14" s="14">
        <f t="shared" si="5"/>
        <v>51589.93</v>
      </c>
      <c r="G14" s="14">
        <f t="shared" si="6"/>
        <v>0</v>
      </c>
      <c r="H14" s="14">
        <f t="shared" si="7"/>
        <v>34393.279999999999</v>
      </c>
      <c r="I14" s="14">
        <f t="shared" si="8"/>
        <v>0</v>
      </c>
      <c r="J14" s="14"/>
      <c r="K14" s="14">
        <f t="shared" si="9"/>
        <v>0</v>
      </c>
      <c r="L14" s="14">
        <f t="shared" si="10"/>
        <v>0</v>
      </c>
      <c r="M14" s="14"/>
      <c r="N14" s="14">
        <f t="shared" si="11"/>
        <v>0</v>
      </c>
      <c r="O14" s="14">
        <f t="shared" si="12"/>
        <v>0</v>
      </c>
      <c r="P14" s="14"/>
      <c r="Q14" s="14">
        <f t="shared" si="13"/>
        <v>0</v>
      </c>
      <c r="R14" s="14">
        <f t="shared" si="14"/>
        <v>0</v>
      </c>
      <c r="S14" s="14"/>
      <c r="T14" s="14"/>
      <c r="U14" s="14"/>
      <c r="V14" s="14">
        <f t="shared" si="15"/>
        <v>0</v>
      </c>
      <c r="W14" s="14">
        <f t="shared" si="16"/>
        <v>0</v>
      </c>
    </row>
    <row r="15" spans="1:30" x14ac:dyDescent="0.25">
      <c r="A15" s="15">
        <v>44691</v>
      </c>
      <c r="B15" s="14">
        <f>Summary!$G$16/31</f>
        <v>85983.21</v>
      </c>
      <c r="C15" s="14">
        <v>15</v>
      </c>
      <c r="D15" s="14"/>
      <c r="E15" s="14"/>
      <c r="F15" s="14">
        <f t="shared" si="5"/>
        <v>51589.93</v>
      </c>
      <c r="G15" s="14">
        <f t="shared" si="6"/>
        <v>0</v>
      </c>
      <c r="H15" s="14">
        <f t="shared" si="7"/>
        <v>34393.279999999999</v>
      </c>
      <c r="I15" s="14">
        <f t="shared" si="8"/>
        <v>0</v>
      </c>
      <c r="J15" s="14"/>
      <c r="K15" s="14">
        <f t="shared" si="9"/>
        <v>0</v>
      </c>
      <c r="L15" s="14">
        <f t="shared" si="10"/>
        <v>0</v>
      </c>
      <c r="M15" s="14"/>
      <c r="N15" s="14">
        <f t="shared" si="11"/>
        <v>0</v>
      </c>
      <c r="O15" s="14">
        <f t="shared" si="12"/>
        <v>0</v>
      </c>
      <c r="P15" s="14"/>
      <c r="Q15" s="14">
        <f t="shared" si="13"/>
        <v>0</v>
      </c>
      <c r="R15" s="14">
        <f t="shared" si="14"/>
        <v>0</v>
      </c>
      <c r="S15" s="14"/>
      <c r="T15" s="14"/>
      <c r="U15" s="14"/>
      <c r="V15" s="14">
        <f t="shared" si="15"/>
        <v>0</v>
      </c>
      <c r="W15" s="14">
        <f t="shared" si="16"/>
        <v>0</v>
      </c>
    </row>
    <row r="16" spans="1:30" x14ac:dyDescent="0.25">
      <c r="A16" s="15">
        <v>44692</v>
      </c>
      <c r="B16" s="14">
        <f>Summary!$G$16/31</f>
        <v>85983.21</v>
      </c>
      <c r="C16" s="14">
        <v>15</v>
      </c>
      <c r="D16" s="14"/>
      <c r="E16" s="14"/>
      <c r="F16" s="14">
        <f t="shared" si="5"/>
        <v>51589.93</v>
      </c>
      <c r="G16" s="14">
        <f t="shared" si="6"/>
        <v>0</v>
      </c>
      <c r="H16" s="14">
        <f t="shared" si="7"/>
        <v>34393.279999999999</v>
      </c>
      <c r="I16" s="14">
        <f t="shared" si="8"/>
        <v>0</v>
      </c>
      <c r="J16" s="14"/>
      <c r="K16" s="14">
        <f t="shared" si="9"/>
        <v>0</v>
      </c>
      <c r="L16" s="14">
        <f t="shared" si="10"/>
        <v>0</v>
      </c>
      <c r="M16" s="14"/>
      <c r="N16" s="14">
        <f t="shared" si="11"/>
        <v>0</v>
      </c>
      <c r="O16" s="14">
        <f t="shared" si="12"/>
        <v>0</v>
      </c>
      <c r="P16" s="14"/>
      <c r="Q16" s="14">
        <f t="shared" si="13"/>
        <v>0</v>
      </c>
      <c r="R16" s="14">
        <f t="shared" si="14"/>
        <v>0</v>
      </c>
      <c r="S16" s="14"/>
      <c r="T16" s="14"/>
      <c r="U16" s="14"/>
      <c r="V16" s="14">
        <f t="shared" si="15"/>
        <v>0</v>
      </c>
      <c r="W16" s="14">
        <f t="shared" si="16"/>
        <v>0</v>
      </c>
    </row>
    <row r="17" spans="1:23" x14ac:dyDescent="0.25">
      <c r="A17" s="15">
        <v>44693</v>
      </c>
      <c r="B17" s="14">
        <f>Summary!$G$16/31</f>
        <v>85983.21</v>
      </c>
      <c r="C17" s="14">
        <v>15</v>
      </c>
      <c r="D17" s="14"/>
      <c r="E17" s="14"/>
      <c r="F17" s="14">
        <f t="shared" si="5"/>
        <v>51589.93</v>
      </c>
      <c r="G17" s="14">
        <f t="shared" si="6"/>
        <v>0</v>
      </c>
      <c r="H17" s="14">
        <f t="shared" si="7"/>
        <v>34393.279999999999</v>
      </c>
      <c r="I17" s="14">
        <f t="shared" si="8"/>
        <v>0</v>
      </c>
      <c r="J17" s="14"/>
      <c r="K17" s="14">
        <f t="shared" si="9"/>
        <v>0</v>
      </c>
      <c r="L17" s="14">
        <f t="shared" si="10"/>
        <v>0</v>
      </c>
      <c r="M17" s="14"/>
      <c r="N17" s="14">
        <f t="shared" si="11"/>
        <v>0</v>
      </c>
      <c r="O17" s="14">
        <f t="shared" si="12"/>
        <v>0</v>
      </c>
      <c r="P17" s="14"/>
      <c r="Q17" s="14">
        <f t="shared" si="13"/>
        <v>0</v>
      </c>
      <c r="R17" s="14">
        <f t="shared" si="14"/>
        <v>0</v>
      </c>
      <c r="S17" s="14"/>
      <c r="T17" s="14"/>
      <c r="U17" s="14"/>
      <c r="V17" s="14">
        <f t="shared" si="15"/>
        <v>0</v>
      </c>
      <c r="W17" s="14">
        <f t="shared" si="16"/>
        <v>0</v>
      </c>
    </row>
    <row r="18" spans="1:23" x14ac:dyDescent="0.25">
      <c r="A18" s="15">
        <v>44694</v>
      </c>
      <c r="B18" s="14">
        <f>Summary!$G$16/31</f>
        <v>85983.21</v>
      </c>
      <c r="C18" s="14">
        <v>15</v>
      </c>
      <c r="D18" s="14"/>
      <c r="E18" s="14"/>
      <c r="F18" s="14">
        <f t="shared" si="5"/>
        <v>51589.93</v>
      </c>
      <c r="G18" s="14">
        <f t="shared" si="6"/>
        <v>0</v>
      </c>
      <c r="H18" s="14">
        <f t="shared" si="7"/>
        <v>34393.279999999999</v>
      </c>
      <c r="I18" s="14">
        <f t="shared" si="8"/>
        <v>0</v>
      </c>
      <c r="J18" s="14"/>
      <c r="K18" s="14">
        <f t="shared" si="9"/>
        <v>0</v>
      </c>
      <c r="L18" s="14">
        <f t="shared" si="10"/>
        <v>0</v>
      </c>
      <c r="M18" s="14"/>
      <c r="N18" s="14">
        <f t="shared" si="11"/>
        <v>0</v>
      </c>
      <c r="O18" s="14">
        <f t="shared" si="12"/>
        <v>0</v>
      </c>
      <c r="P18" s="14"/>
      <c r="Q18" s="14">
        <f t="shared" si="13"/>
        <v>0</v>
      </c>
      <c r="R18" s="14">
        <f t="shared" si="14"/>
        <v>0</v>
      </c>
      <c r="S18" s="14"/>
      <c r="T18" s="14"/>
      <c r="U18" s="14"/>
      <c r="V18" s="14">
        <f t="shared" si="15"/>
        <v>0</v>
      </c>
      <c r="W18" s="14">
        <f t="shared" si="16"/>
        <v>0</v>
      </c>
    </row>
    <row r="19" spans="1:23" x14ac:dyDescent="0.25">
      <c r="A19" s="15">
        <v>44695</v>
      </c>
      <c r="B19" s="14">
        <f>Summary!$G$16/31</f>
        <v>85983.21</v>
      </c>
      <c r="C19" s="14">
        <v>15</v>
      </c>
      <c r="D19" s="14"/>
      <c r="E19" s="14"/>
      <c r="F19" s="14">
        <f t="shared" si="5"/>
        <v>51589.93</v>
      </c>
      <c r="G19" s="14">
        <f t="shared" si="6"/>
        <v>0</v>
      </c>
      <c r="H19" s="14">
        <f t="shared" si="7"/>
        <v>34393.279999999999</v>
      </c>
      <c r="I19" s="14">
        <f t="shared" si="8"/>
        <v>0</v>
      </c>
      <c r="J19" s="14"/>
      <c r="K19" s="14">
        <f t="shared" si="9"/>
        <v>0</v>
      </c>
      <c r="L19" s="14">
        <f t="shared" si="10"/>
        <v>0</v>
      </c>
      <c r="M19" s="14"/>
      <c r="N19" s="14">
        <f t="shared" si="11"/>
        <v>0</v>
      </c>
      <c r="O19" s="14">
        <f t="shared" si="12"/>
        <v>0</v>
      </c>
      <c r="P19" s="14"/>
      <c r="Q19" s="14">
        <f t="shared" si="13"/>
        <v>0</v>
      </c>
      <c r="R19" s="14">
        <f t="shared" si="14"/>
        <v>0</v>
      </c>
      <c r="S19" s="14"/>
      <c r="T19" s="14"/>
      <c r="U19" s="14"/>
      <c r="V19" s="14">
        <f t="shared" si="15"/>
        <v>0</v>
      </c>
      <c r="W19" s="14">
        <f t="shared" si="16"/>
        <v>0</v>
      </c>
    </row>
    <row r="20" spans="1:23" x14ac:dyDescent="0.25">
      <c r="A20" s="15">
        <v>44696</v>
      </c>
      <c r="B20" s="14">
        <f>Summary!$G$16/31</f>
        <v>85983.21</v>
      </c>
      <c r="C20" s="14">
        <v>15</v>
      </c>
      <c r="D20" s="14"/>
      <c r="E20" s="14"/>
      <c r="F20" s="14">
        <f t="shared" si="5"/>
        <v>51589.93</v>
      </c>
      <c r="G20" s="14">
        <f t="shared" si="6"/>
        <v>0</v>
      </c>
      <c r="H20" s="14">
        <f t="shared" si="7"/>
        <v>34393.279999999999</v>
      </c>
      <c r="I20" s="14">
        <f t="shared" si="8"/>
        <v>0</v>
      </c>
      <c r="J20" s="14"/>
      <c r="K20" s="14">
        <f t="shared" si="9"/>
        <v>0</v>
      </c>
      <c r="L20" s="14">
        <f t="shared" si="10"/>
        <v>0</v>
      </c>
      <c r="M20" s="14"/>
      <c r="N20" s="14">
        <f t="shared" si="11"/>
        <v>0</v>
      </c>
      <c r="O20" s="14">
        <f t="shared" si="12"/>
        <v>0</v>
      </c>
      <c r="P20" s="14"/>
      <c r="Q20" s="14">
        <f t="shared" si="13"/>
        <v>0</v>
      </c>
      <c r="R20" s="14">
        <f t="shared" si="14"/>
        <v>0</v>
      </c>
      <c r="S20" s="14"/>
      <c r="T20" s="14"/>
      <c r="U20" s="14"/>
      <c r="V20" s="14">
        <f t="shared" si="15"/>
        <v>0</v>
      </c>
      <c r="W20" s="14">
        <f t="shared" si="16"/>
        <v>0</v>
      </c>
    </row>
    <row r="21" spans="1:23" x14ac:dyDescent="0.25">
      <c r="A21" s="15">
        <v>44697</v>
      </c>
      <c r="B21" s="14">
        <f>Summary!$G$16/31</f>
        <v>85983.21</v>
      </c>
      <c r="C21" s="14">
        <v>15</v>
      </c>
      <c r="D21" s="14"/>
      <c r="E21" s="14"/>
      <c r="F21" s="14">
        <f t="shared" si="5"/>
        <v>51589.93</v>
      </c>
      <c r="G21" s="14">
        <f t="shared" si="6"/>
        <v>0</v>
      </c>
      <c r="H21" s="14">
        <f t="shared" si="7"/>
        <v>34393.279999999999</v>
      </c>
      <c r="I21" s="14">
        <f t="shared" si="8"/>
        <v>0</v>
      </c>
      <c r="J21" s="14"/>
      <c r="K21" s="14">
        <f t="shared" si="9"/>
        <v>0</v>
      </c>
      <c r="L21" s="14">
        <f t="shared" si="10"/>
        <v>0</v>
      </c>
      <c r="M21" s="14"/>
      <c r="N21" s="14">
        <f t="shared" si="11"/>
        <v>0</v>
      </c>
      <c r="O21" s="14">
        <f t="shared" si="12"/>
        <v>0</v>
      </c>
      <c r="P21" s="14"/>
      <c r="Q21" s="14">
        <f t="shared" si="13"/>
        <v>0</v>
      </c>
      <c r="R21" s="14">
        <f t="shared" si="14"/>
        <v>0</v>
      </c>
      <c r="S21" s="14"/>
      <c r="T21" s="14"/>
      <c r="U21" s="14"/>
      <c r="V21" s="14">
        <f t="shared" si="15"/>
        <v>0</v>
      </c>
      <c r="W21" s="14">
        <f t="shared" si="16"/>
        <v>0</v>
      </c>
    </row>
    <row r="22" spans="1:23" x14ac:dyDescent="0.25">
      <c r="A22" s="15">
        <v>44698</v>
      </c>
      <c r="B22" s="14">
        <f>Summary!$G$16/31</f>
        <v>85983.21</v>
      </c>
      <c r="C22" s="14">
        <v>15</v>
      </c>
      <c r="D22" s="14"/>
      <c r="E22" s="14"/>
      <c r="F22" s="14">
        <f t="shared" si="5"/>
        <v>51589.93</v>
      </c>
      <c r="G22" s="14">
        <f t="shared" si="6"/>
        <v>0</v>
      </c>
      <c r="H22" s="14">
        <f t="shared" si="7"/>
        <v>34393.279999999999</v>
      </c>
      <c r="I22" s="14">
        <f t="shared" si="8"/>
        <v>0</v>
      </c>
      <c r="J22" s="14"/>
      <c r="K22" s="14">
        <f t="shared" si="9"/>
        <v>0</v>
      </c>
      <c r="L22" s="14">
        <f t="shared" si="10"/>
        <v>0</v>
      </c>
      <c r="M22" s="14"/>
      <c r="N22" s="14">
        <f t="shared" si="11"/>
        <v>0</v>
      </c>
      <c r="O22" s="14">
        <f t="shared" si="12"/>
        <v>0</v>
      </c>
      <c r="P22" s="14"/>
      <c r="Q22" s="14">
        <f t="shared" si="13"/>
        <v>0</v>
      </c>
      <c r="R22" s="14">
        <f t="shared" si="14"/>
        <v>0</v>
      </c>
      <c r="S22" s="14"/>
      <c r="T22" s="14"/>
      <c r="U22" s="14"/>
      <c r="V22" s="14">
        <f t="shared" si="15"/>
        <v>0</v>
      </c>
      <c r="W22" s="14">
        <f t="shared" si="16"/>
        <v>0</v>
      </c>
    </row>
    <row r="23" spans="1:23" x14ac:dyDescent="0.25">
      <c r="A23" s="15">
        <v>44699</v>
      </c>
      <c r="B23" s="14">
        <f>Summary!$G$16/31</f>
        <v>85983.21</v>
      </c>
      <c r="C23" s="14">
        <v>15</v>
      </c>
      <c r="D23" s="14"/>
      <c r="E23" s="14"/>
      <c r="F23" s="14">
        <f t="shared" si="5"/>
        <v>51589.93</v>
      </c>
      <c r="G23" s="14">
        <f t="shared" si="6"/>
        <v>0</v>
      </c>
      <c r="H23" s="14">
        <f t="shared" si="7"/>
        <v>34393.279999999999</v>
      </c>
      <c r="I23" s="14">
        <f t="shared" si="8"/>
        <v>0</v>
      </c>
      <c r="J23" s="14"/>
      <c r="K23" s="14">
        <f t="shared" si="9"/>
        <v>0</v>
      </c>
      <c r="L23" s="14">
        <f t="shared" si="10"/>
        <v>0</v>
      </c>
      <c r="M23" s="14"/>
      <c r="N23" s="14">
        <f t="shared" si="11"/>
        <v>0</v>
      </c>
      <c r="O23" s="14">
        <f t="shared" si="12"/>
        <v>0</v>
      </c>
      <c r="P23" s="14"/>
      <c r="Q23" s="14">
        <f t="shared" si="13"/>
        <v>0</v>
      </c>
      <c r="R23" s="14">
        <f t="shared" si="14"/>
        <v>0</v>
      </c>
      <c r="S23" s="14"/>
      <c r="T23" s="14"/>
      <c r="U23" s="14"/>
      <c r="V23" s="14">
        <f t="shared" si="15"/>
        <v>0</v>
      </c>
      <c r="W23" s="14">
        <f t="shared" si="16"/>
        <v>0</v>
      </c>
    </row>
    <row r="24" spans="1:23" x14ac:dyDescent="0.25">
      <c r="A24" s="15">
        <v>44700</v>
      </c>
      <c r="B24" s="14">
        <f>Summary!$G$16/31</f>
        <v>85983.21</v>
      </c>
      <c r="C24" s="14">
        <v>15</v>
      </c>
      <c r="D24" s="14"/>
      <c r="E24" s="14"/>
      <c r="F24" s="14">
        <f t="shared" si="5"/>
        <v>51589.93</v>
      </c>
      <c r="G24" s="14">
        <f t="shared" si="6"/>
        <v>0</v>
      </c>
      <c r="H24" s="14">
        <f t="shared" si="7"/>
        <v>34393.279999999999</v>
      </c>
      <c r="I24" s="14">
        <f t="shared" si="8"/>
        <v>0</v>
      </c>
      <c r="J24" s="14"/>
      <c r="K24" s="14">
        <f t="shared" si="9"/>
        <v>0</v>
      </c>
      <c r="L24" s="14">
        <f t="shared" si="10"/>
        <v>0</v>
      </c>
      <c r="M24" s="14"/>
      <c r="N24" s="14">
        <f t="shared" si="11"/>
        <v>0</v>
      </c>
      <c r="O24" s="14">
        <f t="shared" si="12"/>
        <v>0</v>
      </c>
      <c r="P24" s="14"/>
      <c r="Q24" s="14">
        <f t="shared" si="13"/>
        <v>0</v>
      </c>
      <c r="R24" s="14">
        <f t="shared" si="14"/>
        <v>0</v>
      </c>
      <c r="S24" s="14"/>
      <c r="T24" s="14"/>
      <c r="U24" s="14"/>
      <c r="V24" s="14">
        <f t="shared" si="15"/>
        <v>0</v>
      </c>
      <c r="W24" s="14">
        <f t="shared" si="16"/>
        <v>0</v>
      </c>
    </row>
    <row r="25" spans="1:23" x14ac:dyDescent="0.25">
      <c r="A25" s="15">
        <v>44701</v>
      </c>
      <c r="B25" s="14">
        <f>Summary!$G$16/31</f>
        <v>85983.21</v>
      </c>
      <c r="C25" s="14">
        <v>15</v>
      </c>
      <c r="D25" s="14"/>
      <c r="E25" s="14"/>
      <c r="F25" s="14">
        <f t="shared" si="5"/>
        <v>51589.93</v>
      </c>
      <c r="G25" s="14">
        <f t="shared" si="6"/>
        <v>0</v>
      </c>
      <c r="H25" s="14">
        <f t="shared" si="7"/>
        <v>34393.279999999999</v>
      </c>
      <c r="I25" s="14">
        <f t="shared" si="8"/>
        <v>0</v>
      </c>
      <c r="J25" s="14"/>
      <c r="K25" s="14">
        <f t="shared" si="9"/>
        <v>0</v>
      </c>
      <c r="L25" s="14">
        <f t="shared" si="10"/>
        <v>0</v>
      </c>
      <c r="M25" s="14"/>
      <c r="N25" s="14">
        <f t="shared" si="11"/>
        <v>0</v>
      </c>
      <c r="O25" s="14">
        <f t="shared" si="12"/>
        <v>0</v>
      </c>
      <c r="P25" s="14"/>
      <c r="Q25" s="14">
        <f t="shared" si="13"/>
        <v>0</v>
      </c>
      <c r="R25" s="14">
        <f t="shared" si="14"/>
        <v>0</v>
      </c>
      <c r="S25" s="14"/>
      <c r="T25" s="14"/>
      <c r="U25" s="14"/>
      <c r="V25" s="14">
        <f t="shared" si="15"/>
        <v>0</v>
      </c>
      <c r="W25" s="14">
        <f t="shared" si="16"/>
        <v>0</v>
      </c>
    </row>
    <row r="26" spans="1:23" x14ac:dyDescent="0.25">
      <c r="A26" s="15">
        <v>44702</v>
      </c>
      <c r="B26" s="14">
        <f>Summary!$G$16/31</f>
        <v>85983.21</v>
      </c>
      <c r="C26" s="14">
        <v>15</v>
      </c>
      <c r="D26" s="14"/>
      <c r="E26" s="14"/>
      <c r="F26" s="14">
        <f t="shared" si="5"/>
        <v>51589.93</v>
      </c>
      <c r="G26" s="14">
        <f t="shared" si="6"/>
        <v>0</v>
      </c>
      <c r="H26" s="14">
        <f t="shared" si="7"/>
        <v>34393.279999999999</v>
      </c>
      <c r="I26" s="14">
        <f t="shared" si="8"/>
        <v>0</v>
      </c>
      <c r="J26" s="14"/>
      <c r="K26" s="14">
        <f t="shared" si="9"/>
        <v>0</v>
      </c>
      <c r="L26" s="14">
        <f t="shared" si="10"/>
        <v>0</v>
      </c>
      <c r="M26" s="14"/>
      <c r="N26" s="14">
        <f t="shared" si="11"/>
        <v>0</v>
      </c>
      <c r="O26" s="14">
        <f t="shared" si="12"/>
        <v>0</v>
      </c>
      <c r="P26" s="14"/>
      <c r="Q26" s="14">
        <f t="shared" si="13"/>
        <v>0</v>
      </c>
      <c r="R26" s="14">
        <f t="shared" si="14"/>
        <v>0</v>
      </c>
      <c r="S26" s="14"/>
      <c r="T26" s="14"/>
      <c r="U26" s="14"/>
      <c r="V26" s="14">
        <f t="shared" si="15"/>
        <v>0</v>
      </c>
      <c r="W26" s="14">
        <f t="shared" si="16"/>
        <v>0</v>
      </c>
    </row>
    <row r="27" spans="1:23" x14ac:dyDescent="0.25">
      <c r="A27" s="15">
        <v>44703</v>
      </c>
      <c r="B27" s="14">
        <f>Summary!$G$16/31</f>
        <v>85983.21</v>
      </c>
      <c r="C27" s="14">
        <v>15</v>
      </c>
      <c r="D27" s="14"/>
      <c r="E27" s="14"/>
      <c r="F27" s="14">
        <f t="shared" si="5"/>
        <v>51589.93</v>
      </c>
      <c r="G27" s="14">
        <f t="shared" si="6"/>
        <v>0</v>
      </c>
      <c r="H27" s="14">
        <f t="shared" si="7"/>
        <v>34393.279999999999</v>
      </c>
      <c r="I27" s="14">
        <f t="shared" si="8"/>
        <v>0</v>
      </c>
      <c r="J27" s="14"/>
      <c r="K27" s="14">
        <f t="shared" si="9"/>
        <v>0</v>
      </c>
      <c r="L27" s="14">
        <f t="shared" si="10"/>
        <v>0</v>
      </c>
      <c r="M27" s="14"/>
      <c r="N27" s="14">
        <f t="shared" si="11"/>
        <v>0</v>
      </c>
      <c r="O27" s="14">
        <f t="shared" si="12"/>
        <v>0</v>
      </c>
      <c r="P27" s="14"/>
      <c r="Q27" s="14">
        <f t="shared" si="13"/>
        <v>0</v>
      </c>
      <c r="R27" s="14">
        <f t="shared" si="14"/>
        <v>0</v>
      </c>
      <c r="S27" s="14"/>
      <c r="T27" s="14"/>
      <c r="U27" s="14"/>
      <c r="V27" s="14">
        <f t="shared" si="15"/>
        <v>0</v>
      </c>
      <c r="W27" s="14">
        <f t="shared" si="16"/>
        <v>0</v>
      </c>
    </row>
    <row r="28" spans="1:23" x14ac:dyDescent="0.25">
      <c r="A28" s="15">
        <v>44704</v>
      </c>
      <c r="B28" s="14">
        <f>Summary!$G$16/31</f>
        <v>85983.21</v>
      </c>
      <c r="C28" s="14">
        <v>15</v>
      </c>
      <c r="D28" s="14"/>
      <c r="E28" s="14"/>
      <c r="F28" s="14">
        <f t="shared" si="5"/>
        <v>51589.93</v>
      </c>
      <c r="G28" s="14">
        <f t="shared" si="6"/>
        <v>0</v>
      </c>
      <c r="H28" s="14">
        <f t="shared" si="7"/>
        <v>34393.279999999999</v>
      </c>
      <c r="I28" s="14">
        <f t="shared" si="8"/>
        <v>0</v>
      </c>
      <c r="J28" s="14"/>
      <c r="K28" s="14">
        <f t="shared" si="9"/>
        <v>0</v>
      </c>
      <c r="L28" s="14">
        <f t="shared" si="10"/>
        <v>0</v>
      </c>
      <c r="M28" s="14"/>
      <c r="N28" s="14">
        <f t="shared" si="11"/>
        <v>0</v>
      </c>
      <c r="O28" s="14">
        <f t="shared" si="12"/>
        <v>0</v>
      </c>
      <c r="P28" s="14"/>
      <c r="Q28" s="14">
        <f t="shared" si="13"/>
        <v>0</v>
      </c>
      <c r="R28" s="14">
        <f t="shared" si="14"/>
        <v>0</v>
      </c>
      <c r="S28" s="14"/>
      <c r="T28" s="14"/>
      <c r="U28" s="14"/>
      <c r="V28" s="14">
        <f t="shared" si="15"/>
        <v>0</v>
      </c>
      <c r="W28" s="14">
        <f t="shared" si="16"/>
        <v>0</v>
      </c>
    </row>
    <row r="29" spans="1:23" x14ac:dyDescent="0.25">
      <c r="A29" s="15">
        <v>44705</v>
      </c>
      <c r="B29" s="14">
        <f>Summary!$G$16/31</f>
        <v>85983.21</v>
      </c>
      <c r="C29" s="14">
        <v>15</v>
      </c>
      <c r="D29" s="14"/>
      <c r="E29" s="14"/>
      <c r="F29" s="14">
        <f t="shared" si="5"/>
        <v>51589.93</v>
      </c>
      <c r="G29" s="14">
        <f t="shared" si="6"/>
        <v>0</v>
      </c>
      <c r="H29" s="14">
        <f t="shared" si="7"/>
        <v>34393.279999999999</v>
      </c>
      <c r="I29" s="14">
        <f t="shared" si="8"/>
        <v>0</v>
      </c>
      <c r="J29" s="14"/>
      <c r="K29" s="14">
        <f t="shared" si="9"/>
        <v>0</v>
      </c>
      <c r="L29" s="14">
        <f t="shared" si="10"/>
        <v>0</v>
      </c>
      <c r="M29" s="14"/>
      <c r="N29" s="14">
        <f t="shared" si="11"/>
        <v>0</v>
      </c>
      <c r="O29" s="14">
        <f t="shared" si="12"/>
        <v>0</v>
      </c>
      <c r="P29" s="14"/>
      <c r="Q29" s="14">
        <f t="shared" si="13"/>
        <v>0</v>
      </c>
      <c r="R29" s="14">
        <f t="shared" si="14"/>
        <v>0</v>
      </c>
      <c r="S29" s="14"/>
      <c r="T29" s="14"/>
      <c r="U29" s="14"/>
      <c r="V29" s="14">
        <f t="shared" si="15"/>
        <v>0</v>
      </c>
      <c r="W29" s="14">
        <f t="shared" si="16"/>
        <v>0</v>
      </c>
    </row>
    <row r="30" spans="1:23" x14ac:dyDescent="0.25">
      <c r="A30" s="15">
        <v>44706</v>
      </c>
      <c r="B30" s="14">
        <f>Summary!$G$16/31</f>
        <v>85983.21</v>
      </c>
      <c r="C30" s="14">
        <v>15</v>
      </c>
      <c r="D30" s="14"/>
      <c r="E30" s="14"/>
      <c r="F30" s="14">
        <f t="shared" si="5"/>
        <v>51589.93</v>
      </c>
      <c r="G30" s="14">
        <f t="shared" si="6"/>
        <v>0</v>
      </c>
      <c r="H30" s="14">
        <f t="shared" si="7"/>
        <v>34393.279999999999</v>
      </c>
      <c r="I30" s="14">
        <f t="shared" si="8"/>
        <v>0</v>
      </c>
      <c r="J30" s="14"/>
      <c r="K30" s="14">
        <f t="shared" si="9"/>
        <v>0</v>
      </c>
      <c r="L30" s="14">
        <f t="shared" si="10"/>
        <v>0</v>
      </c>
      <c r="M30" s="14"/>
      <c r="N30" s="14">
        <f t="shared" si="11"/>
        <v>0</v>
      </c>
      <c r="O30" s="14">
        <f t="shared" si="12"/>
        <v>0</v>
      </c>
      <c r="P30" s="14"/>
      <c r="Q30" s="14">
        <f t="shared" si="13"/>
        <v>0</v>
      </c>
      <c r="R30" s="14">
        <f t="shared" si="14"/>
        <v>0</v>
      </c>
      <c r="S30" s="14"/>
      <c r="T30" s="14"/>
      <c r="U30" s="14"/>
      <c r="V30" s="14">
        <f t="shared" si="15"/>
        <v>0</v>
      </c>
      <c r="W30" s="14">
        <f t="shared" si="16"/>
        <v>0</v>
      </c>
    </row>
    <row r="31" spans="1:23" x14ac:dyDescent="0.25">
      <c r="A31" s="15">
        <v>44707</v>
      </c>
      <c r="B31" s="14">
        <f>Summary!$G$16/31</f>
        <v>85983.21</v>
      </c>
      <c r="C31" s="14">
        <v>15</v>
      </c>
      <c r="D31" s="14"/>
      <c r="E31" s="14"/>
      <c r="F31" s="14">
        <f t="shared" si="5"/>
        <v>51589.93</v>
      </c>
      <c r="G31" s="14">
        <f t="shared" si="6"/>
        <v>0</v>
      </c>
      <c r="H31" s="14">
        <f t="shared" si="7"/>
        <v>34393.279999999999</v>
      </c>
      <c r="I31" s="14">
        <f t="shared" si="8"/>
        <v>0</v>
      </c>
      <c r="J31" s="14"/>
      <c r="K31" s="14">
        <f t="shared" si="9"/>
        <v>0</v>
      </c>
      <c r="L31" s="14">
        <f t="shared" si="10"/>
        <v>0</v>
      </c>
      <c r="M31" s="14"/>
      <c r="N31" s="14">
        <f t="shared" si="11"/>
        <v>0</v>
      </c>
      <c r="O31" s="14">
        <f t="shared" si="12"/>
        <v>0</v>
      </c>
      <c r="P31" s="14"/>
      <c r="Q31" s="14">
        <f t="shared" si="13"/>
        <v>0</v>
      </c>
      <c r="R31" s="14">
        <f t="shared" si="14"/>
        <v>0</v>
      </c>
      <c r="S31" s="14"/>
      <c r="T31" s="14"/>
      <c r="U31" s="14"/>
      <c r="V31" s="14">
        <f t="shared" si="15"/>
        <v>0</v>
      </c>
      <c r="W31" s="14">
        <f t="shared" si="16"/>
        <v>0</v>
      </c>
    </row>
    <row r="32" spans="1:23" x14ac:dyDescent="0.25">
      <c r="A32" s="15">
        <v>44708</v>
      </c>
      <c r="B32" s="14">
        <f>Summary!$G$16/31</f>
        <v>85983.21</v>
      </c>
      <c r="C32" s="14">
        <v>15</v>
      </c>
      <c r="D32" s="14"/>
      <c r="E32" s="14"/>
      <c r="F32" s="14">
        <f t="shared" si="5"/>
        <v>51589.93</v>
      </c>
      <c r="G32" s="14">
        <f t="shared" si="6"/>
        <v>0</v>
      </c>
      <c r="H32" s="14">
        <f t="shared" si="7"/>
        <v>34393.279999999999</v>
      </c>
      <c r="I32" s="14">
        <f t="shared" si="8"/>
        <v>0</v>
      </c>
      <c r="J32" s="14"/>
      <c r="K32" s="14">
        <f t="shared" si="9"/>
        <v>0</v>
      </c>
      <c r="L32" s="14">
        <f t="shared" si="10"/>
        <v>0</v>
      </c>
      <c r="M32" s="14"/>
      <c r="N32" s="14">
        <f t="shared" si="11"/>
        <v>0</v>
      </c>
      <c r="O32" s="14">
        <f t="shared" si="12"/>
        <v>0</v>
      </c>
      <c r="P32" s="14"/>
      <c r="Q32" s="14">
        <f t="shared" si="13"/>
        <v>0</v>
      </c>
      <c r="R32" s="14">
        <f t="shared" si="14"/>
        <v>0</v>
      </c>
      <c r="S32" s="14"/>
      <c r="T32" s="14"/>
      <c r="U32" s="14"/>
      <c r="V32" s="14">
        <f t="shared" si="15"/>
        <v>0</v>
      </c>
      <c r="W32" s="14">
        <f t="shared" si="16"/>
        <v>0</v>
      </c>
    </row>
    <row r="33" spans="1:25" x14ac:dyDescent="0.25">
      <c r="A33" s="15">
        <v>44709</v>
      </c>
      <c r="B33" s="14">
        <f>Summary!$G$16/31</f>
        <v>85983.21</v>
      </c>
      <c r="C33" s="14">
        <v>15</v>
      </c>
      <c r="D33" s="14"/>
      <c r="E33" s="14"/>
      <c r="F33" s="14">
        <f t="shared" si="5"/>
        <v>51589.93</v>
      </c>
      <c r="G33" s="14">
        <f t="shared" si="6"/>
        <v>0</v>
      </c>
      <c r="H33" s="14">
        <f t="shared" si="7"/>
        <v>34393.279999999999</v>
      </c>
      <c r="I33" s="14">
        <f t="shared" si="8"/>
        <v>0</v>
      </c>
      <c r="J33" s="14"/>
      <c r="K33" s="14">
        <f t="shared" si="9"/>
        <v>0</v>
      </c>
      <c r="L33" s="14">
        <f t="shared" si="10"/>
        <v>0</v>
      </c>
      <c r="M33" s="14"/>
      <c r="N33" s="14">
        <f t="shared" si="11"/>
        <v>0</v>
      </c>
      <c r="O33" s="14">
        <f t="shared" si="12"/>
        <v>0</v>
      </c>
      <c r="P33" s="14"/>
      <c r="Q33" s="14">
        <f t="shared" si="13"/>
        <v>0</v>
      </c>
      <c r="R33" s="14">
        <f t="shared" si="14"/>
        <v>0</v>
      </c>
      <c r="S33" s="14"/>
      <c r="T33" s="14"/>
      <c r="U33" s="14"/>
      <c r="V33" s="14">
        <f t="shared" si="15"/>
        <v>0</v>
      </c>
      <c r="W33" s="14">
        <f t="shared" si="16"/>
        <v>0</v>
      </c>
    </row>
    <row r="34" spans="1:25" x14ac:dyDescent="0.25">
      <c r="A34" s="15">
        <v>44710</v>
      </c>
      <c r="B34" s="14">
        <f>Summary!$G$16/31</f>
        <v>85983.21</v>
      </c>
      <c r="C34" s="14">
        <v>15</v>
      </c>
      <c r="D34" s="14"/>
      <c r="E34" s="14"/>
      <c r="F34" s="14">
        <f t="shared" si="5"/>
        <v>51589.93</v>
      </c>
      <c r="G34" s="14">
        <f t="shared" si="6"/>
        <v>0</v>
      </c>
      <c r="H34" s="14">
        <f t="shared" si="7"/>
        <v>34393.279999999999</v>
      </c>
      <c r="I34" s="14">
        <f t="shared" si="8"/>
        <v>0</v>
      </c>
      <c r="J34" s="14"/>
      <c r="K34" s="14">
        <f t="shared" si="9"/>
        <v>0</v>
      </c>
      <c r="L34" s="14">
        <f t="shared" si="10"/>
        <v>0</v>
      </c>
      <c r="M34" s="14"/>
      <c r="N34" s="14">
        <f t="shared" si="11"/>
        <v>0</v>
      </c>
      <c r="O34" s="14">
        <f t="shared" si="12"/>
        <v>0</v>
      </c>
      <c r="P34" s="14"/>
      <c r="Q34" s="14">
        <f t="shared" si="13"/>
        <v>0</v>
      </c>
      <c r="R34" s="14">
        <f t="shared" si="14"/>
        <v>0</v>
      </c>
      <c r="S34" s="14"/>
      <c r="T34" s="14"/>
      <c r="U34" s="14"/>
      <c r="V34" s="14">
        <f t="shared" si="15"/>
        <v>0</v>
      </c>
      <c r="W34" s="14">
        <f t="shared" si="16"/>
        <v>0</v>
      </c>
    </row>
    <row r="35" spans="1:25" x14ac:dyDescent="0.25">
      <c r="A35" s="15">
        <v>44711</v>
      </c>
      <c r="B35" s="14">
        <f>Summary!$G$16/31</f>
        <v>85983.21</v>
      </c>
      <c r="C35" s="14">
        <v>15</v>
      </c>
      <c r="D35" s="14"/>
      <c r="E35" s="14"/>
      <c r="F35" s="14">
        <f t="shared" ref="F35:F36" si="17">B35*60%</f>
        <v>51589.93</v>
      </c>
      <c r="G35" s="14">
        <f t="shared" ref="G35:G36" si="18">(F35*E35)/C35</f>
        <v>0</v>
      </c>
      <c r="H35" s="14">
        <f t="shared" ref="H35:H36" si="19">B35*40%</f>
        <v>34393.279999999999</v>
      </c>
      <c r="I35" s="14">
        <f t="shared" ref="I35:I36" si="20">(H35*E35)/C35</f>
        <v>0</v>
      </c>
      <c r="J35" s="14"/>
      <c r="K35" s="14">
        <f t="shared" si="9"/>
        <v>0</v>
      </c>
      <c r="L35" s="14">
        <f t="shared" si="10"/>
        <v>0</v>
      </c>
      <c r="M35" s="14"/>
      <c r="N35" s="14">
        <f t="shared" si="11"/>
        <v>0</v>
      </c>
      <c r="O35" s="14">
        <f t="shared" si="12"/>
        <v>0</v>
      </c>
      <c r="P35" s="14"/>
      <c r="Q35" s="14">
        <f t="shared" si="13"/>
        <v>0</v>
      </c>
      <c r="R35" s="14">
        <f t="shared" si="14"/>
        <v>0</v>
      </c>
      <c r="S35" s="14"/>
      <c r="T35" s="14"/>
      <c r="U35" s="14"/>
      <c r="V35" s="14">
        <f t="shared" si="15"/>
        <v>0</v>
      </c>
      <c r="W35" s="14">
        <f t="shared" si="16"/>
        <v>0</v>
      </c>
    </row>
    <row r="36" spans="1:25" x14ac:dyDescent="0.25">
      <c r="A36" s="15">
        <v>44712</v>
      </c>
      <c r="B36" s="14">
        <f>Summary!$G$16/31</f>
        <v>85983.21</v>
      </c>
      <c r="C36" s="14">
        <v>15</v>
      </c>
      <c r="D36" s="14"/>
      <c r="E36" s="14"/>
      <c r="F36" s="14">
        <f t="shared" si="17"/>
        <v>51589.93</v>
      </c>
      <c r="G36" s="14">
        <f t="shared" si="18"/>
        <v>0</v>
      </c>
      <c r="H36" s="14">
        <f t="shared" si="19"/>
        <v>34393.279999999999</v>
      </c>
      <c r="I36" s="14">
        <f t="shared" si="20"/>
        <v>0</v>
      </c>
      <c r="J36" s="14"/>
      <c r="K36" s="14">
        <f t="shared" si="9"/>
        <v>0</v>
      </c>
      <c r="L36" s="14">
        <f t="shared" si="10"/>
        <v>0</v>
      </c>
      <c r="M36" s="14"/>
      <c r="N36" s="14">
        <f t="shared" si="11"/>
        <v>0</v>
      </c>
      <c r="O36" s="14">
        <f t="shared" si="12"/>
        <v>0</v>
      </c>
      <c r="P36" s="14"/>
      <c r="Q36" s="14">
        <f t="shared" si="13"/>
        <v>0</v>
      </c>
      <c r="R36" s="14">
        <f t="shared" si="14"/>
        <v>0</v>
      </c>
      <c r="S36" s="14"/>
      <c r="T36" s="14"/>
      <c r="U36" s="14"/>
      <c r="V36" s="14">
        <f t="shared" si="15"/>
        <v>0</v>
      </c>
      <c r="W36" s="14">
        <f t="shared" si="16"/>
        <v>0</v>
      </c>
    </row>
    <row r="37" spans="1:25" x14ac:dyDescent="0.25">
      <c r="A37" s="41" t="s">
        <v>20</v>
      </c>
      <c r="B37" s="20">
        <f>SUM(B21:B36)</f>
        <v>1375731.36</v>
      </c>
      <c r="C37" s="20"/>
      <c r="D37" s="20"/>
      <c r="E37" s="20"/>
      <c r="F37" s="20">
        <f>SUM(F6:F36)</f>
        <v>1599287.83</v>
      </c>
      <c r="G37" s="20">
        <f t="shared" ref="G37:W37" si="21">SUM(G6:G36)</f>
        <v>0</v>
      </c>
      <c r="H37" s="20">
        <f t="shared" si="21"/>
        <v>1066191.68</v>
      </c>
      <c r="I37" s="20">
        <f t="shared" si="21"/>
        <v>0</v>
      </c>
      <c r="J37" s="20"/>
      <c r="K37" s="20">
        <f t="shared" si="21"/>
        <v>0</v>
      </c>
      <c r="L37" s="20">
        <f t="shared" si="21"/>
        <v>0</v>
      </c>
      <c r="M37" s="20"/>
      <c r="N37" s="20">
        <f t="shared" si="21"/>
        <v>0</v>
      </c>
      <c r="O37" s="20">
        <f t="shared" si="21"/>
        <v>0</v>
      </c>
      <c r="P37" s="20"/>
      <c r="Q37" s="20">
        <f t="shared" si="21"/>
        <v>0</v>
      </c>
      <c r="R37" s="20">
        <f t="shared" si="21"/>
        <v>0</v>
      </c>
      <c r="S37" s="20"/>
      <c r="T37" s="20">
        <f t="shared" si="21"/>
        <v>0</v>
      </c>
      <c r="U37" s="20">
        <f t="shared" si="21"/>
        <v>0</v>
      </c>
      <c r="V37" s="20">
        <f t="shared" si="21"/>
        <v>0</v>
      </c>
      <c r="W37" s="20">
        <f t="shared" si="21"/>
        <v>0</v>
      </c>
      <c r="X37" s="20"/>
      <c r="Y37" s="20"/>
    </row>
    <row r="38" spans="1:25" x14ac:dyDescent="0.25">
      <c r="A38" s="41"/>
      <c r="B38" s="20" t="s">
        <v>78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>
        <f>G37+V37</f>
        <v>0</v>
      </c>
      <c r="W38" s="20"/>
      <c r="X38" s="29"/>
    </row>
    <row r="39" spans="1:25" x14ac:dyDescent="0.25">
      <c r="L39" s="33"/>
      <c r="N39" s="21"/>
      <c r="O39" s="21"/>
      <c r="P39" s="21"/>
      <c r="Q39" s="21"/>
      <c r="R39" s="21"/>
      <c r="S39" s="21"/>
      <c r="T39" s="21"/>
      <c r="U39" s="46"/>
      <c r="V39" s="46"/>
      <c r="W39" s="46"/>
    </row>
    <row r="40" spans="1:25" x14ac:dyDescent="0.25">
      <c r="N40" s="46"/>
      <c r="O40" s="46"/>
      <c r="P40" s="46"/>
      <c r="Q40" s="232"/>
      <c r="R40" s="232"/>
      <c r="S40" s="232"/>
      <c r="T40" s="232"/>
      <c r="U40" s="46"/>
      <c r="V40" s="25"/>
      <c r="W40" s="25"/>
    </row>
    <row r="42" spans="1:25" x14ac:dyDescent="0.25">
      <c r="C42" s="24">
        <f>B37/31</f>
        <v>44378.43</v>
      </c>
    </row>
  </sheetData>
  <mergeCells count="20">
    <mergeCell ref="W4:W5"/>
    <mergeCell ref="Q40:T40"/>
    <mergeCell ref="H4:H5"/>
    <mergeCell ref="V4:V5"/>
    <mergeCell ref="A1:V1"/>
    <mergeCell ref="C3:D3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J4:L4"/>
    <mergeCell ref="M4:O4"/>
    <mergeCell ref="P4:R4"/>
    <mergeCell ref="S4:U4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42"/>
  <sheetViews>
    <sheetView zoomScale="90" zoomScaleNormal="90" workbookViewId="0">
      <pane xSplit="1" ySplit="1" topLeftCell="H7" activePane="bottomRight" state="frozen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9.140625" defaultRowHeight="15" x14ac:dyDescent="0.25"/>
  <cols>
    <col min="1" max="1" width="10.5703125" style="23" bestFit="1" customWidth="1"/>
    <col min="2" max="2" width="13.7109375" style="23" customWidth="1"/>
    <col min="3" max="3" width="8.5703125" style="23" customWidth="1"/>
    <col min="4" max="4" width="9.140625" style="23"/>
    <col min="5" max="5" width="11.5703125" style="23" customWidth="1"/>
    <col min="6" max="6" width="12.85546875" style="23" customWidth="1"/>
    <col min="7" max="7" width="13.28515625" style="23" customWidth="1"/>
    <col min="8" max="8" width="11" style="23" bestFit="1" customWidth="1"/>
    <col min="9" max="9" width="12.5703125" style="23" bestFit="1" customWidth="1"/>
    <col min="10" max="10" width="9.28515625" style="23" bestFit="1" customWidth="1"/>
    <col min="11" max="11" width="10.5703125" style="23" bestFit="1" customWidth="1"/>
    <col min="12" max="12" width="10.140625" style="23" customWidth="1"/>
    <col min="13" max="13" width="9.28515625" style="23" bestFit="1" customWidth="1"/>
    <col min="14" max="14" width="9.28515625" style="23" customWidth="1"/>
    <col min="15" max="15" width="10.140625" style="23" customWidth="1"/>
    <col min="16" max="16" width="9.140625" style="23" customWidth="1"/>
    <col min="17" max="17" width="10.5703125" style="23" bestFit="1" customWidth="1"/>
    <col min="18" max="18" width="9" style="23" customWidth="1"/>
    <col min="19" max="19" width="9.42578125" style="23" customWidth="1"/>
    <col min="20" max="20" width="10.5703125" style="23" bestFit="1" customWidth="1"/>
    <col min="21" max="21" width="11.85546875" style="23" customWidth="1"/>
    <col min="22" max="22" width="15.42578125" style="23" customWidth="1"/>
    <col min="23" max="23" width="13.7109375" style="23" customWidth="1"/>
    <col min="24" max="24" width="9.140625" style="21"/>
  </cols>
  <sheetData>
    <row r="1" spans="1:30" ht="18.75" x14ac:dyDescent="0.3">
      <c r="A1" s="188" t="str">
        <f>'30 MLD LONI'!A1:V1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X1" s="3"/>
      <c r="Y1" s="3"/>
      <c r="Z1" s="3"/>
      <c r="AA1" s="3"/>
      <c r="AB1" s="3"/>
      <c r="AC1" s="3"/>
      <c r="AD1" s="3"/>
    </row>
    <row r="2" spans="1:30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  <c r="X2" s="18"/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90" t="s">
        <v>15</v>
      </c>
      <c r="D3" s="194"/>
      <c r="E3" s="44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1"/>
    </row>
    <row r="4" spans="1:30" s="19" customFormat="1" ht="17.25" customHeight="1" x14ac:dyDescent="0.25">
      <c r="A4" s="211" t="s">
        <v>14</v>
      </c>
      <c r="B4" s="209" t="s">
        <v>45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</row>
    <row r="5" spans="1:30" s="19" customFormat="1" ht="30" x14ac:dyDescent="0.25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</row>
    <row r="6" spans="1:30" x14ac:dyDescent="0.25">
      <c r="A6" s="15">
        <v>44682</v>
      </c>
      <c r="B6" s="14">
        <f>Summary!$G$17/31</f>
        <v>28661.07</v>
      </c>
      <c r="C6" s="14">
        <v>5</v>
      </c>
      <c r="D6" s="27"/>
      <c r="E6" s="27"/>
      <c r="F6" s="14">
        <f>B6*60%</f>
        <v>17196.64</v>
      </c>
      <c r="G6" s="14">
        <f>(F6*E6)/C6</f>
        <v>0</v>
      </c>
      <c r="H6" s="14">
        <f>B6*40%</f>
        <v>11464.43</v>
      </c>
      <c r="I6" s="14">
        <f>(H6*E6)/C6</f>
        <v>0</v>
      </c>
      <c r="J6" s="14"/>
      <c r="K6" s="14">
        <f>I6*50%</f>
        <v>0</v>
      </c>
      <c r="L6" s="14">
        <f t="shared" ref="L6" si="0">IF(J6&gt;30,(MAX($B$37*0.1/100,10000)),0)</f>
        <v>0</v>
      </c>
      <c r="M6" s="14"/>
      <c r="N6" s="14">
        <f t="shared" ref="N6" si="1">I6*15%</f>
        <v>0</v>
      </c>
      <c r="O6" s="14">
        <f t="shared" ref="O6" si="2">IF(M6&gt;100,(MAX($B$37*0.1/100,10000)),0)</f>
        <v>0</v>
      </c>
      <c r="P6" s="14"/>
      <c r="Q6" s="14">
        <f t="shared" ref="Q6" si="3">I6*25%</f>
        <v>0</v>
      </c>
      <c r="R6" s="14">
        <f t="shared" ref="R6" si="4">IF(P6&gt;50,(MAX($B$37*0.1/100,10000)),0)</f>
        <v>0</v>
      </c>
      <c r="S6" s="14"/>
      <c r="T6" s="14">
        <f t="shared" ref="T6:T36" si="5">I6*25%</f>
        <v>0</v>
      </c>
      <c r="U6" s="14">
        <f t="shared" ref="U6:U20" si="6">IF(S6&gt;1000,(MAX($B$37*0.1/100,10000)),0)</f>
        <v>0</v>
      </c>
      <c r="V6" s="14">
        <f>T6+Q6+N6+K6</f>
        <v>0</v>
      </c>
      <c r="W6" s="14">
        <f>U6+R6+O6+L6</f>
        <v>0</v>
      </c>
    </row>
    <row r="7" spans="1:30" x14ac:dyDescent="0.25">
      <c r="A7" s="15">
        <v>44683</v>
      </c>
      <c r="B7" s="14">
        <f>Summary!$G$17/31</f>
        <v>28661.07</v>
      </c>
      <c r="C7" s="14">
        <v>5</v>
      </c>
      <c r="D7" s="27"/>
      <c r="E7" s="27"/>
      <c r="F7" s="14">
        <f t="shared" ref="F7:F34" si="7">B7*60%</f>
        <v>17196.64</v>
      </c>
      <c r="G7" s="14">
        <f t="shared" ref="G7:G34" si="8">(F7*E7)/C7</f>
        <v>0</v>
      </c>
      <c r="H7" s="14">
        <f t="shared" ref="H7:H34" si="9">B7*40%</f>
        <v>11464.43</v>
      </c>
      <c r="I7" s="14">
        <f t="shared" ref="I7:I34" si="10">(H7*E7)/C7</f>
        <v>0</v>
      </c>
      <c r="J7" s="14"/>
      <c r="K7" s="14">
        <f t="shared" ref="K7:K36" si="11">I7*50%</f>
        <v>0</v>
      </c>
      <c r="L7" s="14">
        <f t="shared" ref="L7:L36" si="12">IF(J7&gt;30,(MAX($B$37*0.1/100,10000)),0)</f>
        <v>0</v>
      </c>
      <c r="M7" s="14"/>
      <c r="N7" s="14">
        <f t="shared" ref="N7:N36" si="13">I7*15%</f>
        <v>0</v>
      </c>
      <c r="O7" s="14">
        <f t="shared" ref="O7:O36" si="14">IF(M7&gt;100,(MAX($B$37*0.1/100,10000)),0)</f>
        <v>0</v>
      </c>
      <c r="P7" s="14"/>
      <c r="Q7" s="14">
        <f t="shared" ref="Q7:Q36" si="15">I7*25%</f>
        <v>0</v>
      </c>
      <c r="R7" s="14">
        <f t="shared" ref="R7:R36" si="16">IF(P7&gt;50,(MAX($B$37*0.1/100,10000)),0)</f>
        <v>0</v>
      </c>
      <c r="S7" s="14"/>
      <c r="T7" s="14">
        <f t="shared" si="5"/>
        <v>0</v>
      </c>
      <c r="U7" s="14">
        <f t="shared" si="6"/>
        <v>0</v>
      </c>
      <c r="V7" s="14">
        <f t="shared" ref="V7:V36" si="17">T7+Q7+N7+K7</f>
        <v>0</v>
      </c>
      <c r="W7" s="14">
        <f t="shared" ref="W7:W36" si="18">U7+R7+O7+L7</f>
        <v>0</v>
      </c>
    </row>
    <row r="8" spans="1:30" x14ac:dyDescent="0.25">
      <c r="A8" s="15">
        <v>44684</v>
      </c>
      <c r="B8" s="14">
        <f>Summary!$G$17/31</f>
        <v>28661.07</v>
      </c>
      <c r="C8" s="14">
        <v>5</v>
      </c>
      <c r="D8" s="27"/>
      <c r="E8" s="27"/>
      <c r="F8" s="14">
        <f t="shared" si="7"/>
        <v>17196.64</v>
      </c>
      <c r="G8" s="14">
        <f t="shared" si="8"/>
        <v>0</v>
      </c>
      <c r="H8" s="14">
        <f t="shared" si="9"/>
        <v>11464.43</v>
      </c>
      <c r="I8" s="14">
        <f t="shared" si="10"/>
        <v>0</v>
      </c>
      <c r="J8" s="14"/>
      <c r="K8" s="14">
        <f t="shared" si="11"/>
        <v>0</v>
      </c>
      <c r="L8" s="14">
        <f t="shared" si="12"/>
        <v>0</v>
      </c>
      <c r="M8" s="14"/>
      <c r="N8" s="14">
        <f t="shared" si="13"/>
        <v>0</v>
      </c>
      <c r="O8" s="14">
        <f t="shared" si="14"/>
        <v>0</v>
      </c>
      <c r="P8" s="14"/>
      <c r="Q8" s="14">
        <f t="shared" si="15"/>
        <v>0</v>
      </c>
      <c r="R8" s="14">
        <f t="shared" si="16"/>
        <v>0</v>
      </c>
      <c r="S8" s="14"/>
      <c r="T8" s="14">
        <f t="shared" si="5"/>
        <v>0</v>
      </c>
      <c r="U8" s="14">
        <f t="shared" si="6"/>
        <v>0</v>
      </c>
      <c r="V8" s="14">
        <f t="shared" si="17"/>
        <v>0</v>
      </c>
      <c r="W8" s="14">
        <f t="shared" si="18"/>
        <v>0</v>
      </c>
    </row>
    <row r="9" spans="1:30" x14ac:dyDescent="0.25">
      <c r="A9" s="15">
        <v>44685</v>
      </c>
      <c r="B9" s="14">
        <f>Summary!$G$17/31</f>
        <v>28661.07</v>
      </c>
      <c r="C9" s="14">
        <v>5</v>
      </c>
      <c r="D9" s="27"/>
      <c r="E9" s="27"/>
      <c r="F9" s="14">
        <f t="shared" si="7"/>
        <v>17196.64</v>
      </c>
      <c r="G9" s="14">
        <f t="shared" si="8"/>
        <v>0</v>
      </c>
      <c r="H9" s="14">
        <f t="shared" si="9"/>
        <v>11464.43</v>
      </c>
      <c r="I9" s="14">
        <f t="shared" si="10"/>
        <v>0</v>
      </c>
      <c r="J9" s="14"/>
      <c r="K9" s="14">
        <f t="shared" si="11"/>
        <v>0</v>
      </c>
      <c r="L9" s="14">
        <f t="shared" si="12"/>
        <v>0</v>
      </c>
      <c r="M9" s="14"/>
      <c r="N9" s="14">
        <f t="shared" si="13"/>
        <v>0</v>
      </c>
      <c r="O9" s="14">
        <f t="shared" si="14"/>
        <v>0</v>
      </c>
      <c r="P9" s="14"/>
      <c r="Q9" s="14">
        <f t="shared" si="15"/>
        <v>0</v>
      </c>
      <c r="R9" s="14">
        <f t="shared" si="16"/>
        <v>0</v>
      </c>
      <c r="S9" s="14"/>
      <c r="T9" s="14">
        <f t="shared" si="5"/>
        <v>0</v>
      </c>
      <c r="U9" s="14">
        <f t="shared" si="6"/>
        <v>0</v>
      </c>
      <c r="V9" s="14">
        <f t="shared" si="17"/>
        <v>0</v>
      </c>
      <c r="W9" s="14">
        <f t="shared" si="18"/>
        <v>0</v>
      </c>
    </row>
    <row r="10" spans="1:30" x14ac:dyDescent="0.25">
      <c r="A10" s="15">
        <v>44686</v>
      </c>
      <c r="B10" s="14">
        <f>Summary!$G$17/31</f>
        <v>28661.07</v>
      </c>
      <c r="C10" s="14">
        <v>5</v>
      </c>
      <c r="D10" s="27"/>
      <c r="E10" s="27"/>
      <c r="F10" s="14">
        <f t="shared" si="7"/>
        <v>17196.64</v>
      </c>
      <c r="G10" s="14">
        <f t="shared" si="8"/>
        <v>0</v>
      </c>
      <c r="H10" s="14">
        <f t="shared" si="9"/>
        <v>11464.43</v>
      </c>
      <c r="I10" s="14">
        <f t="shared" si="10"/>
        <v>0</v>
      </c>
      <c r="J10" s="14"/>
      <c r="K10" s="14">
        <f t="shared" si="11"/>
        <v>0</v>
      </c>
      <c r="L10" s="14">
        <f t="shared" si="12"/>
        <v>0</v>
      </c>
      <c r="M10" s="14"/>
      <c r="N10" s="14">
        <f t="shared" si="13"/>
        <v>0</v>
      </c>
      <c r="O10" s="14">
        <f t="shared" si="14"/>
        <v>0</v>
      </c>
      <c r="P10" s="14"/>
      <c r="Q10" s="14">
        <f t="shared" si="15"/>
        <v>0</v>
      </c>
      <c r="R10" s="14">
        <f t="shared" si="16"/>
        <v>0</v>
      </c>
      <c r="S10" s="14"/>
      <c r="T10" s="14">
        <f t="shared" si="5"/>
        <v>0</v>
      </c>
      <c r="U10" s="14">
        <f t="shared" si="6"/>
        <v>0</v>
      </c>
      <c r="V10" s="14">
        <f t="shared" si="17"/>
        <v>0</v>
      </c>
      <c r="W10" s="14">
        <f t="shared" si="18"/>
        <v>0</v>
      </c>
    </row>
    <row r="11" spans="1:30" x14ac:dyDescent="0.25">
      <c r="A11" s="15">
        <v>44687</v>
      </c>
      <c r="B11" s="14">
        <f>Summary!$G$17/31</f>
        <v>28661.07</v>
      </c>
      <c r="C11" s="14">
        <v>5</v>
      </c>
      <c r="D11" s="27"/>
      <c r="E11" s="27"/>
      <c r="F11" s="14">
        <f t="shared" si="7"/>
        <v>17196.64</v>
      </c>
      <c r="G11" s="14">
        <f t="shared" si="8"/>
        <v>0</v>
      </c>
      <c r="H11" s="14">
        <f t="shared" si="9"/>
        <v>11464.43</v>
      </c>
      <c r="I11" s="14">
        <f t="shared" si="10"/>
        <v>0</v>
      </c>
      <c r="J11" s="14"/>
      <c r="K11" s="14">
        <f t="shared" si="11"/>
        <v>0</v>
      </c>
      <c r="L11" s="14">
        <f t="shared" si="12"/>
        <v>0</v>
      </c>
      <c r="M11" s="14"/>
      <c r="N11" s="14">
        <f t="shared" si="13"/>
        <v>0</v>
      </c>
      <c r="O11" s="14">
        <f t="shared" si="14"/>
        <v>0</v>
      </c>
      <c r="P11" s="14"/>
      <c r="Q11" s="14">
        <f t="shared" si="15"/>
        <v>0</v>
      </c>
      <c r="R11" s="14">
        <f t="shared" si="16"/>
        <v>0</v>
      </c>
      <c r="S11" s="14"/>
      <c r="T11" s="14">
        <f t="shared" si="5"/>
        <v>0</v>
      </c>
      <c r="U11" s="14">
        <f t="shared" si="6"/>
        <v>0</v>
      </c>
      <c r="V11" s="14">
        <f t="shared" si="17"/>
        <v>0</v>
      </c>
      <c r="W11" s="14">
        <f t="shared" si="18"/>
        <v>0</v>
      </c>
    </row>
    <row r="12" spans="1:30" x14ac:dyDescent="0.25">
      <c r="A12" s="15">
        <v>44688</v>
      </c>
      <c r="B12" s="14">
        <f>Summary!$G$17/31</f>
        <v>28661.07</v>
      </c>
      <c r="C12" s="14">
        <v>5</v>
      </c>
      <c r="D12" s="27"/>
      <c r="E12" s="27"/>
      <c r="F12" s="14">
        <f t="shared" si="7"/>
        <v>17196.64</v>
      </c>
      <c r="G12" s="14">
        <f t="shared" si="8"/>
        <v>0</v>
      </c>
      <c r="H12" s="14">
        <f t="shared" si="9"/>
        <v>11464.43</v>
      </c>
      <c r="I12" s="14">
        <f t="shared" si="10"/>
        <v>0</v>
      </c>
      <c r="J12" s="14"/>
      <c r="K12" s="14">
        <f t="shared" si="11"/>
        <v>0</v>
      </c>
      <c r="L12" s="14">
        <f t="shared" si="12"/>
        <v>0</v>
      </c>
      <c r="M12" s="14"/>
      <c r="N12" s="14">
        <f t="shared" si="13"/>
        <v>0</v>
      </c>
      <c r="O12" s="14">
        <f t="shared" si="14"/>
        <v>0</v>
      </c>
      <c r="P12" s="14"/>
      <c r="Q12" s="14">
        <f t="shared" si="15"/>
        <v>0</v>
      </c>
      <c r="R12" s="14">
        <f t="shared" si="16"/>
        <v>0</v>
      </c>
      <c r="S12" s="14"/>
      <c r="T12" s="14">
        <f t="shared" si="5"/>
        <v>0</v>
      </c>
      <c r="U12" s="14">
        <f t="shared" si="6"/>
        <v>0</v>
      </c>
      <c r="V12" s="14">
        <f t="shared" si="17"/>
        <v>0</v>
      </c>
      <c r="W12" s="14">
        <f t="shared" si="18"/>
        <v>0</v>
      </c>
    </row>
    <row r="13" spans="1:30" x14ac:dyDescent="0.25">
      <c r="A13" s="15">
        <v>44689</v>
      </c>
      <c r="B13" s="14">
        <f>Summary!$G$17/31</f>
        <v>28661.07</v>
      </c>
      <c r="C13" s="14">
        <v>5</v>
      </c>
      <c r="D13" s="27"/>
      <c r="E13" s="27"/>
      <c r="F13" s="14">
        <f t="shared" si="7"/>
        <v>17196.64</v>
      </c>
      <c r="G13" s="14">
        <f t="shared" si="8"/>
        <v>0</v>
      </c>
      <c r="H13" s="14">
        <f t="shared" si="9"/>
        <v>11464.43</v>
      </c>
      <c r="I13" s="14">
        <f t="shared" si="10"/>
        <v>0</v>
      </c>
      <c r="J13" s="14"/>
      <c r="K13" s="14">
        <f t="shared" si="11"/>
        <v>0</v>
      </c>
      <c r="L13" s="14">
        <f t="shared" si="12"/>
        <v>0</v>
      </c>
      <c r="M13" s="14"/>
      <c r="N13" s="14">
        <f t="shared" si="13"/>
        <v>0</v>
      </c>
      <c r="O13" s="14">
        <f t="shared" si="14"/>
        <v>0</v>
      </c>
      <c r="P13" s="14"/>
      <c r="Q13" s="14">
        <f t="shared" si="15"/>
        <v>0</v>
      </c>
      <c r="R13" s="14">
        <f t="shared" si="16"/>
        <v>0</v>
      </c>
      <c r="S13" s="14"/>
      <c r="T13" s="14">
        <f t="shared" si="5"/>
        <v>0</v>
      </c>
      <c r="U13" s="14">
        <f t="shared" si="6"/>
        <v>0</v>
      </c>
      <c r="V13" s="14">
        <f t="shared" si="17"/>
        <v>0</v>
      </c>
      <c r="W13" s="14">
        <f t="shared" si="18"/>
        <v>0</v>
      </c>
    </row>
    <row r="14" spans="1:30" x14ac:dyDescent="0.25">
      <c r="A14" s="15">
        <v>44690</v>
      </c>
      <c r="B14" s="14">
        <f>Summary!$G$17/31</f>
        <v>28661.07</v>
      </c>
      <c r="C14" s="14">
        <v>5</v>
      </c>
      <c r="D14" s="27"/>
      <c r="E14" s="27"/>
      <c r="F14" s="14">
        <f t="shared" si="7"/>
        <v>17196.64</v>
      </c>
      <c r="G14" s="14">
        <f t="shared" si="8"/>
        <v>0</v>
      </c>
      <c r="H14" s="14">
        <f t="shared" si="9"/>
        <v>11464.43</v>
      </c>
      <c r="I14" s="14">
        <f t="shared" si="10"/>
        <v>0</v>
      </c>
      <c r="J14" s="14"/>
      <c r="K14" s="14">
        <f t="shared" si="11"/>
        <v>0</v>
      </c>
      <c r="L14" s="14">
        <f t="shared" si="12"/>
        <v>0</v>
      </c>
      <c r="M14" s="14"/>
      <c r="N14" s="14">
        <f t="shared" si="13"/>
        <v>0</v>
      </c>
      <c r="O14" s="14">
        <f t="shared" si="14"/>
        <v>0</v>
      </c>
      <c r="P14" s="14"/>
      <c r="Q14" s="14">
        <f t="shared" si="15"/>
        <v>0</v>
      </c>
      <c r="R14" s="14">
        <f t="shared" si="16"/>
        <v>0</v>
      </c>
      <c r="S14" s="14"/>
      <c r="T14" s="14">
        <f t="shared" si="5"/>
        <v>0</v>
      </c>
      <c r="U14" s="14">
        <f t="shared" si="6"/>
        <v>0</v>
      </c>
      <c r="V14" s="14">
        <f t="shared" si="17"/>
        <v>0</v>
      </c>
      <c r="W14" s="14">
        <f t="shared" si="18"/>
        <v>0</v>
      </c>
    </row>
    <row r="15" spans="1:30" x14ac:dyDescent="0.25">
      <c r="A15" s="15">
        <v>44691</v>
      </c>
      <c r="B15" s="14">
        <f>Summary!$G$17/31</f>
        <v>28661.07</v>
      </c>
      <c r="C15" s="14">
        <v>5</v>
      </c>
      <c r="D15" s="27"/>
      <c r="E15" s="27"/>
      <c r="F15" s="14">
        <f t="shared" si="7"/>
        <v>17196.64</v>
      </c>
      <c r="G15" s="14">
        <f t="shared" si="8"/>
        <v>0</v>
      </c>
      <c r="H15" s="14">
        <f t="shared" si="9"/>
        <v>11464.43</v>
      </c>
      <c r="I15" s="14">
        <f t="shared" si="10"/>
        <v>0</v>
      </c>
      <c r="J15" s="14"/>
      <c r="K15" s="14">
        <f t="shared" si="11"/>
        <v>0</v>
      </c>
      <c r="L15" s="14">
        <f t="shared" si="12"/>
        <v>0</v>
      </c>
      <c r="M15" s="14"/>
      <c r="N15" s="14">
        <f t="shared" si="13"/>
        <v>0</v>
      </c>
      <c r="O15" s="14">
        <f t="shared" si="14"/>
        <v>0</v>
      </c>
      <c r="P15" s="14"/>
      <c r="Q15" s="14">
        <f t="shared" si="15"/>
        <v>0</v>
      </c>
      <c r="R15" s="14">
        <f t="shared" si="16"/>
        <v>0</v>
      </c>
      <c r="S15" s="14"/>
      <c r="T15" s="14">
        <f t="shared" si="5"/>
        <v>0</v>
      </c>
      <c r="U15" s="14">
        <f t="shared" si="6"/>
        <v>0</v>
      </c>
      <c r="V15" s="14">
        <f t="shared" si="17"/>
        <v>0</v>
      </c>
      <c r="W15" s="14">
        <f t="shared" si="18"/>
        <v>0</v>
      </c>
    </row>
    <row r="16" spans="1:30" x14ac:dyDescent="0.25">
      <c r="A16" s="15">
        <v>44692</v>
      </c>
      <c r="B16" s="14">
        <f>Summary!$G$17/31</f>
        <v>28661.07</v>
      </c>
      <c r="C16" s="14">
        <v>5</v>
      </c>
      <c r="D16" s="27"/>
      <c r="E16" s="27"/>
      <c r="F16" s="14">
        <f t="shared" si="7"/>
        <v>17196.64</v>
      </c>
      <c r="G16" s="14">
        <f t="shared" si="8"/>
        <v>0</v>
      </c>
      <c r="H16" s="14">
        <f t="shared" si="9"/>
        <v>11464.43</v>
      </c>
      <c r="I16" s="14">
        <f t="shared" si="10"/>
        <v>0</v>
      </c>
      <c r="J16" s="14"/>
      <c r="K16" s="14">
        <f t="shared" si="11"/>
        <v>0</v>
      </c>
      <c r="L16" s="14">
        <f t="shared" si="12"/>
        <v>0</v>
      </c>
      <c r="M16" s="14"/>
      <c r="N16" s="14">
        <f t="shared" si="13"/>
        <v>0</v>
      </c>
      <c r="O16" s="14">
        <f t="shared" si="14"/>
        <v>0</v>
      </c>
      <c r="P16" s="14"/>
      <c r="Q16" s="14">
        <f t="shared" si="15"/>
        <v>0</v>
      </c>
      <c r="R16" s="14">
        <f t="shared" si="16"/>
        <v>0</v>
      </c>
      <c r="S16" s="14"/>
      <c r="T16" s="14">
        <f t="shared" si="5"/>
        <v>0</v>
      </c>
      <c r="U16" s="14">
        <f t="shared" si="6"/>
        <v>0</v>
      </c>
      <c r="V16" s="14">
        <f t="shared" si="17"/>
        <v>0</v>
      </c>
      <c r="W16" s="14">
        <f t="shared" si="18"/>
        <v>0</v>
      </c>
    </row>
    <row r="17" spans="1:23" x14ac:dyDescent="0.25">
      <c r="A17" s="15">
        <v>44693</v>
      </c>
      <c r="B17" s="14">
        <f>Summary!$G$17/31</f>
        <v>28661.07</v>
      </c>
      <c r="C17" s="14">
        <v>5</v>
      </c>
      <c r="D17" s="27"/>
      <c r="E17" s="27"/>
      <c r="F17" s="14">
        <f t="shared" si="7"/>
        <v>17196.64</v>
      </c>
      <c r="G17" s="14">
        <f t="shared" si="8"/>
        <v>0</v>
      </c>
      <c r="H17" s="14">
        <f t="shared" si="9"/>
        <v>11464.43</v>
      </c>
      <c r="I17" s="14">
        <f t="shared" si="10"/>
        <v>0</v>
      </c>
      <c r="J17" s="14"/>
      <c r="K17" s="14">
        <f t="shared" si="11"/>
        <v>0</v>
      </c>
      <c r="L17" s="14">
        <f t="shared" si="12"/>
        <v>0</v>
      </c>
      <c r="M17" s="14"/>
      <c r="N17" s="14">
        <f t="shared" si="13"/>
        <v>0</v>
      </c>
      <c r="O17" s="14">
        <f t="shared" si="14"/>
        <v>0</v>
      </c>
      <c r="P17" s="14"/>
      <c r="Q17" s="14">
        <f t="shared" si="15"/>
        <v>0</v>
      </c>
      <c r="R17" s="14">
        <f t="shared" si="16"/>
        <v>0</v>
      </c>
      <c r="S17" s="14"/>
      <c r="T17" s="14">
        <f t="shared" si="5"/>
        <v>0</v>
      </c>
      <c r="U17" s="14">
        <f t="shared" si="6"/>
        <v>0</v>
      </c>
      <c r="V17" s="14">
        <f t="shared" si="17"/>
        <v>0</v>
      </c>
      <c r="W17" s="14">
        <f t="shared" si="18"/>
        <v>0</v>
      </c>
    </row>
    <row r="18" spans="1:23" x14ac:dyDescent="0.25">
      <c r="A18" s="15">
        <v>44694</v>
      </c>
      <c r="B18" s="14">
        <f>Summary!$G$17/31</f>
        <v>28661.07</v>
      </c>
      <c r="C18" s="14">
        <v>5</v>
      </c>
      <c r="D18" s="27"/>
      <c r="E18" s="27"/>
      <c r="F18" s="14">
        <f t="shared" si="7"/>
        <v>17196.64</v>
      </c>
      <c r="G18" s="14">
        <f t="shared" si="8"/>
        <v>0</v>
      </c>
      <c r="H18" s="14">
        <f t="shared" si="9"/>
        <v>11464.43</v>
      </c>
      <c r="I18" s="14">
        <f t="shared" si="10"/>
        <v>0</v>
      </c>
      <c r="J18" s="14"/>
      <c r="K18" s="14">
        <f t="shared" si="11"/>
        <v>0</v>
      </c>
      <c r="L18" s="14">
        <f t="shared" si="12"/>
        <v>0</v>
      </c>
      <c r="M18" s="14"/>
      <c r="N18" s="14">
        <f t="shared" si="13"/>
        <v>0</v>
      </c>
      <c r="O18" s="14">
        <f t="shared" si="14"/>
        <v>0</v>
      </c>
      <c r="P18" s="14"/>
      <c r="Q18" s="14">
        <f t="shared" si="15"/>
        <v>0</v>
      </c>
      <c r="R18" s="14">
        <f t="shared" si="16"/>
        <v>0</v>
      </c>
      <c r="S18" s="14"/>
      <c r="T18" s="14">
        <f t="shared" si="5"/>
        <v>0</v>
      </c>
      <c r="U18" s="14">
        <f t="shared" si="6"/>
        <v>0</v>
      </c>
      <c r="V18" s="14">
        <f t="shared" si="17"/>
        <v>0</v>
      </c>
      <c r="W18" s="14">
        <f t="shared" si="18"/>
        <v>0</v>
      </c>
    </row>
    <row r="19" spans="1:23" x14ac:dyDescent="0.25">
      <c r="A19" s="15">
        <v>44695</v>
      </c>
      <c r="B19" s="14">
        <f>Summary!$G$17/31</f>
        <v>28661.07</v>
      </c>
      <c r="C19" s="14">
        <v>5</v>
      </c>
      <c r="D19" s="27"/>
      <c r="E19" s="27"/>
      <c r="F19" s="14">
        <f t="shared" si="7"/>
        <v>17196.64</v>
      </c>
      <c r="G19" s="14">
        <f t="shared" si="8"/>
        <v>0</v>
      </c>
      <c r="H19" s="14">
        <f t="shared" si="9"/>
        <v>11464.43</v>
      </c>
      <c r="I19" s="14">
        <f t="shared" si="10"/>
        <v>0</v>
      </c>
      <c r="J19" s="14"/>
      <c r="K19" s="14">
        <f t="shared" si="11"/>
        <v>0</v>
      </c>
      <c r="L19" s="14">
        <f t="shared" si="12"/>
        <v>0</v>
      </c>
      <c r="M19" s="14"/>
      <c r="N19" s="14">
        <f t="shared" si="13"/>
        <v>0</v>
      </c>
      <c r="O19" s="14">
        <f t="shared" si="14"/>
        <v>0</v>
      </c>
      <c r="P19" s="14"/>
      <c r="Q19" s="14">
        <f t="shared" si="15"/>
        <v>0</v>
      </c>
      <c r="R19" s="14">
        <f t="shared" si="16"/>
        <v>0</v>
      </c>
      <c r="S19" s="14"/>
      <c r="T19" s="14">
        <f t="shared" si="5"/>
        <v>0</v>
      </c>
      <c r="U19" s="14">
        <f t="shared" si="6"/>
        <v>0</v>
      </c>
      <c r="V19" s="14">
        <f t="shared" si="17"/>
        <v>0</v>
      </c>
      <c r="W19" s="14">
        <f t="shared" si="18"/>
        <v>0</v>
      </c>
    </row>
    <row r="20" spans="1:23" x14ac:dyDescent="0.25">
      <c r="A20" s="15">
        <v>44696</v>
      </c>
      <c r="B20" s="14">
        <f>Summary!$G$17/31</f>
        <v>28661.07</v>
      </c>
      <c r="C20" s="14">
        <v>5</v>
      </c>
      <c r="D20" s="27"/>
      <c r="E20" s="27"/>
      <c r="F20" s="14">
        <f t="shared" si="7"/>
        <v>17196.64</v>
      </c>
      <c r="G20" s="14">
        <f t="shared" si="8"/>
        <v>0</v>
      </c>
      <c r="H20" s="14">
        <f t="shared" si="9"/>
        <v>11464.43</v>
      </c>
      <c r="I20" s="14">
        <f t="shared" si="10"/>
        <v>0</v>
      </c>
      <c r="J20" s="14"/>
      <c r="K20" s="14">
        <f t="shared" si="11"/>
        <v>0</v>
      </c>
      <c r="L20" s="14">
        <f t="shared" si="12"/>
        <v>0</v>
      </c>
      <c r="M20" s="14"/>
      <c r="N20" s="14">
        <f t="shared" si="13"/>
        <v>0</v>
      </c>
      <c r="O20" s="14">
        <f t="shared" si="14"/>
        <v>0</v>
      </c>
      <c r="P20" s="14"/>
      <c r="Q20" s="14">
        <f t="shared" si="15"/>
        <v>0</v>
      </c>
      <c r="R20" s="14">
        <f t="shared" si="16"/>
        <v>0</v>
      </c>
      <c r="S20" s="14"/>
      <c r="T20" s="14">
        <f t="shared" si="5"/>
        <v>0</v>
      </c>
      <c r="U20" s="14">
        <f t="shared" si="6"/>
        <v>0</v>
      </c>
      <c r="V20" s="14">
        <f t="shared" si="17"/>
        <v>0</v>
      </c>
      <c r="W20" s="14">
        <f t="shared" si="18"/>
        <v>0</v>
      </c>
    </row>
    <row r="21" spans="1:23" x14ac:dyDescent="0.25">
      <c r="A21" s="15">
        <v>44697</v>
      </c>
      <c r="B21" s="14">
        <f>Summary!$G$17/31</f>
        <v>28661.07</v>
      </c>
      <c r="C21" s="14">
        <v>5</v>
      </c>
      <c r="D21" s="27"/>
      <c r="E21" s="27"/>
      <c r="F21" s="14">
        <f t="shared" si="7"/>
        <v>17196.64</v>
      </c>
      <c r="G21" s="14">
        <f t="shared" si="8"/>
        <v>0</v>
      </c>
      <c r="H21" s="14">
        <f t="shared" si="9"/>
        <v>11464.43</v>
      </c>
      <c r="I21" s="14">
        <f t="shared" si="10"/>
        <v>0</v>
      </c>
      <c r="J21" s="14"/>
      <c r="K21" s="14">
        <f t="shared" si="11"/>
        <v>0</v>
      </c>
      <c r="L21" s="14">
        <f t="shared" si="12"/>
        <v>0</v>
      </c>
      <c r="M21" s="14"/>
      <c r="N21" s="14">
        <f t="shared" si="13"/>
        <v>0</v>
      </c>
      <c r="O21" s="14">
        <f t="shared" si="14"/>
        <v>0</v>
      </c>
      <c r="P21" s="14"/>
      <c r="Q21" s="14">
        <f t="shared" si="15"/>
        <v>0</v>
      </c>
      <c r="R21" s="14">
        <f t="shared" si="16"/>
        <v>0</v>
      </c>
      <c r="S21" s="14"/>
      <c r="T21" s="14">
        <f t="shared" si="5"/>
        <v>0</v>
      </c>
      <c r="U21" s="14">
        <f t="shared" ref="U21:U34" si="19">IF(S21&gt;1000,(MAX($B$37*0.1/100,10000)),0)</f>
        <v>0</v>
      </c>
      <c r="V21" s="14">
        <f t="shared" si="17"/>
        <v>0</v>
      </c>
      <c r="W21" s="14">
        <f t="shared" si="18"/>
        <v>0</v>
      </c>
    </row>
    <row r="22" spans="1:23" x14ac:dyDescent="0.25">
      <c r="A22" s="15">
        <v>44698</v>
      </c>
      <c r="B22" s="14">
        <f>Summary!$G$17/31</f>
        <v>28661.07</v>
      </c>
      <c r="C22" s="14">
        <v>5</v>
      </c>
      <c r="D22" s="27"/>
      <c r="E22" s="27"/>
      <c r="F22" s="14">
        <f t="shared" si="7"/>
        <v>17196.64</v>
      </c>
      <c r="G22" s="14">
        <f t="shared" si="8"/>
        <v>0</v>
      </c>
      <c r="H22" s="14">
        <f t="shared" si="9"/>
        <v>11464.43</v>
      </c>
      <c r="I22" s="14">
        <f t="shared" si="10"/>
        <v>0</v>
      </c>
      <c r="J22" s="14"/>
      <c r="K22" s="14">
        <f t="shared" si="11"/>
        <v>0</v>
      </c>
      <c r="L22" s="14">
        <f t="shared" si="12"/>
        <v>0</v>
      </c>
      <c r="M22" s="14"/>
      <c r="N22" s="14">
        <f t="shared" si="13"/>
        <v>0</v>
      </c>
      <c r="O22" s="14">
        <f t="shared" si="14"/>
        <v>0</v>
      </c>
      <c r="P22" s="14"/>
      <c r="Q22" s="14">
        <f t="shared" si="15"/>
        <v>0</v>
      </c>
      <c r="R22" s="14">
        <f t="shared" si="16"/>
        <v>0</v>
      </c>
      <c r="S22" s="14"/>
      <c r="T22" s="14">
        <f t="shared" si="5"/>
        <v>0</v>
      </c>
      <c r="U22" s="14">
        <f t="shared" si="19"/>
        <v>0</v>
      </c>
      <c r="V22" s="14">
        <f t="shared" si="17"/>
        <v>0</v>
      </c>
      <c r="W22" s="14">
        <f t="shared" si="18"/>
        <v>0</v>
      </c>
    </row>
    <row r="23" spans="1:23" x14ac:dyDescent="0.25">
      <c r="A23" s="15">
        <v>44699</v>
      </c>
      <c r="B23" s="14">
        <f>Summary!$G$17/31</f>
        <v>28661.07</v>
      </c>
      <c r="C23" s="14">
        <v>5</v>
      </c>
      <c r="D23" s="27"/>
      <c r="E23" s="27"/>
      <c r="F23" s="14">
        <f t="shared" si="7"/>
        <v>17196.64</v>
      </c>
      <c r="G23" s="14">
        <f t="shared" si="8"/>
        <v>0</v>
      </c>
      <c r="H23" s="14">
        <f t="shared" si="9"/>
        <v>11464.43</v>
      </c>
      <c r="I23" s="14">
        <f t="shared" si="10"/>
        <v>0</v>
      </c>
      <c r="J23" s="14"/>
      <c r="K23" s="14">
        <f t="shared" si="11"/>
        <v>0</v>
      </c>
      <c r="L23" s="14">
        <f t="shared" si="12"/>
        <v>0</v>
      </c>
      <c r="M23" s="14"/>
      <c r="N23" s="14">
        <f t="shared" si="13"/>
        <v>0</v>
      </c>
      <c r="O23" s="14">
        <f t="shared" si="14"/>
        <v>0</v>
      </c>
      <c r="P23" s="14"/>
      <c r="Q23" s="14">
        <f t="shared" si="15"/>
        <v>0</v>
      </c>
      <c r="R23" s="14">
        <f t="shared" si="16"/>
        <v>0</v>
      </c>
      <c r="S23" s="14"/>
      <c r="T23" s="14">
        <f t="shared" si="5"/>
        <v>0</v>
      </c>
      <c r="U23" s="14">
        <f t="shared" si="19"/>
        <v>0</v>
      </c>
      <c r="V23" s="14">
        <f t="shared" si="17"/>
        <v>0</v>
      </c>
      <c r="W23" s="14">
        <f t="shared" si="18"/>
        <v>0</v>
      </c>
    </row>
    <row r="24" spans="1:23" x14ac:dyDescent="0.25">
      <c r="A24" s="15">
        <v>44700</v>
      </c>
      <c r="B24" s="14">
        <f>Summary!$G$17/31</f>
        <v>28661.07</v>
      </c>
      <c r="C24" s="14">
        <v>5</v>
      </c>
      <c r="D24" s="27"/>
      <c r="E24" s="27"/>
      <c r="F24" s="14">
        <f t="shared" si="7"/>
        <v>17196.64</v>
      </c>
      <c r="G24" s="14">
        <f t="shared" si="8"/>
        <v>0</v>
      </c>
      <c r="H24" s="14">
        <f t="shared" si="9"/>
        <v>11464.43</v>
      </c>
      <c r="I24" s="14">
        <f t="shared" si="10"/>
        <v>0</v>
      </c>
      <c r="J24" s="14"/>
      <c r="K24" s="14">
        <f t="shared" si="11"/>
        <v>0</v>
      </c>
      <c r="L24" s="14">
        <f t="shared" si="12"/>
        <v>0</v>
      </c>
      <c r="M24" s="14"/>
      <c r="N24" s="14">
        <f t="shared" si="13"/>
        <v>0</v>
      </c>
      <c r="O24" s="14">
        <f t="shared" si="14"/>
        <v>0</v>
      </c>
      <c r="P24" s="14"/>
      <c r="Q24" s="14">
        <f t="shared" si="15"/>
        <v>0</v>
      </c>
      <c r="R24" s="14">
        <f t="shared" si="16"/>
        <v>0</v>
      </c>
      <c r="S24" s="14"/>
      <c r="T24" s="14">
        <f t="shared" si="5"/>
        <v>0</v>
      </c>
      <c r="U24" s="14">
        <f t="shared" si="19"/>
        <v>0</v>
      </c>
      <c r="V24" s="14">
        <f t="shared" si="17"/>
        <v>0</v>
      </c>
      <c r="W24" s="14">
        <f t="shared" si="18"/>
        <v>0</v>
      </c>
    </row>
    <row r="25" spans="1:23" x14ac:dyDescent="0.25">
      <c r="A25" s="15">
        <v>44701</v>
      </c>
      <c r="B25" s="14">
        <f>Summary!$G$17/31</f>
        <v>28661.07</v>
      </c>
      <c r="C25" s="14">
        <v>5</v>
      </c>
      <c r="D25" s="27"/>
      <c r="E25" s="27"/>
      <c r="F25" s="14">
        <f t="shared" si="7"/>
        <v>17196.64</v>
      </c>
      <c r="G25" s="14">
        <f t="shared" si="8"/>
        <v>0</v>
      </c>
      <c r="H25" s="14">
        <f t="shared" si="9"/>
        <v>11464.43</v>
      </c>
      <c r="I25" s="14">
        <f t="shared" si="10"/>
        <v>0</v>
      </c>
      <c r="J25" s="14"/>
      <c r="K25" s="14">
        <f t="shared" si="11"/>
        <v>0</v>
      </c>
      <c r="L25" s="14">
        <f t="shared" si="12"/>
        <v>0</v>
      </c>
      <c r="M25" s="14"/>
      <c r="N25" s="14">
        <f t="shared" si="13"/>
        <v>0</v>
      </c>
      <c r="O25" s="14">
        <f t="shared" si="14"/>
        <v>0</v>
      </c>
      <c r="P25" s="14"/>
      <c r="Q25" s="14">
        <f t="shared" si="15"/>
        <v>0</v>
      </c>
      <c r="R25" s="14">
        <f t="shared" si="16"/>
        <v>0</v>
      </c>
      <c r="S25" s="14"/>
      <c r="T25" s="14">
        <f t="shared" si="5"/>
        <v>0</v>
      </c>
      <c r="U25" s="14">
        <f t="shared" si="19"/>
        <v>0</v>
      </c>
      <c r="V25" s="14">
        <f t="shared" si="17"/>
        <v>0</v>
      </c>
      <c r="W25" s="14">
        <f t="shared" si="18"/>
        <v>0</v>
      </c>
    </row>
    <row r="26" spans="1:23" x14ac:dyDescent="0.25">
      <c r="A26" s="15">
        <v>44702</v>
      </c>
      <c r="B26" s="14">
        <f>Summary!$G$17/31</f>
        <v>28661.07</v>
      </c>
      <c r="C26" s="14">
        <v>5</v>
      </c>
      <c r="D26" s="27"/>
      <c r="E26" s="27"/>
      <c r="F26" s="14">
        <f t="shared" si="7"/>
        <v>17196.64</v>
      </c>
      <c r="G26" s="14">
        <f t="shared" si="8"/>
        <v>0</v>
      </c>
      <c r="H26" s="14">
        <f t="shared" si="9"/>
        <v>11464.43</v>
      </c>
      <c r="I26" s="14">
        <f t="shared" si="10"/>
        <v>0</v>
      </c>
      <c r="J26" s="14"/>
      <c r="K26" s="14">
        <f t="shared" si="11"/>
        <v>0</v>
      </c>
      <c r="L26" s="14">
        <f t="shared" si="12"/>
        <v>0</v>
      </c>
      <c r="M26" s="14"/>
      <c r="N26" s="14">
        <f t="shared" si="13"/>
        <v>0</v>
      </c>
      <c r="O26" s="14">
        <f t="shared" si="14"/>
        <v>0</v>
      </c>
      <c r="P26" s="14"/>
      <c r="Q26" s="14">
        <f t="shared" si="15"/>
        <v>0</v>
      </c>
      <c r="R26" s="14">
        <f t="shared" si="16"/>
        <v>0</v>
      </c>
      <c r="S26" s="14"/>
      <c r="T26" s="14">
        <f t="shared" si="5"/>
        <v>0</v>
      </c>
      <c r="U26" s="14">
        <f t="shared" si="19"/>
        <v>0</v>
      </c>
      <c r="V26" s="14">
        <f t="shared" si="17"/>
        <v>0</v>
      </c>
      <c r="W26" s="14">
        <f t="shared" si="18"/>
        <v>0</v>
      </c>
    </row>
    <row r="27" spans="1:23" x14ac:dyDescent="0.25">
      <c r="A27" s="15">
        <v>44703</v>
      </c>
      <c r="B27" s="14">
        <f>Summary!$G$17/31</f>
        <v>28661.07</v>
      </c>
      <c r="C27" s="14">
        <v>5</v>
      </c>
      <c r="D27" s="27"/>
      <c r="E27" s="27"/>
      <c r="F27" s="14">
        <f t="shared" si="7"/>
        <v>17196.64</v>
      </c>
      <c r="G27" s="14">
        <f t="shared" si="8"/>
        <v>0</v>
      </c>
      <c r="H27" s="14">
        <f t="shared" si="9"/>
        <v>11464.43</v>
      </c>
      <c r="I27" s="14">
        <f t="shared" si="10"/>
        <v>0</v>
      </c>
      <c r="J27" s="14"/>
      <c r="K27" s="14">
        <f t="shared" si="11"/>
        <v>0</v>
      </c>
      <c r="L27" s="14">
        <f t="shared" si="12"/>
        <v>0</v>
      </c>
      <c r="M27" s="14"/>
      <c r="N27" s="14">
        <f t="shared" si="13"/>
        <v>0</v>
      </c>
      <c r="O27" s="14">
        <f t="shared" si="14"/>
        <v>0</v>
      </c>
      <c r="P27" s="14"/>
      <c r="Q27" s="14">
        <f t="shared" si="15"/>
        <v>0</v>
      </c>
      <c r="R27" s="14">
        <f t="shared" si="16"/>
        <v>0</v>
      </c>
      <c r="S27" s="14"/>
      <c r="T27" s="14">
        <f t="shared" si="5"/>
        <v>0</v>
      </c>
      <c r="U27" s="14">
        <f t="shared" si="19"/>
        <v>0</v>
      </c>
      <c r="V27" s="14">
        <f t="shared" si="17"/>
        <v>0</v>
      </c>
      <c r="W27" s="14">
        <f t="shared" si="18"/>
        <v>0</v>
      </c>
    </row>
    <row r="28" spans="1:23" x14ac:dyDescent="0.25">
      <c r="A28" s="15">
        <v>44704</v>
      </c>
      <c r="B28" s="14">
        <f>Summary!$G$17/31</f>
        <v>28661.07</v>
      </c>
      <c r="C28" s="14">
        <v>5</v>
      </c>
      <c r="D28" s="27"/>
      <c r="E28" s="27"/>
      <c r="F28" s="14">
        <f t="shared" si="7"/>
        <v>17196.64</v>
      </c>
      <c r="G28" s="14">
        <f t="shared" si="8"/>
        <v>0</v>
      </c>
      <c r="H28" s="14">
        <f t="shared" si="9"/>
        <v>11464.43</v>
      </c>
      <c r="I28" s="14">
        <f t="shared" si="10"/>
        <v>0</v>
      </c>
      <c r="J28" s="14"/>
      <c r="K28" s="14">
        <f t="shared" si="11"/>
        <v>0</v>
      </c>
      <c r="L28" s="14">
        <f t="shared" si="12"/>
        <v>0</v>
      </c>
      <c r="M28" s="14"/>
      <c r="N28" s="14">
        <f t="shared" si="13"/>
        <v>0</v>
      </c>
      <c r="O28" s="14">
        <f t="shared" si="14"/>
        <v>0</v>
      </c>
      <c r="P28" s="14"/>
      <c r="Q28" s="14">
        <f t="shared" si="15"/>
        <v>0</v>
      </c>
      <c r="R28" s="14">
        <f t="shared" si="16"/>
        <v>0</v>
      </c>
      <c r="S28" s="14"/>
      <c r="T28" s="14">
        <f t="shared" si="5"/>
        <v>0</v>
      </c>
      <c r="U28" s="14">
        <f t="shared" si="19"/>
        <v>0</v>
      </c>
      <c r="V28" s="14">
        <f t="shared" si="17"/>
        <v>0</v>
      </c>
      <c r="W28" s="14">
        <f t="shared" si="18"/>
        <v>0</v>
      </c>
    </row>
    <row r="29" spans="1:23" x14ac:dyDescent="0.25">
      <c r="A29" s="15">
        <v>44705</v>
      </c>
      <c r="B29" s="14">
        <f>Summary!$G$17/31</f>
        <v>28661.07</v>
      </c>
      <c r="C29" s="14">
        <v>5</v>
      </c>
      <c r="D29" s="27"/>
      <c r="E29" s="27"/>
      <c r="F29" s="14">
        <f t="shared" si="7"/>
        <v>17196.64</v>
      </c>
      <c r="G29" s="14">
        <f t="shared" si="8"/>
        <v>0</v>
      </c>
      <c r="H29" s="14">
        <f t="shared" si="9"/>
        <v>11464.43</v>
      </c>
      <c r="I29" s="14">
        <f t="shared" si="10"/>
        <v>0</v>
      </c>
      <c r="J29" s="14"/>
      <c r="K29" s="14">
        <f t="shared" si="11"/>
        <v>0</v>
      </c>
      <c r="L29" s="14">
        <f t="shared" si="12"/>
        <v>0</v>
      </c>
      <c r="M29" s="14"/>
      <c r="N29" s="14">
        <f t="shared" si="13"/>
        <v>0</v>
      </c>
      <c r="O29" s="14">
        <f t="shared" si="14"/>
        <v>0</v>
      </c>
      <c r="P29" s="14"/>
      <c r="Q29" s="14">
        <f t="shared" si="15"/>
        <v>0</v>
      </c>
      <c r="R29" s="14">
        <f t="shared" si="16"/>
        <v>0</v>
      </c>
      <c r="S29" s="14"/>
      <c r="T29" s="14">
        <f t="shared" si="5"/>
        <v>0</v>
      </c>
      <c r="U29" s="14">
        <f t="shared" si="19"/>
        <v>0</v>
      </c>
      <c r="V29" s="14">
        <f t="shared" si="17"/>
        <v>0</v>
      </c>
      <c r="W29" s="14">
        <f t="shared" si="18"/>
        <v>0</v>
      </c>
    </row>
    <row r="30" spans="1:23" x14ac:dyDescent="0.25">
      <c r="A30" s="15">
        <v>44706</v>
      </c>
      <c r="B30" s="14">
        <f>Summary!$G$17/31</f>
        <v>28661.07</v>
      </c>
      <c r="C30" s="14">
        <v>5</v>
      </c>
      <c r="D30" s="27"/>
      <c r="E30" s="27"/>
      <c r="F30" s="14">
        <f t="shared" si="7"/>
        <v>17196.64</v>
      </c>
      <c r="G30" s="14">
        <f t="shared" si="8"/>
        <v>0</v>
      </c>
      <c r="H30" s="14">
        <f t="shared" si="9"/>
        <v>11464.43</v>
      </c>
      <c r="I30" s="14">
        <f t="shared" si="10"/>
        <v>0</v>
      </c>
      <c r="J30" s="14"/>
      <c r="K30" s="14">
        <f t="shared" si="11"/>
        <v>0</v>
      </c>
      <c r="L30" s="14">
        <f t="shared" si="12"/>
        <v>0</v>
      </c>
      <c r="M30" s="14"/>
      <c r="N30" s="14">
        <f t="shared" si="13"/>
        <v>0</v>
      </c>
      <c r="O30" s="14">
        <f t="shared" si="14"/>
        <v>0</v>
      </c>
      <c r="P30" s="14"/>
      <c r="Q30" s="14">
        <f t="shared" si="15"/>
        <v>0</v>
      </c>
      <c r="R30" s="14">
        <f t="shared" si="16"/>
        <v>0</v>
      </c>
      <c r="S30" s="14"/>
      <c r="T30" s="14">
        <f t="shared" si="5"/>
        <v>0</v>
      </c>
      <c r="U30" s="14">
        <f t="shared" si="19"/>
        <v>0</v>
      </c>
      <c r="V30" s="14">
        <f t="shared" si="17"/>
        <v>0</v>
      </c>
      <c r="W30" s="14">
        <f t="shared" si="18"/>
        <v>0</v>
      </c>
    </row>
    <row r="31" spans="1:23" x14ac:dyDescent="0.25">
      <c r="A31" s="15">
        <v>44707</v>
      </c>
      <c r="B31" s="14">
        <f>Summary!$G$17/31</f>
        <v>28661.07</v>
      </c>
      <c r="C31" s="14">
        <v>5</v>
      </c>
      <c r="D31" s="27"/>
      <c r="E31" s="27"/>
      <c r="F31" s="14">
        <f t="shared" si="7"/>
        <v>17196.64</v>
      </c>
      <c r="G31" s="14">
        <f t="shared" si="8"/>
        <v>0</v>
      </c>
      <c r="H31" s="14">
        <f t="shared" si="9"/>
        <v>11464.43</v>
      </c>
      <c r="I31" s="14">
        <f t="shared" si="10"/>
        <v>0</v>
      </c>
      <c r="J31" s="14"/>
      <c r="K31" s="14">
        <f t="shared" si="11"/>
        <v>0</v>
      </c>
      <c r="L31" s="14">
        <f t="shared" si="12"/>
        <v>0</v>
      </c>
      <c r="M31" s="14"/>
      <c r="N31" s="14">
        <f t="shared" si="13"/>
        <v>0</v>
      </c>
      <c r="O31" s="14">
        <f t="shared" si="14"/>
        <v>0</v>
      </c>
      <c r="P31" s="14"/>
      <c r="Q31" s="14">
        <f t="shared" si="15"/>
        <v>0</v>
      </c>
      <c r="R31" s="14">
        <f t="shared" si="16"/>
        <v>0</v>
      </c>
      <c r="S31" s="14"/>
      <c r="T31" s="14">
        <f t="shared" si="5"/>
        <v>0</v>
      </c>
      <c r="U31" s="14">
        <f t="shared" si="19"/>
        <v>0</v>
      </c>
      <c r="V31" s="14">
        <f t="shared" si="17"/>
        <v>0</v>
      </c>
      <c r="W31" s="14">
        <f t="shared" si="18"/>
        <v>0</v>
      </c>
    </row>
    <row r="32" spans="1:23" x14ac:dyDescent="0.25">
      <c r="A32" s="15">
        <v>44708</v>
      </c>
      <c r="B32" s="14">
        <f>Summary!$G$17/31</f>
        <v>28661.07</v>
      </c>
      <c r="C32" s="14">
        <v>5</v>
      </c>
      <c r="D32" s="27"/>
      <c r="E32" s="27"/>
      <c r="F32" s="14">
        <f t="shared" si="7"/>
        <v>17196.64</v>
      </c>
      <c r="G32" s="14">
        <f t="shared" si="8"/>
        <v>0</v>
      </c>
      <c r="H32" s="14">
        <f t="shared" si="9"/>
        <v>11464.43</v>
      </c>
      <c r="I32" s="14">
        <f t="shared" si="10"/>
        <v>0</v>
      </c>
      <c r="J32" s="14"/>
      <c r="K32" s="14">
        <f t="shared" si="11"/>
        <v>0</v>
      </c>
      <c r="L32" s="14">
        <f t="shared" si="12"/>
        <v>0</v>
      </c>
      <c r="M32" s="14"/>
      <c r="N32" s="14">
        <f t="shared" si="13"/>
        <v>0</v>
      </c>
      <c r="O32" s="14">
        <f t="shared" si="14"/>
        <v>0</v>
      </c>
      <c r="P32" s="14"/>
      <c r="Q32" s="14">
        <f t="shared" si="15"/>
        <v>0</v>
      </c>
      <c r="R32" s="14">
        <f t="shared" si="16"/>
        <v>0</v>
      </c>
      <c r="S32" s="14"/>
      <c r="T32" s="14">
        <f t="shared" si="5"/>
        <v>0</v>
      </c>
      <c r="U32" s="14">
        <f t="shared" si="19"/>
        <v>0</v>
      </c>
      <c r="V32" s="14">
        <f t="shared" si="17"/>
        <v>0</v>
      </c>
      <c r="W32" s="14">
        <f t="shared" si="18"/>
        <v>0</v>
      </c>
    </row>
    <row r="33" spans="1:25" x14ac:dyDescent="0.25">
      <c r="A33" s="15">
        <v>44709</v>
      </c>
      <c r="B33" s="14">
        <f>Summary!$G$17/31</f>
        <v>28661.07</v>
      </c>
      <c r="C33" s="14">
        <v>5</v>
      </c>
      <c r="D33" s="27"/>
      <c r="E33" s="27"/>
      <c r="F33" s="14">
        <f t="shared" si="7"/>
        <v>17196.64</v>
      </c>
      <c r="G33" s="14">
        <f t="shared" si="8"/>
        <v>0</v>
      </c>
      <c r="H33" s="14">
        <f t="shared" si="9"/>
        <v>11464.43</v>
      </c>
      <c r="I33" s="14">
        <f t="shared" si="10"/>
        <v>0</v>
      </c>
      <c r="J33" s="14"/>
      <c r="K33" s="14">
        <f t="shared" si="11"/>
        <v>0</v>
      </c>
      <c r="L33" s="14">
        <f t="shared" si="12"/>
        <v>0</v>
      </c>
      <c r="M33" s="14"/>
      <c r="N33" s="14">
        <f t="shared" si="13"/>
        <v>0</v>
      </c>
      <c r="O33" s="14">
        <f t="shared" si="14"/>
        <v>0</v>
      </c>
      <c r="P33" s="14"/>
      <c r="Q33" s="14">
        <f t="shared" si="15"/>
        <v>0</v>
      </c>
      <c r="R33" s="14">
        <f t="shared" si="16"/>
        <v>0</v>
      </c>
      <c r="S33" s="14"/>
      <c r="T33" s="14">
        <f t="shared" si="5"/>
        <v>0</v>
      </c>
      <c r="U33" s="14">
        <f t="shared" si="19"/>
        <v>0</v>
      </c>
      <c r="V33" s="14">
        <f t="shared" si="17"/>
        <v>0</v>
      </c>
      <c r="W33" s="14">
        <f t="shared" si="18"/>
        <v>0</v>
      </c>
    </row>
    <row r="34" spans="1:25" x14ac:dyDescent="0.25">
      <c r="A34" s="15">
        <v>44710</v>
      </c>
      <c r="B34" s="14">
        <f>Summary!$G$17/31</f>
        <v>28661.07</v>
      </c>
      <c r="C34" s="14">
        <v>5</v>
      </c>
      <c r="D34" s="27"/>
      <c r="E34" s="27"/>
      <c r="F34" s="14">
        <f t="shared" si="7"/>
        <v>17196.64</v>
      </c>
      <c r="G34" s="14">
        <f t="shared" si="8"/>
        <v>0</v>
      </c>
      <c r="H34" s="14">
        <f t="shared" si="9"/>
        <v>11464.43</v>
      </c>
      <c r="I34" s="14">
        <f t="shared" si="10"/>
        <v>0</v>
      </c>
      <c r="J34" s="14"/>
      <c r="K34" s="14">
        <f t="shared" si="11"/>
        <v>0</v>
      </c>
      <c r="L34" s="14">
        <f t="shared" si="12"/>
        <v>0</v>
      </c>
      <c r="M34" s="14"/>
      <c r="N34" s="14">
        <f t="shared" si="13"/>
        <v>0</v>
      </c>
      <c r="O34" s="14">
        <f t="shared" si="14"/>
        <v>0</v>
      </c>
      <c r="P34" s="14"/>
      <c r="Q34" s="14">
        <f t="shared" si="15"/>
        <v>0</v>
      </c>
      <c r="R34" s="14">
        <f t="shared" si="16"/>
        <v>0</v>
      </c>
      <c r="S34" s="14"/>
      <c r="T34" s="14">
        <f t="shared" si="5"/>
        <v>0</v>
      </c>
      <c r="U34" s="14">
        <f t="shared" si="19"/>
        <v>0</v>
      </c>
      <c r="V34" s="14">
        <f t="shared" si="17"/>
        <v>0</v>
      </c>
      <c r="W34" s="14">
        <f t="shared" si="18"/>
        <v>0</v>
      </c>
    </row>
    <row r="35" spans="1:25" x14ac:dyDescent="0.25">
      <c r="A35" s="15">
        <v>44711</v>
      </c>
      <c r="B35" s="14">
        <f>Summary!$G$17/31</f>
        <v>28661.07</v>
      </c>
      <c r="C35" s="14">
        <v>5</v>
      </c>
      <c r="D35" s="27"/>
      <c r="E35" s="27"/>
      <c r="F35" s="14">
        <f t="shared" ref="F35:F36" si="20">B35*60%</f>
        <v>17196.64</v>
      </c>
      <c r="G35" s="14">
        <f t="shared" ref="G35:G36" si="21">(F35*E35)/C35</f>
        <v>0</v>
      </c>
      <c r="H35" s="14">
        <f t="shared" ref="H35:H36" si="22">B35*40%</f>
        <v>11464.43</v>
      </c>
      <c r="I35" s="14">
        <f t="shared" ref="I35:I36" si="23">(H35*E35)/C35</f>
        <v>0</v>
      </c>
      <c r="J35" s="14"/>
      <c r="K35" s="14">
        <f t="shared" si="11"/>
        <v>0</v>
      </c>
      <c r="L35" s="14">
        <f t="shared" si="12"/>
        <v>0</v>
      </c>
      <c r="M35" s="14"/>
      <c r="N35" s="14">
        <f t="shared" si="13"/>
        <v>0</v>
      </c>
      <c r="O35" s="14">
        <f t="shared" si="14"/>
        <v>0</v>
      </c>
      <c r="P35" s="14"/>
      <c r="Q35" s="14">
        <f t="shared" si="15"/>
        <v>0</v>
      </c>
      <c r="R35" s="14">
        <f t="shared" si="16"/>
        <v>0</v>
      </c>
      <c r="S35" s="14"/>
      <c r="T35" s="14">
        <f t="shared" si="5"/>
        <v>0</v>
      </c>
      <c r="U35" s="14">
        <f t="shared" ref="U35:U36" si="24">IF(S35&gt;1000,(MAX($B$37*0.1/100,10000)),0)</f>
        <v>0</v>
      </c>
      <c r="V35" s="14">
        <f t="shared" si="17"/>
        <v>0</v>
      </c>
      <c r="W35" s="14">
        <f t="shared" si="18"/>
        <v>0</v>
      </c>
    </row>
    <row r="36" spans="1:25" x14ac:dyDescent="0.25">
      <c r="A36" s="15">
        <v>44712</v>
      </c>
      <c r="B36" s="14">
        <f>Summary!$G$17/31</f>
        <v>28661.07</v>
      </c>
      <c r="C36" s="14">
        <v>5</v>
      </c>
      <c r="D36" s="27"/>
      <c r="E36" s="27"/>
      <c r="F36" s="14">
        <f t="shared" si="20"/>
        <v>17196.64</v>
      </c>
      <c r="G36" s="14">
        <f t="shared" si="21"/>
        <v>0</v>
      </c>
      <c r="H36" s="14">
        <f t="shared" si="22"/>
        <v>11464.43</v>
      </c>
      <c r="I36" s="14">
        <f t="shared" si="23"/>
        <v>0</v>
      </c>
      <c r="J36" s="14"/>
      <c r="K36" s="14">
        <f t="shared" si="11"/>
        <v>0</v>
      </c>
      <c r="L36" s="14">
        <f t="shared" si="12"/>
        <v>0</v>
      </c>
      <c r="M36" s="14"/>
      <c r="N36" s="14">
        <f t="shared" si="13"/>
        <v>0</v>
      </c>
      <c r="O36" s="14">
        <f t="shared" si="14"/>
        <v>0</v>
      </c>
      <c r="P36" s="14"/>
      <c r="Q36" s="14">
        <f t="shared" si="15"/>
        <v>0</v>
      </c>
      <c r="R36" s="14">
        <f t="shared" si="16"/>
        <v>0</v>
      </c>
      <c r="S36" s="14"/>
      <c r="T36" s="14">
        <f t="shared" si="5"/>
        <v>0</v>
      </c>
      <c r="U36" s="14">
        <f t="shared" si="24"/>
        <v>0</v>
      </c>
      <c r="V36" s="14">
        <f t="shared" si="17"/>
        <v>0</v>
      </c>
      <c r="W36" s="14">
        <f t="shared" si="18"/>
        <v>0</v>
      </c>
    </row>
    <row r="37" spans="1:25" x14ac:dyDescent="0.25">
      <c r="A37" s="15">
        <v>44531</v>
      </c>
      <c r="B37" s="20">
        <f>SUM(B21:B36)</f>
        <v>458577.12</v>
      </c>
      <c r="C37" s="20"/>
      <c r="D37" s="20"/>
      <c r="E37" s="20"/>
      <c r="F37" s="20">
        <f>SUM(F6:F36)</f>
        <v>533095.84</v>
      </c>
      <c r="G37" s="20">
        <f t="shared" ref="G37:W37" si="25">SUM(G6:G36)</f>
        <v>0</v>
      </c>
      <c r="H37" s="20">
        <f t="shared" si="25"/>
        <v>355397.33</v>
      </c>
      <c r="I37" s="20">
        <f t="shared" si="25"/>
        <v>0</v>
      </c>
      <c r="J37" s="20"/>
      <c r="K37" s="20">
        <f t="shared" si="25"/>
        <v>0</v>
      </c>
      <c r="L37" s="20">
        <f t="shared" si="25"/>
        <v>0</v>
      </c>
      <c r="M37" s="20"/>
      <c r="N37" s="20">
        <f t="shared" si="25"/>
        <v>0</v>
      </c>
      <c r="O37" s="20">
        <f t="shared" si="25"/>
        <v>0</v>
      </c>
      <c r="P37" s="20"/>
      <c r="Q37" s="20">
        <f t="shared" si="25"/>
        <v>0</v>
      </c>
      <c r="R37" s="20">
        <f t="shared" si="25"/>
        <v>0</v>
      </c>
      <c r="S37" s="20"/>
      <c r="T37" s="20">
        <f t="shared" si="25"/>
        <v>0</v>
      </c>
      <c r="U37" s="20">
        <f t="shared" si="25"/>
        <v>0</v>
      </c>
      <c r="V37" s="20">
        <f t="shared" si="25"/>
        <v>0</v>
      </c>
      <c r="W37" s="20">
        <f t="shared" si="25"/>
        <v>0</v>
      </c>
      <c r="X37" s="20"/>
      <c r="Y37" s="20"/>
    </row>
    <row r="38" spans="1:25" x14ac:dyDescent="0.25">
      <c r="A38" s="41"/>
      <c r="B38" s="20" t="s">
        <v>81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>
        <f>G37+V37</f>
        <v>0</v>
      </c>
      <c r="W38" s="20"/>
      <c r="X38" s="29"/>
    </row>
    <row r="39" spans="1:25" x14ac:dyDescent="0.25">
      <c r="M39" s="23" t="s">
        <v>87</v>
      </c>
      <c r="N39" s="21" t="s">
        <v>88</v>
      </c>
      <c r="O39" s="21"/>
      <c r="P39" s="21"/>
      <c r="Q39" s="21"/>
      <c r="R39" s="21"/>
      <c r="S39" s="21"/>
      <c r="T39" s="21"/>
      <c r="U39" s="46"/>
      <c r="V39" s="46"/>
      <c r="W39" s="46"/>
    </row>
    <row r="40" spans="1:25" x14ac:dyDescent="0.25">
      <c r="Q40" s="232"/>
      <c r="R40" s="232"/>
      <c r="S40" s="232"/>
      <c r="T40" s="232"/>
      <c r="U40" s="46"/>
      <c r="V40" s="46"/>
      <c r="W40" s="46"/>
    </row>
    <row r="42" spans="1:25" x14ac:dyDescent="0.25">
      <c r="C42" s="24">
        <f>B37/31</f>
        <v>14792.81</v>
      </c>
      <c r="V42" s="24"/>
      <c r="W42" s="24"/>
    </row>
  </sheetData>
  <mergeCells count="20">
    <mergeCell ref="A1:V1"/>
    <mergeCell ref="C3:D3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J4:L4"/>
    <mergeCell ref="M4:O4"/>
    <mergeCell ref="P4:R4"/>
    <mergeCell ref="S4:U4"/>
    <mergeCell ref="Q40:T40"/>
    <mergeCell ref="H4:H5"/>
    <mergeCell ref="W4:W5"/>
    <mergeCell ref="V4:V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D42"/>
  <sheetViews>
    <sheetView zoomScale="90" zoomScaleNormal="90" workbookViewId="0">
      <pane xSplit="1" topLeftCell="G1" activePane="topRight" state="frozen"/>
      <selection activeCell="B37" sqref="B37"/>
      <selection pane="topRight" activeCell="L43" sqref="L43"/>
    </sheetView>
  </sheetViews>
  <sheetFormatPr defaultColWidth="9.140625" defaultRowHeight="15.75" x14ac:dyDescent="0.25"/>
  <cols>
    <col min="1" max="1" width="10.5703125" style="23" bestFit="1" customWidth="1"/>
    <col min="2" max="2" width="13.7109375" style="23" customWidth="1"/>
    <col min="3" max="3" width="8.5703125" style="23" customWidth="1"/>
    <col min="4" max="5" width="9.140625" style="23"/>
    <col min="6" max="6" width="13.42578125" style="23" customWidth="1"/>
    <col min="7" max="7" width="13.28515625" style="23" customWidth="1"/>
    <col min="8" max="8" width="11" style="23" bestFit="1" customWidth="1"/>
    <col min="9" max="9" width="12.5703125" style="23" bestFit="1" customWidth="1"/>
    <col min="10" max="10" width="10.140625" style="23" customWidth="1"/>
    <col min="11" max="11" width="10.5703125" style="23" bestFit="1" customWidth="1"/>
    <col min="12" max="12" width="10.140625" style="23" customWidth="1"/>
    <col min="13" max="13" width="10" style="23" customWidth="1"/>
    <col min="14" max="14" width="9.28515625" style="23" customWidth="1"/>
    <col min="15" max="16" width="10.140625" style="23" customWidth="1"/>
    <col min="17" max="17" width="10.42578125" style="23" bestFit="1" customWidth="1"/>
    <col min="18" max="18" width="9" style="23" customWidth="1"/>
    <col min="19" max="19" width="10.42578125" style="23" customWidth="1"/>
    <col min="20" max="20" width="9.5703125" style="23" bestFit="1" customWidth="1"/>
    <col min="21" max="21" width="11.85546875" style="23" customWidth="1"/>
    <col min="22" max="22" width="15.42578125" style="23" customWidth="1"/>
    <col min="23" max="23" width="13.7109375" style="23" customWidth="1"/>
    <col min="24" max="24" width="9.140625" style="28"/>
  </cols>
  <sheetData>
    <row r="1" spans="1:30" ht="18.75" x14ac:dyDescent="0.3">
      <c r="A1" s="188" t="str">
        <f>'24 MLD Bijnore'!A1:V1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Y1" s="3"/>
      <c r="Z1" s="3"/>
      <c r="AA1" s="3"/>
      <c r="AB1" s="3"/>
      <c r="AC1" s="3"/>
      <c r="AD1" s="3"/>
    </row>
    <row r="2" spans="1:30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  <c r="X2" s="30"/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90" t="s">
        <v>15</v>
      </c>
      <c r="D3" s="191"/>
      <c r="E3" s="194"/>
      <c r="F3" s="185" t="s">
        <v>18</v>
      </c>
      <c r="G3" s="185"/>
      <c r="H3" s="185" t="s">
        <v>19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5"/>
    </row>
    <row r="4" spans="1:30" s="19" customFormat="1" ht="17.25" customHeight="1" x14ac:dyDescent="0.25">
      <c r="A4" s="211" t="s">
        <v>14</v>
      </c>
      <c r="B4" s="209" t="s">
        <v>46</v>
      </c>
      <c r="C4" s="211" t="s">
        <v>89</v>
      </c>
      <c r="D4" s="209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  <c r="X4" s="31"/>
    </row>
    <row r="5" spans="1:30" s="19" customFormat="1" ht="30" x14ac:dyDescent="0.25">
      <c r="A5" s="212"/>
      <c r="B5" s="210"/>
      <c r="C5" s="212"/>
      <c r="D5" s="210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X5" s="31"/>
    </row>
    <row r="6" spans="1:30" x14ac:dyDescent="0.25">
      <c r="A6" s="15">
        <v>44682</v>
      </c>
      <c r="B6" s="14">
        <f>Summary!$G$18/31</f>
        <v>80250.990000000005</v>
      </c>
      <c r="C6" s="14">
        <v>14</v>
      </c>
      <c r="D6" s="14"/>
      <c r="E6" s="14"/>
      <c r="F6" s="14">
        <f>B6*60%</f>
        <v>48150.59</v>
      </c>
      <c r="G6" s="14">
        <f>(F6*E6)/C6</f>
        <v>0</v>
      </c>
      <c r="H6" s="14">
        <f>B6*40%</f>
        <v>32100.400000000001</v>
      </c>
      <c r="I6" s="14">
        <f>(H6*E6)/C6</f>
        <v>0</v>
      </c>
      <c r="J6" s="14"/>
      <c r="K6" s="14">
        <f>I6*50%</f>
        <v>0</v>
      </c>
      <c r="L6" s="14">
        <f t="shared" ref="L6" si="0">IF(J6&gt;30,(MAX($B$37*0.1/100,10000)),0)</f>
        <v>0</v>
      </c>
      <c r="M6" s="14"/>
      <c r="N6" s="14">
        <f t="shared" ref="N6" si="1">I6*15%</f>
        <v>0</v>
      </c>
      <c r="O6" s="14">
        <f t="shared" ref="O6" si="2">IF(M6&gt;100,(MAX($B$37*0.1/100,10000)),0)</f>
        <v>0</v>
      </c>
      <c r="P6" s="14"/>
      <c r="Q6" s="14">
        <f t="shared" ref="Q6" si="3">I6*25%</f>
        <v>0</v>
      </c>
      <c r="R6" s="14">
        <f t="shared" ref="R6" si="4">IF(P6&gt;50,(MAX($B$37*0.1/100,10000)),0)</f>
        <v>0</v>
      </c>
      <c r="S6" s="14"/>
      <c r="T6" s="14">
        <f>I6*10%</f>
        <v>0</v>
      </c>
      <c r="U6" s="14">
        <f t="shared" ref="U6:U20" si="5">IF(S6&gt;1000,(MAX($B$37*0.1/100,10000)),0)</f>
        <v>0</v>
      </c>
      <c r="V6" s="14">
        <f>T6+Q6+N6+K6</f>
        <v>0</v>
      </c>
      <c r="W6" s="14">
        <f>U6+R6+O6+L6</f>
        <v>0</v>
      </c>
    </row>
    <row r="7" spans="1:30" x14ac:dyDescent="0.25">
      <c r="A7" s="15">
        <v>44683</v>
      </c>
      <c r="B7" s="14">
        <f>Summary!$G$18/31</f>
        <v>80250.990000000005</v>
      </c>
      <c r="C7" s="14">
        <v>14</v>
      </c>
      <c r="D7" s="14"/>
      <c r="E7" s="14"/>
      <c r="F7" s="14">
        <f t="shared" ref="F7:F34" si="6">B7*60%</f>
        <v>48150.59</v>
      </c>
      <c r="G7" s="14">
        <f t="shared" ref="G7:G34" si="7">(F7*E7)/C7</f>
        <v>0</v>
      </c>
      <c r="H7" s="14">
        <f t="shared" ref="H7:H34" si="8">B7*40%</f>
        <v>32100.400000000001</v>
      </c>
      <c r="I7" s="14">
        <f>(H7*E7)/C7</f>
        <v>0</v>
      </c>
      <c r="J7" s="14"/>
      <c r="K7" s="14">
        <f t="shared" ref="K7:K36" si="9">I7*50%</f>
        <v>0</v>
      </c>
      <c r="L7" s="14">
        <f t="shared" ref="L7:L36" si="10">IF(J7&gt;30,(MAX($B$37*0.1/100,10000)),0)</f>
        <v>0</v>
      </c>
      <c r="M7" s="14"/>
      <c r="N7" s="14">
        <f t="shared" ref="N7:N36" si="11">I7*15%</f>
        <v>0</v>
      </c>
      <c r="O7" s="14">
        <f t="shared" ref="O7:O36" si="12">IF(M7&gt;100,(MAX($B$37*0.1/100,10000)),0)</f>
        <v>0</v>
      </c>
      <c r="P7" s="14"/>
      <c r="Q7" s="14">
        <f t="shared" ref="Q7:Q36" si="13">I7*25%</f>
        <v>0</v>
      </c>
      <c r="R7" s="14">
        <f t="shared" ref="R7:R36" si="14">IF(P7&gt;50,(MAX($B$37*0.1/100,10000)),0)</f>
        <v>0</v>
      </c>
      <c r="S7" s="14"/>
      <c r="T7" s="14">
        <f t="shared" ref="T7:T12" si="15">I7*10%</f>
        <v>0</v>
      </c>
      <c r="U7" s="14">
        <f t="shared" si="5"/>
        <v>0</v>
      </c>
      <c r="V7" s="14">
        <f t="shared" ref="V7:V36" si="16">T7+Q7+N7+K7</f>
        <v>0</v>
      </c>
      <c r="W7" s="14">
        <f t="shared" ref="W7:W36" si="17">U7+R7+O7+L7</f>
        <v>0</v>
      </c>
    </row>
    <row r="8" spans="1:30" x14ac:dyDescent="0.25">
      <c r="A8" s="15">
        <v>44684</v>
      </c>
      <c r="B8" s="14">
        <f>Summary!$G$18/31</f>
        <v>80250.990000000005</v>
      </c>
      <c r="C8" s="14">
        <v>14</v>
      </c>
      <c r="D8" s="14"/>
      <c r="E8" s="14"/>
      <c r="F8" s="14">
        <f t="shared" si="6"/>
        <v>48150.59</v>
      </c>
      <c r="G8" s="14">
        <f t="shared" si="7"/>
        <v>0</v>
      </c>
      <c r="H8" s="14">
        <f t="shared" si="8"/>
        <v>32100.400000000001</v>
      </c>
      <c r="I8" s="14">
        <f t="shared" ref="I8:I34" si="18">(H8*E8)/C8</f>
        <v>0</v>
      </c>
      <c r="J8" s="14"/>
      <c r="K8" s="14">
        <f t="shared" si="9"/>
        <v>0</v>
      </c>
      <c r="L8" s="14">
        <f t="shared" si="10"/>
        <v>0</v>
      </c>
      <c r="M8" s="14"/>
      <c r="N8" s="14">
        <f t="shared" si="11"/>
        <v>0</v>
      </c>
      <c r="O8" s="14">
        <f t="shared" si="12"/>
        <v>0</v>
      </c>
      <c r="P8" s="14"/>
      <c r="Q8" s="14">
        <f t="shared" si="13"/>
        <v>0</v>
      </c>
      <c r="R8" s="14">
        <f t="shared" si="14"/>
        <v>0</v>
      </c>
      <c r="S8" s="14"/>
      <c r="T8" s="14">
        <f t="shared" si="15"/>
        <v>0</v>
      </c>
      <c r="U8" s="14">
        <f t="shared" si="5"/>
        <v>0</v>
      </c>
      <c r="V8" s="14">
        <f t="shared" si="16"/>
        <v>0</v>
      </c>
      <c r="W8" s="14">
        <f t="shared" si="17"/>
        <v>0</v>
      </c>
    </row>
    <row r="9" spans="1:30" x14ac:dyDescent="0.25">
      <c r="A9" s="15">
        <v>44685</v>
      </c>
      <c r="B9" s="14">
        <f>Summary!$G$18/31</f>
        <v>80250.990000000005</v>
      </c>
      <c r="C9" s="14">
        <v>14</v>
      </c>
      <c r="D9" s="14"/>
      <c r="E9" s="14"/>
      <c r="F9" s="14">
        <f t="shared" si="6"/>
        <v>48150.59</v>
      </c>
      <c r="G9" s="14">
        <f t="shared" si="7"/>
        <v>0</v>
      </c>
      <c r="H9" s="14">
        <f t="shared" si="8"/>
        <v>32100.400000000001</v>
      </c>
      <c r="I9" s="14">
        <f t="shared" si="18"/>
        <v>0</v>
      </c>
      <c r="J9" s="14"/>
      <c r="K9" s="14">
        <f t="shared" si="9"/>
        <v>0</v>
      </c>
      <c r="L9" s="14">
        <f t="shared" si="10"/>
        <v>0</v>
      </c>
      <c r="M9" s="14"/>
      <c r="N9" s="14">
        <f t="shared" si="11"/>
        <v>0</v>
      </c>
      <c r="O9" s="14">
        <f t="shared" si="12"/>
        <v>0</v>
      </c>
      <c r="P9" s="14"/>
      <c r="Q9" s="14">
        <f t="shared" si="13"/>
        <v>0</v>
      </c>
      <c r="R9" s="14">
        <f t="shared" si="14"/>
        <v>0</v>
      </c>
      <c r="S9" s="14"/>
      <c r="T9" s="14">
        <f t="shared" si="15"/>
        <v>0</v>
      </c>
      <c r="U9" s="14">
        <f t="shared" si="5"/>
        <v>0</v>
      </c>
      <c r="V9" s="14">
        <f t="shared" si="16"/>
        <v>0</v>
      </c>
      <c r="W9" s="14">
        <f t="shared" si="17"/>
        <v>0</v>
      </c>
    </row>
    <row r="10" spans="1:30" x14ac:dyDescent="0.25">
      <c r="A10" s="15">
        <v>44686</v>
      </c>
      <c r="B10" s="14">
        <f>Summary!$G$18/31</f>
        <v>80250.990000000005</v>
      </c>
      <c r="C10" s="14">
        <v>14</v>
      </c>
      <c r="D10" s="14"/>
      <c r="E10" s="14"/>
      <c r="F10" s="14">
        <f t="shared" si="6"/>
        <v>48150.59</v>
      </c>
      <c r="G10" s="14">
        <f t="shared" si="7"/>
        <v>0</v>
      </c>
      <c r="H10" s="14">
        <f>B10*40%</f>
        <v>32100.400000000001</v>
      </c>
      <c r="I10" s="14">
        <f t="shared" si="18"/>
        <v>0</v>
      </c>
      <c r="J10" s="14"/>
      <c r="K10" s="14">
        <f t="shared" si="9"/>
        <v>0</v>
      </c>
      <c r="L10" s="14">
        <f t="shared" si="10"/>
        <v>0</v>
      </c>
      <c r="M10" s="14"/>
      <c r="N10" s="14">
        <f t="shared" si="11"/>
        <v>0</v>
      </c>
      <c r="O10" s="14">
        <f t="shared" si="12"/>
        <v>0</v>
      </c>
      <c r="P10" s="14"/>
      <c r="Q10" s="14">
        <f t="shared" si="13"/>
        <v>0</v>
      </c>
      <c r="R10" s="14">
        <f t="shared" si="14"/>
        <v>0</v>
      </c>
      <c r="S10" s="14"/>
      <c r="T10" s="14">
        <f t="shared" si="15"/>
        <v>0</v>
      </c>
      <c r="U10" s="14">
        <f t="shared" si="5"/>
        <v>0</v>
      </c>
      <c r="V10" s="14">
        <f t="shared" si="16"/>
        <v>0</v>
      </c>
      <c r="W10" s="14">
        <f t="shared" si="17"/>
        <v>0</v>
      </c>
    </row>
    <row r="11" spans="1:30" x14ac:dyDescent="0.25">
      <c r="A11" s="15">
        <v>44687</v>
      </c>
      <c r="B11" s="14">
        <f>Summary!$G$18/31</f>
        <v>80250.990000000005</v>
      </c>
      <c r="C11" s="14">
        <v>14</v>
      </c>
      <c r="D11" s="14"/>
      <c r="E11" s="14"/>
      <c r="F11" s="14">
        <f t="shared" si="6"/>
        <v>48150.59</v>
      </c>
      <c r="G11" s="14">
        <f t="shared" si="7"/>
        <v>0</v>
      </c>
      <c r="H11" s="14">
        <f t="shared" si="8"/>
        <v>32100.400000000001</v>
      </c>
      <c r="I11" s="14">
        <f t="shared" si="18"/>
        <v>0</v>
      </c>
      <c r="J11" s="14"/>
      <c r="K11" s="14">
        <f t="shared" si="9"/>
        <v>0</v>
      </c>
      <c r="L11" s="14">
        <f t="shared" si="10"/>
        <v>0</v>
      </c>
      <c r="M11" s="14"/>
      <c r="N11" s="14">
        <f t="shared" si="11"/>
        <v>0</v>
      </c>
      <c r="O11" s="14">
        <f t="shared" si="12"/>
        <v>0</v>
      </c>
      <c r="P11" s="14"/>
      <c r="Q11" s="14">
        <f t="shared" si="13"/>
        <v>0</v>
      </c>
      <c r="R11" s="14">
        <f t="shared" si="14"/>
        <v>0</v>
      </c>
      <c r="S11" s="14"/>
      <c r="T11" s="14">
        <f t="shared" si="15"/>
        <v>0</v>
      </c>
      <c r="U11" s="14">
        <f t="shared" si="5"/>
        <v>0</v>
      </c>
      <c r="V11" s="14">
        <f t="shared" si="16"/>
        <v>0</v>
      </c>
      <c r="W11" s="14">
        <f t="shared" si="17"/>
        <v>0</v>
      </c>
    </row>
    <row r="12" spans="1:30" x14ac:dyDescent="0.25">
      <c r="A12" s="15">
        <v>44688</v>
      </c>
      <c r="B12" s="14">
        <f>Summary!$G$18/31</f>
        <v>80250.990000000005</v>
      </c>
      <c r="C12" s="14">
        <v>14</v>
      </c>
      <c r="D12" s="14"/>
      <c r="E12" s="14"/>
      <c r="F12" s="14">
        <f t="shared" si="6"/>
        <v>48150.59</v>
      </c>
      <c r="G12" s="14">
        <f t="shared" si="7"/>
        <v>0</v>
      </c>
      <c r="H12" s="14">
        <f t="shared" si="8"/>
        <v>32100.400000000001</v>
      </c>
      <c r="I12" s="14">
        <f t="shared" si="18"/>
        <v>0</v>
      </c>
      <c r="J12" s="14"/>
      <c r="K12" s="14">
        <f t="shared" si="9"/>
        <v>0</v>
      </c>
      <c r="L12" s="14">
        <f t="shared" si="10"/>
        <v>0</v>
      </c>
      <c r="M12" s="14"/>
      <c r="N12" s="14">
        <f t="shared" si="11"/>
        <v>0</v>
      </c>
      <c r="O12" s="14">
        <f t="shared" si="12"/>
        <v>0</v>
      </c>
      <c r="P12" s="14"/>
      <c r="Q12" s="14">
        <f t="shared" si="13"/>
        <v>0</v>
      </c>
      <c r="R12" s="14">
        <f t="shared" si="14"/>
        <v>0</v>
      </c>
      <c r="S12" s="14"/>
      <c r="T12" s="14">
        <f t="shared" si="15"/>
        <v>0</v>
      </c>
      <c r="U12" s="14">
        <f t="shared" si="5"/>
        <v>0</v>
      </c>
      <c r="V12" s="14">
        <f t="shared" si="16"/>
        <v>0</v>
      </c>
      <c r="W12" s="14">
        <f t="shared" si="17"/>
        <v>0</v>
      </c>
    </row>
    <row r="13" spans="1:30" x14ac:dyDescent="0.25">
      <c r="A13" s="15">
        <v>44689</v>
      </c>
      <c r="B13" s="14">
        <f>Summary!$G$18/31</f>
        <v>80250.990000000005</v>
      </c>
      <c r="C13" s="14">
        <v>14</v>
      </c>
      <c r="D13" s="14"/>
      <c r="E13" s="14"/>
      <c r="F13" s="14">
        <f t="shared" si="6"/>
        <v>48150.59</v>
      </c>
      <c r="G13" s="14">
        <f t="shared" si="7"/>
        <v>0</v>
      </c>
      <c r="H13" s="14">
        <f t="shared" si="8"/>
        <v>32100.400000000001</v>
      </c>
      <c r="I13" s="14">
        <f t="shared" si="18"/>
        <v>0</v>
      </c>
      <c r="J13" s="14"/>
      <c r="K13" s="14">
        <f t="shared" si="9"/>
        <v>0</v>
      </c>
      <c r="L13" s="14">
        <f t="shared" si="10"/>
        <v>0</v>
      </c>
      <c r="M13" s="14"/>
      <c r="N13" s="14">
        <f t="shared" si="11"/>
        <v>0</v>
      </c>
      <c r="O13" s="14">
        <f t="shared" si="12"/>
        <v>0</v>
      </c>
      <c r="P13" s="14"/>
      <c r="Q13" s="14">
        <f t="shared" si="13"/>
        <v>0</v>
      </c>
      <c r="R13" s="14">
        <f t="shared" si="14"/>
        <v>0</v>
      </c>
      <c r="S13" s="14"/>
      <c r="T13" s="14">
        <f t="shared" ref="T13:T36" si="19">I13*10%</f>
        <v>0</v>
      </c>
      <c r="U13" s="14">
        <f t="shared" si="5"/>
        <v>0</v>
      </c>
      <c r="V13" s="14">
        <f t="shared" si="16"/>
        <v>0</v>
      </c>
      <c r="W13" s="14">
        <f t="shared" si="17"/>
        <v>0</v>
      </c>
    </row>
    <row r="14" spans="1:30" x14ac:dyDescent="0.25">
      <c r="A14" s="15">
        <v>44690</v>
      </c>
      <c r="B14" s="14">
        <f>Summary!$G$18/31</f>
        <v>80250.990000000005</v>
      </c>
      <c r="C14" s="14">
        <v>14</v>
      </c>
      <c r="D14" s="14"/>
      <c r="E14" s="14"/>
      <c r="F14" s="14">
        <f t="shared" si="6"/>
        <v>48150.59</v>
      </c>
      <c r="G14" s="14">
        <f t="shared" si="7"/>
        <v>0</v>
      </c>
      <c r="H14" s="14">
        <f t="shared" si="8"/>
        <v>32100.400000000001</v>
      </c>
      <c r="I14" s="14">
        <f t="shared" si="18"/>
        <v>0</v>
      </c>
      <c r="J14" s="14"/>
      <c r="K14" s="14">
        <f t="shared" si="9"/>
        <v>0</v>
      </c>
      <c r="L14" s="14">
        <f t="shared" si="10"/>
        <v>0</v>
      </c>
      <c r="M14" s="14"/>
      <c r="N14" s="14">
        <f t="shared" si="11"/>
        <v>0</v>
      </c>
      <c r="O14" s="14">
        <f t="shared" si="12"/>
        <v>0</v>
      </c>
      <c r="P14" s="14"/>
      <c r="Q14" s="14">
        <f t="shared" si="13"/>
        <v>0</v>
      </c>
      <c r="R14" s="14">
        <f t="shared" si="14"/>
        <v>0</v>
      </c>
      <c r="S14" s="14"/>
      <c r="T14" s="14">
        <f t="shared" si="19"/>
        <v>0</v>
      </c>
      <c r="U14" s="14">
        <f t="shared" si="5"/>
        <v>0</v>
      </c>
      <c r="V14" s="14">
        <f t="shared" si="16"/>
        <v>0</v>
      </c>
      <c r="W14" s="14">
        <f t="shared" si="17"/>
        <v>0</v>
      </c>
    </row>
    <row r="15" spans="1:30" x14ac:dyDescent="0.25">
      <c r="A15" s="15">
        <v>44691</v>
      </c>
      <c r="B15" s="14">
        <f>Summary!$G$18/31</f>
        <v>80250.990000000005</v>
      </c>
      <c r="C15" s="14">
        <v>14</v>
      </c>
      <c r="D15" s="14"/>
      <c r="E15" s="14"/>
      <c r="F15" s="14">
        <f t="shared" si="6"/>
        <v>48150.59</v>
      </c>
      <c r="G15" s="14">
        <f t="shared" si="7"/>
        <v>0</v>
      </c>
      <c r="H15" s="14">
        <f t="shared" si="8"/>
        <v>32100.400000000001</v>
      </c>
      <c r="I15" s="14">
        <f t="shared" si="18"/>
        <v>0</v>
      </c>
      <c r="J15" s="14"/>
      <c r="K15" s="14">
        <f t="shared" si="9"/>
        <v>0</v>
      </c>
      <c r="L15" s="14">
        <f t="shared" si="10"/>
        <v>0</v>
      </c>
      <c r="M15" s="14"/>
      <c r="N15" s="14">
        <f t="shared" si="11"/>
        <v>0</v>
      </c>
      <c r="O15" s="14">
        <f t="shared" si="12"/>
        <v>0</v>
      </c>
      <c r="P15" s="14"/>
      <c r="Q15" s="14">
        <f t="shared" si="13"/>
        <v>0</v>
      </c>
      <c r="R15" s="14">
        <f t="shared" si="14"/>
        <v>0</v>
      </c>
      <c r="S15" s="14"/>
      <c r="T15" s="14">
        <f t="shared" si="19"/>
        <v>0</v>
      </c>
      <c r="U15" s="14">
        <f t="shared" si="5"/>
        <v>0</v>
      </c>
      <c r="V15" s="14">
        <f t="shared" si="16"/>
        <v>0</v>
      </c>
      <c r="W15" s="14">
        <f t="shared" si="17"/>
        <v>0</v>
      </c>
    </row>
    <row r="16" spans="1:30" x14ac:dyDescent="0.25">
      <c r="A16" s="15">
        <v>44692</v>
      </c>
      <c r="B16" s="14">
        <f>Summary!$G$18/31</f>
        <v>80250.990000000005</v>
      </c>
      <c r="C16" s="14">
        <v>14</v>
      </c>
      <c r="D16" s="14"/>
      <c r="E16" s="14"/>
      <c r="F16" s="14">
        <f t="shared" si="6"/>
        <v>48150.59</v>
      </c>
      <c r="G16" s="14">
        <f t="shared" si="7"/>
        <v>0</v>
      </c>
      <c r="H16" s="14">
        <f t="shared" si="8"/>
        <v>32100.400000000001</v>
      </c>
      <c r="I16" s="14">
        <f t="shared" si="18"/>
        <v>0</v>
      </c>
      <c r="J16" s="14"/>
      <c r="K16" s="14">
        <f t="shared" si="9"/>
        <v>0</v>
      </c>
      <c r="L16" s="14">
        <f t="shared" si="10"/>
        <v>0</v>
      </c>
      <c r="M16" s="14"/>
      <c r="N16" s="14">
        <f t="shared" si="11"/>
        <v>0</v>
      </c>
      <c r="O16" s="14">
        <f t="shared" si="12"/>
        <v>0</v>
      </c>
      <c r="P16" s="14"/>
      <c r="Q16" s="14">
        <f t="shared" si="13"/>
        <v>0</v>
      </c>
      <c r="R16" s="14">
        <f t="shared" si="14"/>
        <v>0</v>
      </c>
      <c r="S16" s="14"/>
      <c r="T16" s="14">
        <f t="shared" si="19"/>
        <v>0</v>
      </c>
      <c r="U16" s="14">
        <f t="shared" si="5"/>
        <v>0</v>
      </c>
      <c r="V16" s="14">
        <f t="shared" si="16"/>
        <v>0</v>
      </c>
      <c r="W16" s="14">
        <f t="shared" si="17"/>
        <v>0</v>
      </c>
    </row>
    <row r="17" spans="1:23" x14ac:dyDescent="0.25">
      <c r="A17" s="15">
        <v>44693</v>
      </c>
      <c r="B17" s="14">
        <f>Summary!$G$18/31</f>
        <v>80250.990000000005</v>
      </c>
      <c r="C17" s="14">
        <v>14</v>
      </c>
      <c r="D17" s="14"/>
      <c r="E17" s="14"/>
      <c r="F17" s="14">
        <f t="shared" si="6"/>
        <v>48150.59</v>
      </c>
      <c r="G17" s="14">
        <f t="shared" si="7"/>
        <v>0</v>
      </c>
      <c r="H17" s="14">
        <f t="shared" si="8"/>
        <v>32100.400000000001</v>
      </c>
      <c r="I17" s="14">
        <f t="shared" si="18"/>
        <v>0</v>
      </c>
      <c r="J17" s="14"/>
      <c r="K17" s="14">
        <f t="shared" si="9"/>
        <v>0</v>
      </c>
      <c r="L17" s="14">
        <f t="shared" si="10"/>
        <v>0</v>
      </c>
      <c r="M17" s="14"/>
      <c r="N17" s="14">
        <f t="shared" si="11"/>
        <v>0</v>
      </c>
      <c r="O17" s="14">
        <f t="shared" si="12"/>
        <v>0</v>
      </c>
      <c r="P17" s="14"/>
      <c r="Q17" s="14">
        <f t="shared" si="13"/>
        <v>0</v>
      </c>
      <c r="R17" s="14">
        <f t="shared" si="14"/>
        <v>0</v>
      </c>
      <c r="S17" s="14"/>
      <c r="T17" s="14">
        <f t="shared" si="19"/>
        <v>0</v>
      </c>
      <c r="U17" s="14">
        <f t="shared" si="5"/>
        <v>0</v>
      </c>
      <c r="V17" s="14">
        <f t="shared" si="16"/>
        <v>0</v>
      </c>
      <c r="W17" s="14">
        <f t="shared" si="17"/>
        <v>0</v>
      </c>
    </row>
    <row r="18" spans="1:23" x14ac:dyDescent="0.25">
      <c r="A18" s="15">
        <v>44694</v>
      </c>
      <c r="B18" s="14">
        <f>Summary!$G$18/31</f>
        <v>80250.990000000005</v>
      </c>
      <c r="C18" s="14">
        <v>14</v>
      </c>
      <c r="D18" s="14"/>
      <c r="E18" s="14"/>
      <c r="F18" s="14">
        <f t="shared" si="6"/>
        <v>48150.59</v>
      </c>
      <c r="G18" s="14">
        <f t="shared" si="7"/>
        <v>0</v>
      </c>
      <c r="H18" s="14">
        <f t="shared" si="8"/>
        <v>32100.400000000001</v>
      </c>
      <c r="I18" s="14">
        <f t="shared" si="18"/>
        <v>0</v>
      </c>
      <c r="J18" s="14"/>
      <c r="K18" s="14">
        <f t="shared" si="9"/>
        <v>0</v>
      </c>
      <c r="L18" s="14">
        <f t="shared" si="10"/>
        <v>0</v>
      </c>
      <c r="M18" s="14"/>
      <c r="N18" s="14">
        <f t="shared" si="11"/>
        <v>0</v>
      </c>
      <c r="O18" s="14">
        <f t="shared" si="12"/>
        <v>0</v>
      </c>
      <c r="P18" s="14"/>
      <c r="Q18" s="14">
        <f t="shared" si="13"/>
        <v>0</v>
      </c>
      <c r="R18" s="14">
        <f t="shared" si="14"/>
        <v>0</v>
      </c>
      <c r="S18" s="14"/>
      <c r="T18" s="14">
        <f t="shared" si="19"/>
        <v>0</v>
      </c>
      <c r="U18" s="14">
        <f t="shared" si="5"/>
        <v>0</v>
      </c>
      <c r="V18" s="14">
        <f t="shared" si="16"/>
        <v>0</v>
      </c>
      <c r="W18" s="14">
        <f t="shared" si="17"/>
        <v>0</v>
      </c>
    </row>
    <row r="19" spans="1:23" x14ac:dyDescent="0.25">
      <c r="A19" s="15">
        <v>44695</v>
      </c>
      <c r="B19" s="14">
        <f>Summary!$G$18/31</f>
        <v>80250.990000000005</v>
      </c>
      <c r="C19" s="14">
        <v>14</v>
      </c>
      <c r="D19" s="14"/>
      <c r="E19" s="14"/>
      <c r="F19" s="14">
        <f t="shared" si="6"/>
        <v>48150.59</v>
      </c>
      <c r="G19" s="14">
        <f t="shared" si="7"/>
        <v>0</v>
      </c>
      <c r="H19" s="14">
        <f t="shared" si="8"/>
        <v>32100.400000000001</v>
      </c>
      <c r="I19" s="14">
        <f t="shared" si="18"/>
        <v>0</v>
      </c>
      <c r="J19" s="14"/>
      <c r="K19" s="14">
        <f t="shared" si="9"/>
        <v>0</v>
      </c>
      <c r="L19" s="14">
        <f t="shared" si="10"/>
        <v>0</v>
      </c>
      <c r="M19" s="14"/>
      <c r="N19" s="14">
        <f t="shared" si="11"/>
        <v>0</v>
      </c>
      <c r="O19" s="14">
        <f t="shared" si="12"/>
        <v>0</v>
      </c>
      <c r="P19" s="14"/>
      <c r="Q19" s="14">
        <f t="shared" si="13"/>
        <v>0</v>
      </c>
      <c r="R19" s="14">
        <f t="shared" si="14"/>
        <v>0</v>
      </c>
      <c r="S19" s="14"/>
      <c r="T19" s="14">
        <f t="shared" si="19"/>
        <v>0</v>
      </c>
      <c r="U19" s="14">
        <f t="shared" si="5"/>
        <v>0</v>
      </c>
      <c r="V19" s="14">
        <f t="shared" si="16"/>
        <v>0</v>
      </c>
      <c r="W19" s="14">
        <f t="shared" si="17"/>
        <v>0</v>
      </c>
    </row>
    <row r="20" spans="1:23" x14ac:dyDescent="0.25">
      <c r="A20" s="15">
        <v>44696</v>
      </c>
      <c r="B20" s="14">
        <f>Summary!$G$18/31</f>
        <v>80250.990000000005</v>
      </c>
      <c r="C20" s="14">
        <v>14</v>
      </c>
      <c r="D20" s="14"/>
      <c r="E20" s="14"/>
      <c r="F20" s="14">
        <f t="shared" si="6"/>
        <v>48150.59</v>
      </c>
      <c r="G20" s="14">
        <f t="shared" si="7"/>
        <v>0</v>
      </c>
      <c r="H20" s="14">
        <f t="shared" si="8"/>
        <v>32100.400000000001</v>
      </c>
      <c r="I20" s="14">
        <f t="shared" si="18"/>
        <v>0</v>
      </c>
      <c r="J20" s="14"/>
      <c r="K20" s="14">
        <f t="shared" si="9"/>
        <v>0</v>
      </c>
      <c r="L20" s="14">
        <f t="shared" si="10"/>
        <v>0</v>
      </c>
      <c r="M20" s="14"/>
      <c r="N20" s="14">
        <f t="shared" si="11"/>
        <v>0</v>
      </c>
      <c r="O20" s="14">
        <f t="shared" si="12"/>
        <v>0</v>
      </c>
      <c r="P20" s="14"/>
      <c r="Q20" s="14">
        <f t="shared" si="13"/>
        <v>0</v>
      </c>
      <c r="R20" s="14">
        <f t="shared" si="14"/>
        <v>0</v>
      </c>
      <c r="S20" s="14"/>
      <c r="T20" s="14">
        <f t="shared" si="19"/>
        <v>0</v>
      </c>
      <c r="U20" s="14">
        <f t="shared" si="5"/>
        <v>0</v>
      </c>
      <c r="V20" s="14">
        <f t="shared" si="16"/>
        <v>0</v>
      </c>
      <c r="W20" s="14">
        <f t="shared" si="17"/>
        <v>0</v>
      </c>
    </row>
    <row r="21" spans="1:23" x14ac:dyDescent="0.25">
      <c r="A21" s="15">
        <v>44697</v>
      </c>
      <c r="B21" s="14">
        <f>Summary!$G$18/31</f>
        <v>80250.990000000005</v>
      </c>
      <c r="C21" s="14">
        <v>14</v>
      </c>
      <c r="D21" s="14"/>
      <c r="E21" s="14"/>
      <c r="F21" s="14">
        <f t="shared" si="6"/>
        <v>48150.59</v>
      </c>
      <c r="G21" s="14">
        <f t="shared" si="7"/>
        <v>0</v>
      </c>
      <c r="H21" s="14">
        <f t="shared" si="8"/>
        <v>32100.400000000001</v>
      </c>
      <c r="I21" s="14">
        <f t="shared" si="18"/>
        <v>0</v>
      </c>
      <c r="J21" s="14"/>
      <c r="K21" s="14">
        <f t="shared" si="9"/>
        <v>0</v>
      </c>
      <c r="L21" s="14">
        <f t="shared" si="10"/>
        <v>0</v>
      </c>
      <c r="M21" s="14"/>
      <c r="N21" s="14">
        <f t="shared" si="11"/>
        <v>0</v>
      </c>
      <c r="O21" s="14">
        <f t="shared" si="12"/>
        <v>0</v>
      </c>
      <c r="P21" s="14"/>
      <c r="Q21" s="14">
        <f t="shared" si="13"/>
        <v>0</v>
      </c>
      <c r="R21" s="14">
        <f t="shared" si="14"/>
        <v>0</v>
      </c>
      <c r="S21" s="14"/>
      <c r="T21" s="14">
        <f t="shared" si="19"/>
        <v>0</v>
      </c>
      <c r="U21" s="14">
        <f t="shared" ref="U21:U36" si="20">IF(S21&gt;1000,(MAX($B$37*0.1/100,10000)),0)</f>
        <v>0</v>
      </c>
      <c r="V21" s="14">
        <f t="shared" si="16"/>
        <v>0</v>
      </c>
      <c r="W21" s="14">
        <f t="shared" si="17"/>
        <v>0</v>
      </c>
    </row>
    <row r="22" spans="1:23" x14ac:dyDescent="0.25">
      <c r="A22" s="15">
        <v>44698</v>
      </c>
      <c r="B22" s="14">
        <f>Summary!$G$18/31</f>
        <v>80250.990000000005</v>
      </c>
      <c r="C22" s="14">
        <v>14</v>
      </c>
      <c r="D22" s="14"/>
      <c r="E22" s="14"/>
      <c r="F22" s="14">
        <f t="shared" si="6"/>
        <v>48150.59</v>
      </c>
      <c r="G22" s="14">
        <f t="shared" si="7"/>
        <v>0</v>
      </c>
      <c r="H22" s="14">
        <f t="shared" si="8"/>
        <v>32100.400000000001</v>
      </c>
      <c r="I22" s="14">
        <f t="shared" si="18"/>
        <v>0</v>
      </c>
      <c r="J22" s="14"/>
      <c r="K22" s="14">
        <f t="shared" si="9"/>
        <v>0</v>
      </c>
      <c r="L22" s="14">
        <f t="shared" si="10"/>
        <v>0</v>
      </c>
      <c r="M22" s="14"/>
      <c r="N22" s="14">
        <f t="shared" si="11"/>
        <v>0</v>
      </c>
      <c r="O22" s="14">
        <f t="shared" si="12"/>
        <v>0</v>
      </c>
      <c r="P22" s="14"/>
      <c r="Q22" s="14">
        <f t="shared" si="13"/>
        <v>0</v>
      </c>
      <c r="R22" s="14">
        <f t="shared" si="14"/>
        <v>0</v>
      </c>
      <c r="S22" s="14"/>
      <c r="T22" s="14">
        <f t="shared" si="19"/>
        <v>0</v>
      </c>
      <c r="U22" s="14">
        <f t="shared" si="20"/>
        <v>0</v>
      </c>
      <c r="V22" s="14">
        <f t="shared" si="16"/>
        <v>0</v>
      </c>
      <c r="W22" s="14">
        <f t="shared" si="17"/>
        <v>0</v>
      </c>
    </row>
    <row r="23" spans="1:23" x14ac:dyDescent="0.25">
      <c r="A23" s="15">
        <v>44699</v>
      </c>
      <c r="B23" s="14">
        <f>Summary!$G$18/31</f>
        <v>80250.990000000005</v>
      </c>
      <c r="C23" s="14">
        <v>14</v>
      </c>
      <c r="D23" s="14"/>
      <c r="E23" s="14"/>
      <c r="F23" s="14">
        <f t="shared" si="6"/>
        <v>48150.59</v>
      </c>
      <c r="G23" s="14">
        <f t="shared" si="7"/>
        <v>0</v>
      </c>
      <c r="H23" s="14">
        <f t="shared" si="8"/>
        <v>32100.400000000001</v>
      </c>
      <c r="I23" s="14">
        <f t="shared" si="18"/>
        <v>0</v>
      </c>
      <c r="J23" s="14"/>
      <c r="K23" s="14">
        <f t="shared" si="9"/>
        <v>0</v>
      </c>
      <c r="L23" s="14">
        <f t="shared" si="10"/>
        <v>0</v>
      </c>
      <c r="M23" s="14"/>
      <c r="N23" s="14">
        <f t="shared" si="11"/>
        <v>0</v>
      </c>
      <c r="O23" s="14">
        <f t="shared" si="12"/>
        <v>0</v>
      </c>
      <c r="P23" s="14"/>
      <c r="Q23" s="14">
        <f t="shared" si="13"/>
        <v>0</v>
      </c>
      <c r="R23" s="14">
        <f t="shared" si="14"/>
        <v>0</v>
      </c>
      <c r="S23" s="14"/>
      <c r="T23" s="14">
        <f t="shared" si="19"/>
        <v>0</v>
      </c>
      <c r="U23" s="14">
        <f t="shared" si="20"/>
        <v>0</v>
      </c>
      <c r="V23" s="14">
        <f t="shared" si="16"/>
        <v>0</v>
      </c>
      <c r="W23" s="14">
        <f t="shared" si="17"/>
        <v>0</v>
      </c>
    </row>
    <row r="24" spans="1:23" x14ac:dyDescent="0.25">
      <c r="A24" s="15">
        <v>44700</v>
      </c>
      <c r="B24" s="14">
        <f>Summary!$G$18/31</f>
        <v>80250.990000000005</v>
      </c>
      <c r="C24" s="14">
        <v>14</v>
      </c>
      <c r="D24" s="24"/>
      <c r="E24" s="14"/>
      <c r="F24" s="14">
        <f t="shared" si="6"/>
        <v>48150.59</v>
      </c>
      <c r="G24" s="14">
        <f t="shared" si="7"/>
        <v>0</v>
      </c>
      <c r="H24" s="14">
        <f t="shared" si="8"/>
        <v>32100.400000000001</v>
      </c>
      <c r="I24" s="14">
        <f t="shared" si="18"/>
        <v>0</v>
      </c>
      <c r="J24" s="14"/>
      <c r="K24" s="14">
        <f t="shared" si="9"/>
        <v>0</v>
      </c>
      <c r="L24" s="14">
        <f t="shared" si="10"/>
        <v>0</v>
      </c>
      <c r="M24" s="14"/>
      <c r="N24" s="14">
        <f t="shared" si="11"/>
        <v>0</v>
      </c>
      <c r="O24" s="14">
        <f t="shared" si="12"/>
        <v>0</v>
      </c>
      <c r="P24" s="14"/>
      <c r="Q24" s="14">
        <f t="shared" si="13"/>
        <v>0</v>
      </c>
      <c r="R24" s="14">
        <f t="shared" si="14"/>
        <v>0</v>
      </c>
      <c r="S24" s="14"/>
      <c r="T24" s="14">
        <f t="shared" si="19"/>
        <v>0</v>
      </c>
      <c r="U24" s="14">
        <f t="shared" si="20"/>
        <v>0</v>
      </c>
      <c r="V24" s="14">
        <f t="shared" si="16"/>
        <v>0</v>
      </c>
      <c r="W24" s="14">
        <f t="shared" si="17"/>
        <v>0</v>
      </c>
    </row>
    <row r="25" spans="1:23" x14ac:dyDescent="0.25">
      <c r="A25" s="15">
        <v>44701</v>
      </c>
      <c r="B25" s="14">
        <f>Summary!$G$18/31</f>
        <v>80250.990000000005</v>
      </c>
      <c r="C25" s="14">
        <v>14</v>
      </c>
      <c r="D25" s="14"/>
      <c r="E25" s="14"/>
      <c r="F25" s="14">
        <f t="shared" si="6"/>
        <v>48150.59</v>
      </c>
      <c r="G25" s="14">
        <f t="shared" si="7"/>
        <v>0</v>
      </c>
      <c r="H25" s="14">
        <f t="shared" si="8"/>
        <v>32100.400000000001</v>
      </c>
      <c r="I25" s="14">
        <f t="shared" si="18"/>
        <v>0</v>
      </c>
      <c r="J25" s="14"/>
      <c r="K25" s="14">
        <f t="shared" si="9"/>
        <v>0</v>
      </c>
      <c r="L25" s="14">
        <f t="shared" si="10"/>
        <v>0</v>
      </c>
      <c r="M25" s="14"/>
      <c r="N25" s="14">
        <f t="shared" si="11"/>
        <v>0</v>
      </c>
      <c r="O25" s="14">
        <f t="shared" si="12"/>
        <v>0</v>
      </c>
      <c r="P25" s="14"/>
      <c r="Q25" s="14">
        <f t="shared" si="13"/>
        <v>0</v>
      </c>
      <c r="R25" s="14">
        <f t="shared" si="14"/>
        <v>0</v>
      </c>
      <c r="S25" s="14"/>
      <c r="T25" s="14">
        <f t="shared" si="19"/>
        <v>0</v>
      </c>
      <c r="U25" s="14">
        <f t="shared" si="20"/>
        <v>0</v>
      </c>
      <c r="V25" s="14">
        <f t="shared" si="16"/>
        <v>0</v>
      </c>
      <c r="W25" s="14">
        <f t="shared" si="17"/>
        <v>0</v>
      </c>
    </row>
    <row r="26" spans="1:23" x14ac:dyDescent="0.25">
      <c r="A26" s="15">
        <v>44702</v>
      </c>
      <c r="B26" s="14">
        <f>Summary!$G$18/31</f>
        <v>80250.990000000005</v>
      </c>
      <c r="C26" s="14">
        <v>14</v>
      </c>
      <c r="D26" s="14"/>
      <c r="E26" s="14"/>
      <c r="F26" s="14">
        <f t="shared" si="6"/>
        <v>48150.59</v>
      </c>
      <c r="G26" s="14">
        <f t="shared" si="7"/>
        <v>0</v>
      </c>
      <c r="H26" s="14">
        <f t="shared" si="8"/>
        <v>32100.400000000001</v>
      </c>
      <c r="I26" s="14">
        <f t="shared" si="18"/>
        <v>0</v>
      </c>
      <c r="J26" s="14"/>
      <c r="K26" s="14">
        <f t="shared" si="9"/>
        <v>0</v>
      </c>
      <c r="L26" s="14">
        <f t="shared" si="10"/>
        <v>0</v>
      </c>
      <c r="M26" s="14"/>
      <c r="N26" s="14">
        <f t="shared" si="11"/>
        <v>0</v>
      </c>
      <c r="O26" s="14">
        <f t="shared" si="12"/>
        <v>0</v>
      </c>
      <c r="P26" s="14"/>
      <c r="Q26" s="14">
        <f t="shared" si="13"/>
        <v>0</v>
      </c>
      <c r="R26" s="14">
        <f t="shared" si="14"/>
        <v>0</v>
      </c>
      <c r="S26" s="14"/>
      <c r="T26" s="14">
        <f t="shared" si="19"/>
        <v>0</v>
      </c>
      <c r="U26" s="14">
        <f t="shared" si="20"/>
        <v>0</v>
      </c>
      <c r="V26" s="14">
        <f t="shared" si="16"/>
        <v>0</v>
      </c>
      <c r="W26" s="14">
        <f t="shared" si="17"/>
        <v>0</v>
      </c>
    </row>
    <row r="27" spans="1:23" x14ac:dyDescent="0.25">
      <c r="A27" s="15">
        <v>44703</v>
      </c>
      <c r="B27" s="14">
        <f>Summary!$G$18/31</f>
        <v>80250.990000000005</v>
      </c>
      <c r="C27" s="14">
        <v>14</v>
      </c>
      <c r="D27" s="14"/>
      <c r="E27" s="14"/>
      <c r="F27" s="14">
        <f t="shared" si="6"/>
        <v>48150.59</v>
      </c>
      <c r="G27" s="14">
        <f t="shared" si="7"/>
        <v>0</v>
      </c>
      <c r="H27" s="14">
        <f t="shared" si="8"/>
        <v>32100.400000000001</v>
      </c>
      <c r="I27" s="14">
        <f t="shared" si="18"/>
        <v>0</v>
      </c>
      <c r="J27" s="14"/>
      <c r="K27" s="14">
        <f t="shared" si="9"/>
        <v>0</v>
      </c>
      <c r="L27" s="14">
        <f t="shared" si="10"/>
        <v>0</v>
      </c>
      <c r="M27" s="14"/>
      <c r="N27" s="14">
        <f t="shared" si="11"/>
        <v>0</v>
      </c>
      <c r="O27" s="14">
        <f t="shared" si="12"/>
        <v>0</v>
      </c>
      <c r="P27" s="14"/>
      <c r="Q27" s="14">
        <f t="shared" si="13"/>
        <v>0</v>
      </c>
      <c r="R27" s="14">
        <f t="shared" si="14"/>
        <v>0</v>
      </c>
      <c r="S27" s="14"/>
      <c r="T27" s="14">
        <f t="shared" si="19"/>
        <v>0</v>
      </c>
      <c r="U27" s="14">
        <f t="shared" si="20"/>
        <v>0</v>
      </c>
      <c r="V27" s="14">
        <f t="shared" si="16"/>
        <v>0</v>
      </c>
      <c r="W27" s="14">
        <f t="shared" si="17"/>
        <v>0</v>
      </c>
    </row>
    <row r="28" spans="1:23" x14ac:dyDescent="0.25">
      <c r="A28" s="15">
        <v>44704</v>
      </c>
      <c r="B28" s="14">
        <f>Summary!$G$18/31</f>
        <v>80250.990000000005</v>
      </c>
      <c r="C28" s="14">
        <v>14</v>
      </c>
      <c r="D28" s="14"/>
      <c r="E28" s="14"/>
      <c r="F28" s="14">
        <f t="shared" si="6"/>
        <v>48150.59</v>
      </c>
      <c r="G28" s="14">
        <f t="shared" si="7"/>
        <v>0</v>
      </c>
      <c r="H28" s="14">
        <f t="shared" si="8"/>
        <v>32100.400000000001</v>
      </c>
      <c r="I28" s="14">
        <f t="shared" si="18"/>
        <v>0</v>
      </c>
      <c r="J28" s="14"/>
      <c r="K28" s="14">
        <f t="shared" si="9"/>
        <v>0</v>
      </c>
      <c r="L28" s="14">
        <f t="shared" si="10"/>
        <v>0</v>
      </c>
      <c r="M28" s="14"/>
      <c r="N28" s="14">
        <f t="shared" si="11"/>
        <v>0</v>
      </c>
      <c r="O28" s="14">
        <f t="shared" si="12"/>
        <v>0</v>
      </c>
      <c r="P28" s="14"/>
      <c r="Q28" s="14">
        <f t="shared" si="13"/>
        <v>0</v>
      </c>
      <c r="R28" s="14">
        <f t="shared" si="14"/>
        <v>0</v>
      </c>
      <c r="S28" s="14"/>
      <c r="T28" s="14">
        <f t="shared" si="19"/>
        <v>0</v>
      </c>
      <c r="U28" s="14">
        <f t="shared" si="20"/>
        <v>0</v>
      </c>
      <c r="V28" s="14">
        <f t="shared" si="16"/>
        <v>0</v>
      </c>
      <c r="W28" s="14">
        <f t="shared" si="17"/>
        <v>0</v>
      </c>
    </row>
    <row r="29" spans="1:23" x14ac:dyDescent="0.25">
      <c r="A29" s="15">
        <v>44705</v>
      </c>
      <c r="B29" s="14">
        <f>Summary!$G$18/31</f>
        <v>80250.990000000005</v>
      </c>
      <c r="C29" s="14">
        <v>14</v>
      </c>
      <c r="D29" s="14"/>
      <c r="E29" s="14"/>
      <c r="F29" s="14">
        <f t="shared" si="6"/>
        <v>48150.59</v>
      </c>
      <c r="G29" s="14">
        <f t="shared" si="7"/>
        <v>0</v>
      </c>
      <c r="H29" s="14">
        <f t="shared" si="8"/>
        <v>32100.400000000001</v>
      </c>
      <c r="I29" s="14">
        <f t="shared" si="18"/>
        <v>0</v>
      </c>
      <c r="J29" s="14"/>
      <c r="K29" s="14">
        <f t="shared" si="9"/>
        <v>0</v>
      </c>
      <c r="L29" s="14">
        <f t="shared" si="10"/>
        <v>0</v>
      </c>
      <c r="M29" s="14"/>
      <c r="N29" s="14">
        <f t="shared" si="11"/>
        <v>0</v>
      </c>
      <c r="O29" s="14">
        <f t="shared" si="12"/>
        <v>0</v>
      </c>
      <c r="P29" s="14"/>
      <c r="Q29" s="14">
        <f t="shared" si="13"/>
        <v>0</v>
      </c>
      <c r="R29" s="14">
        <f t="shared" si="14"/>
        <v>0</v>
      </c>
      <c r="S29" s="14"/>
      <c r="T29" s="14">
        <f t="shared" si="19"/>
        <v>0</v>
      </c>
      <c r="U29" s="14">
        <f t="shared" si="20"/>
        <v>0</v>
      </c>
      <c r="V29" s="14">
        <f t="shared" si="16"/>
        <v>0</v>
      </c>
      <c r="W29" s="14">
        <f t="shared" si="17"/>
        <v>0</v>
      </c>
    </row>
    <row r="30" spans="1:23" x14ac:dyDescent="0.25">
      <c r="A30" s="15">
        <v>44706</v>
      </c>
      <c r="B30" s="14">
        <f>Summary!$G$18/31</f>
        <v>80250.990000000005</v>
      </c>
      <c r="C30" s="14">
        <v>14</v>
      </c>
      <c r="D30" s="14"/>
      <c r="E30" s="14"/>
      <c r="F30" s="14">
        <f t="shared" si="6"/>
        <v>48150.59</v>
      </c>
      <c r="G30" s="14">
        <f t="shared" si="7"/>
        <v>0</v>
      </c>
      <c r="H30" s="14">
        <f t="shared" si="8"/>
        <v>32100.400000000001</v>
      </c>
      <c r="I30" s="14">
        <f t="shared" si="18"/>
        <v>0</v>
      </c>
      <c r="J30" s="14"/>
      <c r="K30" s="14">
        <f t="shared" si="9"/>
        <v>0</v>
      </c>
      <c r="L30" s="14">
        <f t="shared" si="10"/>
        <v>0</v>
      </c>
      <c r="M30" s="14"/>
      <c r="N30" s="14">
        <f t="shared" si="11"/>
        <v>0</v>
      </c>
      <c r="O30" s="14">
        <f t="shared" si="12"/>
        <v>0</v>
      </c>
      <c r="P30" s="14"/>
      <c r="Q30" s="14">
        <f t="shared" si="13"/>
        <v>0</v>
      </c>
      <c r="R30" s="14">
        <f t="shared" si="14"/>
        <v>0</v>
      </c>
      <c r="S30" s="14"/>
      <c r="T30" s="14">
        <f t="shared" si="19"/>
        <v>0</v>
      </c>
      <c r="U30" s="14">
        <f t="shared" si="20"/>
        <v>0</v>
      </c>
      <c r="V30" s="14">
        <f t="shared" si="16"/>
        <v>0</v>
      </c>
      <c r="W30" s="14">
        <f t="shared" si="17"/>
        <v>0</v>
      </c>
    </row>
    <row r="31" spans="1:23" x14ac:dyDescent="0.25">
      <c r="A31" s="15">
        <v>44707</v>
      </c>
      <c r="B31" s="14">
        <f>Summary!$G$18/31</f>
        <v>80250.990000000005</v>
      </c>
      <c r="C31" s="14">
        <v>14</v>
      </c>
      <c r="D31" s="14"/>
      <c r="E31" s="14"/>
      <c r="F31" s="14">
        <f t="shared" si="6"/>
        <v>48150.59</v>
      </c>
      <c r="G31" s="14">
        <f t="shared" si="7"/>
        <v>0</v>
      </c>
      <c r="H31" s="14">
        <f t="shared" si="8"/>
        <v>32100.400000000001</v>
      </c>
      <c r="I31" s="14">
        <f t="shared" si="18"/>
        <v>0</v>
      </c>
      <c r="J31" s="14"/>
      <c r="K31" s="14">
        <f t="shared" si="9"/>
        <v>0</v>
      </c>
      <c r="L31" s="14">
        <f t="shared" si="10"/>
        <v>0</v>
      </c>
      <c r="M31" s="14"/>
      <c r="N31" s="14">
        <f t="shared" si="11"/>
        <v>0</v>
      </c>
      <c r="O31" s="14">
        <f t="shared" si="12"/>
        <v>0</v>
      </c>
      <c r="P31" s="14"/>
      <c r="Q31" s="14">
        <f t="shared" si="13"/>
        <v>0</v>
      </c>
      <c r="R31" s="14">
        <f t="shared" si="14"/>
        <v>0</v>
      </c>
      <c r="S31" s="14"/>
      <c r="T31" s="14">
        <f t="shared" si="19"/>
        <v>0</v>
      </c>
      <c r="U31" s="14">
        <f t="shared" si="20"/>
        <v>0</v>
      </c>
      <c r="V31" s="14">
        <f t="shared" si="16"/>
        <v>0</v>
      </c>
      <c r="W31" s="14">
        <f t="shared" si="17"/>
        <v>0</v>
      </c>
    </row>
    <row r="32" spans="1:23" x14ac:dyDescent="0.25">
      <c r="A32" s="15">
        <v>44708</v>
      </c>
      <c r="B32" s="14">
        <f>Summary!$G$18/31</f>
        <v>80250.990000000005</v>
      </c>
      <c r="C32" s="14">
        <v>14</v>
      </c>
      <c r="D32" s="14"/>
      <c r="E32" s="14"/>
      <c r="F32" s="14">
        <f t="shared" si="6"/>
        <v>48150.59</v>
      </c>
      <c r="G32" s="14">
        <f t="shared" si="7"/>
        <v>0</v>
      </c>
      <c r="H32" s="14">
        <f t="shared" si="8"/>
        <v>32100.400000000001</v>
      </c>
      <c r="I32" s="14">
        <f t="shared" si="18"/>
        <v>0</v>
      </c>
      <c r="J32" s="14"/>
      <c r="K32" s="14">
        <f t="shared" si="9"/>
        <v>0</v>
      </c>
      <c r="L32" s="14">
        <f t="shared" si="10"/>
        <v>0</v>
      </c>
      <c r="M32" s="14"/>
      <c r="N32" s="14">
        <f t="shared" si="11"/>
        <v>0</v>
      </c>
      <c r="O32" s="14">
        <f t="shared" si="12"/>
        <v>0</v>
      </c>
      <c r="P32" s="14"/>
      <c r="Q32" s="14">
        <f t="shared" si="13"/>
        <v>0</v>
      </c>
      <c r="R32" s="14">
        <f t="shared" si="14"/>
        <v>0</v>
      </c>
      <c r="S32" s="14"/>
      <c r="T32" s="14">
        <f t="shared" si="19"/>
        <v>0</v>
      </c>
      <c r="U32" s="14">
        <f t="shared" si="20"/>
        <v>0</v>
      </c>
      <c r="V32" s="14">
        <f t="shared" si="16"/>
        <v>0</v>
      </c>
      <c r="W32" s="14">
        <f t="shared" si="17"/>
        <v>0</v>
      </c>
    </row>
    <row r="33" spans="1:24" x14ac:dyDescent="0.25">
      <c r="A33" s="15">
        <v>44709</v>
      </c>
      <c r="B33" s="14">
        <f>Summary!$G$18/31</f>
        <v>80250.990000000005</v>
      </c>
      <c r="C33" s="14">
        <v>14</v>
      </c>
      <c r="D33" s="14"/>
      <c r="E33" s="14"/>
      <c r="F33" s="14">
        <f t="shared" si="6"/>
        <v>48150.59</v>
      </c>
      <c r="G33" s="14">
        <f t="shared" si="7"/>
        <v>0</v>
      </c>
      <c r="H33" s="14">
        <f t="shared" si="8"/>
        <v>32100.400000000001</v>
      </c>
      <c r="I33" s="14">
        <f t="shared" si="18"/>
        <v>0</v>
      </c>
      <c r="J33" s="14"/>
      <c r="K33" s="14">
        <f t="shared" si="9"/>
        <v>0</v>
      </c>
      <c r="L33" s="14">
        <f t="shared" si="10"/>
        <v>0</v>
      </c>
      <c r="M33" s="14"/>
      <c r="N33" s="14">
        <f t="shared" si="11"/>
        <v>0</v>
      </c>
      <c r="O33" s="14">
        <f t="shared" si="12"/>
        <v>0</v>
      </c>
      <c r="P33" s="14"/>
      <c r="Q33" s="14">
        <f t="shared" si="13"/>
        <v>0</v>
      </c>
      <c r="R33" s="14">
        <f t="shared" si="14"/>
        <v>0</v>
      </c>
      <c r="S33" s="14"/>
      <c r="T33" s="14">
        <f t="shared" si="19"/>
        <v>0</v>
      </c>
      <c r="U33" s="14">
        <f t="shared" si="20"/>
        <v>0</v>
      </c>
      <c r="V33" s="14">
        <f t="shared" si="16"/>
        <v>0</v>
      </c>
      <c r="W33" s="14">
        <f t="shared" si="17"/>
        <v>0</v>
      </c>
    </row>
    <row r="34" spans="1:24" x14ac:dyDescent="0.25">
      <c r="A34" s="15">
        <v>44710</v>
      </c>
      <c r="B34" s="14">
        <f>Summary!$G$18/31</f>
        <v>80250.990000000005</v>
      </c>
      <c r="C34" s="14">
        <v>14</v>
      </c>
      <c r="D34" s="14"/>
      <c r="E34" s="14"/>
      <c r="F34" s="14">
        <f t="shared" si="6"/>
        <v>48150.59</v>
      </c>
      <c r="G34" s="14">
        <f t="shared" si="7"/>
        <v>0</v>
      </c>
      <c r="H34" s="14">
        <f t="shared" si="8"/>
        <v>32100.400000000001</v>
      </c>
      <c r="I34" s="14">
        <f t="shared" si="18"/>
        <v>0</v>
      </c>
      <c r="J34" s="14"/>
      <c r="K34" s="14">
        <f t="shared" si="9"/>
        <v>0</v>
      </c>
      <c r="L34" s="14">
        <f t="shared" si="10"/>
        <v>0</v>
      </c>
      <c r="M34" s="14"/>
      <c r="N34" s="14">
        <f t="shared" si="11"/>
        <v>0</v>
      </c>
      <c r="O34" s="14">
        <f t="shared" si="12"/>
        <v>0</v>
      </c>
      <c r="P34" s="14"/>
      <c r="Q34" s="14">
        <f t="shared" si="13"/>
        <v>0</v>
      </c>
      <c r="R34" s="14">
        <f t="shared" si="14"/>
        <v>0</v>
      </c>
      <c r="S34" s="14"/>
      <c r="T34" s="14">
        <f t="shared" si="19"/>
        <v>0</v>
      </c>
      <c r="U34" s="14">
        <f t="shared" si="20"/>
        <v>0</v>
      </c>
      <c r="V34" s="14">
        <f t="shared" si="16"/>
        <v>0</v>
      </c>
      <c r="W34" s="14">
        <f t="shared" si="17"/>
        <v>0</v>
      </c>
    </row>
    <row r="35" spans="1:24" x14ac:dyDescent="0.25">
      <c r="A35" s="15">
        <v>44711</v>
      </c>
      <c r="B35" s="14">
        <f>Summary!$G$18/31</f>
        <v>80250.990000000005</v>
      </c>
      <c r="C35" s="14">
        <v>14</v>
      </c>
      <c r="D35" s="14"/>
      <c r="E35" s="14"/>
      <c r="F35" s="14">
        <f t="shared" ref="F35:F36" si="21">B35*60%</f>
        <v>48150.59</v>
      </c>
      <c r="G35" s="14">
        <f t="shared" ref="G35:G36" si="22">(F35*E35)/C35</f>
        <v>0</v>
      </c>
      <c r="H35" s="14">
        <f t="shared" ref="H35:H36" si="23">B35*40%</f>
        <v>32100.400000000001</v>
      </c>
      <c r="I35" s="14">
        <f t="shared" ref="I35:I36" si="24">(H35*E35)/C35</f>
        <v>0</v>
      </c>
      <c r="J35" s="14"/>
      <c r="K35" s="14">
        <f t="shared" si="9"/>
        <v>0</v>
      </c>
      <c r="L35" s="14">
        <f t="shared" si="10"/>
        <v>0</v>
      </c>
      <c r="M35" s="14"/>
      <c r="N35" s="14">
        <f t="shared" si="11"/>
        <v>0</v>
      </c>
      <c r="O35" s="14">
        <f t="shared" si="12"/>
        <v>0</v>
      </c>
      <c r="P35" s="14"/>
      <c r="Q35" s="14">
        <f t="shared" si="13"/>
        <v>0</v>
      </c>
      <c r="R35" s="14">
        <f t="shared" si="14"/>
        <v>0</v>
      </c>
      <c r="S35" s="14"/>
      <c r="T35" s="14">
        <f t="shared" si="19"/>
        <v>0</v>
      </c>
      <c r="U35" s="14">
        <f t="shared" si="20"/>
        <v>0</v>
      </c>
      <c r="V35" s="14">
        <f t="shared" si="16"/>
        <v>0</v>
      </c>
      <c r="W35" s="14">
        <f t="shared" si="17"/>
        <v>0</v>
      </c>
    </row>
    <row r="36" spans="1:24" x14ac:dyDescent="0.25">
      <c r="A36" s="15">
        <v>44712</v>
      </c>
      <c r="B36" s="14">
        <f>Summary!$G$18/31</f>
        <v>80250.990000000005</v>
      </c>
      <c r="C36" s="14">
        <v>14</v>
      </c>
      <c r="D36" s="14"/>
      <c r="E36" s="14"/>
      <c r="F36" s="14">
        <f t="shared" si="21"/>
        <v>48150.59</v>
      </c>
      <c r="G36" s="14">
        <f t="shared" si="22"/>
        <v>0</v>
      </c>
      <c r="H36" s="14">
        <f t="shared" si="23"/>
        <v>32100.400000000001</v>
      </c>
      <c r="I36" s="14">
        <f t="shared" si="24"/>
        <v>0</v>
      </c>
      <c r="J36" s="14"/>
      <c r="K36" s="14">
        <f t="shared" si="9"/>
        <v>0</v>
      </c>
      <c r="L36" s="14">
        <f t="shared" si="10"/>
        <v>0</v>
      </c>
      <c r="M36" s="14"/>
      <c r="N36" s="14">
        <f t="shared" si="11"/>
        <v>0</v>
      </c>
      <c r="O36" s="14">
        <f t="shared" si="12"/>
        <v>0</v>
      </c>
      <c r="P36" s="14"/>
      <c r="Q36" s="14">
        <f t="shared" si="13"/>
        <v>0</v>
      </c>
      <c r="R36" s="14">
        <f t="shared" si="14"/>
        <v>0</v>
      </c>
      <c r="S36" s="14"/>
      <c r="T36" s="14">
        <f t="shared" si="19"/>
        <v>0</v>
      </c>
      <c r="U36" s="14">
        <f t="shared" si="20"/>
        <v>0</v>
      </c>
      <c r="V36" s="14">
        <f t="shared" si="16"/>
        <v>0</v>
      </c>
      <c r="W36" s="14">
        <f t="shared" si="17"/>
        <v>0</v>
      </c>
    </row>
    <row r="37" spans="1:24" ht="15" x14ac:dyDescent="0.25">
      <c r="A37" s="41" t="s">
        <v>20</v>
      </c>
      <c r="B37" s="20">
        <f>SUM(B21:B36)</f>
        <v>1284015.8400000001</v>
      </c>
      <c r="C37" s="20"/>
      <c r="D37" s="20"/>
      <c r="E37" s="20"/>
      <c r="F37" s="20">
        <f>SUM(F6:F36)</f>
        <v>1492668.29</v>
      </c>
      <c r="G37" s="20">
        <f t="shared" ref="G37:W37" si="25">SUM(G6:G36)</f>
        <v>0</v>
      </c>
      <c r="H37" s="20">
        <f t="shared" si="25"/>
        <v>995112.4</v>
      </c>
      <c r="I37" s="20">
        <f t="shared" si="25"/>
        <v>0</v>
      </c>
      <c r="J37" s="20"/>
      <c r="K37" s="20">
        <f t="shared" si="25"/>
        <v>0</v>
      </c>
      <c r="L37" s="20">
        <f t="shared" si="25"/>
        <v>0</v>
      </c>
      <c r="M37" s="20"/>
      <c r="N37" s="20">
        <f t="shared" si="25"/>
        <v>0</v>
      </c>
      <c r="O37" s="20">
        <f t="shared" si="25"/>
        <v>0</v>
      </c>
      <c r="P37" s="20"/>
      <c r="Q37" s="20">
        <f t="shared" si="25"/>
        <v>0</v>
      </c>
      <c r="R37" s="20">
        <f t="shared" si="25"/>
        <v>0</v>
      </c>
      <c r="S37" s="20"/>
      <c r="T37" s="20">
        <f t="shared" si="25"/>
        <v>0</v>
      </c>
      <c r="U37" s="20">
        <f t="shared" si="25"/>
        <v>0</v>
      </c>
      <c r="V37" s="20">
        <f t="shared" si="25"/>
        <v>0</v>
      </c>
      <c r="W37" s="20">
        <f t="shared" si="25"/>
        <v>0</v>
      </c>
      <c r="X37" s="20"/>
    </row>
    <row r="38" spans="1:24" x14ac:dyDescent="0.25">
      <c r="A38" s="41"/>
      <c r="B38" s="20" t="s">
        <v>78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>
        <f>G37+V37</f>
        <v>0</v>
      </c>
      <c r="W38" s="20"/>
      <c r="X38" s="32"/>
    </row>
    <row r="39" spans="1:24" x14ac:dyDescent="0.25">
      <c r="O39" s="33"/>
      <c r="V39" s="22"/>
      <c r="W39" s="22"/>
    </row>
    <row r="42" spans="1:24" x14ac:dyDescent="0.25">
      <c r="C42" s="24">
        <f>B37/31</f>
        <v>41419.870000000003</v>
      </c>
    </row>
  </sheetData>
  <mergeCells count="19">
    <mergeCell ref="S4:U4"/>
    <mergeCell ref="C3:E3"/>
    <mergeCell ref="H4:H5"/>
    <mergeCell ref="V4:V5"/>
    <mergeCell ref="W4:W5"/>
    <mergeCell ref="A1:V1"/>
    <mergeCell ref="F3:G3"/>
    <mergeCell ref="H3:T3"/>
    <mergeCell ref="A4:A5"/>
    <mergeCell ref="B4:B5"/>
    <mergeCell ref="C4:C5"/>
    <mergeCell ref="D4:D5"/>
    <mergeCell ref="F4:F5"/>
    <mergeCell ref="G4:G5"/>
    <mergeCell ref="I4:I5"/>
    <mergeCell ref="E4:E5"/>
    <mergeCell ref="J4:L4"/>
    <mergeCell ref="M4:O4"/>
    <mergeCell ref="P4:R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26AB-B84A-49B0-AC6D-BA653EEF0D59}">
  <dimension ref="B3:K35"/>
  <sheetViews>
    <sheetView workbookViewId="0">
      <selection activeCell="K6" sqref="K6"/>
    </sheetView>
  </sheetViews>
  <sheetFormatPr defaultRowHeight="15" x14ac:dyDescent="0.25"/>
  <cols>
    <col min="3" max="3" width="29.140625" customWidth="1"/>
    <col min="4" max="4" width="20.5703125" customWidth="1"/>
    <col min="5" max="5" width="14.28515625" bestFit="1" customWidth="1"/>
    <col min="7" max="7" width="23.5703125" customWidth="1"/>
    <col min="11" max="11" width="16" bestFit="1" customWidth="1"/>
  </cols>
  <sheetData>
    <row r="3" spans="2:4" ht="28.5" x14ac:dyDescent="0.25">
      <c r="B3" s="233" t="s">
        <v>98</v>
      </c>
      <c r="C3" s="233" t="s">
        <v>99</v>
      </c>
      <c r="D3" s="48" t="s">
        <v>100</v>
      </c>
    </row>
    <row r="4" spans="2:4" x14ac:dyDescent="0.25">
      <c r="B4" s="233"/>
      <c r="C4" s="233"/>
      <c r="D4" s="49" t="s">
        <v>101</v>
      </c>
    </row>
    <row r="5" spans="2:4" ht="56.25" x14ac:dyDescent="0.25">
      <c r="B5" s="49" t="s">
        <v>102</v>
      </c>
      <c r="C5" s="50" t="s">
        <v>103</v>
      </c>
      <c r="D5" s="51" t="e">
        <f>Summary!#REF!</f>
        <v>#REF!</v>
      </c>
    </row>
    <row r="6" spans="2:4" ht="18.75" x14ac:dyDescent="0.25">
      <c r="B6" s="49" t="s">
        <v>104</v>
      </c>
      <c r="C6" s="50" t="s">
        <v>105</v>
      </c>
      <c r="D6" s="51" t="e">
        <f>Summary!#REF!</f>
        <v>#REF!</v>
      </c>
    </row>
    <row r="7" spans="2:4" ht="33.75" x14ac:dyDescent="0.25">
      <c r="B7" s="49" t="s">
        <v>106</v>
      </c>
      <c r="C7" s="50" t="s">
        <v>107</v>
      </c>
      <c r="D7" s="51" t="e">
        <f>Summary!#REF!</f>
        <v>#REF!</v>
      </c>
    </row>
    <row r="8" spans="2:4" ht="52.5" x14ac:dyDescent="0.25">
      <c r="B8" s="49" t="s">
        <v>108</v>
      </c>
      <c r="C8" s="50" t="s">
        <v>109</v>
      </c>
      <c r="D8" s="51" t="e">
        <f>Summary!#REF!</f>
        <v>#REF!</v>
      </c>
    </row>
    <row r="9" spans="2:4" ht="18.75" x14ac:dyDescent="0.25">
      <c r="B9" s="49" t="s">
        <v>110</v>
      </c>
      <c r="C9" s="52" t="s">
        <v>111</v>
      </c>
      <c r="D9" s="53" t="e">
        <f>SUM(D5:D8)</f>
        <v>#REF!</v>
      </c>
    </row>
    <row r="10" spans="2:4" ht="37.5" x14ac:dyDescent="0.25">
      <c r="B10" s="49" t="s">
        <v>112</v>
      </c>
      <c r="C10" s="50" t="s">
        <v>113</v>
      </c>
      <c r="D10" s="53" t="e">
        <f>+D9</f>
        <v>#REF!</v>
      </c>
    </row>
    <row r="11" spans="2:4" ht="93.75" x14ac:dyDescent="0.25">
      <c r="B11" s="49" t="s">
        <v>114</v>
      </c>
      <c r="C11" s="50" t="s">
        <v>115</v>
      </c>
      <c r="D11" s="49"/>
    </row>
    <row r="25" spans="7:11" ht="18.75" x14ac:dyDescent="0.25">
      <c r="G25" s="55">
        <v>35390476.18</v>
      </c>
    </row>
    <row r="26" spans="7:11" ht="18.75" x14ac:dyDescent="0.25">
      <c r="G26" s="55">
        <v>30756106.140000001</v>
      </c>
    </row>
    <row r="27" spans="7:11" ht="18.75" x14ac:dyDescent="0.25">
      <c r="G27" s="55">
        <v>23650430.420000002</v>
      </c>
    </row>
    <row r="28" spans="7:11" ht="18.75" x14ac:dyDescent="0.25">
      <c r="G28" s="55">
        <v>157651604.91999999</v>
      </c>
    </row>
    <row r="29" spans="7:11" ht="18.75" x14ac:dyDescent="0.25">
      <c r="G29" s="55">
        <f>SUM(G25:G28)</f>
        <v>247448617.66</v>
      </c>
    </row>
    <row r="31" spans="7:11" x14ac:dyDescent="0.25">
      <c r="K31" s="54"/>
    </row>
    <row r="32" spans="7:11" x14ac:dyDescent="0.25">
      <c r="K32" s="54"/>
    </row>
    <row r="33" spans="5:11" ht="18.75" x14ac:dyDescent="0.3">
      <c r="E33" s="3"/>
      <c r="K33" s="54"/>
    </row>
    <row r="34" spans="5:11" x14ac:dyDescent="0.25">
      <c r="K34" s="54"/>
    </row>
    <row r="35" spans="5:11" x14ac:dyDescent="0.25">
      <c r="K35" s="54"/>
    </row>
  </sheetData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3"/>
  <sheetViews>
    <sheetView topLeftCell="A4" zoomScaleNormal="100" workbookViewId="0">
      <pane xSplit="3" ySplit="2" topLeftCell="D6" activePane="bottomRight" state="frozen"/>
      <selection activeCell="T42" sqref="T42"/>
      <selection pane="topRight" activeCell="T42" sqref="T42"/>
      <selection pane="bottomLeft" activeCell="T42" sqref="T42"/>
      <selection pane="bottomRight" activeCell="P5" sqref="A1:V1048576"/>
    </sheetView>
  </sheetViews>
  <sheetFormatPr defaultColWidth="9.140625" defaultRowHeight="15.75" x14ac:dyDescent="0.25"/>
  <cols>
    <col min="1" max="1" width="11.5703125" style="23" customWidth="1"/>
    <col min="2" max="2" width="16.5703125" style="23" customWidth="1"/>
    <col min="3" max="3" width="8.5703125" style="23" customWidth="1"/>
    <col min="4" max="4" width="7.5703125" style="23" customWidth="1"/>
    <col min="5" max="5" width="9.42578125" style="23" customWidth="1"/>
    <col min="6" max="6" width="13.7109375" style="23" customWidth="1"/>
    <col min="7" max="7" width="13.28515625" style="23" customWidth="1"/>
    <col min="8" max="8" width="14.5703125" style="23" customWidth="1"/>
    <col min="9" max="9" width="15.140625" style="23" customWidth="1"/>
    <col min="10" max="10" width="9.5703125" style="23" customWidth="1"/>
    <col min="11" max="11" width="15.28515625" style="23" customWidth="1"/>
    <col min="12" max="12" width="8.5703125" style="23" bestFit="1" customWidth="1"/>
    <col min="13" max="13" width="9.5703125" style="23" customWidth="1"/>
    <col min="14" max="14" width="12.42578125" style="23" bestFit="1" customWidth="1"/>
    <col min="15" max="15" width="8.28515625" style="23" customWidth="1"/>
    <col min="16" max="16" width="9.140625" style="23" customWidth="1"/>
    <col min="17" max="17" width="13.42578125" style="23" bestFit="1" customWidth="1"/>
    <col min="18" max="18" width="10.7109375" style="23" bestFit="1" customWidth="1"/>
    <col min="19" max="19" width="9.42578125" style="23" customWidth="1"/>
    <col min="20" max="20" width="10" style="23" bestFit="1" customWidth="1"/>
    <col min="21" max="21" width="12.42578125" style="23" bestFit="1" customWidth="1"/>
    <col min="22" max="22" width="15.42578125" style="23" customWidth="1"/>
    <col min="23" max="23" width="13.7109375" style="23" customWidth="1"/>
    <col min="24" max="24" width="12" style="109" bestFit="1" customWidth="1"/>
  </cols>
  <sheetData>
    <row r="1" spans="1:30" ht="18.75" x14ac:dyDescent="0.3">
      <c r="A1" s="188" t="str">
        <f>Summary!D1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Y1" s="3"/>
      <c r="Z1" s="3"/>
      <c r="AA1" s="3"/>
      <c r="AB1" s="3"/>
      <c r="AC1" s="3"/>
      <c r="AD1" s="3"/>
    </row>
    <row r="2" spans="1:30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21</v>
      </c>
      <c r="U2" s="43">
        <v>23</v>
      </c>
      <c r="V2" s="43">
        <v>24</v>
      </c>
      <c r="W2" s="43">
        <v>25</v>
      </c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85" t="s">
        <v>15</v>
      </c>
      <c r="D3" s="185"/>
      <c r="E3" s="41"/>
      <c r="F3" s="185" t="s">
        <v>80</v>
      </c>
      <c r="G3" s="185"/>
      <c r="H3" s="185" t="s">
        <v>79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41"/>
    </row>
    <row r="4" spans="1:30" s="19" customFormat="1" ht="23.25" customHeight="1" x14ac:dyDescent="0.25">
      <c r="A4" s="185" t="s">
        <v>14</v>
      </c>
      <c r="B4" s="187" t="s">
        <v>36</v>
      </c>
      <c r="C4" s="189" t="s">
        <v>37</v>
      </c>
      <c r="D4" s="186" t="s">
        <v>56</v>
      </c>
      <c r="E4" s="186" t="s">
        <v>59</v>
      </c>
      <c r="F4" s="185" t="s">
        <v>16</v>
      </c>
      <c r="G4" s="187" t="s">
        <v>17</v>
      </c>
      <c r="H4" s="185" t="s">
        <v>21</v>
      </c>
      <c r="I4" s="185" t="s">
        <v>17</v>
      </c>
      <c r="J4" s="185" t="s">
        <v>8</v>
      </c>
      <c r="K4" s="185"/>
      <c r="L4" s="185"/>
      <c r="M4" s="185" t="s">
        <v>10</v>
      </c>
      <c r="N4" s="185"/>
      <c r="O4" s="185"/>
      <c r="P4" s="185" t="s">
        <v>9</v>
      </c>
      <c r="Q4" s="185"/>
      <c r="R4" s="185"/>
      <c r="S4" s="185" t="s">
        <v>13</v>
      </c>
      <c r="T4" s="185"/>
      <c r="U4" s="185"/>
      <c r="V4" s="187" t="s">
        <v>55</v>
      </c>
      <c r="W4" s="187" t="s">
        <v>61</v>
      </c>
      <c r="X4" s="109"/>
    </row>
    <row r="5" spans="1:30" s="19" customFormat="1" ht="42.75" customHeight="1" x14ac:dyDescent="0.25">
      <c r="A5" s="185"/>
      <c r="B5" s="187"/>
      <c r="C5" s="189"/>
      <c r="D5" s="186"/>
      <c r="E5" s="186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X5" s="109"/>
    </row>
    <row r="6" spans="1:30" s="120" customFormat="1" x14ac:dyDescent="0.25">
      <c r="A6" s="117">
        <v>44958</v>
      </c>
      <c r="B6" s="118">
        <f>Summary!$G$7/28</f>
        <v>469632.09</v>
      </c>
      <c r="C6" s="118">
        <v>74</v>
      </c>
      <c r="D6" s="118">
        <v>74.790000000000006</v>
      </c>
      <c r="E6" s="14">
        <f>MIN(D6,C6)</f>
        <v>74</v>
      </c>
      <c r="F6" s="118">
        <f>B6*60%</f>
        <v>281779.25</v>
      </c>
      <c r="G6" s="14">
        <f>(F6*E6)/C6</f>
        <v>281779.25</v>
      </c>
      <c r="H6" s="118">
        <f>B6*40%</f>
        <v>187852.84</v>
      </c>
      <c r="I6" s="14">
        <f>(H6*E6)/C6</f>
        <v>187852.84</v>
      </c>
      <c r="J6" s="118">
        <v>8</v>
      </c>
      <c r="K6" s="14">
        <f t="shared" ref="K6" si="0">I6*50%</f>
        <v>93926.42</v>
      </c>
      <c r="L6" s="14">
        <f t="shared" ref="L6" si="1">IF(J6&gt;10,(MAX($B$34*0.1/100,10000)),0)</f>
        <v>0</v>
      </c>
      <c r="M6" s="118">
        <v>62</v>
      </c>
      <c r="N6" s="14">
        <f t="shared" ref="N6" si="2">I6*15%</f>
        <v>28177.93</v>
      </c>
      <c r="O6" s="14">
        <f t="shared" ref="O6" si="3">IF(M6&gt;100,(MAX($B$34*0.1/100,10000)),0)</f>
        <v>0</v>
      </c>
      <c r="P6" s="118">
        <v>9</v>
      </c>
      <c r="Q6" s="14">
        <f t="shared" ref="Q6" si="4">I6*25%</f>
        <v>46963.21</v>
      </c>
      <c r="R6" s="14">
        <f t="shared" ref="R6" si="5">IF(P6&gt;10,(MAX($B$34*0.1/100,10000)),0)</f>
        <v>0</v>
      </c>
      <c r="S6" s="118"/>
      <c r="T6" s="14">
        <v>0</v>
      </c>
      <c r="U6" s="14">
        <v>13149.7</v>
      </c>
      <c r="V6" s="14">
        <f>T6+Q6+N6+K6</f>
        <v>169067.56</v>
      </c>
      <c r="W6" s="14">
        <f>U6+R6+O6+L6</f>
        <v>13149.7</v>
      </c>
      <c r="X6" s="119" t="s">
        <v>132</v>
      </c>
    </row>
    <row r="7" spans="1:30" x14ac:dyDescent="0.25">
      <c r="A7" s="15">
        <v>44959</v>
      </c>
      <c r="B7" s="14">
        <f>Summary!$G$7/28</f>
        <v>469632.09</v>
      </c>
      <c r="C7" s="14">
        <v>74</v>
      </c>
      <c r="D7" s="14">
        <v>74.510000000000005</v>
      </c>
      <c r="E7" s="14">
        <f t="shared" ref="E7:E33" si="6">MIN(D7,C7)</f>
        <v>74</v>
      </c>
      <c r="F7" s="14">
        <f t="shared" ref="F7:F33" si="7">B7*60%</f>
        <v>281779.25</v>
      </c>
      <c r="G7" s="14">
        <f t="shared" ref="G7:G33" si="8">(F7*E7)/C7</f>
        <v>281779.25</v>
      </c>
      <c r="H7" s="14">
        <f t="shared" ref="H7:H33" si="9">B7*40%</f>
        <v>187852.84</v>
      </c>
      <c r="I7" s="14">
        <f t="shared" ref="I7:I33" si="10">(H7*E7)/C7</f>
        <v>187852.84</v>
      </c>
      <c r="J7" s="14">
        <v>6</v>
      </c>
      <c r="K7" s="14">
        <f t="shared" ref="K7:K33" si="11">I7*50%</f>
        <v>93926.42</v>
      </c>
      <c r="L7" s="14">
        <f t="shared" ref="L7:L33" si="12">IF(J7&gt;10,(MAX($B$34*0.1/100,10000)),0)</f>
        <v>0</v>
      </c>
      <c r="M7" s="14">
        <v>72</v>
      </c>
      <c r="N7" s="14">
        <f t="shared" ref="N7:N33" si="13">I7*15%</f>
        <v>28177.93</v>
      </c>
      <c r="O7" s="14">
        <f t="shared" ref="O7:O33" si="14">IF(M7&gt;100,(MAX($B$34*0.1/100,10000)),0)</f>
        <v>0</v>
      </c>
      <c r="P7" s="14">
        <v>8</v>
      </c>
      <c r="Q7" s="14">
        <f t="shared" ref="Q7:Q33" si="15">I7*25%</f>
        <v>46963.21</v>
      </c>
      <c r="R7" s="14">
        <f t="shared" ref="R7:R33" si="16">IF(P7&gt;10,(MAX($B$34*0.1/100,10000)),0)</f>
        <v>0</v>
      </c>
      <c r="S7" s="14"/>
      <c r="T7" s="14">
        <v>0</v>
      </c>
      <c r="U7" s="14">
        <v>13149.7</v>
      </c>
      <c r="V7" s="14">
        <f t="shared" ref="V7:V33" si="17">T7+Q7+N7+K7</f>
        <v>169067.56</v>
      </c>
      <c r="W7" s="14">
        <f t="shared" ref="W7:W33" si="18">U7+R7+O7+L7</f>
        <v>13149.7</v>
      </c>
    </row>
    <row r="8" spans="1:30" s="114" customFormat="1" x14ac:dyDescent="0.25">
      <c r="A8" s="112">
        <v>44960</v>
      </c>
      <c r="B8" s="113">
        <f>Summary!$G$7/28</f>
        <v>469632.09</v>
      </c>
      <c r="C8" s="113">
        <v>74</v>
      </c>
      <c r="D8" s="113">
        <v>74.56</v>
      </c>
      <c r="E8" s="14">
        <f t="shared" si="6"/>
        <v>74</v>
      </c>
      <c r="F8" s="113">
        <f t="shared" si="7"/>
        <v>281779.25</v>
      </c>
      <c r="G8" s="14">
        <f t="shared" si="8"/>
        <v>281779.25</v>
      </c>
      <c r="H8" s="113">
        <f t="shared" si="9"/>
        <v>187852.84</v>
      </c>
      <c r="I8" s="14">
        <f t="shared" si="10"/>
        <v>187852.84</v>
      </c>
      <c r="J8" s="113">
        <v>9</v>
      </c>
      <c r="K8" s="14">
        <f t="shared" si="11"/>
        <v>93926.42</v>
      </c>
      <c r="L8" s="14">
        <f t="shared" si="12"/>
        <v>0</v>
      </c>
      <c r="M8" s="113">
        <v>88</v>
      </c>
      <c r="N8" s="14">
        <f t="shared" si="13"/>
        <v>28177.93</v>
      </c>
      <c r="O8" s="14">
        <f t="shared" si="14"/>
        <v>0</v>
      </c>
      <c r="P8" s="113">
        <v>8</v>
      </c>
      <c r="Q8" s="14">
        <f t="shared" si="15"/>
        <v>46963.21</v>
      </c>
      <c r="R8" s="14">
        <f t="shared" si="16"/>
        <v>0</v>
      </c>
      <c r="S8" s="113"/>
      <c r="T8" s="14">
        <v>0</v>
      </c>
      <c r="U8" s="14">
        <v>13149.7</v>
      </c>
      <c r="V8" s="14">
        <f t="shared" si="17"/>
        <v>169067.56</v>
      </c>
      <c r="W8" s="14">
        <f t="shared" si="18"/>
        <v>13149.7</v>
      </c>
      <c r="X8" s="115" t="s">
        <v>131</v>
      </c>
    </row>
    <row r="9" spans="1:30" x14ac:dyDescent="0.25">
      <c r="A9" s="15">
        <v>44961</v>
      </c>
      <c r="B9" s="14">
        <f>Summary!$G$7/28</f>
        <v>469632.09</v>
      </c>
      <c r="C9" s="14">
        <v>74</v>
      </c>
      <c r="D9" s="14">
        <v>74.63</v>
      </c>
      <c r="E9" s="14">
        <f t="shared" si="6"/>
        <v>74</v>
      </c>
      <c r="F9" s="14">
        <f t="shared" si="7"/>
        <v>281779.25</v>
      </c>
      <c r="G9" s="14">
        <f t="shared" si="8"/>
        <v>281779.25</v>
      </c>
      <c r="H9" s="14">
        <f t="shared" si="9"/>
        <v>187852.84</v>
      </c>
      <c r="I9" s="14">
        <f t="shared" si="10"/>
        <v>187852.84</v>
      </c>
      <c r="J9" s="14">
        <v>9</v>
      </c>
      <c r="K9" s="14">
        <f t="shared" si="11"/>
        <v>93926.42</v>
      </c>
      <c r="L9" s="14">
        <f t="shared" si="12"/>
        <v>0</v>
      </c>
      <c r="M9" s="14">
        <v>84</v>
      </c>
      <c r="N9" s="14">
        <f t="shared" si="13"/>
        <v>28177.93</v>
      </c>
      <c r="O9" s="14">
        <f t="shared" si="14"/>
        <v>0</v>
      </c>
      <c r="P9" s="14">
        <v>8</v>
      </c>
      <c r="Q9" s="14">
        <f t="shared" si="15"/>
        <v>46963.21</v>
      </c>
      <c r="R9" s="14">
        <f t="shared" si="16"/>
        <v>0</v>
      </c>
      <c r="S9" s="14"/>
      <c r="T9" s="14">
        <v>0</v>
      </c>
      <c r="U9" s="14">
        <v>13149.7</v>
      </c>
      <c r="V9" s="14">
        <f t="shared" si="17"/>
        <v>169067.56</v>
      </c>
      <c r="W9" s="14">
        <f t="shared" si="18"/>
        <v>13149.7</v>
      </c>
    </row>
    <row r="10" spans="1:30" x14ac:dyDescent="0.25">
      <c r="A10" s="15">
        <v>44962</v>
      </c>
      <c r="B10" s="14">
        <f>Summary!$G$7/28</f>
        <v>469632.09</v>
      </c>
      <c r="C10" s="14">
        <v>74</v>
      </c>
      <c r="D10" s="14">
        <v>74.58</v>
      </c>
      <c r="E10" s="14">
        <f t="shared" si="6"/>
        <v>74</v>
      </c>
      <c r="F10" s="14">
        <f t="shared" si="7"/>
        <v>281779.25</v>
      </c>
      <c r="G10" s="14">
        <f t="shared" si="8"/>
        <v>281779.25</v>
      </c>
      <c r="H10" s="14">
        <f t="shared" si="9"/>
        <v>187852.84</v>
      </c>
      <c r="I10" s="14">
        <f t="shared" si="10"/>
        <v>187852.84</v>
      </c>
      <c r="J10" s="14">
        <v>7</v>
      </c>
      <c r="K10" s="14">
        <f t="shared" si="11"/>
        <v>93926.42</v>
      </c>
      <c r="L10" s="14">
        <f t="shared" si="12"/>
        <v>0</v>
      </c>
      <c r="M10" s="14">
        <v>80</v>
      </c>
      <c r="N10" s="14">
        <f t="shared" si="13"/>
        <v>28177.93</v>
      </c>
      <c r="O10" s="14">
        <f t="shared" si="14"/>
        <v>0</v>
      </c>
      <c r="P10" s="14">
        <v>7</v>
      </c>
      <c r="Q10" s="14">
        <f t="shared" si="15"/>
        <v>46963.21</v>
      </c>
      <c r="R10" s="14">
        <f t="shared" si="16"/>
        <v>0</v>
      </c>
      <c r="S10" s="14"/>
      <c r="T10" s="14">
        <v>0</v>
      </c>
      <c r="U10" s="14">
        <v>13149.7</v>
      </c>
      <c r="V10" s="14">
        <f t="shared" si="17"/>
        <v>169067.56</v>
      </c>
      <c r="W10" s="14">
        <f t="shared" si="18"/>
        <v>13149.7</v>
      </c>
    </row>
    <row r="11" spans="1:30" x14ac:dyDescent="0.25">
      <c r="A11" s="15">
        <v>44963</v>
      </c>
      <c r="B11" s="14">
        <f>Summary!$G$7/28</f>
        <v>469632.09</v>
      </c>
      <c r="C11" s="14">
        <v>74</v>
      </c>
      <c r="D11" s="14">
        <v>74.84</v>
      </c>
      <c r="E11" s="14">
        <f t="shared" si="6"/>
        <v>74</v>
      </c>
      <c r="F11" s="14">
        <f t="shared" si="7"/>
        <v>281779.25</v>
      </c>
      <c r="G11" s="14">
        <f t="shared" si="8"/>
        <v>281779.25</v>
      </c>
      <c r="H11" s="14">
        <f t="shared" si="9"/>
        <v>187852.84</v>
      </c>
      <c r="I11" s="14">
        <f t="shared" si="10"/>
        <v>187852.84</v>
      </c>
      <c r="J11" s="14">
        <v>8</v>
      </c>
      <c r="K11" s="14">
        <f t="shared" si="11"/>
        <v>93926.42</v>
      </c>
      <c r="L11" s="14">
        <f t="shared" si="12"/>
        <v>0</v>
      </c>
      <c r="M11" s="14">
        <v>84</v>
      </c>
      <c r="N11" s="14">
        <f t="shared" si="13"/>
        <v>28177.93</v>
      </c>
      <c r="O11" s="14">
        <f t="shared" si="14"/>
        <v>0</v>
      </c>
      <c r="P11" s="14">
        <v>9</v>
      </c>
      <c r="Q11" s="14">
        <f t="shared" si="15"/>
        <v>46963.21</v>
      </c>
      <c r="R11" s="14">
        <f t="shared" si="16"/>
        <v>0</v>
      </c>
      <c r="S11" s="14"/>
      <c r="T11" s="14">
        <v>0</v>
      </c>
      <c r="U11" s="14">
        <v>13149.7</v>
      </c>
      <c r="V11" s="14">
        <f t="shared" si="17"/>
        <v>169067.56</v>
      </c>
      <c r="W11" s="14">
        <f t="shared" si="18"/>
        <v>13149.7</v>
      </c>
    </row>
    <row r="12" spans="1:30" x14ac:dyDescent="0.25">
      <c r="A12" s="15">
        <v>44964</v>
      </c>
      <c r="B12" s="14">
        <f>Summary!$G$7/28</f>
        <v>469632.09</v>
      </c>
      <c r="C12" s="14">
        <v>74</v>
      </c>
      <c r="D12" s="14">
        <v>74.510000000000005</v>
      </c>
      <c r="E12" s="14">
        <f t="shared" si="6"/>
        <v>74</v>
      </c>
      <c r="F12" s="14">
        <f t="shared" si="7"/>
        <v>281779.25</v>
      </c>
      <c r="G12" s="14">
        <f t="shared" si="8"/>
        <v>281779.25</v>
      </c>
      <c r="H12" s="14">
        <f t="shared" si="9"/>
        <v>187852.84</v>
      </c>
      <c r="I12" s="14">
        <f t="shared" si="10"/>
        <v>187852.84</v>
      </c>
      <c r="J12" s="14">
        <v>7</v>
      </c>
      <c r="K12" s="14">
        <f t="shared" si="11"/>
        <v>93926.42</v>
      </c>
      <c r="L12" s="14">
        <f t="shared" si="12"/>
        <v>0</v>
      </c>
      <c r="M12" s="14">
        <v>72</v>
      </c>
      <c r="N12" s="14">
        <f t="shared" si="13"/>
        <v>28177.93</v>
      </c>
      <c r="O12" s="14">
        <f t="shared" si="14"/>
        <v>0</v>
      </c>
      <c r="P12" s="14">
        <v>7</v>
      </c>
      <c r="Q12" s="14">
        <f t="shared" si="15"/>
        <v>46963.21</v>
      </c>
      <c r="R12" s="14">
        <f t="shared" si="16"/>
        <v>0</v>
      </c>
      <c r="S12" s="14"/>
      <c r="T12" s="14">
        <v>0</v>
      </c>
      <c r="U12" s="14">
        <v>13149.7</v>
      </c>
      <c r="V12" s="14">
        <f t="shared" si="17"/>
        <v>169067.56</v>
      </c>
      <c r="W12" s="14">
        <f t="shared" si="18"/>
        <v>13149.7</v>
      </c>
    </row>
    <row r="13" spans="1:30" s="120" customFormat="1" x14ac:dyDescent="0.25">
      <c r="A13" s="117">
        <v>44965</v>
      </c>
      <c r="B13" s="118">
        <f>Summary!$G$7/28</f>
        <v>469632.09</v>
      </c>
      <c r="C13" s="118">
        <v>74</v>
      </c>
      <c r="D13" s="118">
        <v>74.66</v>
      </c>
      <c r="E13" s="14">
        <f t="shared" si="6"/>
        <v>74</v>
      </c>
      <c r="F13" s="118">
        <f t="shared" si="7"/>
        <v>281779.25</v>
      </c>
      <c r="G13" s="14">
        <f t="shared" si="8"/>
        <v>281779.25</v>
      </c>
      <c r="H13" s="118">
        <f t="shared" si="9"/>
        <v>187852.84</v>
      </c>
      <c r="I13" s="14">
        <f t="shared" si="10"/>
        <v>187852.84</v>
      </c>
      <c r="J13" s="118">
        <v>9</v>
      </c>
      <c r="K13" s="14">
        <f t="shared" si="11"/>
        <v>93926.42</v>
      </c>
      <c r="L13" s="14">
        <f t="shared" si="12"/>
        <v>0</v>
      </c>
      <c r="M13" s="118">
        <v>100</v>
      </c>
      <c r="N13" s="14">
        <f t="shared" si="13"/>
        <v>28177.93</v>
      </c>
      <c r="O13" s="14">
        <f t="shared" si="14"/>
        <v>0</v>
      </c>
      <c r="P13" s="118">
        <v>8</v>
      </c>
      <c r="Q13" s="14">
        <f t="shared" si="15"/>
        <v>46963.21</v>
      </c>
      <c r="R13" s="14">
        <f t="shared" si="16"/>
        <v>0</v>
      </c>
      <c r="S13" s="118"/>
      <c r="T13" s="14">
        <v>0</v>
      </c>
      <c r="U13" s="14">
        <v>13149.7</v>
      </c>
      <c r="V13" s="14">
        <f t="shared" si="17"/>
        <v>169067.56</v>
      </c>
      <c r="W13" s="14">
        <f t="shared" si="18"/>
        <v>13149.7</v>
      </c>
      <c r="X13" s="119" t="s">
        <v>133</v>
      </c>
    </row>
    <row r="14" spans="1:30" x14ac:dyDescent="0.25">
      <c r="A14" s="15">
        <v>44966</v>
      </c>
      <c r="B14" s="14">
        <f>Summary!$G$7/28</f>
        <v>469632.09</v>
      </c>
      <c r="C14" s="14">
        <v>74</v>
      </c>
      <c r="D14" s="14">
        <v>74.739999999999995</v>
      </c>
      <c r="E14" s="14">
        <f t="shared" si="6"/>
        <v>74</v>
      </c>
      <c r="F14" s="14">
        <f t="shared" si="7"/>
        <v>281779.25</v>
      </c>
      <c r="G14" s="14">
        <f t="shared" si="8"/>
        <v>281779.25</v>
      </c>
      <c r="H14" s="14">
        <f t="shared" si="9"/>
        <v>187852.84</v>
      </c>
      <c r="I14" s="14">
        <f t="shared" si="10"/>
        <v>187852.84</v>
      </c>
      <c r="J14" s="14">
        <v>9</v>
      </c>
      <c r="K14" s="14">
        <f t="shared" si="11"/>
        <v>93926.42</v>
      </c>
      <c r="L14" s="14">
        <f t="shared" si="12"/>
        <v>0</v>
      </c>
      <c r="M14" s="14">
        <v>80</v>
      </c>
      <c r="N14" s="14">
        <f t="shared" si="13"/>
        <v>28177.93</v>
      </c>
      <c r="O14" s="14">
        <f t="shared" si="14"/>
        <v>0</v>
      </c>
      <c r="P14" s="14">
        <v>9</v>
      </c>
      <c r="Q14" s="14">
        <f t="shared" si="15"/>
        <v>46963.21</v>
      </c>
      <c r="R14" s="14">
        <f t="shared" si="16"/>
        <v>0</v>
      </c>
      <c r="S14" s="14"/>
      <c r="T14" s="14">
        <v>0</v>
      </c>
      <c r="U14" s="14">
        <v>13149.7</v>
      </c>
      <c r="V14" s="14">
        <f t="shared" si="17"/>
        <v>169067.56</v>
      </c>
      <c r="W14" s="14">
        <f t="shared" si="18"/>
        <v>13149.7</v>
      </c>
    </row>
    <row r="15" spans="1:30" x14ac:dyDescent="0.25">
      <c r="A15" s="15">
        <v>44967</v>
      </c>
      <c r="B15" s="14">
        <f>Summary!$G$7/28</f>
        <v>469632.09</v>
      </c>
      <c r="C15" s="14">
        <v>74</v>
      </c>
      <c r="D15" s="14">
        <v>74.849999999999994</v>
      </c>
      <c r="E15" s="14">
        <f t="shared" si="6"/>
        <v>74</v>
      </c>
      <c r="F15" s="14">
        <f t="shared" si="7"/>
        <v>281779.25</v>
      </c>
      <c r="G15" s="14">
        <f t="shared" si="8"/>
        <v>281779.25</v>
      </c>
      <c r="H15" s="14">
        <f t="shared" si="9"/>
        <v>187852.84</v>
      </c>
      <c r="I15" s="14">
        <f t="shared" si="10"/>
        <v>187852.84</v>
      </c>
      <c r="J15" s="14">
        <v>7</v>
      </c>
      <c r="K15" s="14">
        <f t="shared" si="11"/>
        <v>93926.42</v>
      </c>
      <c r="L15" s="14">
        <f t="shared" si="12"/>
        <v>0</v>
      </c>
      <c r="M15" s="14">
        <v>80</v>
      </c>
      <c r="N15" s="14">
        <f t="shared" si="13"/>
        <v>28177.93</v>
      </c>
      <c r="O15" s="14">
        <f t="shared" si="14"/>
        <v>0</v>
      </c>
      <c r="P15" s="14">
        <v>7</v>
      </c>
      <c r="Q15" s="14">
        <f t="shared" si="15"/>
        <v>46963.21</v>
      </c>
      <c r="R15" s="14">
        <f t="shared" si="16"/>
        <v>0</v>
      </c>
      <c r="S15" s="14"/>
      <c r="T15" s="14">
        <v>0</v>
      </c>
      <c r="U15" s="14">
        <v>13149.7</v>
      </c>
      <c r="V15" s="14">
        <f t="shared" si="17"/>
        <v>169067.56</v>
      </c>
      <c r="W15" s="14">
        <f t="shared" si="18"/>
        <v>13149.7</v>
      </c>
    </row>
    <row r="16" spans="1:30" x14ac:dyDescent="0.25">
      <c r="A16" s="15">
        <v>44968</v>
      </c>
      <c r="B16" s="14">
        <f>Summary!$G$7/28</f>
        <v>469632.09</v>
      </c>
      <c r="C16" s="14">
        <v>74</v>
      </c>
      <c r="D16" s="14">
        <v>74.66</v>
      </c>
      <c r="E16" s="14">
        <f t="shared" si="6"/>
        <v>74</v>
      </c>
      <c r="F16" s="14">
        <f t="shared" si="7"/>
        <v>281779.25</v>
      </c>
      <c r="G16" s="14">
        <f t="shared" si="8"/>
        <v>281779.25</v>
      </c>
      <c r="H16" s="14">
        <f t="shared" si="9"/>
        <v>187852.84</v>
      </c>
      <c r="I16" s="14">
        <f t="shared" si="10"/>
        <v>187852.84</v>
      </c>
      <c r="J16" s="14">
        <v>8</v>
      </c>
      <c r="K16" s="14">
        <f t="shared" si="11"/>
        <v>93926.42</v>
      </c>
      <c r="L16" s="14">
        <f t="shared" si="12"/>
        <v>0</v>
      </c>
      <c r="M16" s="14">
        <v>72</v>
      </c>
      <c r="N16" s="14">
        <f t="shared" si="13"/>
        <v>28177.93</v>
      </c>
      <c r="O16" s="14">
        <f t="shared" si="14"/>
        <v>0</v>
      </c>
      <c r="P16" s="14">
        <v>8</v>
      </c>
      <c r="Q16" s="14">
        <f t="shared" si="15"/>
        <v>46963.21</v>
      </c>
      <c r="R16" s="14">
        <f t="shared" si="16"/>
        <v>0</v>
      </c>
      <c r="S16" s="14"/>
      <c r="T16" s="14">
        <v>0</v>
      </c>
      <c r="U16" s="14">
        <v>13149.7</v>
      </c>
      <c r="V16" s="14">
        <f t="shared" si="17"/>
        <v>169067.56</v>
      </c>
      <c r="W16" s="14">
        <f t="shared" si="18"/>
        <v>13149.7</v>
      </c>
    </row>
    <row r="17" spans="1:24" x14ac:dyDescent="0.25">
      <c r="A17" s="15">
        <v>44969</v>
      </c>
      <c r="B17" s="14">
        <f>Summary!$G$7/28</f>
        <v>469632.09</v>
      </c>
      <c r="C17" s="14">
        <v>74</v>
      </c>
      <c r="D17" s="14">
        <v>74.63</v>
      </c>
      <c r="E17" s="14">
        <f t="shared" si="6"/>
        <v>74</v>
      </c>
      <c r="F17" s="14">
        <f t="shared" si="7"/>
        <v>281779.25</v>
      </c>
      <c r="G17" s="14">
        <f t="shared" si="8"/>
        <v>281779.25</v>
      </c>
      <c r="H17" s="14">
        <f t="shared" si="9"/>
        <v>187852.84</v>
      </c>
      <c r="I17" s="14">
        <f t="shared" si="10"/>
        <v>187852.84</v>
      </c>
      <c r="J17" s="14">
        <v>8</v>
      </c>
      <c r="K17" s="14">
        <f t="shared" si="11"/>
        <v>93926.42</v>
      </c>
      <c r="L17" s="14">
        <f t="shared" si="12"/>
        <v>0</v>
      </c>
      <c r="M17" s="14">
        <v>80</v>
      </c>
      <c r="N17" s="14">
        <f t="shared" si="13"/>
        <v>28177.93</v>
      </c>
      <c r="O17" s="14">
        <f t="shared" si="14"/>
        <v>0</v>
      </c>
      <c r="P17" s="14">
        <v>9</v>
      </c>
      <c r="Q17" s="14">
        <f t="shared" si="15"/>
        <v>46963.21</v>
      </c>
      <c r="R17" s="14">
        <f t="shared" si="16"/>
        <v>0</v>
      </c>
      <c r="S17" s="14"/>
      <c r="T17" s="14">
        <v>0</v>
      </c>
      <c r="U17" s="14">
        <v>13149.7</v>
      </c>
      <c r="V17" s="14">
        <f t="shared" si="17"/>
        <v>169067.56</v>
      </c>
      <c r="W17" s="14">
        <f t="shared" si="18"/>
        <v>13149.7</v>
      </c>
    </row>
    <row r="18" spans="1:24" x14ac:dyDescent="0.25">
      <c r="A18" s="15">
        <v>44970</v>
      </c>
      <c r="B18" s="14">
        <f>Summary!$G$7/28</f>
        <v>469632.09</v>
      </c>
      <c r="C18" s="14">
        <v>74</v>
      </c>
      <c r="D18" s="14">
        <v>74.849999999999994</v>
      </c>
      <c r="E18" s="14">
        <f t="shared" si="6"/>
        <v>74</v>
      </c>
      <c r="F18" s="14">
        <f t="shared" si="7"/>
        <v>281779.25</v>
      </c>
      <c r="G18" s="14">
        <f t="shared" si="8"/>
        <v>281779.25</v>
      </c>
      <c r="H18" s="14">
        <f t="shared" si="9"/>
        <v>187852.84</v>
      </c>
      <c r="I18" s="14">
        <f t="shared" si="10"/>
        <v>187852.84</v>
      </c>
      <c r="J18" s="14">
        <v>7</v>
      </c>
      <c r="K18" s="14">
        <f t="shared" si="11"/>
        <v>93926.42</v>
      </c>
      <c r="L18" s="14">
        <f t="shared" si="12"/>
        <v>0</v>
      </c>
      <c r="M18" s="14">
        <v>76</v>
      </c>
      <c r="N18" s="14">
        <f t="shared" si="13"/>
        <v>28177.93</v>
      </c>
      <c r="O18" s="14">
        <f t="shared" si="14"/>
        <v>0</v>
      </c>
      <c r="P18" s="14">
        <v>8</v>
      </c>
      <c r="Q18" s="14">
        <f t="shared" si="15"/>
        <v>46963.21</v>
      </c>
      <c r="R18" s="14">
        <f t="shared" si="16"/>
        <v>0</v>
      </c>
      <c r="S18" s="14"/>
      <c r="T18" s="14">
        <v>0</v>
      </c>
      <c r="U18" s="14">
        <v>13149.7</v>
      </c>
      <c r="V18" s="14">
        <f t="shared" si="17"/>
        <v>169067.56</v>
      </c>
      <c r="W18" s="14">
        <f t="shared" si="18"/>
        <v>13149.7</v>
      </c>
    </row>
    <row r="19" spans="1:24" s="114" customFormat="1" x14ac:dyDescent="0.25">
      <c r="A19" s="112">
        <v>44971</v>
      </c>
      <c r="B19" s="113">
        <f>Summary!$G$7/28</f>
        <v>469632.09</v>
      </c>
      <c r="C19" s="113">
        <v>74</v>
      </c>
      <c r="D19" s="113">
        <v>74.89</v>
      </c>
      <c r="E19" s="14">
        <f t="shared" si="6"/>
        <v>74</v>
      </c>
      <c r="F19" s="113">
        <f t="shared" si="7"/>
        <v>281779.25</v>
      </c>
      <c r="G19" s="14">
        <f t="shared" si="8"/>
        <v>281779.25</v>
      </c>
      <c r="H19" s="113">
        <f t="shared" si="9"/>
        <v>187852.84</v>
      </c>
      <c r="I19" s="14">
        <f t="shared" si="10"/>
        <v>187852.84</v>
      </c>
      <c r="J19" s="113">
        <v>7</v>
      </c>
      <c r="K19" s="14">
        <f t="shared" si="11"/>
        <v>93926.42</v>
      </c>
      <c r="L19" s="14">
        <f t="shared" si="12"/>
        <v>0</v>
      </c>
      <c r="M19" s="113">
        <v>40</v>
      </c>
      <c r="N19" s="14">
        <f t="shared" si="13"/>
        <v>28177.93</v>
      </c>
      <c r="O19" s="14">
        <f t="shared" si="14"/>
        <v>0</v>
      </c>
      <c r="P19" s="113">
        <v>10</v>
      </c>
      <c r="Q19" s="14">
        <f t="shared" si="15"/>
        <v>46963.21</v>
      </c>
      <c r="R19" s="14">
        <f t="shared" si="16"/>
        <v>0</v>
      </c>
      <c r="S19" s="113"/>
      <c r="T19" s="14">
        <v>0</v>
      </c>
      <c r="U19" s="14">
        <v>13149.7</v>
      </c>
      <c r="V19" s="14">
        <f t="shared" si="17"/>
        <v>169067.56</v>
      </c>
      <c r="W19" s="14">
        <f t="shared" si="18"/>
        <v>13149.7</v>
      </c>
      <c r="X19" s="115" t="s">
        <v>131</v>
      </c>
    </row>
    <row r="20" spans="1:24" s="120" customFormat="1" x14ac:dyDescent="0.25">
      <c r="A20" s="117">
        <v>44972</v>
      </c>
      <c r="B20" s="118">
        <f>Summary!$G$7/28</f>
        <v>469632.09</v>
      </c>
      <c r="C20" s="118">
        <v>74</v>
      </c>
      <c r="D20" s="118">
        <v>74.709999999999994</v>
      </c>
      <c r="E20" s="14">
        <f t="shared" si="6"/>
        <v>74</v>
      </c>
      <c r="F20" s="118">
        <f t="shared" si="7"/>
        <v>281779.25</v>
      </c>
      <c r="G20" s="14">
        <f t="shared" si="8"/>
        <v>281779.25</v>
      </c>
      <c r="H20" s="118">
        <f t="shared" si="9"/>
        <v>187852.84</v>
      </c>
      <c r="I20" s="14">
        <f t="shared" si="10"/>
        <v>187852.84</v>
      </c>
      <c r="J20" s="118">
        <v>9</v>
      </c>
      <c r="K20" s="14">
        <f t="shared" si="11"/>
        <v>93926.42</v>
      </c>
      <c r="L20" s="14">
        <f t="shared" si="12"/>
        <v>0</v>
      </c>
      <c r="M20" s="118">
        <v>64</v>
      </c>
      <c r="N20" s="14">
        <f t="shared" si="13"/>
        <v>28177.93</v>
      </c>
      <c r="O20" s="14">
        <f t="shared" si="14"/>
        <v>0</v>
      </c>
      <c r="P20" s="118">
        <v>8</v>
      </c>
      <c r="Q20" s="14">
        <f t="shared" si="15"/>
        <v>46963.21</v>
      </c>
      <c r="R20" s="14">
        <f t="shared" si="16"/>
        <v>0</v>
      </c>
      <c r="S20" s="118"/>
      <c r="T20" s="14">
        <v>0</v>
      </c>
      <c r="U20" s="14">
        <v>13149.7</v>
      </c>
      <c r="V20" s="14">
        <f t="shared" si="17"/>
        <v>169067.56</v>
      </c>
      <c r="W20" s="14">
        <f t="shared" si="18"/>
        <v>13149.7</v>
      </c>
      <c r="X20" s="119" t="s">
        <v>132</v>
      </c>
    </row>
    <row r="21" spans="1:24" x14ac:dyDescent="0.25">
      <c r="A21" s="15">
        <v>44973</v>
      </c>
      <c r="B21" s="14">
        <f>Summary!$G$7/28</f>
        <v>469632.09</v>
      </c>
      <c r="C21" s="14">
        <v>74</v>
      </c>
      <c r="D21" s="14">
        <v>74.430000000000007</v>
      </c>
      <c r="E21" s="14">
        <f t="shared" si="6"/>
        <v>74</v>
      </c>
      <c r="F21" s="14">
        <f t="shared" si="7"/>
        <v>281779.25</v>
      </c>
      <c r="G21" s="14">
        <f t="shared" si="8"/>
        <v>281779.25</v>
      </c>
      <c r="H21" s="14">
        <f t="shared" si="9"/>
        <v>187852.84</v>
      </c>
      <c r="I21" s="14">
        <f t="shared" si="10"/>
        <v>187852.84</v>
      </c>
      <c r="J21" s="14">
        <v>7</v>
      </c>
      <c r="K21" s="14">
        <f t="shared" si="11"/>
        <v>93926.42</v>
      </c>
      <c r="L21" s="14">
        <f t="shared" si="12"/>
        <v>0</v>
      </c>
      <c r="M21" s="14">
        <v>80</v>
      </c>
      <c r="N21" s="14">
        <f t="shared" si="13"/>
        <v>28177.93</v>
      </c>
      <c r="O21" s="14">
        <f t="shared" si="14"/>
        <v>0</v>
      </c>
      <c r="P21" s="14">
        <v>9</v>
      </c>
      <c r="Q21" s="14">
        <f t="shared" si="15"/>
        <v>46963.21</v>
      </c>
      <c r="R21" s="14">
        <f t="shared" si="16"/>
        <v>0</v>
      </c>
      <c r="S21" s="14"/>
      <c r="T21" s="14">
        <v>0</v>
      </c>
      <c r="U21" s="14">
        <v>13149.7</v>
      </c>
      <c r="V21" s="14">
        <f t="shared" si="17"/>
        <v>169067.56</v>
      </c>
      <c r="W21" s="14">
        <f t="shared" si="18"/>
        <v>13149.7</v>
      </c>
    </row>
    <row r="22" spans="1:24" x14ac:dyDescent="0.25">
      <c r="A22" s="15">
        <v>44974</v>
      </c>
      <c r="B22" s="14">
        <f>Summary!$G$7/28</f>
        <v>469632.09</v>
      </c>
      <c r="C22" s="14">
        <v>74</v>
      </c>
      <c r="D22" s="14">
        <v>74.62</v>
      </c>
      <c r="E22" s="14">
        <f t="shared" si="6"/>
        <v>74</v>
      </c>
      <c r="F22" s="14">
        <f t="shared" si="7"/>
        <v>281779.25</v>
      </c>
      <c r="G22" s="14">
        <f t="shared" si="8"/>
        <v>281779.25</v>
      </c>
      <c r="H22" s="14">
        <f t="shared" si="9"/>
        <v>187852.84</v>
      </c>
      <c r="I22" s="14">
        <f t="shared" si="10"/>
        <v>187852.84</v>
      </c>
      <c r="J22" s="14">
        <v>7</v>
      </c>
      <c r="K22" s="14">
        <f t="shared" si="11"/>
        <v>93926.42</v>
      </c>
      <c r="L22" s="14">
        <f t="shared" si="12"/>
        <v>0</v>
      </c>
      <c r="M22" s="14">
        <v>76</v>
      </c>
      <c r="N22" s="14">
        <f t="shared" si="13"/>
        <v>28177.93</v>
      </c>
      <c r="O22" s="14">
        <f t="shared" si="14"/>
        <v>0</v>
      </c>
      <c r="P22" s="14">
        <v>8</v>
      </c>
      <c r="Q22" s="14">
        <f t="shared" si="15"/>
        <v>46963.21</v>
      </c>
      <c r="R22" s="14">
        <f t="shared" si="16"/>
        <v>0</v>
      </c>
      <c r="S22" s="14"/>
      <c r="T22" s="14">
        <v>0</v>
      </c>
      <c r="U22" s="14">
        <v>13149.7</v>
      </c>
      <c r="V22" s="14">
        <f t="shared" si="17"/>
        <v>169067.56</v>
      </c>
      <c r="W22" s="14">
        <f t="shared" si="18"/>
        <v>13149.7</v>
      </c>
    </row>
    <row r="23" spans="1:24" x14ac:dyDescent="0.25">
      <c r="A23" s="15">
        <v>44975</v>
      </c>
      <c r="B23" s="14">
        <f>Summary!$G$7/28</f>
        <v>469632.09</v>
      </c>
      <c r="C23" s="14">
        <v>74</v>
      </c>
      <c r="D23" s="14">
        <v>74.56</v>
      </c>
      <c r="E23" s="14">
        <f t="shared" si="6"/>
        <v>74</v>
      </c>
      <c r="F23" s="14">
        <f t="shared" si="7"/>
        <v>281779.25</v>
      </c>
      <c r="G23" s="14">
        <f t="shared" si="8"/>
        <v>281779.25</v>
      </c>
      <c r="H23" s="14">
        <f t="shared" si="9"/>
        <v>187852.84</v>
      </c>
      <c r="I23" s="14">
        <f t="shared" si="10"/>
        <v>187852.84</v>
      </c>
      <c r="J23" s="14">
        <v>8</v>
      </c>
      <c r="K23" s="14">
        <f t="shared" si="11"/>
        <v>93926.42</v>
      </c>
      <c r="L23" s="14">
        <f t="shared" si="12"/>
        <v>0</v>
      </c>
      <c r="M23" s="14">
        <v>80</v>
      </c>
      <c r="N23" s="14">
        <f t="shared" si="13"/>
        <v>28177.93</v>
      </c>
      <c r="O23" s="14">
        <f t="shared" si="14"/>
        <v>0</v>
      </c>
      <c r="P23" s="14">
        <v>9</v>
      </c>
      <c r="Q23" s="14">
        <f t="shared" si="15"/>
        <v>46963.21</v>
      </c>
      <c r="R23" s="14">
        <f t="shared" si="16"/>
        <v>0</v>
      </c>
      <c r="S23" s="14"/>
      <c r="T23" s="14">
        <v>0</v>
      </c>
      <c r="U23" s="14">
        <v>13149.7</v>
      </c>
      <c r="V23" s="14">
        <f t="shared" si="17"/>
        <v>169067.56</v>
      </c>
      <c r="W23" s="14">
        <f t="shared" si="18"/>
        <v>13149.7</v>
      </c>
    </row>
    <row r="24" spans="1:24" x14ac:dyDescent="0.25">
      <c r="A24" s="15">
        <v>44976</v>
      </c>
      <c r="B24" s="14">
        <f>Summary!$G$7/28</f>
        <v>469632.09</v>
      </c>
      <c r="C24" s="14">
        <v>74</v>
      </c>
      <c r="D24" s="14">
        <v>74.48</v>
      </c>
      <c r="E24" s="14">
        <f t="shared" si="6"/>
        <v>74</v>
      </c>
      <c r="F24" s="14">
        <f t="shared" si="7"/>
        <v>281779.25</v>
      </c>
      <c r="G24" s="14">
        <f t="shared" si="8"/>
        <v>281779.25</v>
      </c>
      <c r="H24" s="14">
        <f t="shared" si="9"/>
        <v>187852.84</v>
      </c>
      <c r="I24" s="14">
        <f t="shared" si="10"/>
        <v>187852.84</v>
      </c>
      <c r="J24" s="14">
        <v>7</v>
      </c>
      <c r="K24" s="14">
        <f t="shared" si="11"/>
        <v>93926.42</v>
      </c>
      <c r="L24" s="14">
        <f t="shared" si="12"/>
        <v>0</v>
      </c>
      <c r="M24" s="14">
        <v>80</v>
      </c>
      <c r="N24" s="14">
        <f t="shared" si="13"/>
        <v>28177.93</v>
      </c>
      <c r="O24" s="14">
        <f t="shared" si="14"/>
        <v>0</v>
      </c>
      <c r="P24" s="14">
        <v>8</v>
      </c>
      <c r="Q24" s="14">
        <f t="shared" si="15"/>
        <v>46963.21</v>
      </c>
      <c r="R24" s="14">
        <f t="shared" si="16"/>
        <v>0</v>
      </c>
      <c r="S24" s="14"/>
      <c r="T24" s="14">
        <v>0</v>
      </c>
      <c r="U24" s="14">
        <v>13149.7</v>
      </c>
      <c r="V24" s="14">
        <f t="shared" si="17"/>
        <v>169067.56</v>
      </c>
      <c r="W24" s="14">
        <f t="shared" si="18"/>
        <v>13149.7</v>
      </c>
    </row>
    <row r="25" spans="1:24" x14ac:dyDescent="0.25">
      <c r="A25" s="15">
        <v>44977</v>
      </c>
      <c r="B25" s="14">
        <f>Summary!$G$7/28</f>
        <v>469632.09</v>
      </c>
      <c r="C25" s="14">
        <v>74</v>
      </c>
      <c r="D25" s="14">
        <v>74.430000000000007</v>
      </c>
      <c r="E25" s="14">
        <f t="shared" si="6"/>
        <v>74</v>
      </c>
      <c r="F25" s="14">
        <f t="shared" si="7"/>
        <v>281779.25</v>
      </c>
      <c r="G25" s="14">
        <f t="shared" si="8"/>
        <v>281779.25</v>
      </c>
      <c r="H25" s="14">
        <f t="shared" si="9"/>
        <v>187852.84</v>
      </c>
      <c r="I25" s="14">
        <f t="shared" si="10"/>
        <v>187852.84</v>
      </c>
      <c r="J25" s="14">
        <v>8</v>
      </c>
      <c r="K25" s="14">
        <f t="shared" si="11"/>
        <v>93926.42</v>
      </c>
      <c r="L25" s="14">
        <f t="shared" si="12"/>
        <v>0</v>
      </c>
      <c r="M25" s="14">
        <v>72</v>
      </c>
      <c r="N25" s="14">
        <f t="shared" si="13"/>
        <v>28177.93</v>
      </c>
      <c r="O25" s="14">
        <f t="shared" si="14"/>
        <v>0</v>
      </c>
      <c r="P25" s="14">
        <v>9</v>
      </c>
      <c r="Q25" s="14">
        <f t="shared" si="15"/>
        <v>46963.21</v>
      </c>
      <c r="R25" s="14">
        <f t="shared" si="16"/>
        <v>0</v>
      </c>
      <c r="S25" s="14"/>
      <c r="T25" s="14">
        <v>0</v>
      </c>
      <c r="U25" s="14">
        <v>13149.7</v>
      </c>
      <c r="V25" s="14">
        <f t="shared" si="17"/>
        <v>169067.56</v>
      </c>
      <c r="W25" s="14">
        <f t="shared" si="18"/>
        <v>13149.7</v>
      </c>
    </row>
    <row r="26" spans="1:24" s="114" customFormat="1" x14ac:dyDescent="0.25">
      <c r="A26" s="112">
        <v>44978</v>
      </c>
      <c r="B26" s="113">
        <f>Summary!$G$7/28</f>
        <v>469632.09</v>
      </c>
      <c r="C26" s="113">
        <v>74</v>
      </c>
      <c r="D26" s="113">
        <v>74.62</v>
      </c>
      <c r="E26" s="14">
        <f t="shared" si="6"/>
        <v>74</v>
      </c>
      <c r="F26" s="113">
        <f t="shared" si="7"/>
        <v>281779.25</v>
      </c>
      <c r="G26" s="14">
        <f t="shared" si="8"/>
        <v>281779.25</v>
      </c>
      <c r="H26" s="113">
        <f t="shared" si="9"/>
        <v>187852.84</v>
      </c>
      <c r="I26" s="14">
        <f t="shared" si="10"/>
        <v>187852.84</v>
      </c>
      <c r="J26" s="113">
        <v>7</v>
      </c>
      <c r="K26" s="14">
        <f t="shared" si="11"/>
        <v>93926.42</v>
      </c>
      <c r="L26" s="14">
        <f t="shared" si="12"/>
        <v>0</v>
      </c>
      <c r="M26" s="113">
        <v>36</v>
      </c>
      <c r="N26" s="14">
        <f t="shared" si="13"/>
        <v>28177.93</v>
      </c>
      <c r="O26" s="14">
        <f t="shared" si="14"/>
        <v>0</v>
      </c>
      <c r="P26" s="121">
        <v>16</v>
      </c>
      <c r="Q26" s="14">
        <v>0</v>
      </c>
      <c r="R26" s="14">
        <f t="shared" si="16"/>
        <v>13149.7</v>
      </c>
      <c r="S26" s="113"/>
      <c r="T26" s="14">
        <v>0</v>
      </c>
      <c r="U26" s="14">
        <v>13149.7</v>
      </c>
      <c r="V26" s="14">
        <f t="shared" si="17"/>
        <v>122104.35</v>
      </c>
      <c r="W26" s="14">
        <f t="shared" si="18"/>
        <v>26299.4</v>
      </c>
      <c r="X26" s="115" t="s">
        <v>131</v>
      </c>
    </row>
    <row r="27" spans="1:24" x14ac:dyDescent="0.25">
      <c r="A27" s="15">
        <v>44979</v>
      </c>
      <c r="B27" s="14">
        <f>Summary!$G$7/28</f>
        <v>469632.09</v>
      </c>
      <c r="C27" s="14">
        <v>74</v>
      </c>
      <c r="D27" s="14">
        <v>74.56</v>
      </c>
      <c r="E27" s="14">
        <f t="shared" si="6"/>
        <v>74</v>
      </c>
      <c r="F27" s="14">
        <f t="shared" si="7"/>
        <v>281779.25</v>
      </c>
      <c r="G27" s="14">
        <f t="shared" si="8"/>
        <v>281779.25</v>
      </c>
      <c r="H27" s="14">
        <f t="shared" si="9"/>
        <v>187852.84</v>
      </c>
      <c r="I27" s="14">
        <f t="shared" si="10"/>
        <v>187852.84</v>
      </c>
      <c r="J27" s="14">
        <v>6</v>
      </c>
      <c r="K27" s="14">
        <f t="shared" si="11"/>
        <v>93926.42</v>
      </c>
      <c r="L27" s="14">
        <f t="shared" si="12"/>
        <v>0</v>
      </c>
      <c r="M27" s="14">
        <v>76</v>
      </c>
      <c r="N27" s="14">
        <f t="shared" si="13"/>
        <v>28177.93</v>
      </c>
      <c r="O27" s="14">
        <f t="shared" si="14"/>
        <v>0</v>
      </c>
      <c r="P27" s="14">
        <v>7</v>
      </c>
      <c r="Q27" s="14">
        <f t="shared" si="15"/>
        <v>46963.21</v>
      </c>
      <c r="R27" s="14">
        <f t="shared" si="16"/>
        <v>0</v>
      </c>
      <c r="S27" s="14"/>
      <c r="T27" s="14">
        <v>0</v>
      </c>
      <c r="U27" s="14">
        <v>13149.7</v>
      </c>
      <c r="V27" s="14">
        <f t="shared" si="17"/>
        <v>169067.56</v>
      </c>
      <c r="W27" s="14">
        <f t="shared" si="18"/>
        <v>13149.7</v>
      </c>
    </row>
    <row r="28" spans="1:24" s="120" customFormat="1" x14ac:dyDescent="0.25">
      <c r="A28" s="117">
        <v>44980</v>
      </c>
      <c r="B28" s="118">
        <f>Summary!$G$7/28</f>
        <v>469632.09</v>
      </c>
      <c r="C28" s="118">
        <v>74</v>
      </c>
      <c r="D28" s="118">
        <v>74.75</v>
      </c>
      <c r="E28" s="14">
        <f t="shared" si="6"/>
        <v>74</v>
      </c>
      <c r="F28" s="118">
        <f t="shared" si="7"/>
        <v>281779.25</v>
      </c>
      <c r="G28" s="14">
        <f t="shared" si="8"/>
        <v>281779.25</v>
      </c>
      <c r="H28" s="118">
        <f t="shared" si="9"/>
        <v>187852.84</v>
      </c>
      <c r="I28" s="14">
        <f t="shared" si="10"/>
        <v>187852.84</v>
      </c>
      <c r="J28" s="118">
        <v>6</v>
      </c>
      <c r="K28" s="14">
        <f t="shared" si="11"/>
        <v>93926.42</v>
      </c>
      <c r="L28" s="14">
        <f t="shared" si="12"/>
        <v>0</v>
      </c>
      <c r="M28" s="118">
        <v>47</v>
      </c>
      <c r="N28" s="14">
        <f t="shared" si="13"/>
        <v>28177.93</v>
      </c>
      <c r="O28" s="14">
        <f t="shared" si="14"/>
        <v>0</v>
      </c>
      <c r="P28" s="118">
        <v>8</v>
      </c>
      <c r="Q28" s="14">
        <f t="shared" si="15"/>
        <v>46963.21</v>
      </c>
      <c r="R28" s="14">
        <f t="shared" si="16"/>
        <v>0</v>
      </c>
      <c r="S28" s="118"/>
      <c r="T28" s="14">
        <v>0</v>
      </c>
      <c r="U28" s="14">
        <v>13149.7</v>
      </c>
      <c r="V28" s="14">
        <f t="shared" si="17"/>
        <v>169067.56</v>
      </c>
      <c r="W28" s="14">
        <f t="shared" si="18"/>
        <v>13149.7</v>
      </c>
      <c r="X28" s="119" t="s">
        <v>132</v>
      </c>
    </row>
    <row r="29" spans="1:24" x14ac:dyDescent="0.25">
      <c r="A29" s="15">
        <v>44981</v>
      </c>
      <c r="B29" s="14">
        <f>Summary!$G$7/28</f>
        <v>469632.09</v>
      </c>
      <c r="C29" s="14">
        <v>74</v>
      </c>
      <c r="D29" s="14">
        <v>74.48</v>
      </c>
      <c r="E29" s="14">
        <f t="shared" si="6"/>
        <v>74</v>
      </c>
      <c r="F29" s="14">
        <f t="shared" si="7"/>
        <v>281779.25</v>
      </c>
      <c r="G29" s="14">
        <f t="shared" si="8"/>
        <v>281779.25</v>
      </c>
      <c r="H29" s="14">
        <f t="shared" si="9"/>
        <v>187852.84</v>
      </c>
      <c r="I29" s="14">
        <f t="shared" si="10"/>
        <v>187852.84</v>
      </c>
      <c r="J29" s="14">
        <v>8</v>
      </c>
      <c r="K29" s="14">
        <f t="shared" si="11"/>
        <v>93926.42</v>
      </c>
      <c r="L29" s="14">
        <f t="shared" si="12"/>
        <v>0</v>
      </c>
      <c r="M29" s="14">
        <v>84</v>
      </c>
      <c r="N29" s="14">
        <f t="shared" si="13"/>
        <v>28177.93</v>
      </c>
      <c r="O29" s="14">
        <f t="shared" si="14"/>
        <v>0</v>
      </c>
      <c r="P29" s="14">
        <v>9</v>
      </c>
      <c r="Q29" s="14">
        <f t="shared" si="15"/>
        <v>46963.21</v>
      </c>
      <c r="R29" s="14">
        <f t="shared" si="16"/>
        <v>0</v>
      </c>
      <c r="S29" s="14"/>
      <c r="T29" s="14">
        <v>0</v>
      </c>
      <c r="U29" s="14">
        <v>13149.7</v>
      </c>
      <c r="V29" s="14">
        <f t="shared" si="17"/>
        <v>169067.56</v>
      </c>
      <c r="W29" s="14">
        <f t="shared" si="18"/>
        <v>13149.7</v>
      </c>
    </row>
    <row r="30" spans="1:24" x14ac:dyDescent="0.25">
      <c r="A30" s="15">
        <v>44982</v>
      </c>
      <c r="B30" s="14">
        <f>Summary!$G$7/28</f>
        <v>469632.09</v>
      </c>
      <c r="C30" s="14">
        <v>74</v>
      </c>
      <c r="D30" s="14">
        <v>74.61</v>
      </c>
      <c r="E30" s="14">
        <f t="shared" si="6"/>
        <v>74</v>
      </c>
      <c r="F30" s="14">
        <f t="shared" si="7"/>
        <v>281779.25</v>
      </c>
      <c r="G30" s="14">
        <f t="shared" si="8"/>
        <v>281779.25</v>
      </c>
      <c r="H30" s="14">
        <f t="shared" si="9"/>
        <v>187852.84</v>
      </c>
      <c r="I30" s="14">
        <f t="shared" si="10"/>
        <v>187852.84</v>
      </c>
      <c r="J30" s="14">
        <v>7</v>
      </c>
      <c r="K30" s="14">
        <f t="shared" si="11"/>
        <v>93926.42</v>
      </c>
      <c r="L30" s="14">
        <f t="shared" si="12"/>
        <v>0</v>
      </c>
      <c r="M30" s="14">
        <v>76</v>
      </c>
      <c r="N30" s="14">
        <f t="shared" si="13"/>
        <v>28177.93</v>
      </c>
      <c r="O30" s="14">
        <f t="shared" si="14"/>
        <v>0</v>
      </c>
      <c r="P30" s="14">
        <v>9</v>
      </c>
      <c r="Q30" s="14">
        <f t="shared" si="15"/>
        <v>46963.21</v>
      </c>
      <c r="R30" s="14">
        <f t="shared" si="16"/>
        <v>0</v>
      </c>
      <c r="S30" s="14"/>
      <c r="T30" s="14">
        <v>0</v>
      </c>
      <c r="U30" s="14">
        <v>13149.7</v>
      </c>
      <c r="V30" s="14">
        <f t="shared" si="17"/>
        <v>169067.56</v>
      </c>
      <c r="W30" s="14">
        <f t="shared" si="18"/>
        <v>13149.7</v>
      </c>
    </row>
    <row r="31" spans="1:24" x14ac:dyDescent="0.25">
      <c r="A31" s="15">
        <v>44983</v>
      </c>
      <c r="B31" s="14">
        <f>Summary!$G$7/28</f>
        <v>469632.09</v>
      </c>
      <c r="C31" s="14">
        <v>74</v>
      </c>
      <c r="D31" s="14">
        <v>74.63</v>
      </c>
      <c r="E31" s="14">
        <f t="shared" si="6"/>
        <v>74</v>
      </c>
      <c r="F31" s="14">
        <f t="shared" si="7"/>
        <v>281779.25</v>
      </c>
      <c r="G31" s="14">
        <f t="shared" si="8"/>
        <v>281779.25</v>
      </c>
      <c r="H31" s="14">
        <f t="shared" si="9"/>
        <v>187852.84</v>
      </c>
      <c r="I31" s="14">
        <f t="shared" si="10"/>
        <v>187852.84</v>
      </c>
      <c r="J31" s="14">
        <v>8</v>
      </c>
      <c r="K31" s="14">
        <f t="shared" si="11"/>
        <v>93926.42</v>
      </c>
      <c r="L31" s="14">
        <f t="shared" si="12"/>
        <v>0</v>
      </c>
      <c r="M31" s="14">
        <v>80</v>
      </c>
      <c r="N31" s="14">
        <f t="shared" si="13"/>
        <v>28177.93</v>
      </c>
      <c r="O31" s="14">
        <f t="shared" si="14"/>
        <v>0</v>
      </c>
      <c r="P31" s="14">
        <v>8</v>
      </c>
      <c r="Q31" s="14">
        <f t="shared" si="15"/>
        <v>46963.21</v>
      </c>
      <c r="R31" s="14">
        <f t="shared" si="16"/>
        <v>0</v>
      </c>
      <c r="S31" s="14"/>
      <c r="T31" s="14">
        <v>0</v>
      </c>
      <c r="U31" s="14">
        <v>13149.7</v>
      </c>
      <c r="V31" s="14">
        <f t="shared" si="17"/>
        <v>169067.56</v>
      </c>
      <c r="W31" s="14">
        <f t="shared" si="18"/>
        <v>13149.7</v>
      </c>
    </row>
    <row r="32" spans="1:24" x14ac:dyDescent="0.25">
      <c r="A32" s="15">
        <v>44984</v>
      </c>
      <c r="B32" s="14">
        <f>Summary!$G$7/28</f>
        <v>469632.09</v>
      </c>
      <c r="C32" s="14">
        <v>74</v>
      </c>
      <c r="D32" s="14">
        <v>74.56</v>
      </c>
      <c r="E32" s="14">
        <f t="shared" si="6"/>
        <v>74</v>
      </c>
      <c r="F32" s="14">
        <f t="shared" si="7"/>
        <v>281779.25</v>
      </c>
      <c r="G32" s="14">
        <f t="shared" si="8"/>
        <v>281779.25</v>
      </c>
      <c r="H32" s="14">
        <f t="shared" si="9"/>
        <v>187852.84</v>
      </c>
      <c r="I32" s="14">
        <f t="shared" si="10"/>
        <v>187852.84</v>
      </c>
      <c r="J32" s="14">
        <v>6</v>
      </c>
      <c r="K32" s="14">
        <f t="shared" si="11"/>
        <v>93926.42</v>
      </c>
      <c r="L32" s="14">
        <f t="shared" si="12"/>
        <v>0</v>
      </c>
      <c r="M32" s="14">
        <v>72</v>
      </c>
      <c r="N32" s="14">
        <f t="shared" si="13"/>
        <v>28177.93</v>
      </c>
      <c r="O32" s="14">
        <f t="shared" si="14"/>
        <v>0</v>
      </c>
      <c r="P32" s="14">
        <v>8</v>
      </c>
      <c r="Q32" s="14">
        <f t="shared" si="15"/>
        <v>46963.21</v>
      </c>
      <c r="R32" s="14">
        <f t="shared" si="16"/>
        <v>0</v>
      </c>
      <c r="S32" s="14"/>
      <c r="T32" s="14">
        <v>0</v>
      </c>
      <c r="U32" s="14">
        <v>13149.7</v>
      </c>
      <c r="V32" s="14">
        <f t="shared" si="17"/>
        <v>169067.56</v>
      </c>
      <c r="W32" s="14">
        <f t="shared" si="18"/>
        <v>13149.7</v>
      </c>
    </row>
    <row r="33" spans="1:24" x14ac:dyDescent="0.25">
      <c r="A33" s="15">
        <v>44985</v>
      </c>
      <c r="B33" s="14">
        <f>Summary!$G$7/28</f>
        <v>469632.09</v>
      </c>
      <c r="C33" s="14">
        <v>74</v>
      </c>
      <c r="D33" s="14">
        <v>74.459999999999994</v>
      </c>
      <c r="E33" s="14">
        <f t="shared" si="6"/>
        <v>74</v>
      </c>
      <c r="F33" s="14">
        <f t="shared" si="7"/>
        <v>281779.25</v>
      </c>
      <c r="G33" s="14">
        <f t="shared" si="8"/>
        <v>281779.25</v>
      </c>
      <c r="H33" s="14">
        <f t="shared" si="9"/>
        <v>187852.84</v>
      </c>
      <c r="I33" s="14">
        <f t="shared" si="10"/>
        <v>187852.84</v>
      </c>
      <c r="J33" s="14">
        <v>7</v>
      </c>
      <c r="K33" s="14">
        <f t="shared" si="11"/>
        <v>93926.42</v>
      </c>
      <c r="L33" s="14">
        <f t="shared" si="12"/>
        <v>0</v>
      </c>
      <c r="M33" s="14">
        <v>80</v>
      </c>
      <c r="N33" s="14">
        <f t="shared" si="13"/>
        <v>28177.93</v>
      </c>
      <c r="O33" s="14">
        <f t="shared" si="14"/>
        <v>0</v>
      </c>
      <c r="P33" s="14">
        <v>8</v>
      </c>
      <c r="Q33" s="14">
        <f t="shared" si="15"/>
        <v>46963.21</v>
      </c>
      <c r="R33" s="14">
        <f t="shared" si="16"/>
        <v>0</v>
      </c>
      <c r="S33" s="14"/>
      <c r="T33" s="14">
        <v>0</v>
      </c>
      <c r="U33" s="14">
        <v>13149.7</v>
      </c>
      <c r="V33" s="14">
        <f t="shared" si="17"/>
        <v>169067.56</v>
      </c>
      <c r="W33" s="14">
        <f t="shared" si="18"/>
        <v>13149.7</v>
      </c>
    </row>
    <row r="34" spans="1:24" s="21" customFormat="1" x14ac:dyDescent="0.25">
      <c r="A34" s="41" t="s">
        <v>20</v>
      </c>
      <c r="B34" s="67">
        <f>SUM(B6:B33)</f>
        <v>13149698.52</v>
      </c>
      <c r="C34" s="14"/>
      <c r="D34" s="20">
        <f>AVERAGE(D6:D33)</f>
        <v>74.63</v>
      </c>
      <c r="E34" s="20"/>
      <c r="F34" s="67">
        <f>SUM(F6:F33)</f>
        <v>7889819</v>
      </c>
      <c r="G34" s="67">
        <f>SUM(G6:G33)</f>
        <v>7889819</v>
      </c>
      <c r="H34" s="67">
        <f>SUM(H6:H33)</f>
        <v>5259879.5199999996</v>
      </c>
      <c r="I34" s="67">
        <f>SUM(I6:I33)</f>
        <v>5259879.5199999996</v>
      </c>
      <c r="J34" s="20"/>
      <c r="K34" s="67">
        <f>SUM(K6:K33)</f>
        <v>2629939.7599999998</v>
      </c>
      <c r="L34" s="67">
        <f>SUM(L6:L33)</f>
        <v>0</v>
      </c>
      <c r="M34" s="20"/>
      <c r="N34" s="67">
        <f>SUM(N6:N33)</f>
        <v>788982.04</v>
      </c>
      <c r="O34" s="67">
        <f>SUM(O6:O33)</f>
        <v>0</v>
      </c>
      <c r="P34" s="20"/>
      <c r="Q34" s="67">
        <f>SUM(Q6:Q33)</f>
        <v>1268006.67</v>
      </c>
      <c r="R34" s="67">
        <f>SUM(R6:R33)</f>
        <v>13149.7</v>
      </c>
      <c r="S34" s="20"/>
      <c r="T34" s="20"/>
      <c r="U34" s="67">
        <f>SUM(U6:U33)</f>
        <v>368191.6</v>
      </c>
      <c r="V34" s="67">
        <f>SUM(V6:V33)</f>
        <v>4686928.47</v>
      </c>
      <c r="W34" s="67">
        <f>SUM(W6:W33)</f>
        <v>381341.3</v>
      </c>
      <c r="X34" s="109"/>
    </row>
    <row r="35" spans="1:24" x14ac:dyDescent="0.25">
      <c r="A35" s="41"/>
      <c r="B35" s="20" t="s">
        <v>78</v>
      </c>
      <c r="C35" s="14"/>
      <c r="D35" s="20"/>
      <c r="E35" s="20"/>
      <c r="F35" s="1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16">
        <f>G34+V34</f>
        <v>12576747.470000001</v>
      </c>
      <c r="W35" s="20"/>
    </row>
    <row r="36" spans="1:24" x14ac:dyDescent="0.25">
      <c r="K36" s="23">
        <f>COUNTIF(K6:K33,"0")</f>
        <v>0</v>
      </c>
      <c r="N36" s="23">
        <f>COUNTIF(N6:N33,"0")</f>
        <v>0</v>
      </c>
      <c r="Q36" s="23">
        <f>COUNTIF(Q6:Q33,"0")</f>
        <v>1</v>
      </c>
      <c r="T36" s="93">
        <f>COUNTIF(T6:T33,"0")</f>
        <v>28</v>
      </c>
    </row>
    <row r="37" spans="1:24" x14ac:dyDescent="0.2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9" spans="1:24" x14ac:dyDescent="0.25">
      <c r="C39" s="24">
        <f>B34/31</f>
        <v>424183.82</v>
      </c>
    </row>
    <row r="41" spans="1:24" x14ac:dyDescent="0.25">
      <c r="V41" s="24"/>
    </row>
    <row r="42" spans="1:24" x14ac:dyDescent="0.25">
      <c r="V42" s="84"/>
    </row>
    <row r="43" spans="1:24" x14ac:dyDescent="0.25">
      <c r="V43" s="78"/>
    </row>
  </sheetData>
  <mergeCells count="19">
    <mergeCell ref="W4:W5"/>
    <mergeCell ref="A1:V1"/>
    <mergeCell ref="F3:G3"/>
    <mergeCell ref="A4:A5"/>
    <mergeCell ref="B4:B5"/>
    <mergeCell ref="D4:D5"/>
    <mergeCell ref="F4:F5"/>
    <mergeCell ref="G4:G5"/>
    <mergeCell ref="H4:H5"/>
    <mergeCell ref="V4:V5"/>
    <mergeCell ref="H3:V3"/>
    <mergeCell ref="C3:D3"/>
    <mergeCell ref="C4:C5"/>
    <mergeCell ref="I4:I5"/>
    <mergeCell ref="E4:E5"/>
    <mergeCell ref="J4:L4"/>
    <mergeCell ref="P4:R4"/>
    <mergeCell ref="S4:U4"/>
    <mergeCell ref="M4:O4"/>
  </mergeCells>
  <conditionalFormatting sqref="J6:J22 J24:J33">
    <cfRule type="cellIs" dxfId="7" priority="1" operator="greaterThan">
      <formula>$M$2</formula>
    </cfRule>
    <cfRule type="cellIs" dxfId="6" priority="2" operator="greaterThan">
      <formula>31</formula>
    </cfRule>
    <cfRule type="cellIs" dxfId="5" priority="3" operator="greaterThan">
      <formula>31</formula>
    </cfRule>
    <cfRule type="cellIs" dxfId="4" priority="4" operator="greaterThan">
      <formula>$M$2</formula>
    </cfRule>
  </conditionalFormatting>
  <pageMargins left="0.25" right="0.25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37"/>
  <sheetViews>
    <sheetView zoomScaleNormal="100" workbookViewId="0">
      <pane xSplit="9" ySplit="5" topLeftCell="Q22" activePane="bottomRight" state="frozen"/>
      <selection activeCell="P5" sqref="A1:V1048576"/>
      <selection pane="topRight" activeCell="P5" sqref="A1:V1048576"/>
      <selection pane="bottomLeft" activeCell="P5" sqref="A1:V1048576"/>
      <selection pane="bottomRight" activeCell="P5" sqref="A1:V1048576"/>
    </sheetView>
  </sheetViews>
  <sheetFormatPr defaultColWidth="9.140625" defaultRowHeight="15.75" x14ac:dyDescent="0.25"/>
  <cols>
    <col min="1" max="1" width="10.85546875" style="93" customWidth="1"/>
    <col min="2" max="2" width="13.28515625" style="93" customWidth="1"/>
    <col min="3" max="4" width="8.5703125" style="93" customWidth="1"/>
    <col min="5" max="5" width="9.42578125" style="93" customWidth="1"/>
    <col min="6" max="6" width="12.5703125" style="93" customWidth="1"/>
    <col min="7" max="7" width="12.140625" style="93" customWidth="1"/>
    <col min="8" max="8" width="12.7109375" style="93" customWidth="1"/>
    <col min="9" max="9" width="11.42578125" style="93" bestFit="1" customWidth="1"/>
    <col min="10" max="10" width="9" style="93" customWidth="1"/>
    <col min="11" max="11" width="12.42578125" style="93" customWidth="1"/>
    <col min="12" max="12" width="9.28515625" style="93" customWidth="1"/>
    <col min="13" max="13" width="9.42578125" style="93" customWidth="1"/>
    <col min="14" max="14" width="11.5703125" style="93" customWidth="1"/>
    <col min="15" max="15" width="10.140625" style="93" customWidth="1"/>
    <col min="16" max="16" width="9.28515625" style="93" customWidth="1"/>
    <col min="17" max="17" width="12.85546875" style="93" customWidth="1"/>
    <col min="18" max="18" width="9" style="93" customWidth="1"/>
    <col min="19" max="19" width="9.5703125" style="93" customWidth="1"/>
    <col min="20" max="20" width="10.5703125" style="93" customWidth="1"/>
    <col min="21" max="21" width="11.85546875" style="93" customWidth="1"/>
    <col min="22" max="22" width="14.5703125" customWidth="1"/>
    <col min="23" max="23" width="13.7109375" customWidth="1"/>
    <col min="24" max="24" width="11.85546875" style="106" customWidth="1"/>
    <col min="25" max="30" width="9.28515625" bestFit="1" customWidth="1"/>
    <col min="31" max="31" width="10.5703125" bestFit="1" customWidth="1"/>
    <col min="33" max="33" width="11.7109375" customWidth="1"/>
  </cols>
  <sheetData>
    <row r="1" spans="1:31" ht="18.75" customHeight="1" x14ac:dyDescent="0.3">
      <c r="A1" s="188" t="str">
        <f>Summary!D1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Y1" s="3"/>
      <c r="Z1" s="3"/>
      <c r="AA1" s="3"/>
      <c r="AB1" s="3"/>
      <c r="AC1" s="3"/>
      <c r="AD1" s="3"/>
      <c r="AE1" s="3"/>
    </row>
    <row r="2" spans="1:31" ht="15" customHeight="1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20</v>
      </c>
      <c r="U2" s="43">
        <v>22</v>
      </c>
      <c r="V2" s="43">
        <v>23</v>
      </c>
      <c r="W2" s="43">
        <v>24</v>
      </c>
      <c r="Y2" s="3"/>
      <c r="Z2" s="3"/>
      <c r="AA2" s="3"/>
      <c r="AB2" s="3"/>
      <c r="AC2" s="3"/>
      <c r="AD2" s="3"/>
      <c r="AE2" s="3"/>
    </row>
    <row r="3" spans="1:31" ht="15.75" customHeight="1" x14ac:dyDescent="0.3">
      <c r="A3" s="41"/>
      <c r="B3" s="41"/>
      <c r="C3" s="190" t="s">
        <v>15</v>
      </c>
      <c r="D3" s="194"/>
      <c r="E3" s="44"/>
      <c r="F3" s="185" t="s">
        <v>80</v>
      </c>
      <c r="G3" s="185"/>
      <c r="H3" s="190" t="s">
        <v>79</v>
      </c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4"/>
      <c r="W3" s="45"/>
      <c r="Y3" s="3"/>
      <c r="Z3" s="3"/>
      <c r="AA3" s="3"/>
      <c r="AB3" s="3"/>
      <c r="AC3" s="3"/>
      <c r="AD3" s="3"/>
      <c r="AE3" s="3"/>
    </row>
    <row r="4" spans="1:31" s="108" customFormat="1" ht="17.25" customHeight="1" x14ac:dyDescent="0.25">
      <c r="A4" s="195" t="s">
        <v>14</v>
      </c>
      <c r="B4" s="192" t="s">
        <v>62</v>
      </c>
      <c r="C4" s="195" t="s">
        <v>37</v>
      </c>
      <c r="D4" s="192" t="s">
        <v>56</v>
      </c>
      <c r="E4" s="192" t="s">
        <v>57</v>
      </c>
      <c r="F4" s="197" t="s">
        <v>16</v>
      </c>
      <c r="G4" s="198" t="s">
        <v>17</v>
      </c>
      <c r="H4" s="197" t="s">
        <v>21</v>
      </c>
      <c r="I4" s="197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6" t="s">
        <v>55</v>
      </c>
      <c r="W4" s="186" t="s">
        <v>61</v>
      </c>
      <c r="X4" s="106"/>
      <c r="Y4" s="107"/>
      <c r="Z4" s="107"/>
      <c r="AA4" s="107"/>
      <c r="AB4" s="107"/>
      <c r="AC4" s="107"/>
      <c r="AD4" s="107"/>
      <c r="AE4" s="107"/>
    </row>
    <row r="5" spans="1:31" s="108" customFormat="1" ht="32.25" customHeight="1" x14ac:dyDescent="0.25">
      <c r="A5" s="196"/>
      <c r="B5" s="193"/>
      <c r="C5" s="196"/>
      <c r="D5" s="193"/>
      <c r="E5" s="193"/>
      <c r="F5" s="197"/>
      <c r="G5" s="198"/>
      <c r="H5" s="197"/>
      <c r="I5" s="197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6"/>
      <c r="W5" s="186"/>
      <c r="X5" s="106"/>
      <c r="Y5" s="107"/>
      <c r="Z5" s="107"/>
      <c r="AA5" s="107"/>
      <c r="AB5" s="107"/>
      <c r="AC5" s="107"/>
      <c r="AD5" s="107"/>
      <c r="AE5" s="107"/>
    </row>
    <row r="6" spans="1:31" s="120" customFormat="1" x14ac:dyDescent="0.25">
      <c r="A6" s="117">
        <v>44958</v>
      </c>
      <c r="B6" s="118">
        <f>Summary!$G$8/28</f>
        <v>355397.26</v>
      </c>
      <c r="C6" s="118">
        <v>56</v>
      </c>
      <c r="D6" s="118">
        <v>52.9</v>
      </c>
      <c r="E6" s="14">
        <f>MIN(D6,C6)</f>
        <v>52.9</v>
      </c>
      <c r="F6" s="118">
        <f t="shared" ref="F6:F33" si="0">B6*60%</f>
        <v>213238.36</v>
      </c>
      <c r="G6" s="14">
        <f>(F6*E6)/C6</f>
        <v>201434.09</v>
      </c>
      <c r="H6" s="118">
        <f t="shared" ref="H6" si="1">B6*40%</f>
        <v>142158.9</v>
      </c>
      <c r="I6" s="14">
        <f>(H6*E6)/C6</f>
        <v>134289.39000000001</v>
      </c>
      <c r="J6" s="118">
        <v>27</v>
      </c>
      <c r="K6" s="14">
        <f t="shared" ref="K6" si="2">I6*50%</f>
        <v>67144.7</v>
      </c>
      <c r="L6" s="14">
        <f t="shared" ref="L6" si="3">IF(J6&gt;30,(MAX($B$34*0.1/100,10000)),0)</f>
        <v>0</v>
      </c>
      <c r="M6" s="118">
        <v>88</v>
      </c>
      <c r="N6" s="14">
        <f t="shared" ref="N6" si="4">I6*15%</f>
        <v>20143.41</v>
      </c>
      <c r="O6" s="14">
        <f t="shared" ref="O6" si="5">IF(M6&gt;100,(MAX($B$34*0.1/100,10000)),0)</f>
        <v>0</v>
      </c>
      <c r="P6" s="118">
        <v>46</v>
      </c>
      <c r="Q6" s="14">
        <f t="shared" ref="Q6" si="6">I6*25%</f>
        <v>33572.35</v>
      </c>
      <c r="R6" s="14">
        <f>IF(P6&gt;50,(MAX($B$34*0.1/100,10000)),0)</f>
        <v>0</v>
      </c>
      <c r="S6" s="118"/>
      <c r="T6" s="14">
        <v>0</v>
      </c>
      <c r="U6" s="14">
        <v>10000</v>
      </c>
      <c r="V6" s="14">
        <f>T6+Q6+N6+K6</f>
        <v>120860.46</v>
      </c>
      <c r="W6" s="14">
        <f>U6+R6+O6+L6</f>
        <v>10000</v>
      </c>
      <c r="X6" s="123" t="s">
        <v>132</v>
      </c>
    </row>
    <row r="7" spans="1:31" x14ac:dyDescent="0.25">
      <c r="A7" s="15">
        <v>44959</v>
      </c>
      <c r="B7" s="14">
        <f>Summary!$G$8/28</f>
        <v>355397.26</v>
      </c>
      <c r="C7" s="14">
        <v>56</v>
      </c>
      <c r="D7" s="14">
        <v>52.9</v>
      </c>
      <c r="E7" s="14">
        <f t="shared" ref="E7:E33" si="7">MIN(D7,C7)</f>
        <v>52.9</v>
      </c>
      <c r="F7" s="14">
        <f t="shared" si="0"/>
        <v>213238.36</v>
      </c>
      <c r="G7" s="14">
        <f t="shared" ref="G7:G33" si="8">(F7*E7)/C7</f>
        <v>201434.09</v>
      </c>
      <c r="H7" s="14">
        <f t="shared" ref="H7:H33" si="9">B7*40%</f>
        <v>142158.9</v>
      </c>
      <c r="I7" s="14">
        <f t="shared" ref="I7:I33" si="10">(H7*E7)/C7</f>
        <v>134289.39000000001</v>
      </c>
      <c r="J7" s="14">
        <v>22</v>
      </c>
      <c r="K7" s="14">
        <f t="shared" ref="K7:K33" si="11">I7*50%</f>
        <v>67144.7</v>
      </c>
      <c r="L7" s="14">
        <f t="shared" ref="L7:L33" si="12">IF(J7&gt;30,(MAX($B$34*0.1/100,10000)),0)</f>
        <v>0</v>
      </c>
      <c r="M7" s="14">
        <v>80</v>
      </c>
      <c r="N7" s="14">
        <f t="shared" ref="N7:N33" si="13">I7*15%</f>
        <v>20143.41</v>
      </c>
      <c r="O7" s="14">
        <f t="shared" ref="O7:O33" si="14">IF(M7&gt;100,(MAX($B$34*0.1/100,10000)),0)</f>
        <v>0</v>
      </c>
      <c r="P7" s="14">
        <v>38</v>
      </c>
      <c r="Q7" s="14">
        <f t="shared" ref="Q7:Q33" si="15">I7*25%</f>
        <v>33572.35</v>
      </c>
      <c r="R7" s="14">
        <f t="shared" ref="R7:R33" si="16">IF(P7&gt;50,(MAX($B$34*0.1/100,10000)),0)</f>
        <v>0</v>
      </c>
      <c r="S7" s="14"/>
      <c r="T7" s="14">
        <v>0</v>
      </c>
      <c r="U7" s="14">
        <v>10000</v>
      </c>
      <c r="V7" s="14">
        <f t="shared" ref="V7:V33" si="17">T7+Q7+N7+K7</f>
        <v>120860.46</v>
      </c>
      <c r="W7" s="14">
        <f t="shared" ref="W7:W33" si="18">U7+R7+O7+L7</f>
        <v>10000</v>
      </c>
      <c r="X7" s="122"/>
    </row>
    <row r="8" spans="1:31" s="114" customFormat="1" x14ac:dyDescent="0.25">
      <c r="A8" s="112">
        <v>44960</v>
      </c>
      <c r="B8" s="113">
        <f>Summary!$G$8/28</f>
        <v>355397.26</v>
      </c>
      <c r="C8" s="113">
        <v>56</v>
      </c>
      <c r="D8" s="113">
        <v>52.9</v>
      </c>
      <c r="E8" s="14">
        <f t="shared" si="7"/>
        <v>52.9</v>
      </c>
      <c r="F8" s="113">
        <f t="shared" si="0"/>
        <v>213238.36</v>
      </c>
      <c r="G8" s="14">
        <f t="shared" si="8"/>
        <v>201434.09</v>
      </c>
      <c r="H8" s="113">
        <f t="shared" si="9"/>
        <v>142158.9</v>
      </c>
      <c r="I8" s="14">
        <f t="shared" si="10"/>
        <v>134289.39000000001</v>
      </c>
      <c r="J8" s="113">
        <v>22</v>
      </c>
      <c r="K8" s="14">
        <f t="shared" si="11"/>
        <v>67144.7</v>
      </c>
      <c r="L8" s="14">
        <f t="shared" si="12"/>
        <v>0</v>
      </c>
      <c r="M8" s="113">
        <v>100</v>
      </c>
      <c r="N8" s="14">
        <f t="shared" si="13"/>
        <v>20143.41</v>
      </c>
      <c r="O8" s="14">
        <f t="shared" si="14"/>
        <v>0</v>
      </c>
      <c r="P8" s="113">
        <v>10</v>
      </c>
      <c r="Q8" s="14">
        <f t="shared" si="15"/>
        <v>33572.35</v>
      </c>
      <c r="R8" s="14">
        <f t="shared" si="16"/>
        <v>0</v>
      </c>
      <c r="S8" s="113"/>
      <c r="T8" s="113">
        <v>0</v>
      </c>
      <c r="U8" s="14">
        <v>10000</v>
      </c>
      <c r="V8" s="14">
        <f t="shared" si="17"/>
        <v>120860.46</v>
      </c>
      <c r="W8" s="14">
        <f t="shared" si="18"/>
        <v>10000</v>
      </c>
      <c r="X8" s="115" t="s">
        <v>131</v>
      </c>
    </row>
    <row r="9" spans="1:31" x14ac:dyDescent="0.25">
      <c r="A9" s="15">
        <v>44961</v>
      </c>
      <c r="B9" s="14">
        <f>Summary!$G$8/28</f>
        <v>355397.26</v>
      </c>
      <c r="C9" s="14">
        <v>56</v>
      </c>
      <c r="D9" s="14">
        <v>52.9</v>
      </c>
      <c r="E9" s="14">
        <f t="shared" si="7"/>
        <v>52.9</v>
      </c>
      <c r="F9" s="14">
        <f t="shared" si="0"/>
        <v>213238.36</v>
      </c>
      <c r="G9" s="14">
        <f t="shared" si="8"/>
        <v>201434.09</v>
      </c>
      <c r="H9" s="14">
        <f t="shared" si="9"/>
        <v>142158.9</v>
      </c>
      <c r="I9" s="14">
        <f t="shared" si="10"/>
        <v>134289.39000000001</v>
      </c>
      <c r="J9" s="14">
        <v>20</v>
      </c>
      <c r="K9" s="14">
        <f t="shared" si="11"/>
        <v>67144.7</v>
      </c>
      <c r="L9" s="14">
        <f t="shared" si="12"/>
        <v>0</v>
      </c>
      <c r="M9" s="14">
        <v>80</v>
      </c>
      <c r="N9" s="14">
        <f t="shared" si="13"/>
        <v>20143.41</v>
      </c>
      <c r="O9" s="14">
        <f t="shared" si="14"/>
        <v>0</v>
      </c>
      <c r="P9" s="14">
        <v>33</v>
      </c>
      <c r="Q9" s="14">
        <f t="shared" si="15"/>
        <v>33572.35</v>
      </c>
      <c r="R9" s="14">
        <f t="shared" si="16"/>
        <v>0</v>
      </c>
      <c r="S9" s="14"/>
      <c r="T9" s="14">
        <v>0</v>
      </c>
      <c r="U9" s="14">
        <v>10000</v>
      </c>
      <c r="V9" s="14">
        <f t="shared" si="17"/>
        <v>120860.46</v>
      </c>
      <c r="W9" s="14">
        <f t="shared" si="18"/>
        <v>10000</v>
      </c>
    </row>
    <row r="10" spans="1:31" x14ac:dyDescent="0.25">
      <c r="A10" s="15">
        <v>44962</v>
      </c>
      <c r="B10" s="14">
        <f>Summary!$G$8/28</f>
        <v>355397.26</v>
      </c>
      <c r="C10" s="14">
        <v>56</v>
      </c>
      <c r="D10" s="14">
        <v>52.9</v>
      </c>
      <c r="E10" s="14">
        <f t="shared" si="7"/>
        <v>52.9</v>
      </c>
      <c r="F10" s="14">
        <f t="shared" si="0"/>
        <v>213238.36</v>
      </c>
      <c r="G10" s="14">
        <f t="shared" si="8"/>
        <v>201434.09</v>
      </c>
      <c r="H10" s="14">
        <f t="shared" si="9"/>
        <v>142158.9</v>
      </c>
      <c r="I10" s="14">
        <f t="shared" si="10"/>
        <v>134289.39000000001</v>
      </c>
      <c r="J10" s="14">
        <v>19</v>
      </c>
      <c r="K10" s="14">
        <f t="shared" si="11"/>
        <v>67144.7</v>
      </c>
      <c r="L10" s="14">
        <f t="shared" si="12"/>
        <v>0</v>
      </c>
      <c r="M10" s="14">
        <v>72</v>
      </c>
      <c r="N10" s="14">
        <f t="shared" si="13"/>
        <v>20143.41</v>
      </c>
      <c r="O10" s="14">
        <f t="shared" si="14"/>
        <v>0</v>
      </c>
      <c r="P10" s="14">
        <v>37</v>
      </c>
      <c r="Q10" s="14">
        <f t="shared" si="15"/>
        <v>33572.35</v>
      </c>
      <c r="R10" s="14">
        <f t="shared" si="16"/>
        <v>0</v>
      </c>
      <c r="S10" s="14"/>
      <c r="T10" s="14">
        <v>0</v>
      </c>
      <c r="U10" s="14">
        <v>10000</v>
      </c>
      <c r="V10" s="14">
        <f t="shared" si="17"/>
        <v>120860.46</v>
      </c>
      <c r="W10" s="14">
        <f t="shared" si="18"/>
        <v>10000</v>
      </c>
    </row>
    <row r="11" spans="1:31" x14ac:dyDescent="0.25">
      <c r="A11" s="15">
        <v>44963</v>
      </c>
      <c r="B11" s="14">
        <f>Summary!$G$8/28</f>
        <v>355397.26</v>
      </c>
      <c r="C11" s="14">
        <v>56</v>
      </c>
      <c r="D11" s="14">
        <v>52.9</v>
      </c>
      <c r="E11" s="14">
        <f t="shared" si="7"/>
        <v>52.9</v>
      </c>
      <c r="F11" s="14">
        <f t="shared" si="0"/>
        <v>213238.36</v>
      </c>
      <c r="G11" s="14">
        <f t="shared" si="8"/>
        <v>201434.09</v>
      </c>
      <c r="H11" s="14">
        <f t="shared" si="9"/>
        <v>142158.9</v>
      </c>
      <c r="I11" s="14">
        <f t="shared" si="10"/>
        <v>134289.39000000001</v>
      </c>
      <c r="J11" s="14">
        <v>21</v>
      </c>
      <c r="K11" s="14">
        <f t="shared" si="11"/>
        <v>67144.7</v>
      </c>
      <c r="L11" s="14">
        <f t="shared" si="12"/>
        <v>0</v>
      </c>
      <c r="M11" s="14">
        <v>80</v>
      </c>
      <c r="N11" s="14">
        <f t="shared" si="13"/>
        <v>20143.41</v>
      </c>
      <c r="O11" s="14">
        <f t="shared" si="14"/>
        <v>0</v>
      </c>
      <c r="P11" s="14">
        <v>40</v>
      </c>
      <c r="Q11" s="14">
        <f t="shared" si="15"/>
        <v>33572.35</v>
      </c>
      <c r="R11" s="14">
        <f t="shared" si="16"/>
        <v>0</v>
      </c>
      <c r="S11" s="14"/>
      <c r="T11" s="14">
        <v>0</v>
      </c>
      <c r="U11" s="14">
        <v>10000</v>
      </c>
      <c r="V11" s="14">
        <f t="shared" si="17"/>
        <v>120860.46</v>
      </c>
      <c r="W11" s="14">
        <f t="shared" si="18"/>
        <v>10000</v>
      </c>
    </row>
    <row r="12" spans="1:31" x14ac:dyDescent="0.25">
      <c r="A12" s="15">
        <v>44964</v>
      </c>
      <c r="B12" s="14">
        <f>Summary!$G$8/28</f>
        <v>355397.26</v>
      </c>
      <c r="C12" s="14">
        <v>56</v>
      </c>
      <c r="D12" s="14">
        <v>52.9</v>
      </c>
      <c r="E12" s="14">
        <f t="shared" si="7"/>
        <v>52.9</v>
      </c>
      <c r="F12" s="14">
        <f t="shared" si="0"/>
        <v>213238.36</v>
      </c>
      <c r="G12" s="14">
        <f t="shared" si="8"/>
        <v>201434.09</v>
      </c>
      <c r="H12" s="14">
        <f t="shared" si="9"/>
        <v>142158.9</v>
      </c>
      <c r="I12" s="14">
        <f t="shared" si="10"/>
        <v>134289.39000000001</v>
      </c>
      <c r="J12" s="14">
        <v>19</v>
      </c>
      <c r="K12" s="14">
        <f t="shared" si="11"/>
        <v>67144.7</v>
      </c>
      <c r="L12" s="14">
        <f t="shared" si="12"/>
        <v>0</v>
      </c>
      <c r="M12" s="14">
        <v>76</v>
      </c>
      <c r="N12" s="14">
        <f t="shared" si="13"/>
        <v>20143.41</v>
      </c>
      <c r="O12" s="14">
        <f t="shared" si="14"/>
        <v>0</v>
      </c>
      <c r="P12" s="14">
        <v>39</v>
      </c>
      <c r="Q12" s="14">
        <f t="shared" si="15"/>
        <v>33572.35</v>
      </c>
      <c r="R12" s="14">
        <f t="shared" si="16"/>
        <v>0</v>
      </c>
      <c r="S12" s="14"/>
      <c r="T12" s="14">
        <v>0</v>
      </c>
      <c r="U12" s="14">
        <v>10000</v>
      </c>
      <c r="V12" s="14">
        <f t="shared" si="17"/>
        <v>120860.46</v>
      </c>
      <c r="W12" s="14">
        <f t="shared" si="18"/>
        <v>10000</v>
      </c>
    </row>
    <row r="13" spans="1:31" s="120" customFormat="1" x14ac:dyDescent="0.25">
      <c r="A13" s="117">
        <v>44965</v>
      </c>
      <c r="B13" s="118">
        <f>Summary!$G$8/28</f>
        <v>355397.26</v>
      </c>
      <c r="C13" s="118">
        <v>56</v>
      </c>
      <c r="D13" s="118">
        <v>52.9</v>
      </c>
      <c r="E13" s="14">
        <f t="shared" si="7"/>
        <v>52.9</v>
      </c>
      <c r="F13" s="118">
        <f t="shared" si="0"/>
        <v>213238.36</v>
      </c>
      <c r="G13" s="14">
        <f t="shared" si="8"/>
        <v>201434.09</v>
      </c>
      <c r="H13" s="118">
        <f t="shared" si="9"/>
        <v>142158.9</v>
      </c>
      <c r="I13" s="14">
        <f t="shared" si="10"/>
        <v>134289.39000000001</v>
      </c>
      <c r="J13" s="118">
        <v>24</v>
      </c>
      <c r="K13" s="14">
        <f t="shared" si="11"/>
        <v>67144.7</v>
      </c>
      <c r="L13" s="14">
        <f t="shared" si="12"/>
        <v>0</v>
      </c>
      <c r="M13" s="118">
        <v>78</v>
      </c>
      <c r="N13" s="14">
        <f t="shared" si="13"/>
        <v>20143.41</v>
      </c>
      <c r="O13" s="14">
        <f t="shared" si="14"/>
        <v>0</v>
      </c>
      <c r="P13" s="118">
        <v>42</v>
      </c>
      <c r="Q13" s="14">
        <f t="shared" si="15"/>
        <v>33572.35</v>
      </c>
      <c r="R13" s="14">
        <f t="shared" si="16"/>
        <v>0</v>
      </c>
      <c r="S13" s="118"/>
      <c r="T13" s="118">
        <v>0</v>
      </c>
      <c r="U13" s="14">
        <v>10000</v>
      </c>
      <c r="V13" s="14">
        <f t="shared" si="17"/>
        <v>120860.46</v>
      </c>
      <c r="W13" s="14">
        <f t="shared" si="18"/>
        <v>10000</v>
      </c>
      <c r="X13" s="119" t="s">
        <v>133</v>
      </c>
    </row>
    <row r="14" spans="1:31" x14ac:dyDescent="0.25">
      <c r="A14" s="15">
        <v>44966</v>
      </c>
      <c r="B14" s="14">
        <f>Summary!$G$8/28</f>
        <v>355397.26</v>
      </c>
      <c r="C14" s="14">
        <v>56</v>
      </c>
      <c r="D14" s="14">
        <v>52.9</v>
      </c>
      <c r="E14" s="14">
        <f t="shared" si="7"/>
        <v>52.9</v>
      </c>
      <c r="F14" s="14">
        <f t="shared" si="0"/>
        <v>213238.36</v>
      </c>
      <c r="G14" s="14">
        <f t="shared" si="8"/>
        <v>201434.09</v>
      </c>
      <c r="H14" s="14">
        <f t="shared" si="9"/>
        <v>142158.9</v>
      </c>
      <c r="I14" s="14">
        <f t="shared" si="10"/>
        <v>134289.39000000001</v>
      </c>
      <c r="J14" s="14">
        <v>23</v>
      </c>
      <c r="K14" s="14">
        <f t="shared" si="11"/>
        <v>67144.7</v>
      </c>
      <c r="L14" s="14">
        <f t="shared" si="12"/>
        <v>0</v>
      </c>
      <c r="M14" s="14">
        <v>76</v>
      </c>
      <c r="N14" s="14">
        <f t="shared" si="13"/>
        <v>20143.41</v>
      </c>
      <c r="O14" s="14">
        <f t="shared" si="14"/>
        <v>0</v>
      </c>
      <c r="P14" s="14">
        <v>33</v>
      </c>
      <c r="Q14" s="14">
        <f t="shared" si="15"/>
        <v>33572.35</v>
      </c>
      <c r="R14" s="14">
        <f t="shared" si="16"/>
        <v>0</v>
      </c>
      <c r="S14" s="14"/>
      <c r="T14" s="14">
        <v>0</v>
      </c>
      <c r="U14" s="14">
        <v>10000</v>
      </c>
      <c r="V14" s="14">
        <f t="shared" si="17"/>
        <v>120860.46</v>
      </c>
      <c r="W14" s="14">
        <f t="shared" si="18"/>
        <v>10000</v>
      </c>
      <c r="X14" s="109"/>
    </row>
    <row r="15" spans="1:31" x14ac:dyDescent="0.25">
      <c r="A15" s="15">
        <v>44967</v>
      </c>
      <c r="B15" s="14">
        <f>Summary!$G$8/28</f>
        <v>355397.26</v>
      </c>
      <c r="C15" s="14">
        <v>56</v>
      </c>
      <c r="D15" s="14">
        <v>52.9</v>
      </c>
      <c r="E15" s="14">
        <f t="shared" si="7"/>
        <v>52.9</v>
      </c>
      <c r="F15" s="14">
        <f t="shared" si="0"/>
        <v>213238.36</v>
      </c>
      <c r="G15" s="14">
        <f t="shared" si="8"/>
        <v>201434.09</v>
      </c>
      <c r="H15" s="14">
        <f t="shared" si="9"/>
        <v>142158.9</v>
      </c>
      <c r="I15" s="14">
        <f t="shared" si="10"/>
        <v>134289.39000000001</v>
      </c>
      <c r="J15" s="14">
        <v>19</v>
      </c>
      <c r="K15" s="14">
        <f t="shared" si="11"/>
        <v>67144.7</v>
      </c>
      <c r="L15" s="14">
        <f t="shared" si="12"/>
        <v>0</v>
      </c>
      <c r="M15" s="14">
        <v>72</v>
      </c>
      <c r="N15" s="14">
        <f t="shared" si="13"/>
        <v>20143.41</v>
      </c>
      <c r="O15" s="14">
        <f t="shared" si="14"/>
        <v>0</v>
      </c>
      <c r="P15" s="14">
        <v>39</v>
      </c>
      <c r="Q15" s="14">
        <f t="shared" si="15"/>
        <v>33572.35</v>
      </c>
      <c r="R15" s="14">
        <f t="shared" si="16"/>
        <v>0</v>
      </c>
      <c r="S15" s="14"/>
      <c r="T15" s="14">
        <v>0</v>
      </c>
      <c r="U15" s="14">
        <v>10000</v>
      </c>
      <c r="V15" s="14">
        <f t="shared" si="17"/>
        <v>120860.46</v>
      </c>
      <c r="W15" s="14">
        <f t="shared" si="18"/>
        <v>10000</v>
      </c>
      <c r="X15" s="109"/>
    </row>
    <row r="16" spans="1:31" x14ac:dyDescent="0.25">
      <c r="A16" s="15">
        <v>44968</v>
      </c>
      <c r="B16" s="14">
        <f>Summary!$G$8/28</f>
        <v>355397.26</v>
      </c>
      <c r="C16" s="14">
        <v>56</v>
      </c>
      <c r="D16" s="14">
        <v>52.9</v>
      </c>
      <c r="E16" s="14">
        <f t="shared" si="7"/>
        <v>52.9</v>
      </c>
      <c r="F16" s="14">
        <f t="shared" si="0"/>
        <v>213238.36</v>
      </c>
      <c r="G16" s="14">
        <f t="shared" si="8"/>
        <v>201434.09</v>
      </c>
      <c r="H16" s="14">
        <f t="shared" si="9"/>
        <v>142158.9</v>
      </c>
      <c r="I16" s="14">
        <f t="shared" si="10"/>
        <v>134289.39000000001</v>
      </c>
      <c r="J16" s="14">
        <v>21</v>
      </c>
      <c r="K16" s="14">
        <f t="shared" si="11"/>
        <v>67144.7</v>
      </c>
      <c r="L16" s="14">
        <f t="shared" si="12"/>
        <v>0</v>
      </c>
      <c r="M16" s="14">
        <v>76</v>
      </c>
      <c r="N16" s="14">
        <f t="shared" si="13"/>
        <v>20143.41</v>
      </c>
      <c r="O16" s="14">
        <f t="shared" si="14"/>
        <v>0</v>
      </c>
      <c r="P16" s="14">
        <v>37</v>
      </c>
      <c r="Q16" s="14">
        <f t="shared" si="15"/>
        <v>33572.35</v>
      </c>
      <c r="R16" s="14">
        <f t="shared" si="16"/>
        <v>0</v>
      </c>
      <c r="S16" s="14"/>
      <c r="T16" s="14">
        <v>0</v>
      </c>
      <c r="U16" s="14">
        <v>10000</v>
      </c>
      <c r="V16" s="14">
        <f t="shared" si="17"/>
        <v>120860.46</v>
      </c>
      <c r="W16" s="14">
        <f t="shared" si="18"/>
        <v>10000</v>
      </c>
    </row>
    <row r="17" spans="1:24" x14ac:dyDescent="0.25">
      <c r="A17" s="15">
        <v>44969</v>
      </c>
      <c r="B17" s="14">
        <f>Summary!$G$8/28</f>
        <v>355397.26</v>
      </c>
      <c r="C17" s="14">
        <v>56</v>
      </c>
      <c r="D17" s="14">
        <v>52.9</v>
      </c>
      <c r="E17" s="14">
        <f t="shared" si="7"/>
        <v>52.9</v>
      </c>
      <c r="F17" s="14">
        <f t="shared" si="0"/>
        <v>213238.36</v>
      </c>
      <c r="G17" s="14">
        <f t="shared" si="8"/>
        <v>201434.09</v>
      </c>
      <c r="H17" s="14">
        <f t="shared" si="9"/>
        <v>142158.9</v>
      </c>
      <c r="I17" s="14">
        <f t="shared" si="10"/>
        <v>134289.39000000001</v>
      </c>
      <c r="J17" s="14">
        <v>20</v>
      </c>
      <c r="K17" s="14">
        <f t="shared" si="11"/>
        <v>67144.7</v>
      </c>
      <c r="L17" s="14">
        <f t="shared" si="12"/>
        <v>0</v>
      </c>
      <c r="M17" s="14">
        <v>72</v>
      </c>
      <c r="N17" s="14">
        <f t="shared" si="13"/>
        <v>20143.41</v>
      </c>
      <c r="O17" s="14">
        <f t="shared" si="14"/>
        <v>0</v>
      </c>
      <c r="P17" s="14">
        <v>35</v>
      </c>
      <c r="Q17" s="14">
        <f t="shared" si="15"/>
        <v>33572.35</v>
      </c>
      <c r="R17" s="14">
        <f t="shared" si="16"/>
        <v>0</v>
      </c>
      <c r="S17" s="14"/>
      <c r="T17" s="14">
        <v>0</v>
      </c>
      <c r="U17" s="14">
        <v>10000</v>
      </c>
      <c r="V17" s="14">
        <f t="shared" si="17"/>
        <v>120860.46</v>
      </c>
      <c r="W17" s="14">
        <f t="shared" si="18"/>
        <v>10000</v>
      </c>
    </row>
    <row r="18" spans="1:24" x14ac:dyDescent="0.25">
      <c r="A18" s="15">
        <v>44970</v>
      </c>
      <c r="B18" s="14">
        <f>Summary!$G$8/28</f>
        <v>355397.26</v>
      </c>
      <c r="C18" s="14">
        <v>56</v>
      </c>
      <c r="D18" s="14">
        <v>52.9</v>
      </c>
      <c r="E18" s="14">
        <f t="shared" si="7"/>
        <v>52.9</v>
      </c>
      <c r="F18" s="14">
        <f t="shared" si="0"/>
        <v>213238.36</v>
      </c>
      <c r="G18" s="14">
        <f t="shared" si="8"/>
        <v>201434.09</v>
      </c>
      <c r="H18" s="14">
        <f t="shared" si="9"/>
        <v>142158.9</v>
      </c>
      <c r="I18" s="14">
        <f t="shared" si="10"/>
        <v>134289.39000000001</v>
      </c>
      <c r="J18" s="14">
        <v>23</v>
      </c>
      <c r="K18" s="14">
        <f t="shared" si="11"/>
        <v>67144.7</v>
      </c>
      <c r="L18" s="14">
        <f t="shared" si="12"/>
        <v>0</v>
      </c>
      <c r="M18" s="14">
        <v>80</v>
      </c>
      <c r="N18" s="14">
        <f t="shared" si="13"/>
        <v>20143.41</v>
      </c>
      <c r="O18" s="14">
        <f t="shared" si="14"/>
        <v>0</v>
      </c>
      <c r="P18" s="14">
        <v>37</v>
      </c>
      <c r="Q18" s="14">
        <f t="shared" si="15"/>
        <v>33572.35</v>
      </c>
      <c r="R18" s="14">
        <f t="shared" si="16"/>
        <v>0</v>
      </c>
      <c r="S18" s="14"/>
      <c r="T18" s="14">
        <v>0</v>
      </c>
      <c r="U18" s="14">
        <v>10000</v>
      </c>
      <c r="V18" s="14">
        <f t="shared" si="17"/>
        <v>120860.46</v>
      </c>
      <c r="W18" s="14">
        <f t="shared" si="18"/>
        <v>10000</v>
      </c>
    </row>
    <row r="19" spans="1:24" s="114" customFormat="1" x14ac:dyDescent="0.25">
      <c r="A19" s="112">
        <v>44971</v>
      </c>
      <c r="B19" s="113">
        <f>Summary!$G$8/28</f>
        <v>355397.26</v>
      </c>
      <c r="C19" s="113">
        <v>56</v>
      </c>
      <c r="D19" s="113">
        <v>52.9</v>
      </c>
      <c r="E19" s="14">
        <f t="shared" si="7"/>
        <v>52.9</v>
      </c>
      <c r="F19" s="113">
        <f t="shared" si="0"/>
        <v>213238.36</v>
      </c>
      <c r="G19" s="14">
        <f t="shared" si="8"/>
        <v>201434.09</v>
      </c>
      <c r="H19" s="113">
        <f t="shared" si="9"/>
        <v>142158.9</v>
      </c>
      <c r="I19" s="14">
        <f t="shared" si="10"/>
        <v>134289.39000000001</v>
      </c>
      <c r="J19" s="113">
        <v>22</v>
      </c>
      <c r="K19" s="14">
        <f t="shared" si="11"/>
        <v>67144.7</v>
      </c>
      <c r="L19" s="14">
        <f t="shared" si="12"/>
        <v>0</v>
      </c>
      <c r="M19" s="113">
        <v>99</v>
      </c>
      <c r="N19" s="14">
        <f t="shared" si="13"/>
        <v>20143.41</v>
      </c>
      <c r="O19" s="14">
        <f t="shared" si="14"/>
        <v>0</v>
      </c>
      <c r="P19" s="113">
        <v>35</v>
      </c>
      <c r="Q19" s="14">
        <f t="shared" si="15"/>
        <v>33572.35</v>
      </c>
      <c r="R19" s="14">
        <f t="shared" si="16"/>
        <v>0</v>
      </c>
      <c r="S19" s="113"/>
      <c r="T19" s="113">
        <v>0</v>
      </c>
      <c r="U19" s="14">
        <v>10000</v>
      </c>
      <c r="V19" s="14">
        <f t="shared" si="17"/>
        <v>120860.46</v>
      </c>
      <c r="W19" s="14">
        <f t="shared" si="18"/>
        <v>10000</v>
      </c>
      <c r="X19" s="115" t="s">
        <v>131</v>
      </c>
    </row>
    <row r="20" spans="1:24" s="120" customFormat="1" x14ac:dyDescent="0.25">
      <c r="A20" s="117">
        <v>44972</v>
      </c>
      <c r="B20" s="118">
        <f>Summary!$G$8/28</f>
        <v>355397.26</v>
      </c>
      <c r="C20" s="118">
        <v>56</v>
      </c>
      <c r="D20" s="118">
        <v>52.9</v>
      </c>
      <c r="E20" s="14">
        <f t="shared" si="7"/>
        <v>52.9</v>
      </c>
      <c r="F20" s="118">
        <f t="shared" si="0"/>
        <v>213238.36</v>
      </c>
      <c r="G20" s="14">
        <f t="shared" si="8"/>
        <v>201434.09</v>
      </c>
      <c r="H20" s="118">
        <f t="shared" si="9"/>
        <v>142158.9</v>
      </c>
      <c r="I20" s="14">
        <f t="shared" si="10"/>
        <v>134289.39000000001</v>
      </c>
      <c r="J20" s="118">
        <v>23</v>
      </c>
      <c r="K20" s="14">
        <f t="shared" si="11"/>
        <v>67144.7</v>
      </c>
      <c r="L20" s="14">
        <f t="shared" si="12"/>
        <v>0</v>
      </c>
      <c r="M20" s="118">
        <v>68</v>
      </c>
      <c r="N20" s="14">
        <f t="shared" si="13"/>
        <v>20143.41</v>
      </c>
      <c r="O20" s="14">
        <f t="shared" si="14"/>
        <v>0</v>
      </c>
      <c r="P20" s="118">
        <v>40</v>
      </c>
      <c r="Q20" s="14">
        <f t="shared" si="15"/>
        <v>33572.35</v>
      </c>
      <c r="R20" s="14">
        <f t="shared" si="16"/>
        <v>0</v>
      </c>
      <c r="S20" s="118"/>
      <c r="T20" s="118">
        <v>0</v>
      </c>
      <c r="U20" s="14">
        <v>10000</v>
      </c>
      <c r="V20" s="14">
        <f t="shared" si="17"/>
        <v>120860.46</v>
      </c>
      <c r="W20" s="14">
        <f t="shared" si="18"/>
        <v>10000</v>
      </c>
      <c r="X20" s="123" t="s">
        <v>132</v>
      </c>
    </row>
    <row r="21" spans="1:24" x14ac:dyDescent="0.25">
      <c r="A21" s="15">
        <v>44973</v>
      </c>
      <c r="B21" s="14">
        <f>Summary!$G$8/28</f>
        <v>355397.26</v>
      </c>
      <c r="C21" s="14">
        <v>56</v>
      </c>
      <c r="D21" s="14">
        <v>52.9</v>
      </c>
      <c r="E21" s="14">
        <f t="shared" si="7"/>
        <v>52.9</v>
      </c>
      <c r="F21" s="14">
        <f t="shared" si="0"/>
        <v>213238.36</v>
      </c>
      <c r="G21" s="14">
        <f t="shared" si="8"/>
        <v>201434.09</v>
      </c>
      <c r="H21" s="14">
        <f t="shared" si="9"/>
        <v>142158.9</v>
      </c>
      <c r="I21" s="14">
        <f t="shared" si="10"/>
        <v>134289.39000000001</v>
      </c>
      <c r="J21" s="14">
        <v>23</v>
      </c>
      <c r="K21" s="14">
        <f t="shared" si="11"/>
        <v>67144.7</v>
      </c>
      <c r="L21" s="14">
        <f t="shared" si="12"/>
        <v>0</v>
      </c>
      <c r="M21" s="14">
        <v>72</v>
      </c>
      <c r="N21" s="14">
        <f t="shared" si="13"/>
        <v>20143.41</v>
      </c>
      <c r="O21" s="14">
        <f t="shared" si="14"/>
        <v>0</v>
      </c>
      <c r="P21" s="14">
        <v>33</v>
      </c>
      <c r="Q21" s="14">
        <f t="shared" si="15"/>
        <v>33572.35</v>
      </c>
      <c r="R21" s="14">
        <f t="shared" si="16"/>
        <v>0</v>
      </c>
      <c r="S21" s="14"/>
      <c r="T21" s="14">
        <v>0</v>
      </c>
      <c r="U21" s="14">
        <v>10000</v>
      </c>
      <c r="V21" s="14">
        <f t="shared" si="17"/>
        <v>120860.46</v>
      </c>
      <c r="W21" s="14">
        <f t="shared" si="18"/>
        <v>10000</v>
      </c>
      <c r="X21" s="109"/>
    </row>
    <row r="22" spans="1:24" x14ac:dyDescent="0.25">
      <c r="A22" s="15">
        <v>44974</v>
      </c>
      <c r="B22" s="14">
        <f>Summary!$G$8/28</f>
        <v>355397.26</v>
      </c>
      <c r="C22" s="14">
        <v>56</v>
      </c>
      <c r="D22" s="14">
        <v>52.9</v>
      </c>
      <c r="E22" s="14">
        <f t="shared" si="7"/>
        <v>52.9</v>
      </c>
      <c r="F22" s="14">
        <f t="shared" si="0"/>
        <v>213238.36</v>
      </c>
      <c r="G22" s="14">
        <f t="shared" si="8"/>
        <v>201434.09</v>
      </c>
      <c r="H22" s="14">
        <f t="shared" si="9"/>
        <v>142158.9</v>
      </c>
      <c r="I22" s="14">
        <f t="shared" si="10"/>
        <v>134289.39000000001</v>
      </c>
      <c r="J22" s="14">
        <v>19</v>
      </c>
      <c r="K22" s="14">
        <f t="shared" si="11"/>
        <v>67144.7</v>
      </c>
      <c r="L22" s="14">
        <f t="shared" si="12"/>
        <v>0</v>
      </c>
      <c r="M22" s="14">
        <v>80</v>
      </c>
      <c r="N22" s="14">
        <f t="shared" si="13"/>
        <v>20143.41</v>
      </c>
      <c r="O22" s="14">
        <f t="shared" si="14"/>
        <v>0</v>
      </c>
      <c r="P22" s="14">
        <v>34</v>
      </c>
      <c r="Q22" s="14">
        <f t="shared" si="15"/>
        <v>33572.35</v>
      </c>
      <c r="R22" s="14">
        <f t="shared" si="16"/>
        <v>0</v>
      </c>
      <c r="S22" s="14"/>
      <c r="T22" s="14">
        <v>0</v>
      </c>
      <c r="U22" s="14">
        <v>10000</v>
      </c>
      <c r="V22" s="14">
        <f t="shared" si="17"/>
        <v>120860.46</v>
      </c>
      <c r="W22" s="14">
        <f t="shared" si="18"/>
        <v>10000</v>
      </c>
      <c r="X22" s="109"/>
    </row>
    <row r="23" spans="1:24" x14ac:dyDescent="0.25">
      <c r="A23" s="15">
        <v>44975</v>
      </c>
      <c r="B23" s="14">
        <f>Summary!$G$8/28</f>
        <v>355397.26</v>
      </c>
      <c r="C23" s="14">
        <v>56</v>
      </c>
      <c r="D23" s="14">
        <v>52.9</v>
      </c>
      <c r="E23" s="14">
        <f t="shared" si="7"/>
        <v>52.9</v>
      </c>
      <c r="F23" s="14">
        <f t="shared" si="0"/>
        <v>213238.36</v>
      </c>
      <c r="G23" s="14">
        <f t="shared" si="8"/>
        <v>201434.09</v>
      </c>
      <c r="H23" s="14">
        <f t="shared" si="9"/>
        <v>142158.9</v>
      </c>
      <c r="I23" s="14">
        <f t="shared" si="10"/>
        <v>134289.39000000001</v>
      </c>
      <c r="J23" s="14">
        <v>22</v>
      </c>
      <c r="K23" s="14">
        <f t="shared" si="11"/>
        <v>67144.7</v>
      </c>
      <c r="L23" s="14">
        <f t="shared" si="12"/>
        <v>0</v>
      </c>
      <c r="M23" s="14">
        <v>76</v>
      </c>
      <c r="N23" s="14">
        <f t="shared" si="13"/>
        <v>20143.41</v>
      </c>
      <c r="O23" s="14">
        <f t="shared" si="14"/>
        <v>0</v>
      </c>
      <c r="P23" s="14">
        <v>33</v>
      </c>
      <c r="Q23" s="14">
        <f t="shared" si="15"/>
        <v>33572.35</v>
      </c>
      <c r="R23" s="14">
        <f t="shared" si="16"/>
        <v>0</v>
      </c>
      <c r="S23" s="14"/>
      <c r="T23" s="14">
        <v>0</v>
      </c>
      <c r="U23" s="14">
        <v>10000</v>
      </c>
      <c r="V23" s="14">
        <f t="shared" si="17"/>
        <v>120860.46</v>
      </c>
      <c r="W23" s="14">
        <f t="shared" si="18"/>
        <v>10000</v>
      </c>
    </row>
    <row r="24" spans="1:24" x14ac:dyDescent="0.25">
      <c r="A24" s="15">
        <v>44976</v>
      </c>
      <c r="B24" s="14">
        <f>Summary!$G$8/28</f>
        <v>355397.26</v>
      </c>
      <c r="C24" s="14">
        <v>56</v>
      </c>
      <c r="D24" s="14">
        <v>52.9</v>
      </c>
      <c r="E24" s="14">
        <f t="shared" si="7"/>
        <v>52.9</v>
      </c>
      <c r="F24" s="14">
        <f t="shared" si="0"/>
        <v>213238.36</v>
      </c>
      <c r="G24" s="14">
        <f t="shared" si="8"/>
        <v>201434.09</v>
      </c>
      <c r="H24" s="14">
        <f t="shared" si="9"/>
        <v>142158.9</v>
      </c>
      <c r="I24" s="14">
        <f t="shared" si="10"/>
        <v>134289.39000000001</v>
      </c>
      <c r="J24" s="14">
        <v>23</v>
      </c>
      <c r="K24" s="14">
        <f t="shared" si="11"/>
        <v>67144.7</v>
      </c>
      <c r="L24" s="14">
        <f t="shared" si="12"/>
        <v>0</v>
      </c>
      <c r="M24" s="14">
        <v>76</v>
      </c>
      <c r="N24" s="14">
        <f t="shared" si="13"/>
        <v>20143.41</v>
      </c>
      <c r="O24" s="14">
        <f t="shared" si="14"/>
        <v>0</v>
      </c>
      <c r="P24" s="14">
        <v>37</v>
      </c>
      <c r="Q24" s="14">
        <f t="shared" si="15"/>
        <v>33572.35</v>
      </c>
      <c r="R24" s="14">
        <f t="shared" si="16"/>
        <v>0</v>
      </c>
      <c r="S24" s="14"/>
      <c r="T24" s="14">
        <v>0</v>
      </c>
      <c r="U24" s="14">
        <v>10000</v>
      </c>
      <c r="V24" s="14">
        <f t="shared" si="17"/>
        <v>120860.46</v>
      </c>
      <c r="W24" s="14">
        <f t="shared" si="18"/>
        <v>10000</v>
      </c>
    </row>
    <row r="25" spans="1:24" x14ac:dyDescent="0.25">
      <c r="A25" s="15">
        <v>44977</v>
      </c>
      <c r="B25" s="14">
        <f>Summary!$G$8/28</f>
        <v>355397.26</v>
      </c>
      <c r="C25" s="14">
        <v>56</v>
      </c>
      <c r="D25" s="14">
        <v>52.9</v>
      </c>
      <c r="E25" s="14">
        <f t="shared" si="7"/>
        <v>52.9</v>
      </c>
      <c r="F25" s="14">
        <f t="shared" si="0"/>
        <v>213238.36</v>
      </c>
      <c r="G25" s="14">
        <f t="shared" si="8"/>
        <v>201434.09</v>
      </c>
      <c r="H25" s="14">
        <f t="shared" si="9"/>
        <v>142158.9</v>
      </c>
      <c r="I25" s="14">
        <f t="shared" si="10"/>
        <v>134289.39000000001</v>
      </c>
      <c r="J25" s="14">
        <v>21</v>
      </c>
      <c r="K25" s="14">
        <f t="shared" si="11"/>
        <v>67144.7</v>
      </c>
      <c r="L25" s="14">
        <f t="shared" si="12"/>
        <v>0</v>
      </c>
      <c r="M25" s="14">
        <v>80</v>
      </c>
      <c r="N25" s="14">
        <f t="shared" si="13"/>
        <v>20143.41</v>
      </c>
      <c r="O25" s="14">
        <f t="shared" si="14"/>
        <v>0</v>
      </c>
      <c r="P25" s="14">
        <v>35</v>
      </c>
      <c r="Q25" s="14">
        <f t="shared" si="15"/>
        <v>33572.35</v>
      </c>
      <c r="R25" s="14">
        <f t="shared" si="16"/>
        <v>0</v>
      </c>
      <c r="S25" s="14"/>
      <c r="T25" s="14">
        <v>0</v>
      </c>
      <c r="U25" s="14">
        <v>10000</v>
      </c>
      <c r="V25" s="14">
        <f t="shared" si="17"/>
        <v>120860.46</v>
      </c>
      <c r="W25" s="14">
        <f t="shared" si="18"/>
        <v>10000</v>
      </c>
    </row>
    <row r="26" spans="1:24" s="114" customFormat="1" x14ac:dyDescent="0.25">
      <c r="A26" s="112">
        <v>44978</v>
      </c>
      <c r="B26" s="113">
        <f>Summary!$G$8/28</f>
        <v>355397.26</v>
      </c>
      <c r="C26" s="113">
        <v>56</v>
      </c>
      <c r="D26" s="113">
        <v>52.9</v>
      </c>
      <c r="E26" s="14">
        <f t="shared" si="7"/>
        <v>52.9</v>
      </c>
      <c r="F26" s="113">
        <f t="shared" si="0"/>
        <v>213238.36</v>
      </c>
      <c r="G26" s="14">
        <f t="shared" si="8"/>
        <v>201434.09</v>
      </c>
      <c r="H26" s="113">
        <f t="shared" si="9"/>
        <v>142158.9</v>
      </c>
      <c r="I26" s="14">
        <f t="shared" si="10"/>
        <v>134289.39000000001</v>
      </c>
      <c r="J26" s="113">
        <v>30</v>
      </c>
      <c r="K26" s="14">
        <f t="shared" si="11"/>
        <v>67144.7</v>
      </c>
      <c r="L26" s="14">
        <f t="shared" si="12"/>
        <v>0</v>
      </c>
      <c r="M26" s="121">
        <v>164</v>
      </c>
      <c r="N26" s="14">
        <v>0</v>
      </c>
      <c r="O26" s="14">
        <f t="shared" si="14"/>
        <v>10000</v>
      </c>
      <c r="P26" s="113">
        <v>36</v>
      </c>
      <c r="Q26" s="14">
        <f t="shared" si="15"/>
        <v>33572.35</v>
      </c>
      <c r="R26" s="14">
        <f t="shared" si="16"/>
        <v>0</v>
      </c>
      <c r="S26" s="113"/>
      <c r="T26" s="113">
        <v>0</v>
      </c>
      <c r="U26" s="14">
        <v>10000</v>
      </c>
      <c r="V26" s="14">
        <f t="shared" si="17"/>
        <v>100717.05</v>
      </c>
      <c r="W26" s="14">
        <f t="shared" si="18"/>
        <v>20000</v>
      </c>
      <c r="X26" s="115" t="s">
        <v>131</v>
      </c>
    </row>
    <row r="27" spans="1:24" x14ac:dyDescent="0.25">
      <c r="A27" s="15">
        <v>44979</v>
      </c>
      <c r="B27" s="14">
        <f>Summary!$G$8/28</f>
        <v>355397.26</v>
      </c>
      <c r="C27" s="14">
        <v>56</v>
      </c>
      <c r="D27" s="14">
        <v>52.9</v>
      </c>
      <c r="E27" s="14">
        <f t="shared" si="7"/>
        <v>52.9</v>
      </c>
      <c r="F27" s="14">
        <f t="shared" si="0"/>
        <v>213238.36</v>
      </c>
      <c r="G27" s="14">
        <f t="shared" si="8"/>
        <v>201434.09</v>
      </c>
      <c r="H27" s="14">
        <f t="shared" si="9"/>
        <v>142158.9</v>
      </c>
      <c r="I27" s="14">
        <f t="shared" si="10"/>
        <v>134289.39000000001</v>
      </c>
      <c r="J27" s="14">
        <v>21</v>
      </c>
      <c r="K27" s="14">
        <f t="shared" si="11"/>
        <v>67144.7</v>
      </c>
      <c r="L27" s="14">
        <f t="shared" si="12"/>
        <v>0</v>
      </c>
      <c r="M27" s="14">
        <v>80</v>
      </c>
      <c r="N27" s="14">
        <f t="shared" si="13"/>
        <v>20143.41</v>
      </c>
      <c r="O27" s="14">
        <f t="shared" si="14"/>
        <v>0</v>
      </c>
      <c r="P27" s="14">
        <v>31</v>
      </c>
      <c r="Q27" s="14">
        <f t="shared" si="15"/>
        <v>33572.35</v>
      </c>
      <c r="R27" s="14">
        <f t="shared" si="16"/>
        <v>0</v>
      </c>
      <c r="S27" s="14"/>
      <c r="T27" s="14">
        <v>0</v>
      </c>
      <c r="U27" s="14">
        <v>10000</v>
      </c>
      <c r="V27" s="14">
        <f t="shared" si="17"/>
        <v>120860.46</v>
      </c>
      <c r="W27" s="14">
        <f t="shared" si="18"/>
        <v>10000</v>
      </c>
    </row>
    <row r="28" spans="1:24" s="120" customFormat="1" x14ac:dyDescent="0.25">
      <c r="A28" s="117">
        <v>44980</v>
      </c>
      <c r="B28" s="118">
        <f>Summary!$G$8/28</f>
        <v>355397.26</v>
      </c>
      <c r="C28" s="118">
        <v>56</v>
      </c>
      <c r="D28" s="118">
        <v>52.9</v>
      </c>
      <c r="E28" s="14">
        <f t="shared" si="7"/>
        <v>52.9</v>
      </c>
      <c r="F28" s="118">
        <f t="shared" si="0"/>
        <v>213238.36</v>
      </c>
      <c r="G28" s="14">
        <f t="shared" si="8"/>
        <v>201434.09</v>
      </c>
      <c r="H28" s="118">
        <f t="shared" si="9"/>
        <v>142158.9</v>
      </c>
      <c r="I28" s="14">
        <f t="shared" si="10"/>
        <v>134289.39000000001</v>
      </c>
      <c r="J28" s="118">
        <v>20</v>
      </c>
      <c r="K28" s="14">
        <f t="shared" si="11"/>
        <v>67144.7</v>
      </c>
      <c r="L28" s="14">
        <f t="shared" si="12"/>
        <v>0</v>
      </c>
      <c r="M28" s="118">
        <v>62</v>
      </c>
      <c r="N28" s="14">
        <f t="shared" si="13"/>
        <v>20143.41</v>
      </c>
      <c r="O28" s="14">
        <f t="shared" si="14"/>
        <v>0</v>
      </c>
      <c r="P28" s="118">
        <v>34</v>
      </c>
      <c r="Q28" s="14">
        <f t="shared" si="15"/>
        <v>33572.35</v>
      </c>
      <c r="R28" s="14">
        <f t="shared" si="16"/>
        <v>0</v>
      </c>
      <c r="S28" s="118"/>
      <c r="T28" s="118">
        <v>0</v>
      </c>
      <c r="U28" s="14">
        <v>10000</v>
      </c>
      <c r="V28" s="14">
        <f t="shared" si="17"/>
        <v>120860.46</v>
      </c>
      <c r="W28" s="14">
        <f t="shared" si="18"/>
        <v>10000</v>
      </c>
      <c r="X28" s="119" t="s">
        <v>132</v>
      </c>
    </row>
    <row r="29" spans="1:24" x14ac:dyDescent="0.25">
      <c r="A29" s="15">
        <v>44981</v>
      </c>
      <c r="B29" s="14">
        <f>Summary!$G$8/28</f>
        <v>355397.26</v>
      </c>
      <c r="C29" s="14">
        <v>56</v>
      </c>
      <c r="D29" s="14">
        <v>52.9</v>
      </c>
      <c r="E29" s="14">
        <f t="shared" si="7"/>
        <v>52.9</v>
      </c>
      <c r="F29" s="14">
        <f t="shared" si="0"/>
        <v>213238.36</v>
      </c>
      <c r="G29" s="14">
        <f t="shared" si="8"/>
        <v>201434.09</v>
      </c>
      <c r="H29" s="14">
        <f t="shared" si="9"/>
        <v>142158.9</v>
      </c>
      <c r="I29" s="14">
        <f t="shared" si="10"/>
        <v>134289.39000000001</v>
      </c>
      <c r="J29" s="14">
        <v>22</v>
      </c>
      <c r="K29" s="14">
        <f t="shared" si="11"/>
        <v>67144.7</v>
      </c>
      <c r="L29" s="14">
        <f t="shared" si="12"/>
        <v>0</v>
      </c>
      <c r="M29" s="14">
        <v>80</v>
      </c>
      <c r="N29" s="14">
        <f t="shared" si="13"/>
        <v>20143.41</v>
      </c>
      <c r="O29" s="14">
        <f t="shared" si="14"/>
        <v>0</v>
      </c>
      <c r="P29" s="14">
        <v>38</v>
      </c>
      <c r="Q29" s="14">
        <f t="shared" si="15"/>
        <v>33572.35</v>
      </c>
      <c r="R29" s="14">
        <f t="shared" si="16"/>
        <v>0</v>
      </c>
      <c r="S29" s="14"/>
      <c r="T29" s="14">
        <v>0</v>
      </c>
      <c r="U29" s="14">
        <v>10000</v>
      </c>
      <c r="V29" s="14">
        <f t="shared" si="17"/>
        <v>120860.46</v>
      </c>
      <c r="W29" s="14">
        <f t="shared" si="18"/>
        <v>10000</v>
      </c>
    </row>
    <row r="30" spans="1:24" x14ac:dyDescent="0.25">
      <c r="A30" s="15">
        <v>44982</v>
      </c>
      <c r="B30" s="14">
        <f>Summary!$G$8/28</f>
        <v>355397.26</v>
      </c>
      <c r="C30" s="14">
        <v>56</v>
      </c>
      <c r="D30" s="14">
        <v>52.9</v>
      </c>
      <c r="E30" s="14">
        <f t="shared" si="7"/>
        <v>52.9</v>
      </c>
      <c r="F30" s="14">
        <f t="shared" si="0"/>
        <v>213238.36</v>
      </c>
      <c r="G30" s="14">
        <f t="shared" si="8"/>
        <v>201434.09</v>
      </c>
      <c r="H30" s="14">
        <f t="shared" si="9"/>
        <v>142158.9</v>
      </c>
      <c r="I30" s="14">
        <f t="shared" si="10"/>
        <v>134289.39000000001</v>
      </c>
      <c r="J30" s="14">
        <v>23</v>
      </c>
      <c r="K30" s="14">
        <f t="shared" si="11"/>
        <v>67144.7</v>
      </c>
      <c r="L30" s="14">
        <f t="shared" si="12"/>
        <v>0</v>
      </c>
      <c r="M30" s="14">
        <v>80</v>
      </c>
      <c r="N30" s="14">
        <f t="shared" si="13"/>
        <v>20143.41</v>
      </c>
      <c r="O30" s="14">
        <f t="shared" si="14"/>
        <v>0</v>
      </c>
      <c r="P30" s="14">
        <v>34</v>
      </c>
      <c r="Q30" s="14">
        <f t="shared" si="15"/>
        <v>33572.35</v>
      </c>
      <c r="R30" s="14">
        <f t="shared" si="16"/>
        <v>0</v>
      </c>
      <c r="S30" s="14"/>
      <c r="T30" s="14">
        <v>0</v>
      </c>
      <c r="U30" s="14">
        <v>10000</v>
      </c>
      <c r="V30" s="14">
        <f t="shared" si="17"/>
        <v>120860.46</v>
      </c>
      <c r="W30" s="14">
        <f t="shared" si="18"/>
        <v>10000</v>
      </c>
    </row>
    <row r="31" spans="1:24" x14ac:dyDescent="0.25">
      <c r="A31" s="15">
        <v>44983</v>
      </c>
      <c r="B31" s="14">
        <f>Summary!$G$8/28</f>
        <v>355397.26</v>
      </c>
      <c r="C31" s="14">
        <v>56</v>
      </c>
      <c r="D31" s="14">
        <v>52.9</v>
      </c>
      <c r="E31" s="14">
        <f t="shared" si="7"/>
        <v>52.9</v>
      </c>
      <c r="F31" s="14">
        <f t="shared" si="0"/>
        <v>213238.36</v>
      </c>
      <c r="G31" s="14">
        <f t="shared" si="8"/>
        <v>201434.09</v>
      </c>
      <c r="H31" s="14">
        <f t="shared" si="9"/>
        <v>142158.9</v>
      </c>
      <c r="I31" s="14">
        <f t="shared" si="10"/>
        <v>134289.39000000001</v>
      </c>
      <c r="J31" s="14">
        <v>20</v>
      </c>
      <c r="K31" s="14">
        <f t="shared" si="11"/>
        <v>67144.7</v>
      </c>
      <c r="L31" s="14">
        <f t="shared" si="12"/>
        <v>0</v>
      </c>
      <c r="M31" s="14">
        <v>76</v>
      </c>
      <c r="N31" s="14">
        <f t="shared" si="13"/>
        <v>20143.41</v>
      </c>
      <c r="O31" s="14">
        <f t="shared" si="14"/>
        <v>0</v>
      </c>
      <c r="P31" s="14">
        <v>35</v>
      </c>
      <c r="Q31" s="14">
        <f t="shared" si="15"/>
        <v>33572.35</v>
      </c>
      <c r="R31" s="14">
        <f t="shared" si="16"/>
        <v>0</v>
      </c>
      <c r="S31" s="14"/>
      <c r="T31" s="14">
        <v>0</v>
      </c>
      <c r="U31" s="14">
        <v>10000</v>
      </c>
      <c r="V31" s="14">
        <f t="shared" si="17"/>
        <v>120860.46</v>
      </c>
      <c r="W31" s="14">
        <f t="shared" si="18"/>
        <v>10000</v>
      </c>
    </row>
    <row r="32" spans="1:24" x14ac:dyDescent="0.25">
      <c r="A32" s="15">
        <v>44984</v>
      </c>
      <c r="B32" s="14">
        <f>Summary!$G$8/28</f>
        <v>355397.26</v>
      </c>
      <c r="C32" s="14">
        <v>56</v>
      </c>
      <c r="D32" s="14">
        <v>52.9</v>
      </c>
      <c r="E32" s="14">
        <f t="shared" si="7"/>
        <v>52.9</v>
      </c>
      <c r="F32" s="14">
        <f t="shared" si="0"/>
        <v>213238.36</v>
      </c>
      <c r="G32" s="14">
        <f t="shared" si="8"/>
        <v>201434.09</v>
      </c>
      <c r="H32" s="14">
        <f t="shared" si="9"/>
        <v>142158.9</v>
      </c>
      <c r="I32" s="14">
        <f t="shared" si="10"/>
        <v>134289.39000000001</v>
      </c>
      <c r="J32" s="14">
        <v>21</v>
      </c>
      <c r="K32" s="14">
        <f t="shared" si="11"/>
        <v>67144.7</v>
      </c>
      <c r="L32" s="14">
        <f t="shared" si="12"/>
        <v>0</v>
      </c>
      <c r="M32" s="14">
        <v>80</v>
      </c>
      <c r="N32" s="14">
        <f t="shared" si="13"/>
        <v>20143.41</v>
      </c>
      <c r="O32" s="14">
        <f t="shared" si="14"/>
        <v>0</v>
      </c>
      <c r="P32" s="14">
        <v>31</v>
      </c>
      <c r="Q32" s="14">
        <f t="shared" si="15"/>
        <v>33572.35</v>
      </c>
      <c r="R32" s="14">
        <f t="shared" si="16"/>
        <v>0</v>
      </c>
      <c r="S32" s="14"/>
      <c r="T32" s="14">
        <v>0</v>
      </c>
      <c r="U32" s="14">
        <v>10000</v>
      </c>
      <c r="V32" s="14">
        <f t="shared" si="17"/>
        <v>120860.46</v>
      </c>
      <c r="W32" s="14">
        <f t="shared" si="18"/>
        <v>10000</v>
      </c>
      <c r="X32" s="109"/>
    </row>
    <row r="33" spans="1:24" x14ac:dyDescent="0.25">
      <c r="A33" s="15">
        <v>44985</v>
      </c>
      <c r="B33" s="14">
        <f>Summary!$G$8/28</f>
        <v>355397.26</v>
      </c>
      <c r="C33" s="14">
        <v>56</v>
      </c>
      <c r="D33" s="14">
        <v>52.9</v>
      </c>
      <c r="E33" s="14">
        <f t="shared" si="7"/>
        <v>52.9</v>
      </c>
      <c r="F33" s="14">
        <f t="shared" si="0"/>
        <v>213238.36</v>
      </c>
      <c r="G33" s="14">
        <f t="shared" si="8"/>
        <v>201434.09</v>
      </c>
      <c r="H33" s="14">
        <f t="shared" si="9"/>
        <v>142158.9</v>
      </c>
      <c r="I33" s="14">
        <f t="shared" si="10"/>
        <v>134289.39000000001</v>
      </c>
      <c r="J33" s="14">
        <v>19</v>
      </c>
      <c r="K33" s="14">
        <f t="shared" si="11"/>
        <v>67144.7</v>
      </c>
      <c r="L33" s="14">
        <f t="shared" si="12"/>
        <v>0</v>
      </c>
      <c r="M33" s="14">
        <v>72</v>
      </c>
      <c r="N33" s="14">
        <f t="shared" si="13"/>
        <v>20143.41</v>
      </c>
      <c r="O33" s="14">
        <f t="shared" si="14"/>
        <v>0</v>
      </c>
      <c r="P33" s="14">
        <v>33</v>
      </c>
      <c r="Q33" s="14">
        <f t="shared" si="15"/>
        <v>33572.35</v>
      </c>
      <c r="R33" s="14">
        <f t="shared" si="16"/>
        <v>0</v>
      </c>
      <c r="S33" s="14"/>
      <c r="T33" s="14">
        <v>0</v>
      </c>
      <c r="U33" s="14">
        <v>10000</v>
      </c>
      <c r="V33" s="14">
        <f t="shared" si="17"/>
        <v>120860.46</v>
      </c>
      <c r="W33" s="14">
        <f t="shared" si="18"/>
        <v>10000</v>
      </c>
    </row>
    <row r="34" spans="1:24" s="21" customFormat="1" x14ac:dyDescent="0.25">
      <c r="A34" s="41" t="s">
        <v>20</v>
      </c>
      <c r="B34" s="20">
        <f>SUM(B6:B33)</f>
        <v>9951123.2799999993</v>
      </c>
      <c r="C34" s="20"/>
      <c r="D34" s="20"/>
      <c r="E34" s="20"/>
      <c r="F34" s="20">
        <f>SUM(F6:F33)</f>
        <v>5970674.0800000001</v>
      </c>
      <c r="G34" s="20">
        <f>SUM(G6:G33)</f>
        <v>5640154.5199999996</v>
      </c>
      <c r="H34" s="20">
        <f>SUM(H6:H33)</f>
        <v>3980449.2</v>
      </c>
      <c r="I34" s="20">
        <f>SUM(I6:I33)</f>
        <v>3760102.92</v>
      </c>
      <c r="J34" s="20"/>
      <c r="K34" s="20">
        <f>SUM(K6:K33)</f>
        <v>1880051.6</v>
      </c>
      <c r="L34" s="20">
        <f>SUM(L6:L33)</f>
        <v>0</v>
      </c>
      <c r="M34" s="20"/>
      <c r="N34" s="20">
        <f>SUM(N6:N33)</f>
        <v>543872.06999999995</v>
      </c>
      <c r="O34" s="20">
        <f>SUM(O6:O33)</f>
        <v>10000</v>
      </c>
      <c r="P34" s="20"/>
      <c r="Q34" s="20">
        <f>SUM(Q6:Q33)</f>
        <v>940025.8</v>
      </c>
      <c r="R34" s="20">
        <f>SUM(R6:R33)</f>
        <v>0</v>
      </c>
      <c r="S34" s="20"/>
      <c r="T34" s="14">
        <v>0</v>
      </c>
      <c r="U34" s="20">
        <f>SUM(U6:U33)</f>
        <v>280000</v>
      </c>
      <c r="V34" s="20">
        <f>SUM(V6:V33)</f>
        <v>3363949.47</v>
      </c>
      <c r="W34" s="20">
        <f>SUM(W6:W33)</f>
        <v>290000</v>
      </c>
      <c r="X34" s="106"/>
    </row>
    <row r="35" spans="1:24" x14ac:dyDescent="0.25">
      <c r="A35" s="41"/>
      <c r="B35" s="20" t="s">
        <v>81</v>
      </c>
      <c r="C35" s="20"/>
      <c r="D35" s="14"/>
      <c r="E35" s="14"/>
      <c r="F35" s="1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9004103.9900000002</v>
      </c>
      <c r="W35" s="20"/>
      <c r="X35" s="110"/>
    </row>
    <row r="36" spans="1:24" x14ac:dyDescent="0.25">
      <c r="K36" s="93">
        <f>COUNTIF(K6:K33,"0")</f>
        <v>0</v>
      </c>
      <c r="N36" s="93">
        <f>COUNTIF(N6:N33,"0")</f>
        <v>1</v>
      </c>
      <c r="Q36" s="93">
        <f>COUNTIF(Q6:Q33,"0")</f>
        <v>0</v>
      </c>
      <c r="T36" s="93">
        <f>COUNTIF(T6:T33,"0")</f>
        <v>28</v>
      </c>
    </row>
    <row r="37" spans="1:24" x14ac:dyDescent="0.25">
      <c r="C37" s="94"/>
    </row>
  </sheetData>
  <mergeCells count="19">
    <mergeCell ref="D4:D5"/>
    <mergeCell ref="A1:V1"/>
    <mergeCell ref="F3:G3"/>
    <mergeCell ref="H3:V3"/>
    <mergeCell ref="B4:B5"/>
    <mergeCell ref="A4:A5"/>
    <mergeCell ref="C4:C5"/>
    <mergeCell ref="F4:F5"/>
    <mergeCell ref="G4:G5"/>
    <mergeCell ref="H4:H5"/>
    <mergeCell ref="C3:D3"/>
    <mergeCell ref="I4:I5"/>
    <mergeCell ref="E4:E5"/>
    <mergeCell ref="J4:L4"/>
    <mergeCell ref="M4:O4"/>
    <mergeCell ref="P4:R4"/>
    <mergeCell ref="S4:U4"/>
    <mergeCell ref="W4:W5"/>
    <mergeCell ref="V4:V5"/>
  </mergeCells>
  <pageMargins left="0.25" right="0.25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39"/>
  <sheetViews>
    <sheetView topLeftCell="A15" zoomScaleNormal="100" workbookViewId="0">
      <pane xSplit="1" topLeftCell="I1" activePane="topRight" state="frozen"/>
      <selection activeCell="P5" sqref="A1:V1048576"/>
      <selection pane="topRight" activeCell="P5" sqref="A1:V1048576"/>
    </sheetView>
  </sheetViews>
  <sheetFormatPr defaultColWidth="9.140625" defaultRowHeight="15.75" x14ac:dyDescent="0.25"/>
  <cols>
    <col min="1" max="1" width="11" style="93" customWidth="1"/>
    <col min="2" max="2" width="13.7109375" style="93" customWidth="1"/>
    <col min="3" max="3" width="8.5703125" style="93" customWidth="1"/>
    <col min="4" max="4" width="8.85546875" style="93" customWidth="1"/>
    <col min="5" max="5" width="9.42578125" style="93" customWidth="1"/>
    <col min="6" max="6" width="12.5703125" style="93" customWidth="1"/>
    <col min="7" max="7" width="13.28515625" style="93" customWidth="1"/>
    <col min="8" max="8" width="12.7109375" style="93" customWidth="1"/>
    <col min="9" max="9" width="12.5703125" style="93" bestFit="1" customWidth="1"/>
    <col min="10" max="10" width="9.28515625" style="93" customWidth="1"/>
    <col min="11" max="11" width="12.42578125" style="93" customWidth="1"/>
    <col min="12" max="12" width="9.85546875" style="93" customWidth="1"/>
    <col min="13" max="13" width="9" style="93" customWidth="1"/>
    <col min="14" max="14" width="11.5703125" style="93" customWidth="1"/>
    <col min="15" max="15" width="10.140625" style="93" customWidth="1"/>
    <col min="16" max="16" width="9.140625" style="93" customWidth="1"/>
    <col min="17" max="17" width="12.85546875" style="93" customWidth="1"/>
    <col min="18" max="18" width="9" style="93" customWidth="1"/>
    <col min="19" max="19" width="9.85546875" style="93" customWidth="1"/>
    <col min="20" max="20" width="11" style="93" customWidth="1"/>
    <col min="21" max="21" width="11.85546875" style="93" customWidth="1"/>
    <col min="22" max="22" width="15.42578125" style="93" customWidth="1"/>
    <col min="23" max="23" width="13.7109375" style="93" customWidth="1"/>
    <col min="24" max="24" width="9.5703125" style="28" bestFit="1" customWidth="1"/>
    <col min="25" max="30" width="9.28515625" bestFit="1" customWidth="1"/>
    <col min="31" max="31" width="9.5703125" bestFit="1" customWidth="1"/>
  </cols>
  <sheetData>
    <row r="1" spans="1:31" ht="18.75" customHeight="1" x14ac:dyDescent="0.3">
      <c r="A1" s="199" t="str">
        <f>'74 MLDIndirapuram'!A1:V1</f>
        <v xml:space="preserve">Ghaziabad Zone /Payment for the month of FEBRUARY 2023 (As Per VoL -1, Section IV, Clause 39) 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8"/>
      <c r="Y1" s="3"/>
      <c r="Z1" s="3"/>
      <c r="AA1" s="3"/>
      <c r="AB1" s="3"/>
      <c r="AC1" s="3"/>
      <c r="AD1" s="3"/>
      <c r="AE1" s="3"/>
    </row>
    <row r="2" spans="1:31" ht="15" customHeight="1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  <c r="Y2" s="3"/>
      <c r="Z2" s="3"/>
      <c r="AA2" s="3"/>
      <c r="AB2" s="3"/>
      <c r="AC2" s="3"/>
      <c r="AD2" s="3"/>
      <c r="AE2" s="3"/>
    </row>
    <row r="3" spans="1:31" ht="15.75" customHeight="1" x14ac:dyDescent="0.3">
      <c r="A3" s="95"/>
      <c r="B3" s="95"/>
      <c r="C3" s="203" t="s">
        <v>15</v>
      </c>
      <c r="D3" s="204"/>
      <c r="E3" s="96"/>
      <c r="F3" s="200" t="s">
        <v>80</v>
      </c>
      <c r="G3" s="200"/>
      <c r="H3" s="200" t="s">
        <v>79</v>
      </c>
      <c r="I3" s="200"/>
      <c r="J3" s="200"/>
      <c r="K3" s="200"/>
      <c r="L3" s="200"/>
      <c r="M3" s="200"/>
      <c r="N3" s="200"/>
      <c r="O3" s="200"/>
      <c r="P3" s="200"/>
      <c r="Q3" s="200"/>
      <c r="R3" s="97"/>
      <c r="S3" s="97"/>
      <c r="T3" s="97"/>
      <c r="U3" s="97"/>
      <c r="V3" s="97"/>
      <c r="W3" s="98"/>
      <c r="Y3" s="3"/>
      <c r="Z3" s="3"/>
      <c r="AA3" s="3"/>
      <c r="AB3" s="3"/>
      <c r="AC3" s="3"/>
      <c r="AD3" s="3"/>
      <c r="AE3" s="3"/>
    </row>
    <row r="4" spans="1:31" ht="15" customHeight="1" x14ac:dyDescent="0.3">
      <c r="A4" s="202" t="s">
        <v>14</v>
      </c>
      <c r="B4" s="201" t="s">
        <v>39</v>
      </c>
      <c r="C4" s="205" t="s">
        <v>37</v>
      </c>
      <c r="D4" s="201" t="s">
        <v>58</v>
      </c>
      <c r="E4" s="207" t="s">
        <v>57</v>
      </c>
      <c r="F4" s="202" t="s">
        <v>16</v>
      </c>
      <c r="G4" s="201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  <c r="Y4" s="3"/>
      <c r="Z4" s="3"/>
      <c r="AA4" s="3"/>
      <c r="AB4" s="3"/>
      <c r="AC4" s="3"/>
      <c r="AD4" s="3"/>
      <c r="AE4" s="3"/>
    </row>
    <row r="5" spans="1:31" ht="32.25" customHeight="1" x14ac:dyDescent="0.3">
      <c r="A5" s="202"/>
      <c r="B5" s="201"/>
      <c r="C5" s="206"/>
      <c r="D5" s="202"/>
      <c r="E5" s="208"/>
      <c r="F5" s="202"/>
      <c r="G5" s="201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Y5" s="3"/>
      <c r="Z5" s="3"/>
      <c r="AA5" s="3"/>
      <c r="AB5" s="3"/>
      <c r="AC5" s="3"/>
      <c r="AD5" s="3"/>
      <c r="AE5" s="3"/>
    </row>
    <row r="6" spans="1:31" s="120" customFormat="1" x14ac:dyDescent="0.25">
      <c r="A6" s="117">
        <v>44958</v>
      </c>
      <c r="B6" s="118">
        <f>Summary!$G$9/28</f>
        <v>444246.58</v>
      </c>
      <c r="C6" s="118">
        <v>70</v>
      </c>
      <c r="D6" s="118">
        <v>62.64</v>
      </c>
      <c r="E6" s="14">
        <f>MIN(D6,C6)</f>
        <v>62.64</v>
      </c>
      <c r="F6" s="118">
        <f t="shared" ref="F6" si="0">B6*60%</f>
        <v>266547.95</v>
      </c>
      <c r="G6" s="14">
        <f>(F6*E6)/C6</f>
        <v>238522.34</v>
      </c>
      <c r="H6" s="118">
        <f t="shared" ref="H6" si="1">B6*40%</f>
        <v>177698.63</v>
      </c>
      <c r="I6" s="14">
        <f>(H6*E6)/C6</f>
        <v>159014.89000000001</v>
      </c>
      <c r="J6" s="118">
        <v>28</v>
      </c>
      <c r="K6" s="14">
        <f t="shared" ref="K6" si="2">I6*50%</f>
        <v>79507.45</v>
      </c>
      <c r="L6" s="14">
        <f t="shared" ref="L6" si="3">IF(J6&gt;30,(MAX($B$34*0.1/100,10000)),0)</f>
        <v>0</v>
      </c>
      <c r="M6" s="118">
        <v>96</v>
      </c>
      <c r="N6" s="14">
        <f>I6*15%</f>
        <v>23852.23</v>
      </c>
      <c r="O6" s="14">
        <f t="shared" ref="O6" si="4">IF(M6&gt;100,(MAX($B$34*0.1/100,10000)),0)</f>
        <v>0</v>
      </c>
      <c r="P6" s="118">
        <v>44</v>
      </c>
      <c r="Q6" s="14">
        <f>IF(R6=0,I6*25%,0)</f>
        <v>39753.72</v>
      </c>
      <c r="R6" s="14">
        <f t="shared" ref="R6" si="5">IF(P6&gt;50,(MAX($B$34*0.1/100,10000)),0)</f>
        <v>0</v>
      </c>
      <c r="S6" s="118"/>
      <c r="T6" s="14">
        <v>0</v>
      </c>
      <c r="U6" s="14">
        <v>12438.9</v>
      </c>
      <c r="V6" s="14">
        <f>T6+Q6+N6+K6</f>
        <v>143113.4</v>
      </c>
      <c r="W6" s="14">
        <f>U6+R6+O6+L6</f>
        <v>12438.9</v>
      </c>
      <c r="X6" s="125" t="s">
        <v>132</v>
      </c>
    </row>
    <row r="7" spans="1:31" x14ac:dyDescent="0.25">
      <c r="A7" s="15">
        <v>44959</v>
      </c>
      <c r="B7" s="14">
        <f>Summary!$G$9/28</f>
        <v>444246.58</v>
      </c>
      <c r="C7" s="14">
        <v>70</v>
      </c>
      <c r="D7" s="14">
        <v>62.64</v>
      </c>
      <c r="E7" s="14">
        <f t="shared" ref="E7:E33" si="6">MIN(D7,C7)</f>
        <v>62.64</v>
      </c>
      <c r="F7" s="14">
        <f t="shared" ref="F7:F33" si="7">B7*60%</f>
        <v>266547.95</v>
      </c>
      <c r="G7" s="14">
        <f t="shared" ref="G7:G33" si="8">(F7*E7)/C7</f>
        <v>238522.34</v>
      </c>
      <c r="H7" s="14">
        <f t="shared" ref="H7:H33" si="9">B7*40%</f>
        <v>177698.63</v>
      </c>
      <c r="I7" s="14">
        <f t="shared" ref="I7:I33" si="10">(H7*E7)/C7</f>
        <v>159014.89000000001</v>
      </c>
      <c r="J7" s="14">
        <v>25</v>
      </c>
      <c r="K7" s="14">
        <f t="shared" ref="K7:K33" si="11">I7*50%</f>
        <v>79507.45</v>
      </c>
      <c r="L7" s="14">
        <f t="shared" ref="L7:L33" si="12">IF(J7&gt;30,(MAX($B$34*0.1/100,10000)),0)</f>
        <v>0</v>
      </c>
      <c r="M7" s="14">
        <v>92</v>
      </c>
      <c r="N7" s="14">
        <f t="shared" ref="N7:N33" si="13">I7*15%</f>
        <v>23852.23</v>
      </c>
      <c r="O7" s="14">
        <f t="shared" ref="O7:O33" si="14">IF(M7&gt;100,(MAX($B$34*0.1/100,10000)),0)</f>
        <v>0</v>
      </c>
      <c r="P7" s="14">
        <v>44</v>
      </c>
      <c r="Q7" s="14">
        <f t="shared" ref="Q7:Q33" si="15">IF(R7=0,I7*25%,0)</f>
        <v>39753.72</v>
      </c>
      <c r="R7" s="14">
        <f t="shared" ref="R7:R33" si="16">IF(P7&gt;50,(MAX($B$34*0.1/100,10000)),0)</f>
        <v>0</v>
      </c>
      <c r="S7" s="14"/>
      <c r="T7" s="14">
        <v>0</v>
      </c>
      <c r="U7" s="14">
        <v>12438.9</v>
      </c>
      <c r="V7" s="14">
        <f t="shared" ref="V7:V33" si="17">T7+Q7+N7+K7</f>
        <v>143113.4</v>
      </c>
      <c r="W7" s="14">
        <f t="shared" ref="W7:W33" si="18">U7+R7+O7+L7</f>
        <v>12438.9</v>
      </c>
    </row>
    <row r="8" spans="1:31" s="114" customFormat="1" x14ac:dyDescent="0.25">
      <c r="A8" s="112">
        <v>44960</v>
      </c>
      <c r="B8" s="113">
        <f>Summary!$G$9/28</f>
        <v>444246.58</v>
      </c>
      <c r="C8" s="113">
        <v>70</v>
      </c>
      <c r="D8" s="113">
        <v>62.64</v>
      </c>
      <c r="E8" s="14">
        <f t="shared" si="6"/>
        <v>62.64</v>
      </c>
      <c r="F8" s="113">
        <f t="shared" si="7"/>
        <v>266547.95</v>
      </c>
      <c r="G8" s="14">
        <f t="shared" si="8"/>
        <v>238522.34</v>
      </c>
      <c r="H8" s="113">
        <f t="shared" si="9"/>
        <v>177698.63</v>
      </c>
      <c r="I8" s="14">
        <f t="shared" si="10"/>
        <v>159014.89000000001</v>
      </c>
      <c r="J8" s="113">
        <v>25</v>
      </c>
      <c r="K8" s="14">
        <f t="shared" si="11"/>
        <v>79507.45</v>
      </c>
      <c r="L8" s="14">
        <f t="shared" si="12"/>
        <v>0</v>
      </c>
      <c r="M8" s="113">
        <v>94</v>
      </c>
      <c r="N8" s="14">
        <f t="shared" si="13"/>
        <v>23852.23</v>
      </c>
      <c r="O8" s="14">
        <f t="shared" si="14"/>
        <v>0</v>
      </c>
      <c r="P8" s="113">
        <v>12</v>
      </c>
      <c r="Q8" s="14">
        <f t="shared" si="15"/>
        <v>39753.72</v>
      </c>
      <c r="R8" s="14">
        <f t="shared" si="16"/>
        <v>0</v>
      </c>
      <c r="S8" s="113"/>
      <c r="T8" s="113">
        <v>0</v>
      </c>
      <c r="U8" s="14">
        <v>12438.9</v>
      </c>
      <c r="V8" s="14">
        <f t="shared" si="17"/>
        <v>143113.4</v>
      </c>
      <c r="W8" s="14">
        <f t="shared" si="18"/>
        <v>12438.9</v>
      </c>
      <c r="X8" s="124" t="s">
        <v>131</v>
      </c>
    </row>
    <row r="9" spans="1:31" x14ac:dyDescent="0.25">
      <c r="A9" s="15">
        <v>44961</v>
      </c>
      <c r="B9" s="14">
        <f>Summary!$G$9/28</f>
        <v>444246.58</v>
      </c>
      <c r="C9" s="14">
        <v>70</v>
      </c>
      <c r="D9" s="14">
        <v>62.64</v>
      </c>
      <c r="E9" s="14">
        <f t="shared" si="6"/>
        <v>62.64</v>
      </c>
      <c r="F9" s="14">
        <f t="shared" si="7"/>
        <v>266547.95</v>
      </c>
      <c r="G9" s="14">
        <f t="shared" si="8"/>
        <v>238522.34</v>
      </c>
      <c r="H9" s="14">
        <f t="shared" si="9"/>
        <v>177698.63</v>
      </c>
      <c r="I9" s="14">
        <f t="shared" si="10"/>
        <v>159014.89000000001</v>
      </c>
      <c r="J9" s="14">
        <v>23</v>
      </c>
      <c r="K9" s="14">
        <f t="shared" si="11"/>
        <v>79507.45</v>
      </c>
      <c r="L9" s="14">
        <f t="shared" si="12"/>
        <v>0</v>
      </c>
      <c r="M9" s="14">
        <v>84</v>
      </c>
      <c r="N9" s="14">
        <f t="shared" si="13"/>
        <v>23852.23</v>
      </c>
      <c r="O9" s="14">
        <f t="shared" si="14"/>
        <v>0</v>
      </c>
      <c r="P9" s="14">
        <v>45</v>
      </c>
      <c r="Q9" s="14">
        <f t="shared" si="15"/>
        <v>39753.72</v>
      </c>
      <c r="R9" s="14">
        <f t="shared" si="16"/>
        <v>0</v>
      </c>
      <c r="S9" s="14"/>
      <c r="T9" s="14">
        <v>0</v>
      </c>
      <c r="U9" s="14">
        <v>12438.9</v>
      </c>
      <c r="V9" s="14">
        <f t="shared" si="17"/>
        <v>143113.4</v>
      </c>
      <c r="W9" s="14">
        <f t="shared" si="18"/>
        <v>12438.9</v>
      </c>
    </row>
    <row r="10" spans="1:31" x14ac:dyDescent="0.25">
      <c r="A10" s="15">
        <v>44962</v>
      </c>
      <c r="B10" s="14">
        <f>Summary!$G$9/28</f>
        <v>444246.58</v>
      </c>
      <c r="C10" s="14">
        <v>70</v>
      </c>
      <c r="D10" s="14">
        <v>62.64</v>
      </c>
      <c r="E10" s="14">
        <f t="shared" si="6"/>
        <v>62.64</v>
      </c>
      <c r="F10" s="14">
        <f t="shared" si="7"/>
        <v>266547.95</v>
      </c>
      <c r="G10" s="14">
        <f t="shared" si="8"/>
        <v>238522.34</v>
      </c>
      <c r="H10" s="14">
        <f t="shared" si="9"/>
        <v>177698.63</v>
      </c>
      <c r="I10" s="14">
        <f t="shared" si="10"/>
        <v>159014.89000000001</v>
      </c>
      <c r="J10" s="14">
        <v>20</v>
      </c>
      <c r="K10" s="14">
        <f t="shared" si="11"/>
        <v>79507.45</v>
      </c>
      <c r="L10" s="14">
        <f t="shared" si="12"/>
        <v>0</v>
      </c>
      <c r="M10" s="14">
        <v>80</v>
      </c>
      <c r="N10" s="14">
        <f t="shared" si="13"/>
        <v>23852.23</v>
      </c>
      <c r="O10" s="14">
        <f t="shared" si="14"/>
        <v>0</v>
      </c>
      <c r="P10" s="14">
        <v>44</v>
      </c>
      <c r="Q10" s="14">
        <f t="shared" si="15"/>
        <v>39753.72</v>
      </c>
      <c r="R10" s="14">
        <f t="shared" si="16"/>
        <v>0</v>
      </c>
      <c r="S10" s="14"/>
      <c r="T10" s="14">
        <v>0</v>
      </c>
      <c r="U10" s="14">
        <v>12438.9</v>
      </c>
      <c r="V10" s="14">
        <f t="shared" si="17"/>
        <v>143113.4</v>
      </c>
      <c r="W10" s="14">
        <f t="shared" si="18"/>
        <v>12438.9</v>
      </c>
    </row>
    <row r="11" spans="1:31" x14ac:dyDescent="0.25">
      <c r="A11" s="15">
        <v>44963</v>
      </c>
      <c r="B11" s="14">
        <f>Summary!$G$9/28</f>
        <v>444246.58</v>
      </c>
      <c r="C11" s="14">
        <v>70</v>
      </c>
      <c r="D11" s="14">
        <v>62.64</v>
      </c>
      <c r="E11" s="14">
        <f t="shared" si="6"/>
        <v>62.64</v>
      </c>
      <c r="F11" s="14">
        <f t="shared" si="7"/>
        <v>266547.95</v>
      </c>
      <c r="G11" s="14">
        <f t="shared" si="8"/>
        <v>238522.34</v>
      </c>
      <c r="H11" s="14">
        <f t="shared" si="9"/>
        <v>177698.63</v>
      </c>
      <c r="I11" s="14">
        <f t="shared" si="10"/>
        <v>159014.89000000001</v>
      </c>
      <c r="J11" s="14">
        <v>25</v>
      </c>
      <c r="K11" s="14">
        <f t="shared" si="11"/>
        <v>79507.45</v>
      </c>
      <c r="L11" s="14">
        <f t="shared" si="12"/>
        <v>0</v>
      </c>
      <c r="M11" s="14">
        <v>88</v>
      </c>
      <c r="N11" s="14">
        <f t="shared" si="13"/>
        <v>23852.23</v>
      </c>
      <c r="O11" s="14">
        <f t="shared" si="14"/>
        <v>0</v>
      </c>
      <c r="P11" s="14">
        <v>46</v>
      </c>
      <c r="Q11" s="14">
        <f t="shared" si="15"/>
        <v>39753.72</v>
      </c>
      <c r="R11" s="14">
        <f t="shared" si="16"/>
        <v>0</v>
      </c>
      <c r="S11" s="14"/>
      <c r="T11" s="14">
        <v>0</v>
      </c>
      <c r="U11" s="14">
        <v>12438.9</v>
      </c>
      <c r="V11" s="14">
        <f t="shared" si="17"/>
        <v>143113.4</v>
      </c>
      <c r="W11" s="14">
        <f t="shared" si="18"/>
        <v>12438.9</v>
      </c>
    </row>
    <row r="12" spans="1:31" x14ac:dyDescent="0.25">
      <c r="A12" s="15">
        <v>44964</v>
      </c>
      <c r="B12" s="14">
        <f>Summary!$G$9/28</f>
        <v>444246.58</v>
      </c>
      <c r="C12" s="14">
        <v>70</v>
      </c>
      <c r="D12" s="14">
        <v>62.64</v>
      </c>
      <c r="E12" s="14">
        <f t="shared" si="6"/>
        <v>62.64</v>
      </c>
      <c r="F12" s="14">
        <f t="shared" si="7"/>
        <v>266547.95</v>
      </c>
      <c r="G12" s="14">
        <f t="shared" si="8"/>
        <v>238522.34</v>
      </c>
      <c r="H12" s="14">
        <f t="shared" si="9"/>
        <v>177698.63</v>
      </c>
      <c r="I12" s="14">
        <f t="shared" si="10"/>
        <v>159014.89000000001</v>
      </c>
      <c r="J12" s="14">
        <v>27</v>
      </c>
      <c r="K12" s="14">
        <f t="shared" si="11"/>
        <v>79507.45</v>
      </c>
      <c r="L12" s="14">
        <f t="shared" si="12"/>
        <v>0</v>
      </c>
      <c r="M12" s="14">
        <v>100</v>
      </c>
      <c r="N12" s="14">
        <f t="shared" si="13"/>
        <v>23852.23</v>
      </c>
      <c r="O12" s="14">
        <f t="shared" si="14"/>
        <v>0</v>
      </c>
      <c r="P12" s="14">
        <v>48</v>
      </c>
      <c r="Q12" s="14">
        <f t="shared" si="15"/>
        <v>39753.72</v>
      </c>
      <c r="R12" s="14">
        <f t="shared" si="16"/>
        <v>0</v>
      </c>
      <c r="S12" s="14"/>
      <c r="T12" s="14">
        <v>0</v>
      </c>
      <c r="U12" s="14">
        <v>12438.9</v>
      </c>
      <c r="V12" s="14">
        <f t="shared" si="17"/>
        <v>143113.4</v>
      </c>
      <c r="W12" s="14">
        <f t="shared" si="18"/>
        <v>12438.9</v>
      </c>
    </row>
    <row r="13" spans="1:31" s="120" customFormat="1" x14ac:dyDescent="0.25">
      <c r="A13" s="117">
        <v>44965</v>
      </c>
      <c r="B13" s="118">
        <f>Summary!$G$9/28</f>
        <v>444246.58</v>
      </c>
      <c r="C13" s="118">
        <v>70</v>
      </c>
      <c r="D13" s="118">
        <v>62.64</v>
      </c>
      <c r="E13" s="14">
        <f t="shared" si="6"/>
        <v>62.64</v>
      </c>
      <c r="F13" s="118">
        <f t="shared" si="7"/>
        <v>266547.95</v>
      </c>
      <c r="G13" s="14">
        <f t="shared" si="8"/>
        <v>238522.34</v>
      </c>
      <c r="H13" s="118">
        <f t="shared" si="9"/>
        <v>177698.63</v>
      </c>
      <c r="I13" s="14">
        <f t="shared" si="10"/>
        <v>159014.89000000001</v>
      </c>
      <c r="J13" s="118">
        <v>24</v>
      </c>
      <c r="K13" s="14">
        <f t="shared" si="11"/>
        <v>79507.45</v>
      </c>
      <c r="L13" s="14">
        <f t="shared" si="12"/>
        <v>0</v>
      </c>
      <c r="M13" s="121">
        <v>124</v>
      </c>
      <c r="N13" s="14">
        <v>0</v>
      </c>
      <c r="O13" s="14">
        <f t="shared" si="14"/>
        <v>12438.9</v>
      </c>
      <c r="P13" s="118">
        <v>40</v>
      </c>
      <c r="Q13" s="14">
        <f t="shared" si="15"/>
        <v>39753.72</v>
      </c>
      <c r="R13" s="14">
        <f t="shared" si="16"/>
        <v>0</v>
      </c>
      <c r="S13" s="118"/>
      <c r="T13" s="118">
        <v>0</v>
      </c>
      <c r="U13" s="14">
        <v>12438.9</v>
      </c>
      <c r="V13" s="14">
        <f t="shared" si="17"/>
        <v>119261.17</v>
      </c>
      <c r="W13" s="14">
        <f t="shared" si="18"/>
        <v>24877.8</v>
      </c>
      <c r="X13" s="125" t="s">
        <v>133</v>
      </c>
    </row>
    <row r="14" spans="1:31" x14ac:dyDescent="0.25">
      <c r="A14" s="15">
        <v>44966</v>
      </c>
      <c r="B14" s="14">
        <f>Summary!$G$9/28</f>
        <v>444246.58</v>
      </c>
      <c r="C14" s="14">
        <v>70</v>
      </c>
      <c r="D14" s="14">
        <v>62.64</v>
      </c>
      <c r="E14" s="14">
        <f t="shared" si="6"/>
        <v>62.64</v>
      </c>
      <c r="F14" s="14">
        <f t="shared" si="7"/>
        <v>266547.95</v>
      </c>
      <c r="G14" s="14">
        <f t="shared" si="8"/>
        <v>238522.34</v>
      </c>
      <c r="H14" s="14">
        <f t="shared" si="9"/>
        <v>177698.63</v>
      </c>
      <c r="I14" s="14">
        <f t="shared" si="10"/>
        <v>159014.89000000001</v>
      </c>
      <c r="J14" s="14">
        <v>22</v>
      </c>
      <c r="K14" s="14">
        <f t="shared" si="11"/>
        <v>79507.45</v>
      </c>
      <c r="L14" s="14">
        <f t="shared" si="12"/>
        <v>0</v>
      </c>
      <c r="M14" s="14">
        <v>92</v>
      </c>
      <c r="N14" s="14">
        <f t="shared" si="13"/>
        <v>23852.23</v>
      </c>
      <c r="O14" s="14">
        <f t="shared" si="14"/>
        <v>0</v>
      </c>
      <c r="P14" s="14">
        <v>47</v>
      </c>
      <c r="Q14" s="14">
        <f t="shared" si="15"/>
        <v>39753.72</v>
      </c>
      <c r="R14" s="14">
        <f t="shared" si="16"/>
        <v>0</v>
      </c>
      <c r="S14" s="14"/>
      <c r="T14" s="14">
        <v>0</v>
      </c>
      <c r="U14" s="14">
        <v>12438.9</v>
      </c>
      <c r="V14" s="14">
        <f t="shared" si="17"/>
        <v>143113.4</v>
      </c>
      <c r="W14" s="14">
        <f t="shared" si="18"/>
        <v>12438.9</v>
      </c>
    </row>
    <row r="15" spans="1:31" x14ac:dyDescent="0.25">
      <c r="A15" s="15">
        <v>44967</v>
      </c>
      <c r="B15" s="14">
        <f>Summary!$G$9/28</f>
        <v>444246.58</v>
      </c>
      <c r="C15" s="14">
        <v>70</v>
      </c>
      <c r="D15" s="14">
        <v>62.64</v>
      </c>
      <c r="E15" s="14">
        <f t="shared" si="6"/>
        <v>62.64</v>
      </c>
      <c r="F15" s="14">
        <f t="shared" si="7"/>
        <v>266547.95</v>
      </c>
      <c r="G15" s="14">
        <f t="shared" si="8"/>
        <v>238522.34</v>
      </c>
      <c r="H15" s="14">
        <f t="shared" si="9"/>
        <v>177698.63</v>
      </c>
      <c r="I15" s="14">
        <f t="shared" si="10"/>
        <v>159014.89000000001</v>
      </c>
      <c r="J15" s="14">
        <v>20</v>
      </c>
      <c r="K15" s="14">
        <f t="shared" si="11"/>
        <v>79507.45</v>
      </c>
      <c r="L15" s="14">
        <f t="shared" si="12"/>
        <v>0</v>
      </c>
      <c r="M15" s="14">
        <v>80</v>
      </c>
      <c r="N15" s="14">
        <f t="shared" si="13"/>
        <v>23852.23</v>
      </c>
      <c r="O15" s="14">
        <f t="shared" si="14"/>
        <v>0</v>
      </c>
      <c r="P15" s="14">
        <v>42</v>
      </c>
      <c r="Q15" s="14">
        <f t="shared" si="15"/>
        <v>39753.72</v>
      </c>
      <c r="R15" s="14">
        <f t="shared" si="16"/>
        <v>0</v>
      </c>
      <c r="S15" s="14"/>
      <c r="T15" s="14">
        <v>0</v>
      </c>
      <c r="U15" s="14">
        <v>12438.9</v>
      </c>
      <c r="V15" s="14">
        <f t="shared" si="17"/>
        <v>143113.4</v>
      </c>
      <c r="W15" s="14">
        <f t="shared" si="18"/>
        <v>12438.9</v>
      </c>
    </row>
    <row r="16" spans="1:31" x14ac:dyDescent="0.25">
      <c r="A16" s="15">
        <v>44968</v>
      </c>
      <c r="B16" s="14">
        <f>Summary!$G$9/28</f>
        <v>444246.58</v>
      </c>
      <c r="C16" s="14">
        <v>70</v>
      </c>
      <c r="D16" s="14">
        <v>62.64</v>
      </c>
      <c r="E16" s="14">
        <f t="shared" si="6"/>
        <v>62.64</v>
      </c>
      <c r="F16" s="14">
        <f t="shared" si="7"/>
        <v>266547.95</v>
      </c>
      <c r="G16" s="14">
        <f t="shared" si="8"/>
        <v>238522.34</v>
      </c>
      <c r="H16" s="14">
        <f t="shared" si="9"/>
        <v>177698.63</v>
      </c>
      <c r="I16" s="14">
        <f t="shared" si="10"/>
        <v>159014.89000000001</v>
      </c>
      <c r="J16" s="14">
        <v>18</v>
      </c>
      <c r="K16" s="14">
        <f t="shared" si="11"/>
        <v>79507.45</v>
      </c>
      <c r="L16" s="14">
        <f t="shared" si="12"/>
        <v>0</v>
      </c>
      <c r="M16" s="14">
        <v>72</v>
      </c>
      <c r="N16" s="14">
        <f t="shared" si="13"/>
        <v>23852.23</v>
      </c>
      <c r="O16" s="14">
        <f t="shared" si="14"/>
        <v>0</v>
      </c>
      <c r="P16" s="14">
        <v>36</v>
      </c>
      <c r="Q16" s="14">
        <f t="shared" si="15"/>
        <v>39753.72</v>
      </c>
      <c r="R16" s="14">
        <f t="shared" si="16"/>
        <v>0</v>
      </c>
      <c r="S16" s="14"/>
      <c r="T16" s="14">
        <v>0</v>
      </c>
      <c r="U16" s="14">
        <v>12438.9</v>
      </c>
      <c r="V16" s="14">
        <f t="shared" si="17"/>
        <v>143113.4</v>
      </c>
      <c r="W16" s="14">
        <f t="shared" si="18"/>
        <v>12438.9</v>
      </c>
    </row>
    <row r="17" spans="1:24" x14ac:dyDescent="0.25">
      <c r="A17" s="15">
        <v>44969</v>
      </c>
      <c r="B17" s="14">
        <f>Summary!$G$9/28</f>
        <v>444246.58</v>
      </c>
      <c r="C17" s="14">
        <v>70</v>
      </c>
      <c r="D17" s="14">
        <v>62.64</v>
      </c>
      <c r="E17" s="14">
        <f t="shared" si="6"/>
        <v>62.64</v>
      </c>
      <c r="F17" s="14">
        <f t="shared" si="7"/>
        <v>266547.95</v>
      </c>
      <c r="G17" s="14">
        <f t="shared" si="8"/>
        <v>238522.34</v>
      </c>
      <c r="H17" s="14">
        <f t="shared" si="9"/>
        <v>177698.63</v>
      </c>
      <c r="I17" s="14">
        <f t="shared" si="10"/>
        <v>159014.89000000001</v>
      </c>
      <c r="J17" s="14">
        <v>23</v>
      </c>
      <c r="K17" s="14">
        <f t="shared" si="11"/>
        <v>79507.45</v>
      </c>
      <c r="L17" s="14">
        <f t="shared" si="12"/>
        <v>0</v>
      </c>
      <c r="M17" s="14">
        <v>80</v>
      </c>
      <c r="N17" s="14">
        <f t="shared" si="13"/>
        <v>23852.23</v>
      </c>
      <c r="O17" s="14">
        <f t="shared" si="14"/>
        <v>0</v>
      </c>
      <c r="P17" s="14">
        <v>38</v>
      </c>
      <c r="Q17" s="14">
        <f t="shared" si="15"/>
        <v>39753.72</v>
      </c>
      <c r="R17" s="14">
        <f t="shared" si="16"/>
        <v>0</v>
      </c>
      <c r="S17" s="14"/>
      <c r="T17" s="14">
        <v>0</v>
      </c>
      <c r="U17" s="14">
        <v>12438.9</v>
      </c>
      <c r="V17" s="14">
        <f t="shared" si="17"/>
        <v>143113.4</v>
      </c>
      <c r="W17" s="14">
        <f t="shared" si="18"/>
        <v>12438.9</v>
      </c>
    </row>
    <row r="18" spans="1:24" x14ac:dyDescent="0.25">
      <c r="A18" s="15">
        <v>44970</v>
      </c>
      <c r="B18" s="14">
        <f>Summary!$G$9/28</f>
        <v>444246.58</v>
      </c>
      <c r="C18" s="14">
        <v>70</v>
      </c>
      <c r="D18" s="14">
        <v>62.64</v>
      </c>
      <c r="E18" s="14">
        <f t="shared" si="6"/>
        <v>62.64</v>
      </c>
      <c r="F18" s="14">
        <f t="shared" si="7"/>
        <v>266547.95</v>
      </c>
      <c r="G18" s="14">
        <f t="shared" si="8"/>
        <v>238522.34</v>
      </c>
      <c r="H18" s="14">
        <f t="shared" si="9"/>
        <v>177698.63</v>
      </c>
      <c r="I18" s="14">
        <f t="shared" si="10"/>
        <v>159014.89000000001</v>
      </c>
      <c r="J18" s="14">
        <v>18</v>
      </c>
      <c r="K18" s="14">
        <f t="shared" si="11"/>
        <v>79507.45</v>
      </c>
      <c r="L18" s="14">
        <f t="shared" si="12"/>
        <v>0</v>
      </c>
      <c r="M18" s="14">
        <v>76</v>
      </c>
      <c r="N18" s="14">
        <f t="shared" si="13"/>
        <v>23852.23</v>
      </c>
      <c r="O18" s="14">
        <f t="shared" si="14"/>
        <v>0</v>
      </c>
      <c r="P18" s="14">
        <v>34</v>
      </c>
      <c r="Q18" s="14">
        <f t="shared" si="15"/>
        <v>39753.72</v>
      </c>
      <c r="R18" s="14">
        <f t="shared" si="16"/>
        <v>0</v>
      </c>
      <c r="S18" s="14"/>
      <c r="T18" s="14">
        <v>0</v>
      </c>
      <c r="U18" s="14">
        <v>12438.9</v>
      </c>
      <c r="V18" s="14">
        <f t="shared" si="17"/>
        <v>143113.4</v>
      </c>
      <c r="W18" s="14">
        <f t="shared" si="18"/>
        <v>12438.9</v>
      </c>
    </row>
    <row r="19" spans="1:24" s="114" customFormat="1" x14ac:dyDescent="0.25">
      <c r="A19" s="112">
        <v>44971</v>
      </c>
      <c r="B19" s="113">
        <f>Summary!$G$9/28</f>
        <v>444246.58</v>
      </c>
      <c r="C19" s="113">
        <v>70</v>
      </c>
      <c r="D19" s="113">
        <v>62.64</v>
      </c>
      <c r="E19" s="14">
        <f t="shared" si="6"/>
        <v>62.64</v>
      </c>
      <c r="F19" s="113">
        <f t="shared" si="7"/>
        <v>266547.95</v>
      </c>
      <c r="G19" s="14">
        <f t="shared" si="8"/>
        <v>238522.34</v>
      </c>
      <c r="H19" s="113">
        <f t="shared" si="9"/>
        <v>177698.63</v>
      </c>
      <c r="I19" s="14">
        <f t="shared" si="10"/>
        <v>159014.89000000001</v>
      </c>
      <c r="J19" s="113">
        <v>20</v>
      </c>
      <c r="K19" s="14">
        <f t="shared" si="11"/>
        <v>79507.45</v>
      </c>
      <c r="L19" s="14">
        <f t="shared" si="12"/>
        <v>0</v>
      </c>
      <c r="M19" s="113">
        <v>98</v>
      </c>
      <c r="N19" s="14">
        <f t="shared" si="13"/>
        <v>23852.23</v>
      </c>
      <c r="O19" s="14">
        <f t="shared" si="14"/>
        <v>0</v>
      </c>
      <c r="P19" s="113">
        <v>42</v>
      </c>
      <c r="Q19" s="14">
        <f t="shared" si="15"/>
        <v>39753.72</v>
      </c>
      <c r="R19" s="14">
        <f t="shared" si="16"/>
        <v>0</v>
      </c>
      <c r="S19" s="113"/>
      <c r="T19" s="113">
        <v>0</v>
      </c>
      <c r="U19" s="14">
        <v>12438.9</v>
      </c>
      <c r="V19" s="14">
        <f t="shared" si="17"/>
        <v>143113.4</v>
      </c>
      <c r="W19" s="14">
        <f t="shared" si="18"/>
        <v>12438.9</v>
      </c>
      <c r="X19" s="124" t="s">
        <v>131</v>
      </c>
    </row>
    <row r="20" spans="1:24" s="120" customFormat="1" x14ac:dyDescent="0.25">
      <c r="A20" s="117">
        <v>44972</v>
      </c>
      <c r="B20" s="118">
        <f>Summary!$G$9/28</f>
        <v>444246.58</v>
      </c>
      <c r="C20" s="118">
        <v>70</v>
      </c>
      <c r="D20" s="118">
        <v>62.64</v>
      </c>
      <c r="E20" s="14">
        <f t="shared" si="6"/>
        <v>62.64</v>
      </c>
      <c r="F20" s="118">
        <f t="shared" si="7"/>
        <v>266547.95</v>
      </c>
      <c r="G20" s="14">
        <f t="shared" si="8"/>
        <v>238522.34</v>
      </c>
      <c r="H20" s="118">
        <f t="shared" si="9"/>
        <v>177698.63</v>
      </c>
      <c r="I20" s="14">
        <f t="shared" si="10"/>
        <v>159014.89000000001</v>
      </c>
      <c r="J20" s="118">
        <v>26</v>
      </c>
      <c r="K20" s="14">
        <f t="shared" si="11"/>
        <v>79507.45</v>
      </c>
      <c r="L20" s="14">
        <f t="shared" si="12"/>
        <v>0</v>
      </c>
      <c r="M20" s="118">
        <v>70</v>
      </c>
      <c r="N20" s="14">
        <f t="shared" si="13"/>
        <v>23852.23</v>
      </c>
      <c r="O20" s="14">
        <f t="shared" si="14"/>
        <v>0</v>
      </c>
      <c r="P20" s="118">
        <v>38</v>
      </c>
      <c r="Q20" s="14">
        <f t="shared" si="15"/>
        <v>39753.72</v>
      </c>
      <c r="R20" s="14">
        <f t="shared" si="16"/>
        <v>0</v>
      </c>
      <c r="S20" s="118"/>
      <c r="T20" s="118">
        <v>0</v>
      </c>
      <c r="U20" s="14">
        <v>12438.9</v>
      </c>
      <c r="V20" s="14">
        <f t="shared" si="17"/>
        <v>143113.4</v>
      </c>
      <c r="W20" s="14">
        <f t="shared" si="18"/>
        <v>12438.9</v>
      </c>
      <c r="X20" s="125"/>
    </row>
    <row r="21" spans="1:24" x14ac:dyDescent="0.25">
      <c r="A21" s="15">
        <v>44973</v>
      </c>
      <c r="B21" s="14">
        <f>Summary!$G$9/28</f>
        <v>444246.58</v>
      </c>
      <c r="C21" s="14">
        <v>70</v>
      </c>
      <c r="D21" s="14">
        <v>62.64</v>
      </c>
      <c r="E21" s="14">
        <f t="shared" si="6"/>
        <v>62.64</v>
      </c>
      <c r="F21" s="14">
        <f t="shared" si="7"/>
        <v>266547.95</v>
      </c>
      <c r="G21" s="14">
        <f t="shared" si="8"/>
        <v>238522.34</v>
      </c>
      <c r="H21" s="14">
        <f t="shared" si="9"/>
        <v>177698.63</v>
      </c>
      <c r="I21" s="14">
        <f t="shared" si="10"/>
        <v>159014.89000000001</v>
      </c>
      <c r="J21" s="14">
        <v>25</v>
      </c>
      <c r="K21" s="14">
        <f t="shared" si="11"/>
        <v>79507.45</v>
      </c>
      <c r="L21" s="14">
        <f t="shared" si="12"/>
        <v>0</v>
      </c>
      <c r="M21" s="14">
        <v>100</v>
      </c>
      <c r="N21" s="14">
        <f t="shared" si="13"/>
        <v>23852.23</v>
      </c>
      <c r="O21" s="14">
        <f t="shared" si="14"/>
        <v>0</v>
      </c>
      <c r="P21" s="14">
        <v>46</v>
      </c>
      <c r="Q21" s="14">
        <f t="shared" si="15"/>
        <v>39753.72</v>
      </c>
      <c r="R21" s="14">
        <f t="shared" si="16"/>
        <v>0</v>
      </c>
      <c r="S21" s="14"/>
      <c r="T21" s="14">
        <v>0</v>
      </c>
      <c r="U21" s="14">
        <v>12438.9</v>
      </c>
      <c r="V21" s="14">
        <f t="shared" si="17"/>
        <v>143113.4</v>
      </c>
      <c r="W21" s="14">
        <f t="shared" si="18"/>
        <v>12438.9</v>
      </c>
    </row>
    <row r="22" spans="1:24" x14ac:dyDescent="0.25">
      <c r="A22" s="15">
        <v>44974</v>
      </c>
      <c r="B22" s="14">
        <f>Summary!$G$9/28</f>
        <v>444246.58</v>
      </c>
      <c r="C22" s="14">
        <v>70</v>
      </c>
      <c r="D22" s="14">
        <v>62.64</v>
      </c>
      <c r="E22" s="14">
        <f t="shared" si="6"/>
        <v>62.64</v>
      </c>
      <c r="F22" s="14">
        <f t="shared" si="7"/>
        <v>266547.95</v>
      </c>
      <c r="G22" s="14">
        <f t="shared" si="8"/>
        <v>238522.34</v>
      </c>
      <c r="H22" s="14">
        <f t="shared" si="9"/>
        <v>177698.63</v>
      </c>
      <c r="I22" s="14">
        <f t="shared" si="10"/>
        <v>159014.89000000001</v>
      </c>
      <c r="J22" s="14">
        <v>20</v>
      </c>
      <c r="K22" s="14">
        <f t="shared" si="11"/>
        <v>79507.45</v>
      </c>
      <c r="L22" s="14">
        <f t="shared" si="12"/>
        <v>0</v>
      </c>
      <c r="M22" s="14">
        <v>88</v>
      </c>
      <c r="N22" s="14">
        <f t="shared" si="13"/>
        <v>23852.23</v>
      </c>
      <c r="O22" s="14">
        <f t="shared" si="14"/>
        <v>0</v>
      </c>
      <c r="P22" s="14">
        <v>43</v>
      </c>
      <c r="Q22" s="14">
        <f t="shared" si="15"/>
        <v>39753.72</v>
      </c>
      <c r="R22" s="14">
        <f t="shared" si="16"/>
        <v>0</v>
      </c>
      <c r="S22" s="14"/>
      <c r="T22" s="14">
        <v>0</v>
      </c>
      <c r="U22" s="14">
        <v>12438.9</v>
      </c>
      <c r="V22" s="14">
        <f t="shared" si="17"/>
        <v>143113.4</v>
      </c>
      <c r="W22" s="14">
        <f t="shared" si="18"/>
        <v>12438.9</v>
      </c>
    </row>
    <row r="23" spans="1:24" x14ac:dyDescent="0.25">
      <c r="A23" s="15">
        <v>44975</v>
      </c>
      <c r="B23" s="14">
        <f>Summary!$G$9/28</f>
        <v>444246.58</v>
      </c>
      <c r="C23" s="14">
        <v>70</v>
      </c>
      <c r="D23" s="14">
        <v>62.64</v>
      </c>
      <c r="E23" s="14">
        <f t="shared" si="6"/>
        <v>62.64</v>
      </c>
      <c r="F23" s="14">
        <f t="shared" si="7"/>
        <v>266547.95</v>
      </c>
      <c r="G23" s="14">
        <f t="shared" si="8"/>
        <v>238522.34</v>
      </c>
      <c r="H23" s="14">
        <f t="shared" si="9"/>
        <v>177698.63</v>
      </c>
      <c r="I23" s="14">
        <f t="shared" si="10"/>
        <v>159014.89000000001</v>
      </c>
      <c r="J23" s="14">
        <v>24</v>
      </c>
      <c r="K23" s="14">
        <f t="shared" si="11"/>
        <v>79507.45</v>
      </c>
      <c r="L23" s="14">
        <f t="shared" si="12"/>
        <v>0</v>
      </c>
      <c r="M23" s="14">
        <v>84</v>
      </c>
      <c r="N23" s="14">
        <f t="shared" si="13"/>
        <v>23852.23</v>
      </c>
      <c r="O23" s="14">
        <f t="shared" si="14"/>
        <v>0</v>
      </c>
      <c r="P23" s="14">
        <v>46</v>
      </c>
      <c r="Q23" s="14">
        <f t="shared" si="15"/>
        <v>39753.72</v>
      </c>
      <c r="R23" s="14">
        <f t="shared" si="16"/>
        <v>0</v>
      </c>
      <c r="S23" s="14"/>
      <c r="T23" s="14">
        <v>0</v>
      </c>
      <c r="U23" s="14">
        <v>12438.9</v>
      </c>
      <c r="V23" s="14">
        <f t="shared" si="17"/>
        <v>143113.4</v>
      </c>
      <c r="W23" s="14">
        <f t="shared" si="18"/>
        <v>12438.9</v>
      </c>
    </row>
    <row r="24" spans="1:24" x14ac:dyDescent="0.25">
      <c r="A24" s="15">
        <v>44976</v>
      </c>
      <c r="B24" s="14">
        <f>Summary!$G$9/28</f>
        <v>444246.58</v>
      </c>
      <c r="C24" s="14">
        <v>70</v>
      </c>
      <c r="D24" s="14">
        <v>62.64</v>
      </c>
      <c r="E24" s="14">
        <f t="shared" si="6"/>
        <v>62.64</v>
      </c>
      <c r="F24" s="14">
        <f t="shared" si="7"/>
        <v>266547.95</v>
      </c>
      <c r="G24" s="14">
        <f t="shared" si="8"/>
        <v>238522.34</v>
      </c>
      <c r="H24" s="14">
        <f t="shared" si="9"/>
        <v>177698.63</v>
      </c>
      <c r="I24" s="14">
        <f t="shared" si="10"/>
        <v>159014.89000000001</v>
      </c>
      <c r="J24" s="14">
        <v>25</v>
      </c>
      <c r="K24" s="14">
        <f t="shared" si="11"/>
        <v>79507.45</v>
      </c>
      <c r="L24" s="14">
        <f t="shared" si="12"/>
        <v>0</v>
      </c>
      <c r="M24" s="14">
        <v>96</v>
      </c>
      <c r="N24" s="14">
        <f t="shared" si="13"/>
        <v>23852.23</v>
      </c>
      <c r="O24" s="14">
        <f t="shared" si="14"/>
        <v>0</v>
      </c>
      <c r="P24" s="14">
        <v>47</v>
      </c>
      <c r="Q24" s="14">
        <f t="shared" si="15"/>
        <v>39753.72</v>
      </c>
      <c r="R24" s="14">
        <f t="shared" si="16"/>
        <v>0</v>
      </c>
      <c r="S24" s="14"/>
      <c r="T24" s="14">
        <v>0</v>
      </c>
      <c r="U24" s="14">
        <v>12438.9</v>
      </c>
      <c r="V24" s="14">
        <f t="shared" si="17"/>
        <v>143113.4</v>
      </c>
      <c r="W24" s="14">
        <f t="shared" si="18"/>
        <v>12438.9</v>
      </c>
    </row>
    <row r="25" spans="1:24" x14ac:dyDescent="0.25">
      <c r="A25" s="15">
        <v>44977</v>
      </c>
      <c r="B25" s="14">
        <f>Summary!$G$9/28</f>
        <v>444246.58</v>
      </c>
      <c r="C25" s="14">
        <v>70</v>
      </c>
      <c r="D25" s="14">
        <v>62.64</v>
      </c>
      <c r="E25" s="14">
        <f t="shared" si="6"/>
        <v>62.64</v>
      </c>
      <c r="F25" s="14">
        <f t="shared" si="7"/>
        <v>266547.95</v>
      </c>
      <c r="G25" s="14">
        <f t="shared" si="8"/>
        <v>238522.34</v>
      </c>
      <c r="H25" s="14">
        <f t="shared" si="9"/>
        <v>177698.63</v>
      </c>
      <c r="I25" s="14">
        <f t="shared" si="10"/>
        <v>159014.89000000001</v>
      </c>
      <c r="J25" s="14">
        <v>20</v>
      </c>
      <c r="K25" s="14">
        <f t="shared" si="11"/>
        <v>79507.45</v>
      </c>
      <c r="L25" s="14">
        <f t="shared" si="12"/>
        <v>0</v>
      </c>
      <c r="M25" s="14">
        <v>72</v>
      </c>
      <c r="N25" s="14">
        <f t="shared" si="13"/>
        <v>23852.23</v>
      </c>
      <c r="O25" s="14">
        <f t="shared" si="14"/>
        <v>0</v>
      </c>
      <c r="P25" s="14">
        <v>40</v>
      </c>
      <c r="Q25" s="14">
        <f t="shared" si="15"/>
        <v>39753.72</v>
      </c>
      <c r="R25" s="14">
        <f t="shared" si="16"/>
        <v>0</v>
      </c>
      <c r="S25" s="14"/>
      <c r="T25" s="14">
        <v>0</v>
      </c>
      <c r="U25" s="14">
        <v>12438.9</v>
      </c>
      <c r="V25" s="14">
        <f t="shared" si="17"/>
        <v>143113.4</v>
      </c>
      <c r="W25" s="14">
        <f t="shared" si="18"/>
        <v>12438.9</v>
      </c>
    </row>
    <row r="26" spans="1:24" s="114" customFormat="1" x14ac:dyDescent="0.25">
      <c r="A26" s="112">
        <v>44978</v>
      </c>
      <c r="B26" s="113">
        <f>Summary!$G$9/28</f>
        <v>444246.58</v>
      </c>
      <c r="C26" s="113">
        <v>70</v>
      </c>
      <c r="D26" s="113">
        <v>62.64</v>
      </c>
      <c r="E26" s="14">
        <f t="shared" si="6"/>
        <v>62.64</v>
      </c>
      <c r="F26" s="113">
        <f t="shared" si="7"/>
        <v>266547.95</v>
      </c>
      <c r="G26" s="14">
        <f t="shared" si="8"/>
        <v>238522.34</v>
      </c>
      <c r="H26" s="113">
        <f t="shared" si="9"/>
        <v>177698.63</v>
      </c>
      <c r="I26" s="14">
        <f t="shared" si="10"/>
        <v>159014.89000000001</v>
      </c>
      <c r="J26" s="113">
        <v>30</v>
      </c>
      <c r="K26" s="14">
        <f t="shared" si="11"/>
        <v>79507.45</v>
      </c>
      <c r="L26" s="14">
        <f t="shared" si="12"/>
        <v>0</v>
      </c>
      <c r="M26" s="121">
        <v>152</v>
      </c>
      <c r="N26" s="14">
        <v>0</v>
      </c>
      <c r="O26" s="14">
        <f t="shared" si="14"/>
        <v>12438.9</v>
      </c>
      <c r="P26" s="113">
        <v>35</v>
      </c>
      <c r="Q26" s="14">
        <f t="shared" si="15"/>
        <v>39753.72</v>
      </c>
      <c r="R26" s="14">
        <f t="shared" si="16"/>
        <v>0</v>
      </c>
      <c r="S26" s="113"/>
      <c r="T26" s="113">
        <v>0</v>
      </c>
      <c r="U26" s="14">
        <v>12438.9</v>
      </c>
      <c r="V26" s="14">
        <f t="shared" si="17"/>
        <v>119261.17</v>
      </c>
      <c r="W26" s="14">
        <f t="shared" si="18"/>
        <v>24877.8</v>
      </c>
      <c r="X26" s="124" t="s">
        <v>131</v>
      </c>
    </row>
    <row r="27" spans="1:24" x14ac:dyDescent="0.25">
      <c r="A27" s="15">
        <v>44979</v>
      </c>
      <c r="B27" s="14">
        <f>Summary!$G$9/28</f>
        <v>444246.58</v>
      </c>
      <c r="C27" s="14">
        <v>70</v>
      </c>
      <c r="D27" s="14">
        <v>62.64</v>
      </c>
      <c r="E27" s="14">
        <f t="shared" si="6"/>
        <v>62.64</v>
      </c>
      <c r="F27" s="14">
        <f t="shared" si="7"/>
        <v>266547.95</v>
      </c>
      <c r="G27" s="14">
        <f t="shared" si="8"/>
        <v>238522.34</v>
      </c>
      <c r="H27" s="14">
        <f t="shared" si="9"/>
        <v>177698.63</v>
      </c>
      <c r="I27" s="14">
        <f t="shared" si="10"/>
        <v>159014.89000000001</v>
      </c>
      <c r="J27" s="14">
        <v>18</v>
      </c>
      <c r="K27" s="14">
        <f t="shared" si="11"/>
        <v>79507.45</v>
      </c>
      <c r="L27" s="14">
        <f t="shared" si="12"/>
        <v>0</v>
      </c>
      <c r="M27" s="14">
        <v>60</v>
      </c>
      <c r="N27" s="14">
        <f t="shared" si="13"/>
        <v>23852.23</v>
      </c>
      <c r="O27" s="14">
        <f t="shared" si="14"/>
        <v>0</v>
      </c>
      <c r="P27" s="14">
        <v>38</v>
      </c>
      <c r="Q27" s="14">
        <f t="shared" si="15"/>
        <v>39753.72</v>
      </c>
      <c r="R27" s="14">
        <f t="shared" si="16"/>
        <v>0</v>
      </c>
      <c r="S27" s="14"/>
      <c r="T27" s="14">
        <v>0</v>
      </c>
      <c r="U27" s="14">
        <v>12438.9</v>
      </c>
      <c r="V27" s="14">
        <f t="shared" si="17"/>
        <v>143113.4</v>
      </c>
      <c r="W27" s="14">
        <f t="shared" si="18"/>
        <v>12438.9</v>
      </c>
    </row>
    <row r="28" spans="1:24" s="120" customFormat="1" x14ac:dyDescent="0.25">
      <c r="A28" s="117">
        <v>44980</v>
      </c>
      <c r="B28" s="118">
        <f>Summary!$G$9/28</f>
        <v>444246.58</v>
      </c>
      <c r="C28" s="118">
        <v>70</v>
      </c>
      <c r="D28" s="118">
        <v>62.64</v>
      </c>
      <c r="E28" s="14">
        <f t="shared" si="6"/>
        <v>62.64</v>
      </c>
      <c r="F28" s="118">
        <f t="shared" si="7"/>
        <v>266547.95</v>
      </c>
      <c r="G28" s="14">
        <f t="shared" si="8"/>
        <v>238522.34</v>
      </c>
      <c r="H28" s="118">
        <f t="shared" si="9"/>
        <v>177698.63</v>
      </c>
      <c r="I28" s="14">
        <f t="shared" si="10"/>
        <v>159014.89000000001</v>
      </c>
      <c r="J28" s="118">
        <v>23</v>
      </c>
      <c r="K28" s="14">
        <f t="shared" si="11"/>
        <v>79507.45</v>
      </c>
      <c r="L28" s="14">
        <f t="shared" si="12"/>
        <v>0</v>
      </c>
      <c r="M28" s="118">
        <v>64</v>
      </c>
      <c r="N28" s="14">
        <f t="shared" si="13"/>
        <v>23852.23</v>
      </c>
      <c r="O28" s="14">
        <f t="shared" si="14"/>
        <v>0</v>
      </c>
      <c r="P28" s="118">
        <v>34</v>
      </c>
      <c r="Q28" s="14">
        <f t="shared" si="15"/>
        <v>39753.72</v>
      </c>
      <c r="R28" s="14">
        <f t="shared" si="16"/>
        <v>0</v>
      </c>
      <c r="S28" s="118"/>
      <c r="T28" s="118">
        <v>0</v>
      </c>
      <c r="U28" s="14">
        <v>12438.9</v>
      </c>
      <c r="V28" s="14">
        <f t="shared" si="17"/>
        <v>143113.4</v>
      </c>
      <c r="W28" s="14">
        <f t="shared" si="18"/>
        <v>12438.9</v>
      </c>
      <c r="X28" s="125" t="s">
        <v>132</v>
      </c>
    </row>
    <row r="29" spans="1:24" x14ac:dyDescent="0.25">
      <c r="A29" s="15">
        <v>44981</v>
      </c>
      <c r="B29" s="14">
        <f>Summary!$G$9/28</f>
        <v>444246.58</v>
      </c>
      <c r="C29" s="14">
        <v>70</v>
      </c>
      <c r="D29" s="14">
        <v>62.64</v>
      </c>
      <c r="E29" s="14">
        <f t="shared" si="6"/>
        <v>62.64</v>
      </c>
      <c r="F29" s="14">
        <f t="shared" si="7"/>
        <v>266547.95</v>
      </c>
      <c r="G29" s="14">
        <f t="shared" si="8"/>
        <v>238522.34</v>
      </c>
      <c r="H29" s="14">
        <f t="shared" si="9"/>
        <v>177698.63</v>
      </c>
      <c r="I29" s="14">
        <f t="shared" si="10"/>
        <v>159014.89000000001</v>
      </c>
      <c r="J29" s="14">
        <v>23</v>
      </c>
      <c r="K29" s="14">
        <f t="shared" si="11"/>
        <v>79507.45</v>
      </c>
      <c r="L29" s="14">
        <f t="shared" si="12"/>
        <v>0</v>
      </c>
      <c r="M29" s="14">
        <v>72</v>
      </c>
      <c r="N29" s="14">
        <f t="shared" si="13"/>
        <v>23852.23</v>
      </c>
      <c r="O29" s="14">
        <f t="shared" si="14"/>
        <v>0</v>
      </c>
      <c r="P29" s="14">
        <v>44</v>
      </c>
      <c r="Q29" s="14">
        <f t="shared" si="15"/>
        <v>39753.72</v>
      </c>
      <c r="R29" s="14">
        <f t="shared" si="16"/>
        <v>0</v>
      </c>
      <c r="S29" s="14"/>
      <c r="T29" s="14">
        <v>0</v>
      </c>
      <c r="U29" s="14">
        <v>12438.9</v>
      </c>
      <c r="V29" s="14">
        <f t="shared" si="17"/>
        <v>143113.4</v>
      </c>
      <c r="W29" s="14">
        <f t="shared" si="18"/>
        <v>12438.9</v>
      </c>
    </row>
    <row r="30" spans="1:24" x14ac:dyDescent="0.25">
      <c r="A30" s="15">
        <v>44982</v>
      </c>
      <c r="B30" s="14">
        <f>Summary!$G$9/28</f>
        <v>444246.58</v>
      </c>
      <c r="C30" s="14">
        <v>70</v>
      </c>
      <c r="D30" s="14">
        <v>62.64</v>
      </c>
      <c r="E30" s="14">
        <f t="shared" si="6"/>
        <v>62.64</v>
      </c>
      <c r="F30" s="14">
        <f t="shared" si="7"/>
        <v>266547.95</v>
      </c>
      <c r="G30" s="14">
        <f t="shared" si="8"/>
        <v>238522.34</v>
      </c>
      <c r="H30" s="14">
        <f t="shared" si="9"/>
        <v>177698.63</v>
      </c>
      <c r="I30" s="14">
        <f t="shared" si="10"/>
        <v>159014.89000000001</v>
      </c>
      <c r="J30" s="14">
        <v>26</v>
      </c>
      <c r="K30" s="14">
        <f t="shared" si="11"/>
        <v>79507.45</v>
      </c>
      <c r="L30" s="14">
        <f t="shared" si="12"/>
        <v>0</v>
      </c>
      <c r="M30" s="14">
        <v>92</v>
      </c>
      <c r="N30" s="14">
        <f t="shared" si="13"/>
        <v>23852.23</v>
      </c>
      <c r="O30" s="14">
        <f t="shared" si="14"/>
        <v>0</v>
      </c>
      <c r="P30" s="14">
        <v>48</v>
      </c>
      <c r="Q30" s="14">
        <f t="shared" si="15"/>
        <v>39753.72</v>
      </c>
      <c r="R30" s="14">
        <f t="shared" si="16"/>
        <v>0</v>
      </c>
      <c r="S30" s="14"/>
      <c r="T30" s="14">
        <v>0</v>
      </c>
      <c r="U30" s="14">
        <v>12438.9</v>
      </c>
      <c r="V30" s="14">
        <f t="shared" si="17"/>
        <v>143113.4</v>
      </c>
      <c r="W30" s="14">
        <f t="shared" si="18"/>
        <v>12438.9</v>
      </c>
    </row>
    <row r="31" spans="1:24" x14ac:dyDescent="0.25">
      <c r="A31" s="15">
        <v>44983</v>
      </c>
      <c r="B31" s="14">
        <f>Summary!$G$9/28</f>
        <v>444246.58</v>
      </c>
      <c r="C31" s="14">
        <v>70</v>
      </c>
      <c r="D31" s="14">
        <v>62.64</v>
      </c>
      <c r="E31" s="14">
        <f t="shared" si="6"/>
        <v>62.64</v>
      </c>
      <c r="F31" s="14">
        <f t="shared" si="7"/>
        <v>266547.95</v>
      </c>
      <c r="G31" s="14">
        <f t="shared" si="8"/>
        <v>238522.34</v>
      </c>
      <c r="H31" s="14">
        <f t="shared" si="9"/>
        <v>177698.63</v>
      </c>
      <c r="I31" s="14">
        <f t="shared" si="10"/>
        <v>159014.89000000001</v>
      </c>
      <c r="J31" s="14">
        <v>24</v>
      </c>
      <c r="K31" s="14">
        <f t="shared" si="11"/>
        <v>79507.45</v>
      </c>
      <c r="L31" s="14">
        <f t="shared" si="12"/>
        <v>0</v>
      </c>
      <c r="M31" s="14">
        <v>84</v>
      </c>
      <c r="N31" s="14">
        <f t="shared" si="13"/>
        <v>23852.23</v>
      </c>
      <c r="O31" s="14">
        <f t="shared" si="14"/>
        <v>0</v>
      </c>
      <c r="P31" s="14">
        <v>47</v>
      </c>
      <c r="Q31" s="14">
        <f t="shared" si="15"/>
        <v>39753.72</v>
      </c>
      <c r="R31" s="14">
        <f t="shared" si="16"/>
        <v>0</v>
      </c>
      <c r="S31" s="14"/>
      <c r="T31" s="14">
        <v>0</v>
      </c>
      <c r="U31" s="14">
        <v>12438.9</v>
      </c>
      <c r="V31" s="14">
        <f t="shared" si="17"/>
        <v>143113.4</v>
      </c>
      <c r="W31" s="14">
        <f t="shared" si="18"/>
        <v>12438.9</v>
      </c>
    </row>
    <row r="32" spans="1:24" x14ac:dyDescent="0.25">
      <c r="A32" s="15">
        <v>44984</v>
      </c>
      <c r="B32" s="14">
        <f>Summary!$G$9/28</f>
        <v>444246.58</v>
      </c>
      <c r="C32" s="14">
        <v>70</v>
      </c>
      <c r="D32" s="14">
        <v>62.64</v>
      </c>
      <c r="E32" s="14">
        <f t="shared" si="6"/>
        <v>62.64</v>
      </c>
      <c r="F32" s="14">
        <f t="shared" si="7"/>
        <v>266547.95</v>
      </c>
      <c r="G32" s="14">
        <f t="shared" si="8"/>
        <v>238522.34</v>
      </c>
      <c r="H32" s="14">
        <f t="shared" si="9"/>
        <v>177698.63</v>
      </c>
      <c r="I32" s="14">
        <f t="shared" si="10"/>
        <v>159014.89000000001</v>
      </c>
      <c r="J32" s="14">
        <v>20</v>
      </c>
      <c r="K32" s="14">
        <f t="shared" si="11"/>
        <v>79507.45</v>
      </c>
      <c r="L32" s="14">
        <f t="shared" si="12"/>
        <v>0</v>
      </c>
      <c r="M32" s="14">
        <v>72</v>
      </c>
      <c r="N32" s="14">
        <f t="shared" si="13"/>
        <v>23852.23</v>
      </c>
      <c r="O32" s="14">
        <f t="shared" si="14"/>
        <v>0</v>
      </c>
      <c r="P32" s="14">
        <v>42</v>
      </c>
      <c r="Q32" s="14">
        <f t="shared" si="15"/>
        <v>39753.72</v>
      </c>
      <c r="R32" s="14">
        <f t="shared" si="16"/>
        <v>0</v>
      </c>
      <c r="S32" s="14"/>
      <c r="T32" s="14">
        <v>0</v>
      </c>
      <c r="U32" s="14">
        <v>12438.9</v>
      </c>
      <c r="V32" s="14">
        <f t="shared" si="17"/>
        <v>143113.4</v>
      </c>
      <c r="W32" s="14">
        <f t="shared" si="18"/>
        <v>12438.9</v>
      </c>
    </row>
    <row r="33" spans="1:24" x14ac:dyDescent="0.25">
      <c r="A33" s="15">
        <v>44985</v>
      </c>
      <c r="B33" s="14">
        <f>Summary!$G$9/28</f>
        <v>444246.58</v>
      </c>
      <c r="C33" s="14">
        <v>70</v>
      </c>
      <c r="D33" s="14">
        <v>62.64</v>
      </c>
      <c r="E33" s="14">
        <f t="shared" si="6"/>
        <v>62.64</v>
      </c>
      <c r="F33" s="14">
        <f t="shared" si="7"/>
        <v>266547.95</v>
      </c>
      <c r="G33" s="14">
        <f t="shared" si="8"/>
        <v>238522.34</v>
      </c>
      <c r="H33" s="14">
        <f t="shared" si="9"/>
        <v>177698.63</v>
      </c>
      <c r="I33" s="14">
        <f t="shared" si="10"/>
        <v>159014.89000000001</v>
      </c>
      <c r="J33" s="14">
        <v>23</v>
      </c>
      <c r="K33" s="14">
        <f t="shared" si="11"/>
        <v>79507.45</v>
      </c>
      <c r="L33" s="14">
        <f t="shared" si="12"/>
        <v>0</v>
      </c>
      <c r="M33" s="14">
        <v>80</v>
      </c>
      <c r="N33" s="14">
        <f t="shared" si="13"/>
        <v>23852.23</v>
      </c>
      <c r="O33" s="14">
        <f t="shared" si="14"/>
        <v>0</v>
      </c>
      <c r="P33" s="14">
        <v>45</v>
      </c>
      <c r="Q33" s="14">
        <f t="shared" si="15"/>
        <v>39753.72</v>
      </c>
      <c r="R33" s="14">
        <f t="shared" si="16"/>
        <v>0</v>
      </c>
      <c r="S33" s="14"/>
      <c r="T33" s="14">
        <v>0</v>
      </c>
      <c r="U33" s="14">
        <v>12438.9</v>
      </c>
      <c r="V33" s="14">
        <f t="shared" si="17"/>
        <v>143113.4</v>
      </c>
      <c r="W33" s="14">
        <f t="shared" si="18"/>
        <v>12438.9</v>
      </c>
    </row>
    <row r="34" spans="1:24" x14ac:dyDescent="0.25">
      <c r="A34" s="95" t="s">
        <v>20</v>
      </c>
      <c r="B34" s="104">
        <f>SUM(B6:B33)</f>
        <v>12438904.24</v>
      </c>
      <c r="C34" s="86"/>
      <c r="D34" s="104"/>
      <c r="E34" s="104"/>
      <c r="F34" s="104">
        <f>SUM(F6:F33)</f>
        <v>7463342.5999999996</v>
      </c>
      <c r="G34" s="104">
        <f>SUM(G6:G33)</f>
        <v>6678625.5199999996</v>
      </c>
      <c r="H34" s="104">
        <f>SUM(H6:H33)</f>
        <v>4975561.6399999997</v>
      </c>
      <c r="I34" s="104">
        <f>SUM(I6:I33)</f>
        <v>4452416.92</v>
      </c>
      <c r="J34" s="104"/>
      <c r="K34" s="104">
        <f>SUM(K6:K33)</f>
        <v>2226208.6</v>
      </c>
      <c r="L34" s="104">
        <f>SUM(L6:L33)</f>
        <v>0</v>
      </c>
      <c r="M34" s="104"/>
      <c r="N34" s="104">
        <f>SUM(N6:N33)</f>
        <v>620157.98</v>
      </c>
      <c r="O34" s="104">
        <f>SUM(O6:O33)</f>
        <v>24877.8</v>
      </c>
      <c r="P34" s="104"/>
      <c r="Q34" s="104">
        <f>SUM(Q6:Q33)</f>
        <v>1113104.1599999999</v>
      </c>
      <c r="R34" s="104">
        <f>SUM(R6:R33)</f>
        <v>0</v>
      </c>
      <c r="S34" s="104"/>
      <c r="T34" s="104"/>
      <c r="U34" s="104">
        <f>SUM(U6:U33)</f>
        <v>348289.2</v>
      </c>
      <c r="V34" s="104">
        <f>SUM(V6:V33)</f>
        <v>3959470.74</v>
      </c>
      <c r="W34" s="104">
        <f>SUM(W6:W33)</f>
        <v>373167</v>
      </c>
    </row>
    <row r="35" spans="1:24" x14ac:dyDescent="0.25">
      <c r="A35" s="97"/>
      <c r="B35" s="104" t="s">
        <v>81</v>
      </c>
      <c r="C35" s="86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>
        <f>G34+V34</f>
        <v>10638096.26</v>
      </c>
      <c r="W35" s="104"/>
      <c r="X35" s="32"/>
    </row>
    <row r="36" spans="1:24" x14ac:dyDescent="0.25">
      <c r="K36" s="93">
        <f>COUNTIF(K6:K33,"0")</f>
        <v>0</v>
      </c>
      <c r="N36" s="93">
        <f>COUNTIF(N6:N33,"0")</f>
        <v>2</v>
      </c>
      <c r="Q36" s="93">
        <f>COUNTIF(Q6:Q33,"0")</f>
        <v>0</v>
      </c>
      <c r="T36" s="93">
        <f>COUNTIF(T6:T33,"0")</f>
        <v>28</v>
      </c>
    </row>
    <row r="39" spans="1:24" x14ac:dyDescent="0.25">
      <c r="C39" s="94">
        <f>B34/31</f>
        <v>401254.98</v>
      </c>
    </row>
  </sheetData>
  <mergeCells count="19">
    <mergeCell ref="P4:R4"/>
    <mergeCell ref="S4:U4"/>
    <mergeCell ref="V4:V5"/>
    <mergeCell ref="W4:W5"/>
    <mergeCell ref="A1:V1"/>
    <mergeCell ref="F3:G3"/>
    <mergeCell ref="H3:Q3"/>
    <mergeCell ref="B4:B5"/>
    <mergeCell ref="A4:A5"/>
    <mergeCell ref="D4:D5"/>
    <mergeCell ref="F4:F5"/>
    <mergeCell ref="G4:G5"/>
    <mergeCell ref="H4:H5"/>
    <mergeCell ref="C3:D3"/>
    <mergeCell ref="C4:C5"/>
    <mergeCell ref="I4:I5"/>
    <mergeCell ref="E4:E5"/>
    <mergeCell ref="J4:L4"/>
    <mergeCell ref="M4:O4"/>
  </mergeCells>
  <pageMargins left="0.25" right="0.25" top="0.75" bottom="0.75" header="0.3" footer="0.3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E39"/>
  <sheetViews>
    <sheetView zoomScaleNormal="100" workbookViewId="0">
      <pane xSplit="1" ySplit="1" topLeftCell="B2" activePane="bottomRight" state="frozen"/>
      <selection activeCell="P5" sqref="A1:V1048576"/>
      <selection pane="topRight" activeCell="P5" sqref="A1:V1048576"/>
      <selection pane="bottomLeft" activeCell="P5" sqref="A1:V1048576"/>
      <selection pane="bottomRight" activeCell="P5" sqref="A1:V1048576"/>
    </sheetView>
  </sheetViews>
  <sheetFormatPr defaultColWidth="9.140625" defaultRowHeight="15.75" x14ac:dyDescent="0.25"/>
  <cols>
    <col min="1" max="1" width="10.7109375" style="93" customWidth="1"/>
    <col min="2" max="2" width="13.7109375" style="93" customWidth="1"/>
    <col min="3" max="3" width="8.5703125" style="93" customWidth="1"/>
    <col min="4" max="4" width="7.28515625" style="93" customWidth="1"/>
    <col min="5" max="5" width="9.42578125" style="93" customWidth="1"/>
    <col min="6" max="6" width="12.5703125" style="93" customWidth="1"/>
    <col min="7" max="7" width="13.28515625" style="93" customWidth="1"/>
    <col min="8" max="8" width="12.7109375" style="93" customWidth="1"/>
    <col min="9" max="9" width="12.5703125" style="93" bestFit="1" customWidth="1"/>
    <col min="10" max="10" width="9.5703125" style="93" customWidth="1"/>
    <col min="11" max="11" width="12.42578125" style="93" customWidth="1"/>
    <col min="12" max="12" width="10.140625" style="93" customWidth="1"/>
    <col min="13" max="13" width="9.42578125" style="93" customWidth="1"/>
    <col min="14" max="14" width="11.5703125" style="93" customWidth="1"/>
    <col min="15" max="15" width="10.140625" style="93" customWidth="1"/>
    <col min="16" max="16" width="9.28515625" style="93" customWidth="1"/>
    <col min="17" max="17" width="12.85546875" style="93" customWidth="1"/>
    <col min="18" max="18" width="9" style="93" customWidth="1"/>
    <col min="19" max="19" width="9.85546875" style="93" customWidth="1"/>
    <col min="20" max="20" width="10.42578125" style="93" bestFit="1" customWidth="1"/>
    <col min="21" max="21" width="10.42578125" style="93" customWidth="1"/>
    <col min="22" max="22" width="13.5703125" style="93" customWidth="1"/>
    <col min="23" max="23" width="13.7109375" style="93" customWidth="1"/>
    <col min="24" max="24" width="10.5703125" style="28" bestFit="1" customWidth="1"/>
    <col min="25" max="30" width="9.28515625" bestFit="1" customWidth="1"/>
    <col min="31" max="31" width="10.5703125" bestFit="1" customWidth="1"/>
  </cols>
  <sheetData>
    <row r="1" spans="1:31" ht="18.75" customHeight="1" x14ac:dyDescent="0.3">
      <c r="A1" s="188" t="str">
        <f>'70 MLD Dudahera'!A1:V1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Y1" s="3"/>
      <c r="Z1" s="3"/>
      <c r="AA1" s="3"/>
      <c r="AB1" s="3"/>
      <c r="AC1" s="3"/>
      <c r="AD1" s="3"/>
      <c r="AE1" s="3"/>
    </row>
    <row r="2" spans="1:31" ht="15" customHeight="1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  <c r="Y2" s="3"/>
      <c r="Z2" s="3"/>
      <c r="AA2" s="3"/>
      <c r="AB2" s="3"/>
      <c r="AC2" s="3"/>
      <c r="AD2" s="3"/>
      <c r="AE2" s="3"/>
    </row>
    <row r="3" spans="1:31" ht="15.75" customHeight="1" x14ac:dyDescent="0.3">
      <c r="A3" s="41"/>
      <c r="B3" s="41"/>
      <c r="C3" s="190" t="s">
        <v>15</v>
      </c>
      <c r="D3" s="194"/>
      <c r="E3" s="44"/>
      <c r="F3" s="185" t="s">
        <v>18</v>
      </c>
      <c r="G3" s="185"/>
      <c r="H3" s="190" t="s">
        <v>19</v>
      </c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4"/>
      <c r="W3" s="45"/>
      <c r="Y3" s="3"/>
      <c r="Z3" s="3"/>
      <c r="AA3" s="3"/>
      <c r="AB3" s="3"/>
      <c r="AC3" s="3"/>
      <c r="AD3" s="3"/>
      <c r="AE3" s="3"/>
    </row>
    <row r="4" spans="1:31" ht="15" customHeight="1" x14ac:dyDescent="0.3">
      <c r="A4" s="211" t="s">
        <v>14</v>
      </c>
      <c r="B4" s="209" t="s">
        <v>38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  <c r="Y4" s="3"/>
      <c r="Z4" s="3"/>
      <c r="AA4" s="3"/>
      <c r="AB4" s="3"/>
      <c r="AC4" s="3"/>
      <c r="AD4" s="3"/>
      <c r="AE4" s="3"/>
    </row>
    <row r="5" spans="1:31" ht="45" customHeight="1" x14ac:dyDescent="0.3">
      <c r="A5" s="212"/>
      <c r="B5" s="210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Y5" s="3"/>
      <c r="Z5" s="3"/>
      <c r="AA5" s="3"/>
      <c r="AB5" s="3"/>
      <c r="AC5" s="3"/>
      <c r="AD5" s="3"/>
      <c r="AE5" s="3"/>
    </row>
    <row r="6" spans="1:31" s="120" customFormat="1" x14ac:dyDescent="0.25">
      <c r="A6" s="117">
        <v>44958</v>
      </c>
      <c r="B6" s="118">
        <f>Summary!$G$10/28</f>
        <v>355397.26</v>
      </c>
      <c r="C6" s="118">
        <v>56</v>
      </c>
      <c r="D6" s="118">
        <v>56.31</v>
      </c>
      <c r="E6" s="14">
        <f>MIN(D6,C6)</f>
        <v>56</v>
      </c>
      <c r="F6" s="118">
        <f>B6*60%</f>
        <v>213238.36</v>
      </c>
      <c r="G6" s="14">
        <f>(F6*E6)/C6</f>
        <v>213238.36</v>
      </c>
      <c r="H6" s="118">
        <f>B6*40%</f>
        <v>142158.9</v>
      </c>
      <c r="I6" s="14">
        <f>(H6*E6)/C6</f>
        <v>142158.9</v>
      </c>
      <c r="J6" s="118">
        <v>7</v>
      </c>
      <c r="K6" s="14">
        <f t="shared" ref="K6" si="0">I6*50%</f>
        <v>71079.45</v>
      </c>
      <c r="L6" s="14">
        <f t="shared" ref="L6" si="1">IF(J6&gt;10,(MAX($B$34*0.1/100,10000)),0)</f>
        <v>0</v>
      </c>
      <c r="M6" s="118">
        <v>86</v>
      </c>
      <c r="N6" s="14">
        <f t="shared" ref="N6" si="2">I6*15%</f>
        <v>21323.84</v>
      </c>
      <c r="O6" s="14">
        <f t="shared" ref="O6" si="3">IF(M6&gt;100,(MAX($B$34*0.1/100,10000)),0)</f>
        <v>0</v>
      </c>
      <c r="P6" s="118">
        <v>8</v>
      </c>
      <c r="Q6" s="14">
        <f t="shared" ref="Q6" si="4">I6*25%</f>
        <v>35539.730000000003</v>
      </c>
      <c r="R6" s="14">
        <f t="shared" ref="R6" si="5">IF(P6&gt;10,(MAX($B$34*0.1/100,10000)),0)</f>
        <v>0</v>
      </c>
      <c r="S6" s="118"/>
      <c r="T6" s="14">
        <v>0</v>
      </c>
      <c r="U6" s="14">
        <v>10000</v>
      </c>
      <c r="V6" s="14">
        <f>T6+Q6+N6+K6</f>
        <v>127943.02</v>
      </c>
      <c r="W6" s="14">
        <f>U6+R6+O6+L6</f>
        <v>10000</v>
      </c>
      <c r="X6" s="125" t="s">
        <v>132</v>
      </c>
    </row>
    <row r="7" spans="1:31" x14ac:dyDescent="0.25">
      <c r="A7" s="15">
        <v>44959</v>
      </c>
      <c r="B7" s="14">
        <f>Summary!$G$10/28</f>
        <v>355397.26</v>
      </c>
      <c r="C7" s="14">
        <v>56</v>
      </c>
      <c r="D7" s="14">
        <v>56.43</v>
      </c>
      <c r="E7" s="14">
        <f t="shared" ref="E7:E33" si="6">MIN(D7,C7)</f>
        <v>56</v>
      </c>
      <c r="F7" s="14">
        <f t="shared" ref="F7:F33" si="7">B7*60%</f>
        <v>213238.36</v>
      </c>
      <c r="G7" s="14">
        <f t="shared" ref="G7:G33" si="8">(F7*E7)/C7</f>
        <v>213238.36</v>
      </c>
      <c r="H7" s="14">
        <f t="shared" ref="H7:H33" si="9">B7*40%</f>
        <v>142158.9</v>
      </c>
      <c r="I7" s="14">
        <f t="shared" ref="I7:I33" si="10">(H7*E7)/C7</f>
        <v>142158.9</v>
      </c>
      <c r="J7" s="14">
        <v>6</v>
      </c>
      <c r="K7" s="14">
        <f t="shared" ref="K7:K33" si="11">I7*50%</f>
        <v>71079.45</v>
      </c>
      <c r="L7" s="14">
        <f t="shared" ref="L7:L33" si="12">IF(J7&gt;10,(MAX($B$34*0.1/100,10000)),0)</f>
        <v>0</v>
      </c>
      <c r="M7" s="14">
        <v>16</v>
      </c>
      <c r="N7" s="14">
        <f t="shared" ref="N7:N33" si="13">I7*15%</f>
        <v>21323.84</v>
      </c>
      <c r="O7" s="14">
        <f t="shared" ref="O7:O33" si="14">IF(M7&gt;100,(MAX($B$34*0.1/100,10000)),0)</f>
        <v>0</v>
      </c>
      <c r="P7" s="14">
        <v>5</v>
      </c>
      <c r="Q7" s="14">
        <f t="shared" ref="Q7:Q33" si="15">I7*25%</f>
        <v>35539.730000000003</v>
      </c>
      <c r="R7" s="14">
        <f t="shared" ref="R7:R33" si="16">IF(P7&gt;10,(MAX($B$34*0.1/100,10000)),0)</f>
        <v>0</v>
      </c>
      <c r="S7" s="14"/>
      <c r="T7" s="14">
        <v>0</v>
      </c>
      <c r="U7" s="14">
        <v>10000</v>
      </c>
      <c r="V7" s="14">
        <f t="shared" ref="V7:V33" si="17">T7+Q7+N7+K7</f>
        <v>127943.02</v>
      </c>
      <c r="W7" s="14">
        <f t="shared" ref="W7:W33" si="18">U7+R7+O7+L7</f>
        <v>10000</v>
      </c>
    </row>
    <row r="8" spans="1:31" s="114" customFormat="1" x14ac:dyDescent="0.25">
      <c r="A8" s="112">
        <v>44960</v>
      </c>
      <c r="B8" s="113">
        <f>Summary!$G$10/28</f>
        <v>355397.26</v>
      </c>
      <c r="C8" s="113">
        <v>56</v>
      </c>
      <c r="D8" s="113">
        <v>56.49</v>
      </c>
      <c r="E8" s="14">
        <f t="shared" si="6"/>
        <v>56</v>
      </c>
      <c r="F8" s="113">
        <f t="shared" si="7"/>
        <v>213238.36</v>
      </c>
      <c r="G8" s="14">
        <f t="shared" si="8"/>
        <v>213238.36</v>
      </c>
      <c r="H8" s="113">
        <f t="shared" si="9"/>
        <v>142158.9</v>
      </c>
      <c r="I8" s="14">
        <f t="shared" si="10"/>
        <v>142158.9</v>
      </c>
      <c r="J8" s="113">
        <v>7</v>
      </c>
      <c r="K8" s="14">
        <f t="shared" si="11"/>
        <v>71079.45</v>
      </c>
      <c r="L8" s="14">
        <f t="shared" si="12"/>
        <v>0</v>
      </c>
      <c r="M8" s="113">
        <v>40</v>
      </c>
      <c r="N8" s="14">
        <f t="shared" si="13"/>
        <v>21323.84</v>
      </c>
      <c r="O8" s="14">
        <f t="shared" si="14"/>
        <v>0</v>
      </c>
      <c r="P8" s="113">
        <v>2</v>
      </c>
      <c r="Q8" s="14">
        <f t="shared" si="15"/>
        <v>35539.730000000003</v>
      </c>
      <c r="R8" s="14">
        <f t="shared" si="16"/>
        <v>0</v>
      </c>
      <c r="S8" s="113"/>
      <c r="T8" s="113">
        <v>0</v>
      </c>
      <c r="U8" s="113">
        <v>10000</v>
      </c>
      <c r="V8" s="14">
        <f t="shared" si="17"/>
        <v>127943.02</v>
      </c>
      <c r="W8" s="14">
        <f t="shared" si="18"/>
        <v>10000</v>
      </c>
      <c r="X8" s="124" t="s">
        <v>131</v>
      </c>
    </row>
    <row r="9" spans="1:31" x14ac:dyDescent="0.25">
      <c r="A9" s="15">
        <v>44961</v>
      </c>
      <c r="B9" s="14">
        <f>Summary!$G$10/28</f>
        <v>355397.26</v>
      </c>
      <c r="C9" s="14">
        <v>56</v>
      </c>
      <c r="D9" s="14">
        <v>56.31</v>
      </c>
      <c r="E9" s="14">
        <f t="shared" si="6"/>
        <v>56</v>
      </c>
      <c r="F9" s="14">
        <f t="shared" si="7"/>
        <v>213238.36</v>
      </c>
      <c r="G9" s="14">
        <f t="shared" si="8"/>
        <v>213238.36</v>
      </c>
      <c r="H9" s="14">
        <f t="shared" si="9"/>
        <v>142158.9</v>
      </c>
      <c r="I9" s="14">
        <f t="shared" si="10"/>
        <v>142158.9</v>
      </c>
      <c r="J9" s="14">
        <v>3</v>
      </c>
      <c r="K9" s="14">
        <f t="shared" si="11"/>
        <v>71079.45</v>
      </c>
      <c r="L9" s="14">
        <f t="shared" si="12"/>
        <v>0</v>
      </c>
      <c r="M9" s="14">
        <v>28</v>
      </c>
      <c r="N9" s="14">
        <f t="shared" si="13"/>
        <v>21323.84</v>
      </c>
      <c r="O9" s="14">
        <f t="shared" si="14"/>
        <v>0</v>
      </c>
      <c r="P9" s="14">
        <v>5</v>
      </c>
      <c r="Q9" s="14">
        <f t="shared" si="15"/>
        <v>35539.730000000003</v>
      </c>
      <c r="R9" s="14">
        <f t="shared" si="16"/>
        <v>0</v>
      </c>
      <c r="S9" s="14"/>
      <c r="T9" s="14">
        <v>0</v>
      </c>
      <c r="U9" s="14">
        <v>10000</v>
      </c>
      <c r="V9" s="14">
        <f t="shared" si="17"/>
        <v>127943.02</v>
      </c>
      <c r="W9" s="14">
        <f t="shared" si="18"/>
        <v>10000</v>
      </c>
    </row>
    <row r="10" spans="1:31" x14ac:dyDescent="0.25">
      <c r="A10" s="15">
        <v>44962</v>
      </c>
      <c r="B10" s="14">
        <f>Summary!$G$10/28</f>
        <v>355397.26</v>
      </c>
      <c r="C10" s="14">
        <v>56</v>
      </c>
      <c r="D10" s="14">
        <v>56.31</v>
      </c>
      <c r="E10" s="14">
        <f t="shared" si="6"/>
        <v>56</v>
      </c>
      <c r="F10" s="14">
        <f t="shared" si="7"/>
        <v>213238.36</v>
      </c>
      <c r="G10" s="14">
        <f t="shared" si="8"/>
        <v>213238.36</v>
      </c>
      <c r="H10" s="14">
        <f t="shared" si="9"/>
        <v>142158.9</v>
      </c>
      <c r="I10" s="14">
        <f t="shared" si="10"/>
        <v>142158.9</v>
      </c>
      <c r="J10" s="14">
        <v>5</v>
      </c>
      <c r="K10" s="14">
        <f t="shared" si="11"/>
        <v>71079.45</v>
      </c>
      <c r="L10" s="14">
        <f t="shared" si="12"/>
        <v>0</v>
      </c>
      <c r="M10" s="14">
        <v>32</v>
      </c>
      <c r="N10" s="14">
        <f t="shared" si="13"/>
        <v>21323.84</v>
      </c>
      <c r="O10" s="14">
        <f t="shared" si="14"/>
        <v>0</v>
      </c>
      <c r="P10" s="14">
        <v>6</v>
      </c>
      <c r="Q10" s="14">
        <f t="shared" si="15"/>
        <v>35539.730000000003</v>
      </c>
      <c r="R10" s="14">
        <f t="shared" si="16"/>
        <v>0</v>
      </c>
      <c r="S10" s="14"/>
      <c r="T10" s="14">
        <v>0</v>
      </c>
      <c r="U10" s="14">
        <v>10000</v>
      </c>
      <c r="V10" s="14">
        <f t="shared" si="17"/>
        <v>127943.02</v>
      </c>
      <c r="W10" s="14">
        <f t="shared" si="18"/>
        <v>10000</v>
      </c>
    </row>
    <row r="11" spans="1:31" x14ac:dyDescent="0.25">
      <c r="A11" s="15">
        <v>44963</v>
      </c>
      <c r="B11" s="14">
        <f>Summary!$G$10/28</f>
        <v>355397.26</v>
      </c>
      <c r="C11" s="14">
        <v>56</v>
      </c>
      <c r="D11" s="14">
        <v>56.14</v>
      </c>
      <c r="E11" s="14">
        <f t="shared" si="6"/>
        <v>56</v>
      </c>
      <c r="F11" s="14">
        <f t="shared" si="7"/>
        <v>213238.36</v>
      </c>
      <c r="G11" s="14">
        <f t="shared" si="8"/>
        <v>213238.36</v>
      </c>
      <c r="H11" s="14">
        <f t="shared" si="9"/>
        <v>142158.9</v>
      </c>
      <c r="I11" s="14">
        <f t="shared" si="10"/>
        <v>142158.9</v>
      </c>
      <c r="J11" s="14">
        <v>3</v>
      </c>
      <c r="K11" s="14">
        <f t="shared" si="11"/>
        <v>71079.45</v>
      </c>
      <c r="L11" s="14">
        <f t="shared" si="12"/>
        <v>0</v>
      </c>
      <c r="M11" s="14">
        <v>16</v>
      </c>
      <c r="N11" s="14">
        <f t="shared" si="13"/>
        <v>21323.84</v>
      </c>
      <c r="O11" s="14">
        <f t="shared" si="14"/>
        <v>0</v>
      </c>
      <c r="P11" s="14">
        <v>4</v>
      </c>
      <c r="Q11" s="14">
        <f t="shared" si="15"/>
        <v>35539.730000000003</v>
      </c>
      <c r="R11" s="14">
        <f t="shared" si="16"/>
        <v>0</v>
      </c>
      <c r="S11" s="14"/>
      <c r="T11" s="14">
        <v>0</v>
      </c>
      <c r="U11" s="14">
        <v>10000</v>
      </c>
      <c r="V11" s="14">
        <f t="shared" si="17"/>
        <v>127943.02</v>
      </c>
      <c r="W11" s="14">
        <f t="shared" si="18"/>
        <v>10000</v>
      </c>
    </row>
    <row r="12" spans="1:31" x14ac:dyDescent="0.25">
      <c r="A12" s="15">
        <v>44964</v>
      </c>
      <c r="B12" s="14">
        <f>Summary!$G$10/28</f>
        <v>355397.26</v>
      </c>
      <c r="C12" s="14">
        <v>56</v>
      </c>
      <c r="D12" s="14">
        <v>56.49</v>
      </c>
      <c r="E12" s="14">
        <f t="shared" si="6"/>
        <v>56</v>
      </c>
      <c r="F12" s="14">
        <f t="shared" si="7"/>
        <v>213238.36</v>
      </c>
      <c r="G12" s="14">
        <f t="shared" si="8"/>
        <v>213238.36</v>
      </c>
      <c r="H12" s="14">
        <f t="shared" si="9"/>
        <v>142158.9</v>
      </c>
      <c r="I12" s="14">
        <f t="shared" si="10"/>
        <v>142158.9</v>
      </c>
      <c r="J12" s="14">
        <v>6</v>
      </c>
      <c r="K12" s="14">
        <f t="shared" si="11"/>
        <v>71079.45</v>
      </c>
      <c r="L12" s="14">
        <f t="shared" si="12"/>
        <v>0</v>
      </c>
      <c r="M12" s="14">
        <v>44</v>
      </c>
      <c r="N12" s="14">
        <f t="shared" si="13"/>
        <v>21323.84</v>
      </c>
      <c r="O12" s="14">
        <f t="shared" si="14"/>
        <v>0</v>
      </c>
      <c r="P12" s="14">
        <v>8</v>
      </c>
      <c r="Q12" s="14">
        <f t="shared" si="15"/>
        <v>35539.730000000003</v>
      </c>
      <c r="R12" s="14">
        <f t="shared" si="16"/>
        <v>0</v>
      </c>
      <c r="S12" s="14"/>
      <c r="T12" s="14">
        <v>0</v>
      </c>
      <c r="U12" s="14">
        <v>10000</v>
      </c>
      <c r="V12" s="14">
        <f t="shared" si="17"/>
        <v>127943.02</v>
      </c>
      <c r="W12" s="14">
        <f t="shared" si="18"/>
        <v>10000</v>
      </c>
    </row>
    <row r="13" spans="1:31" s="120" customFormat="1" x14ac:dyDescent="0.25">
      <c r="A13" s="117">
        <v>44965</v>
      </c>
      <c r="B13" s="118">
        <f>Summary!$G$10/28</f>
        <v>355397.26</v>
      </c>
      <c r="C13" s="118">
        <v>56</v>
      </c>
      <c r="D13" s="118">
        <v>56.31</v>
      </c>
      <c r="E13" s="14">
        <f t="shared" si="6"/>
        <v>56</v>
      </c>
      <c r="F13" s="118">
        <f t="shared" si="7"/>
        <v>213238.36</v>
      </c>
      <c r="G13" s="14">
        <f t="shared" si="8"/>
        <v>213238.36</v>
      </c>
      <c r="H13" s="118">
        <f t="shared" si="9"/>
        <v>142158.9</v>
      </c>
      <c r="I13" s="14">
        <f t="shared" si="10"/>
        <v>142158.9</v>
      </c>
      <c r="J13" s="118">
        <v>6</v>
      </c>
      <c r="K13" s="14">
        <f t="shared" si="11"/>
        <v>71079.45</v>
      </c>
      <c r="L13" s="14">
        <f t="shared" si="12"/>
        <v>0</v>
      </c>
      <c r="M13" s="118">
        <v>48</v>
      </c>
      <c r="N13" s="14">
        <f t="shared" si="13"/>
        <v>21323.84</v>
      </c>
      <c r="O13" s="14">
        <f t="shared" si="14"/>
        <v>0</v>
      </c>
      <c r="P13" s="118">
        <v>10</v>
      </c>
      <c r="Q13" s="14">
        <f t="shared" si="15"/>
        <v>35539.730000000003</v>
      </c>
      <c r="R13" s="14">
        <f t="shared" si="16"/>
        <v>0</v>
      </c>
      <c r="S13" s="118"/>
      <c r="T13" s="118">
        <v>0</v>
      </c>
      <c r="U13" s="118">
        <v>10000</v>
      </c>
      <c r="V13" s="14">
        <f t="shared" si="17"/>
        <v>127943.02</v>
      </c>
      <c r="W13" s="14">
        <f t="shared" si="18"/>
        <v>10000</v>
      </c>
      <c r="X13" s="125" t="s">
        <v>133</v>
      </c>
    </row>
    <row r="14" spans="1:31" x14ac:dyDescent="0.25">
      <c r="A14" s="15">
        <v>44966</v>
      </c>
      <c r="B14" s="14">
        <f>Summary!$G$10/28</f>
        <v>355397.26</v>
      </c>
      <c r="C14" s="14">
        <v>56</v>
      </c>
      <c r="D14" s="14">
        <v>56.31</v>
      </c>
      <c r="E14" s="14">
        <f t="shared" si="6"/>
        <v>56</v>
      </c>
      <c r="F14" s="14">
        <f t="shared" si="7"/>
        <v>213238.36</v>
      </c>
      <c r="G14" s="14">
        <f t="shared" si="8"/>
        <v>213238.36</v>
      </c>
      <c r="H14" s="14">
        <f t="shared" si="9"/>
        <v>142158.9</v>
      </c>
      <c r="I14" s="14">
        <f t="shared" si="10"/>
        <v>142158.9</v>
      </c>
      <c r="J14" s="14">
        <v>5</v>
      </c>
      <c r="K14" s="14">
        <f t="shared" si="11"/>
        <v>71079.45</v>
      </c>
      <c r="L14" s="14">
        <f t="shared" si="12"/>
        <v>0</v>
      </c>
      <c r="M14" s="14">
        <v>24</v>
      </c>
      <c r="N14" s="14">
        <f t="shared" si="13"/>
        <v>21323.84</v>
      </c>
      <c r="O14" s="14">
        <f t="shared" si="14"/>
        <v>0</v>
      </c>
      <c r="P14" s="14">
        <v>7</v>
      </c>
      <c r="Q14" s="14">
        <f t="shared" si="15"/>
        <v>35539.730000000003</v>
      </c>
      <c r="R14" s="14">
        <f t="shared" si="16"/>
        <v>0</v>
      </c>
      <c r="S14" s="14"/>
      <c r="T14" s="14">
        <v>0</v>
      </c>
      <c r="U14" s="14">
        <v>10000</v>
      </c>
      <c r="V14" s="14">
        <f t="shared" si="17"/>
        <v>127943.02</v>
      </c>
      <c r="W14" s="14">
        <f t="shared" si="18"/>
        <v>10000</v>
      </c>
    </row>
    <row r="15" spans="1:31" x14ac:dyDescent="0.25">
      <c r="A15" s="15">
        <v>44967</v>
      </c>
      <c r="B15" s="14">
        <f>Summary!$G$10/28</f>
        <v>355397.26</v>
      </c>
      <c r="C15" s="14">
        <v>56</v>
      </c>
      <c r="D15" s="14">
        <v>56.31</v>
      </c>
      <c r="E15" s="14">
        <f t="shared" si="6"/>
        <v>56</v>
      </c>
      <c r="F15" s="14">
        <f t="shared" si="7"/>
        <v>213238.36</v>
      </c>
      <c r="G15" s="14">
        <f t="shared" si="8"/>
        <v>213238.36</v>
      </c>
      <c r="H15" s="14">
        <f t="shared" si="9"/>
        <v>142158.9</v>
      </c>
      <c r="I15" s="14">
        <f t="shared" si="10"/>
        <v>142158.9</v>
      </c>
      <c r="J15" s="14">
        <v>3</v>
      </c>
      <c r="K15" s="14">
        <f t="shared" si="11"/>
        <v>71079.45</v>
      </c>
      <c r="L15" s="14">
        <f t="shared" si="12"/>
        <v>0</v>
      </c>
      <c r="M15" s="14">
        <v>20</v>
      </c>
      <c r="N15" s="14">
        <f t="shared" si="13"/>
        <v>21323.84</v>
      </c>
      <c r="O15" s="14">
        <f t="shared" si="14"/>
        <v>0</v>
      </c>
      <c r="P15" s="14">
        <v>5</v>
      </c>
      <c r="Q15" s="14">
        <f t="shared" si="15"/>
        <v>35539.730000000003</v>
      </c>
      <c r="R15" s="14">
        <f t="shared" si="16"/>
        <v>0</v>
      </c>
      <c r="S15" s="14"/>
      <c r="T15" s="14">
        <v>0</v>
      </c>
      <c r="U15" s="14">
        <v>10000</v>
      </c>
      <c r="V15" s="14">
        <f t="shared" si="17"/>
        <v>127943.02</v>
      </c>
      <c r="W15" s="14">
        <f t="shared" si="18"/>
        <v>10000</v>
      </c>
    </row>
    <row r="16" spans="1:31" x14ac:dyDescent="0.25">
      <c r="A16" s="15">
        <v>44968</v>
      </c>
      <c r="B16" s="14">
        <f>Summary!$G$10/28</f>
        <v>355397.26</v>
      </c>
      <c r="C16" s="14">
        <v>56</v>
      </c>
      <c r="D16" s="14">
        <v>56.31</v>
      </c>
      <c r="E16" s="14">
        <f t="shared" si="6"/>
        <v>56</v>
      </c>
      <c r="F16" s="14">
        <f t="shared" si="7"/>
        <v>213238.36</v>
      </c>
      <c r="G16" s="14">
        <f t="shared" si="8"/>
        <v>213238.36</v>
      </c>
      <c r="H16" s="14">
        <f t="shared" si="9"/>
        <v>142158.9</v>
      </c>
      <c r="I16" s="14">
        <f t="shared" si="10"/>
        <v>142158.9</v>
      </c>
      <c r="J16" s="14">
        <v>4</v>
      </c>
      <c r="K16" s="14">
        <f t="shared" si="11"/>
        <v>71079.45</v>
      </c>
      <c r="L16" s="14">
        <f t="shared" si="12"/>
        <v>0</v>
      </c>
      <c r="M16" s="14">
        <v>16</v>
      </c>
      <c r="N16" s="14">
        <f t="shared" si="13"/>
        <v>21323.84</v>
      </c>
      <c r="O16" s="14">
        <f t="shared" si="14"/>
        <v>0</v>
      </c>
      <c r="P16" s="14">
        <v>4</v>
      </c>
      <c r="Q16" s="14">
        <f t="shared" si="15"/>
        <v>35539.730000000003</v>
      </c>
      <c r="R16" s="14">
        <f t="shared" si="16"/>
        <v>0</v>
      </c>
      <c r="S16" s="14"/>
      <c r="T16" s="14">
        <v>0</v>
      </c>
      <c r="U16" s="14">
        <v>10000</v>
      </c>
      <c r="V16" s="14">
        <f t="shared" si="17"/>
        <v>127943.02</v>
      </c>
      <c r="W16" s="14">
        <f t="shared" si="18"/>
        <v>10000</v>
      </c>
    </row>
    <row r="17" spans="1:24" x14ac:dyDescent="0.25">
      <c r="A17" s="15">
        <v>44969</v>
      </c>
      <c r="B17" s="14">
        <f>Summary!$G$10/28</f>
        <v>355397.26</v>
      </c>
      <c r="C17" s="14">
        <v>56</v>
      </c>
      <c r="D17" s="14">
        <v>56.14</v>
      </c>
      <c r="E17" s="14">
        <f t="shared" si="6"/>
        <v>56</v>
      </c>
      <c r="F17" s="14">
        <f t="shared" si="7"/>
        <v>213238.36</v>
      </c>
      <c r="G17" s="14">
        <f t="shared" si="8"/>
        <v>213238.36</v>
      </c>
      <c r="H17" s="14">
        <f t="shared" si="9"/>
        <v>142158.9</v>
      </c>
      <c r="I17" s="14">
        <f t="shared" si="10"/>
        <v>142158.9</v>
      </c>
      <c r="J17" s="14">
        <v>3</v>
      </c>
      <c r="K17" s="14">
        <f t="shared" si="11"/>
        <v>71079.45</v>
      </c>
      <c r="L17" s="14">
        <f t="shared" si="12"/>
        <v>0</v>
      </c>
      <c r="M17" s="14">
        <v>16</v>
      </c>
      <c r="N17" s="14">
        <f t="shared" si="13"/>
        <v>21323.84</v>
      </c>
      <c r="O17" s="14">
        <f t="shared" si="14"/>
        <v>0</v>
      </c>
      <c r="P17" s="14">
        <v>4</v>
      </c>
      <c r="Q17" s="14">
        <f t="shared" si="15"/>
        <v>35539.730000000003</v>
      </c>
      <c r="R17" s="14">
        <f t="shared" si="16"/>
        <v>0</v>
      </c>
      <c r="S17" s="14"/>
      <c r="T17" s="14">
        <v>0</v>
      </c>
      <c r="U17" s="14">
        <v>10000</v>
      </c>
      <c r="V17" s="14">
        <f t="shared" si="17"/>
        <v>127943.02</v>
      </c>
      <c r="W17" s="14">
        <f t="shared" si="18"/>
        <v>10000</v>
      </c>
    </row>
    <row r="18" spans="1:24" x14ac:dyDescent="0.25">
      <c r="A18" s="15">
        <v>44970</v>
      </c>
      <c r="B18" s="14">
        <f>Summary!$G$10/28</f>
        <v>355397.26</v>
      </c>
      <c r="C18" s="14">
        <v>56</v>
      </c>
      <c r="D18" s="14">
        <v>56.55</v>
      </c>
      <c r="E18" s="14">
        <f t="shared" si="6"/>
        <v>56</v>
      </c>
      <c r="F18" s="14">
        <f t="shared" si="7"/>
        <v>213238.36</v>
      </c>
      <c r="G18" s="14">
        <f t="shared" si="8"/>
        <v>213238.36</v>
      </c>
      <c r="H18" s="14">
        <f t="shared" si="9"/>
        <v>142158.9</v>
      </c>
      <c r="I18" s="14">
        <f t="shared" si="10"/>
        <v>142158.9</v>
      </c>
      <c r="J18" s="14">
        <v>6</v>
      </c>
      <c r="K18" s="14">
        <f t="shared" si="11"/>
        <v>71079.45</v>
      </c>
      <c r="L18" s="14">
        <f t="shared" si="12"/>
        <v>0</v>
      </c>
      <c r="M18" s="14">
        <v>28</v>
      </c>
      <c r="N18" s="14">
        <f t="shared" si="13"/>
        <v>21323.84</v>
      </c>
      <c r="O18" s="14">
        <f t="shared" si="14"/>
        <v>0</v>
      </c>
      <c r="P18" s="14">
        <v>7</v>
      </c>
      <c r="Q18" s="14">
        <f t="shared" si="15"/>
        <v>35539.730000000003</v>
      </c>
      <c r="R18" s="14">
        <f t="shared" si="16"/>
        <v>0</v>
      </c>
      <c r="S18" s="14"/>
      <c r="T18" s="14">
        <v>0</v>
      </c>
      <c r="U18" s="14">
        <v>10000</v>
      </c>
      <c r="V18" s="14">
        <f t="shared" si="17"/>
        <v>127943.02</v>
      </c>
      <c r="W18" s="14">
        <f t="shared" si="18"/>
        <v>10000</v>
      </c>
    </row>
    <row r="19" spans="1:24" s="114" customFormat="1" x14ac:dyDescent="0.25">
      <c r="A19" s="112">
        <v>44971</v>
      </c>
      <c r="B19" s="113">
        <f>Summary!$G$10/28</f>
        <v>355397.26</v>
      </c>
      <c r="C19" s="113">
        <v>56</v>
      </c>
      <c r="D19" s="113">
        <v>56.31</v>
      </c>
      <c r="E19" s="14">
        <f t="shared" si="6"/>
        <v>56</v>
      </c>
      <c r="F19" s="113">
        <f t="shared" si="7"/>
        <v>213238.36</v>
      </c>
      <c r="G19" s="14">
        <f t="shared" si="8"/>
        <v>213238.36</v>
      </c>
      <c r="H19" s="113">
        <f t="shared" si="9"/>
        <v>142158.9</v>
      </c>
      <c r="I19" s="14">
        <f t="shared" si="10"/>
        <v>142158.9</v>
      </c>
      <c r="J19" s="113">
        <v>2</v>
      </c>
      <c r="K19" s="14">
        <f t="shared" si="11"/>
        <v>71079.45</v>
      </c>
      <c r="L19" s="14">
        <f t="shared" si="12"/>
        <v>0</v>
      </c>
      <c r="M19" s="113">
        <v>12</v>
      </c>
      <c r="N19" s="14">
        <f t="shared" si="13"/>
        <v>21323.84</v>
      </c>
      <c r="O19" s="14">
        <f t="shared" si="14"/>
        <v>0</v>
      </c>
      <c r="P19" s="113">
        <v>5</v>
      </c>
      <c r="Q19" s="14">
        <f t="shared" si="15"/>
        <v>35539.730000000003</v>
      </c>
      <c r="R19" s="14">
        <f t="shared" si="16"/>
        <v>0</v>
      </c>
      <c r="S19" s="113"/>
      <c r="T19" s="113">
        <v>0</v>
      </c>
      <c r="U19" s="113">
        <v>10000</v>
      </c>
      <c r="V19" s="14">
        <f t="shared" si="17"/>
        <v>127943.02</v>
      </c>
      <c r="W19" s="14">
        <f t="shared" si="18"/>
        <v>10000</v>
      </c>
      <c r="X19" s="124" t="s">
        <v>131</v>
      </c>
    </row>
    <row r="20" spans="1:24" s="120" customFormat="1" x14ac:dyDescent="0.25">
      <c r="A20" s="117">
        <v>44972</v>
      </c>
      <c r="B20" s="118">
        <f>Summary!$G$10/28</f>
        <v>355397.26</v>
      </c>
      <c r="C20" s="118">
        <v>56</v>
      </c>
      <c r="D20" s="118">
        <v>56.02</v>
      </c>
      <c r="E20" s="14">
        <f t="shared" si="6"/>
        <v>56</v>
      </c>
      <c r="F20" s="118">
        <f t="shared" si="7"/>
        <v>213238.36</v>
      </c>
      <c r="G20" s="14">
        <f t="shared" si="8"/>
        <v>213238.36</v>
      </c>
      <c r="H20" s="118">
        <f t="shared" si="9"/>
        <v>142158.9</v>
      </c>
      <c r="I20" s="14">
        <f t="shared" si="10"/>
        <v>142158.9</v>
      </c>
      <c r="J20" s="118">
        <v>7</v>
      </c>
      <c r="K20" s="14">
        <f t="shared" si="11"/>
        <v>71079.45</v>
      </c>
      <c r="L20" s="14">
        <f t="shared" si="12"/>
        <v>0</v>
      </c>
      <c r="M20" s="118">
        <v>39</v>
      </c>
      <c r="N20" s="14">
        <f t="shared" si="13"/>
        <v>21323.84</v>
      </c>
      <c r="O20" s="14">
        <f t="shared" si="14"/>
        <v>0</v>
      </c>
      <c r="P20" s="118">
        <v>9</v>
      </c>
      <c r="Q20" s="14">
        <f t="shared" si="15"/>
        <v>35539.730000000003</v>
      </c>
      <c r="R20" s="14">
        <f t="shared" si="16"/>
        <v>0</v>
      </c>
      <c r="S20" s="118"/>
      <c r="T20" s="118">
        <v>0</v>
      </c>
      <c r="U20" s="118">
        <v>10000</v>
      </c>
      <c r="V20" s="14">
        <f t="shared" si="17"/>
        <v>127943.02</v>
      </c>
      <c r="W20" s="14">
        <f t="shared" si="18"/>
        <v>10000</v>
      </c>
      <c r="X20" s="125" t="s">
        <v>132</v>
      </c>
    </row>
    <row r="21" spans="1:24" x14ac:dyDescent="0.25">
      <c r="A21" s="15">
        <v>44973</v>
      </c>
      <c r="B21" s="14">
        <f>Summary!$G$10/28</f>
        <v>355397.26</v>
      </c>
      <c r="C21" s="14">
        <v>56</v>
      </c>
      <c r="D21" s="14">
        <v>56.2</v>
      </c>
      <c r="E21" s="14">
        <f t="shared" si="6"/>
        <v>56</v>
      </c>
      <c r="F21" s="14">
        <f t="shared" si="7"/>
        <v>213238.36</v>
      </c>
      <c r="G21" s="14">
        <f t="shared" si="8"/>
        <v>213238.36</v>
      </c>
      <c r="H21" s="14">
        <f t="shared" si="9"/>
        <v>142158.9</v>
      </c>
      <c r="I21" s="14">
        <f t="shared" si="10"/>
        <v>142158.9</v>
      </c>
      <c r="J21" s="14">
        <v>5</v>
      </c>
      <c r="K21" s="14">
        <f t="shared" si="11"/>
        <v>71079.45</v>
      </c>
      <c r="L21" s="14">
        <f t="shared" si="12"/>
        <v>0</v>
      </c>
      <c r="M21" s="14">
        <v>24</v>
      </c>
      <c r="N21" s="14">
        <f t="shared" si="13"/>
        <v>21323.84</v>
      </c>
      <c r="O21" s="14">
        <f t="shared" si="14"/>
        <v>0</v>
      </c>
      <c r="P21" s="14">
        <v>6</v>
      </c>
      <c r="Q21" s="14">
        <f t="shared" si="15"/>
        <v>35539.730000000003</v>
      </c>
      <c r="R21" s="14">
        <f t="shared" si="16"/>
        <v>0</v>
      </c>
      <c r="S21" s="14"/>
      <c r="T21" s="14">
        <v>0</v>
      </c>
      <c r="U21" s="14">
        <v>10000</v>
      </c>
      <c r="V21" s="14">
        <f t="shared" si="17"/>
        <v>127943.02</v>
      </c>
      <c r="W21" s="14">
        <f t="shared" si="18"/>
        <v>10000</v>
      </c>
    </row>
    <row r="22" spans="1:24" x14ac:dyDescent="0.25">
      <c r="A22" s="15">
        <v>44974</v>
      </c>
      <c r="B22" s="14">
        <f>Summary!$G$10/28</f>
        <v>355397.26</v>
      </c>
      <c r="C22" s="14">
        <v>56</v>
      </c>
      <c r="D22" s="14">
        <v>56.31</v>
      </c>
      <c r="E22" s="14">
        <f t="shared" si="6"/>
        <v>56</v>
      </c>
      <c r="F22" s="14">
        <f t="shared" si="7"/>
        <v>213238.36</v>
      </c>
      <c r="G22" s="14">
        <f t="shared" si="8"/>
        <v>213238.36</v>
      </c>
      <c r="H22" s="14">
        <f t="shared" si="9"/>
        <v>142158.9</v>
      </c>
      <c r="I22" s="14">
        <f t="shared" si="10"/>
        <v>142158.9</v>
      </c>
      <c r="J22" s="14">
        <v>3</v>
      </c>
      <c r="K22" s="14">
        <f t="shared" si="11"/>
        <v>71079.45</v>
      </c>
      <c r="L22" s="14">
        <f t="shared" si="12"/>
        <v>0</v>
      </c>
      <c r="M22" s="14">
        <v>20</v>
      </c>
      <c r="N22" s="14">
        <f t="shared" si="13"/>
        <v>21323.84</v>
      </c>
      <c r="O22" s="14">
        <f t="shared" si="14"/>
        <v>0</v>
      </c>
      <c r="P22" s="14">
        <v>5</v>
      </c>
      <c r="Q22" s="14">
        <f t="shared" si="15"/>
        <v>35539.730000000003</v>
      </c>
      <c r="R22" s="14">
        <f t="shared" si="16"/>
        <v>0</v>
      </c>
      <c r="S22" s="14"/>
      <c r="T22" s="14">
        <v>0</v>
      </c>
      <c r="U22" s="14">
        <v>10000</v>
      </c>
      <c r="V22" s="14">
        <f t="shared" si="17"/>
        <v>127943.02</v>
      </c>
      <c r="W22" s="14">
        <f t="shared" si="18"/>
        <v>10000</v>
      </c>
    </row>
    <row r="23" spans="1:24" x14ac:dyDescent="0.25">
      <c r="A23" s="15">
        <v>44975</v>
      </c>
      <c r="B23" s="14">
        <f>Summary!$G$10/28</f>
        <v>355397.26</v>
      </c>
      <c r="C23" s="14">
        <v>56</v>
      </c>
      <c r="D23" s="14">
        <v>56.24</v>
      </c>
      <c r="E23" s="14">
        <f t="shared" si="6"/>
        <v>56</v>
      </c>
      <c r="F23" s="14">
        <f t="shared" si="7"/>
        <v>213238.36</v>
      </c>
      <c r="G23" s="14">
        <f t="shared" si="8"/>
        <v>213238.36</v>
      </c>
      <c r="H23" s="14">
        <f t="shared" si="9"/>
        <v>142158.9</v>
      </c>
      <c r="I23" s="14">
        <f t="shared" si="10"/>
        <v>142158.9</v>
      </c>
      <c r="J23" s="14">
        <v>5</v>
      </c>
      <c r="K23" s="14">
        <f t="shared" si="11"/>
        <v>71079.45</v>
      </c>
      <c r="L23" s="14">
        <f t="shared" si="12"/>
        <v>0</v>
      </c>
      <c r="M23" s="14">
        <v>20</v>
      </c>
      <c r="N23" s="14">
        <f t="shared" si="13"/>
        <v>21323.84</v>
      </c>
      <c r="O23" s="14">
        <f t="shared" si="14"/>
        <v>0</v>
      </c>
      <c r="P23" s="14">
        <v>4</v>
      </c>
      <c r="Q23" s="14">
        <f t="shared" si="15"/>
        <v>35539.730000000003</v>
      </c>
      <c r="R23" s="14">
        <f t="shared" si="16"/>
        <v>0</v>
      </c>
      <c r="S23" s="14"/>
      <c r="T23" s="14">
        <v>0</v>
      </c>
      <c r="U23" s="14">
        <v>10000</v>
      </c>
      <c r="V23" s="14">
        <f t="shared" si="17"/>
        <v>127943.02</v>
      </c>
      <c r="W23" s="14">
        <f t="shared" si="18"/>
        <v>10000</v>
      </c>
    </row>
    <row r="24" spans="1:24" x14ac:dyDescent="0.25">
      <c r="A24" s="15">
        <v>44976</v>
      </c>
      <c r="B24" s="14">
        <f>Summary!$G$10/28</f>
        <v>355397.26</v>
      </c>
      <c r="C24" s="14">
        <v>56</v>
      </c>
      <c r="D24" s="14">
        <v>56.31</v>
      </c>
      <c r="E24" s="14">
        <f t="shared" si="6"/>
        <v>56</v>
      </c>
      <c r="F24" s="14">
        <f t="shared" si="7"/>
        <v>213238.36</v>
      </c>
      <c r="G24" s="14">
        <f t="shared" si="8"/>
        <v>213238.36</v>
      </c>
      <c r="H24" s="14">
        <f t="shared" si="9"/>
        <v>142158.9</v>
      </c>
      <c r="I24" s="14">
        <f t="shared" si="10"/>
        <v>142158.9</v>
      </c>
      <c r="J24" s="14">
        <v>3</v>
      </c>
      <c r="K24" s="14">
        <f t="shared" si="11"/>
        <v>71079.45</v>
      </c>
      <c r="L24" s="14">
        <f t="shared" si="12"/>
        <v>0</v>
      </c>
      <c r="M24" s="14">
        <v>24</v>
      </c>
      <c r="N24" s="14">
        <f t="shared" si="13"/>
        <v>21323.84</v>
      </c>
      <c r="O24" s="14">
        <f t="shared" si="14"/>
        <v>0</v>
      </c>
      <c r="P24" s="14">
        <v>5</v>
      </c>
      <c r="Q24" s="14">
        <f t="shared" si="15"/>
        <v>35539.730000000003</v>
      </c>
      <c r="R24" s="14">
        <f t="shared" si="16"/>
        <v>0</v>
      </c>
      <c r="S24" s="14"/>
      <c r="T24" s="14">
        <v>0</v>
      </c>
      <c r="U24" s="14">
        <v>10000</v>
      </c>
      <c r="V24" s="14">
        <f t="shared" si="17"/>
        <v>127943.02</v>
      </c>
      <c r="W24" s="14">
        <f t="shared" si="18"/>
        <v>10000</v>
      </c>
    </row>
    <row r="25" spans="1:24" x14ac:dyDescent="0.25">
      <c r="A25" s="15">
        <v>44977</v>
      </c>
      <c r="B25" s="14">
        <f>Summary!$G$10/28</f>
        <v>355397.26</v>
      </c>
      <c r="C25" s="14">
        <v>56</v>
      </c>
      <c r="D25" s="14">
        <v>56.31</v>
      </c>
      <c r="E25" s="14">
        <f t="shared" si="6"/>
        <v>56</v>
      </c>
      <c r="F25" s="14">
        <f t="shared" si="7"/>
        <v>213238.36</v>
      </c>
      <c r="G25" s="14">
        <f t="shared" si="8"/>
        <v>213238.36</v>
      </c>
      <c r="H25" s="14">
        <f t="shared" si="9"/>
        <v>142158.9</v>
      </c>
      <c r="I25" s="14">
        <f t="shared" si="10"/>
        <v>142158.9</v>
      </c>
      <c r="J25" s="14">
        <v>2</v>
      </c>
      <c r="K25" s="14">
        <f t="shared" si="11"/>
        <v>71079.45</v>
      </c>
      <c r="L25" s="14">
        <f t="shared" si="12"/>
        <v>0</v>
      </c>
      <c r="M25" s="14">
        <v>13</v>
      </c>
      <c r="N25" s="14">
        <f t="shared" si="13"/>
        <v>21323.84</v>
      </c>
      <c r="O25" s="14">
        <f t="shared" si="14"/>
        <v>0</v>
      </c>
      <c r="P25" s="14">
        <v>3</v>
      </c>
      <c r="Q25" s="14">
        <f t="shared" si="15"/>
        <v>35539.730000000003</v>
      </c>
      <c r="R25" s="14">
        <f t="shared" si="16"/>
        <v>0</v>
      </c>
      <c r="S25" s="14"/>
      <c r="T25" s="14">
        <v>0</v>
      </c>
      <c r="U25" s="14">
        <v>10000</v>
      </c>
      <c r="V25" s="14">
        <f t="shared" si="17"/>
        <v>127943.02</v>
      </c>
      <c r="W25" s="14">
        <f t="shared" si="18"/>
        <v>10000</v>
      </c>
    </row>
    <row r="26" spans="1:24" s="114" customFormat="1" x14ac:dyDescent="0.25">
      <c r="A26" s="112">
        <v>44978</v>
      </c>
      <c r="B26" s="113">
        <f>Summary!$G$10/28</f>
        <v>355397.26</v>
      </c>
      <c r="C26" s="113">
        <v>56</v>
      </c>
      <c r="D26" s="113">
        <v>56.31</v>
      </c>
      <c r="E26" s="14">
        <f t="shared" si="6"/>
        <v>56</v>
      </c>
      <c r="F26" s="113">
        <f t="shared" si="7"/>
        <v>213238.36</v>
      </c>
      <c r="G26" s="14">
        <f t="shared" si="8"/>
        <v>213238.36</v>
      </c>
      <c r="H26" s="113">
        <f t="shared" si="9"/>
        <v>142158.9</v>
      </c>
      <c r="I26" s="14">
        <f t="shared" si="10"/>
        <v>142158.9</v>
      </c>
      <c r="J26" s="113">
        <v>2</v>
      </c>
      <c r="K26" s="14">
        <f t="shared" si="11"/>
        <v>71079.45</v>
      </c>
      <c r="L26" s="14">
        <f t="shared" si="12"/>
        <v>0</v>
      </c>
      <c r="M26" s="113">
        <v>12</v>
      </c>
      <c r="N26" s="14">
        <f t="shared" si="13"/>
        <v>21323.84</v>
      </c>
      <c r="O26" s="14">
        <f t="shared" si="14"/>
        <v>0</v>
      </c>
      <c r="P26" s="113">
        <v>7</v>
      </c>
      <c r="Q26" s="14">
        <f t="shared" si="15"/>
        <v>35539.730000000003</v>
      </c>
      <c r="R26" s="14">
        <f t="shared" si="16"/>
        <v>0</v>
      </c>
      <c r="S26" s="113"/>
      <c r="T26" s="113">
        <v>0</v>
      </c>
      <c r="U26" s="113">
        <v>10000</v>
      </c>
      <c r="V26" s="14">
        <f t="shared" si="17"/>
        <v>127943.02</v>
      </c>
      <c r="W26" s="14">
        <f t="shared" si="18"/>
        <v>10000</v>
      </c>
      <c r="X26" s="124" t="s">
        <v>131</v>
      </c>
    </row>
    <row r="27" spans="1:24" x14ac:dyDescent="0.25">
      <c r="A27" s="15">
        <v>44979</v>
      </c>
      <c r="B27" s="14">
        <f>Summary!$G$10/28</f>
        <v>355397.26</v>
      </c>
      <c r="C27" s="14">
        <v>56</v>
      </c>
      <c r="D27" s="14">
        <v>56.31</v>
      </c>
      <c r="E27" s="14">
        <f t="shared" si="6"/>
        <v>56</v>
      </c>
      <c r="F27" s="14">
        <f t="shared" si="7"/>
        <v>213238.36</v>
      </c>
      <c r="G27" s="14">
        <f t="shared" si="8"/>
        <v>213238.36</v>
      </c>
      <c r="H27" s="14">
        <f t="shared" si="9"/>
        <v>142158.9</v>
      </c>
      <c r="I27" s="14">
        <f t="shared" si="10"/>
        <v>142158.9</v>
      </c>
      <c r="J27" s="14">
        <v>3</v>
      </c>
      <c r="K27" s="14">
        <f t="shared" si="11"/>
        <v>71079.45</v>
      </c>
      <c r="L27" s="14">
        <f t="shared" si="12"/>
        <v>0</v>
      </c>
      <c r="M27" s="14">
        <v>16</v>
      </c>
      <c r="N27" s="14">
        <f t="shared" si="13"/>
        <v>21323.84</v>
      </c>
      <c r="O27" s="14">
        <f t="shared" si="14"/>
        <v>0</v>
      </c>
      <c r="P27" s="14">
        <v>4</v>
      </c>
      <c r="Q27" s="14">
        <f t="shared" si="15"/>
        <v>35539.730000000003</v>
      </c>
      <c r="R27" s="14">
        <f t="shared" si="16"/>
        <v>0</v>
      </c>
      <c r="S27" s="14"/>
      <c r="T27" s="14">
        <v>0</v>
      </c>
      <c r="U27" s="14">
        <v>10000</v>
      </c>
      <c r="V27" s="14">
        <f t="shared" si="17"/>
        <v>127943.02</v>
      </c>
      <c r="W27" s="14">
        <f t="shared" si="18"/>
        <v>10000</v>
      </c>
    </row>
    <row r="28" spans="1:24" s="120" customFormat="1" x14ac:dyDescent="0.25">
      <c r="A28" s="117">
        <v>44980</v>
      </c>
      <c r="B28" s="118">
        <f>Summary!$G$10/28</f>
        <v>355397.26</v>
      </c>
      <c r="C28" s="118">
        <v>56</v>
      </c>
      <c r="D28" s="118">
        <v>56.14</v>
      </c>
      <c r="E28" s="14">
        <f t="shared" si="6"/>
        <v>56</v>
      </c>
      <c r="F28" s="118">
        <f t="shared" si="7"/>
        <v>213238.36</v>
      </c>
      <c r="G28" s="14">
        <f t="shared" si="8"/>
        <v>213238.36</v>
      </c>
      <c r="H28" s="118">
        <f t="shared" si="9"/>
        <v>142158.9</v>
      </c>
      <c r="I28" s="14">
        <f t="shared" si="10"/>
        <v>142158.9</v>
      </c>
      <c r="J28" s="118">
        <v>6</v>
      </c>
      <c r="K28" s="14">
        <f t="shared" si="11"/>
        <v>71079.45</v>
      </c>
      <c r="L28" s="14">
        <f t="shared" si="12"/>
        <v>0</v>
      </c>
      <c r="M28" s="118">
        <v>36</v>
      </c>
      <c r="N28" s="14">
        <f t="shared" si="13"/>
        <v>21323.84</v>
      </c>
      <c r="O28" s="14">
        <f t="shared" si="14"/>
        <v>0</v>
      </c>
      <c r="P28" s="118">
        <v>8</v>
      </c>
      <c r="Q28" s="14">
        <f t="shared" si="15"/>
        <v>35539.730000000003</v>
      </c>
      <c r="R28" s="14">
        <f t="shared" si="16"/>
        <v>0</v>
      </c>
      <c r="S28" s="118"/>
      <c r="T28" s="118">
        <v>0</v>
      </c>
      <c r="U28" s="118">
        <v>10000</v>
      </c>
      <c r="V28" s="14">
        <f t="shared" si="17"/>
        <v>127943.02</v>
      </c>
      <c r="W28" s="14">
        <f t="shared" si="18"/>
        <v>10000</v>
      </c>
      <c r="X28" s="125" t="s">
        <v>132</v>
      </c>
    </row>
    <row r="29" spans="1:24" x14ac:dyDescent="0.25">
      <c r="A29" s="15">
        <v>44981</v>
      </c>
      <c r="B29" s="14">
        <f>Summary!$G$10/28</f>
        <v>355397.26</v>
      </c>
      <c r="C29" s="14">
        <v>56</v>
      </c>
      <c r="D29" s="14">
        <v>56.43</v>
      </c>
      <c r="E29" s="14">
        <f t="shared" si="6"/>
        <v>56</v>
      </c>
      <c r="F29" s="14">
        <f t="shared" si="7"/>
        <v>213238.36</v>
      </c>
      <c r="G29" s="14">
        <f t="shared" si="8"/>
        <v>213238.36</v>
      </c>
      <c r="H29" s="14">
        <f t="shared" si="9"/>
        <v>142158.9</v>
      </c>
      <c r="I29" s="14">
        <f t="shared" si="10"/>
        <v>142158.9</v>
      </c>
      <c r="J29" s="14">
        <v>3</v>
      </c>
      <c r="K29" s="14">
        <f t="shared" si="11"/>
        <v>71079.45</v>
      </c>
      <c r="L29" s="14">
        <f t="shared" si="12"/>
        <v>0</v>
      </c>
      <c r="M29" s="14">
        <v>24</v>
      </c>
      <c r="N29" s="14">
        <f t="shared" si="13"/>
        <v>21323.84</v>
      </c>
      <c r="O29" s="14">
        <f t="shared" si="14"/>
        <v>0</v>
      </c>
      <c r="P29" s="14">
        <v>5</v>
      </c>
      <c r="Q29" s="14">
        <f t="shared" si="15"/>
        <v>35539.730000000003</v>
      </c>
      <c r="R29" s="14">
        <f t="shared" si="16"/>
        <v>0</v>
      </c>
      <c r="S29" s="14"/>
      <c r="T29" s="14">
        <v>0</v>
      </c>
      <c r="U29" s="14">
        <v>10000</v>
      </c>
      <c r="V29" s="14">
        <f t="shared" si="17"/>
        <v>127943.02</v>
      </c>
      <c r="W29" s="14">
        <f t="shared" si="18"/>
        <v>10000</v>
      </c>
    </row>
    <row r="30" spans="1:24" x14ac:dyDescent="0.25">
      <c r="A30" s="15">
        <v>44982</v>
      </c>
      <c r="B30" s="14">
        <f>Summary!$G$10/28</f>
        <v>355397.26</v>
      </c>
      <c r="C30" s="14">
        <v>56</v>
      </c>
      <c r="D30" s="14">
        <v>56.31</v>
      </c>
      <c r="E30" s="14">
        <f t="shared" si="6"/>
        <v>56</v>
      </c>
      <c r="F30" s="14">
        <f t="shared" si="7"/>
        <v>213238.36</v>
      </c>
      <c r="G30" s="14">
        <f t="shared" si="8"/>
        <v>213238.36</v>
      </c>
      <c r="H30" s="14">
        <f t="shared" si="9"/>
        <v>142158.9</v>
      </c>
      <c r="I30" s="14">
        <f t="shared" si="10"/>
        <v>142158.9</v>
      </c>
      <c r="J30" s="14">
        <v>7</v>
      </c>
      <c r="K30" s="14">
        <f t="shared" si="11"/>
        <v>71079.45</v>
      </c>
      <c r="L30" s="14">
        <f t="shared" si="12"/>
        <v>0</v>
      </c>
      <c r="M30" s="14">
        <v>44</v>
      </c>
      <c r="N30" s="14">
        <f t="shared" si="13"/>
        <v>21323.84</v>
      </c>
      <c r="O30" s="14">
        <f t="shared" si="14"/>
        <v>0</v>
      </c>
      <c r="P30" s="14">
        <v>8</v>
      </c>
      <c r="Q30" s="14">
        <f t="shared" si="15"/>
        <v>35539.730000000003</v>
      </c>
      <c r="R30" s="14">
        <f t="shared" si="16"/>
        <v>0</v>
      </c>
      <c r="S30" s="14"/>
      <c r="T30" s="14">
        <v>0</v>
      </c>
      <c r="U30" s="14">
        <v>10000</v>
      </c>
      <c r="V30" s="14">
        <f t="shared" si="17"/>
        <v>127943.02</v>
      </c>
      <c r="W30" s="14">
        <f t="shared" si="18"/>
        <v>10000</v>
      </c>
    </row>
    <row r="31" spans="1:24" x14ac:dyDescent="0.25">
      <c r="A31" s="15">
        <v>44983</v>
      </c>
      <c r="B31" s="14">
        <f>Summary!$G$10/28</f>
        <v>355397.26</v>
      </c>
      <c r="C31" s="14">
        <v>56</v>
      </c>
      <c r="D31" s="14">
        <v>56.14</v>
      </c>
      <c r="E31" s="14">
        <f t="shared" si="6"/>
        <v>56</v>
      </c>
      <c r="F31" s="14">
        <f t="shared" si="7"/>
        <v>213238.36</v>
      </c>
      <c r="G31" s="14">
        <f t="shared" si="8"/>
        <v>213238.36</v>
      </c>
      <c r="H31" s="14">
        <f t="shared" si="9"/>
        <v>142158.9</v>
      </c>
      <c r="I31" s="14">
        <f t="shared" si="10"/>
        <v>142158.9</v>
      </c>
      <c r="J31" s="14">
        <v>5</v>
      </c>
      <c r="K31" s="14">
        <f t="shared" si="11"/>
        <v>71079.45</v>
      </c>
      <c r="L31" s="14">
        <f t="shared" si="12"/>
        <v>0</v>
      </c>
      <c r="M31" s="14">
        <v>40</v>
      </c>
      <c r="N31" s="14">
        <f t="shared" si="13"/>
        <v>21323.84</v>
      </c>
      <c r="O31" s="14">
        <f t="shared" si="14"/>
        <v>0</v>
      </c>
      <c r="P31" s="14">
        <v>7</v>
      </c>
      <c r="Q31" s="14">
        <f t="shared" si="15"/>
        <v>35539.730000000003</v>
      </c>
      <c r="R31" s="14">
        <f t="shared" si="16"/>
        <v>0</v>
      </c>
      <c r="S31" s="14"/>
      <c r="T31" s="14">
        <v>0</v>
      </c>
      <c r="U31" s="14">
        <v>10000</v>
      </c>
      <c r="V31" s="14">
        <f t="shared" si="17"/>
        <v>127943.02</v>
      </c>
      <c r="W31" s="14">
        <f t="shared" si="18"/>
        <v>10000</v>
      </c>
    </row>
    <row r="32" spans="1:24" x14ac:dyDescent="0.25">
      <c r="A32" s="15">
        <v>44984</v>
      </c>
      <c r="B32" s="14">
        <f>Summary!$G$10/28</f>
        <v>355397.26</v>
      </c>
      <c r="C32" s="14">
        <v>56</v>
      </c>
      <c r="D32" s="14">
        <v>56.31</v>
      </c>
      <c r="E32" s="14">
        <f t="shared" si="6"/>
        <v>56</v>
      </c>
      <c r="F32" s="14">
        <f t="shared" si="7"/>
        <v>213238.36</v>
      </c>
      <c r="G32" s="14">
        <f t="shared" si="8"/>
        <v>213238.36</v>
      </c>
      <c r="H32" s="14">
        <f t="shared" si="9"/>
        <v>142158.9</v>
      </c>
      <c r="I32" s="14">
        <f t="shared" si="10"/>
        <v>142158.9</v>
      </c>
      <c r="J32" s="14">
        <v>4</v>
      </c>
      <c r="K32" s="14">
        <f t="shared" si="11"/>
        <v>71079.45</v>
      </c>
      <c r="L32" s="14">
        <f t="shared" si="12"/>
        <v>0</v>
      </c>
      <c r="M32" s="14">
        <v>28</v>
      </c>
      <c r="N32" s="14">
        <f t="shared" si="13"/>
        <v>21323.84</v>
      </c>
      <c r="O32" s="14">
        <f t="shared" si="14"/>
        <v>0</v>
      </c>
      <c r="P32" s="14">
        <v>5</v>
      </c>
      <c r="Q32" s="14">
        <f t="shared" si="15"/>
        <v>35539.730000000003</v>
      </c>
      <c r="R32" s="14">
        <f t="shared" si="16"/>
        <v>0</v>
      </c>
      <c r="S32" s="14"/>
      <c r="T32" s="14">
        <v>0</v>
      </c>
      <c r="U32" s="14">
        <v>10000</v>
      </c>
      <c r="V32" s="14">
        <f t="shared" si="17"/>
        <v>127943.02</v>
      </c>
      <c r="W32" s="14">
        <f t="shared" si="18"/>
        <v>10000</v>
      </c>
    </row>
    <row r="33" spans="1:26" x14ac:dyDescent="0.25">
      <c r="A33" s="15">
        <v>44985</v>
      </c>
      <c r="B33" s="14">
        <f>Summary!$G$10/28</f>
        <v>355397.26</v>
      </c>
      <c r="C33" s="14">
        <v>56</v>
      </c>
      <c r="D33" s="14">
        <v>56.55</v>
      </c>
      <c r="E33" s="14">
        <f t="shared" si="6"/>
        <v>56</v>
      </c>
      <c r="F33" s="14">
        <f t="shared" si="7"/>
        <v>213238.36</v>
      </c>
      <c r="G33" s="14">
        <f t="shared" si="8"/>
        <v>213238.36</v>
      </c>
      <c r="H33" s="14">
        <f t="shared" si="9"/>
        <v>142158.9</v>
      </c>
      <c r="I33" s="14">
        <f t="shared" si="10"/>
        <v>142158.9</v>
      </c>
      <c r="J33" s="14">
        <v>5</v>
      </c>
      <c r="K33" s="14">
        <f t="shared" si="11"/>
        <v>71079.45</v>
      </c>
      <c r="L33" s="14">
        <f t="shared" si="12"/>
        <v>0</v>
      </c>
      <c r="M33" s="14">
        <v>36</v>
      </c>
      <c r="N33" s="14">
        <f t="shared" si="13"/>
        <v>21323.84</v>
      </c>
      <c r="O33" s="14">
        <f t="shared" si="14"/>
        <v>0</v>
      </c>
      <c r="P33" s="14">
        <v>6</v>
      </c>
      <c r="Q33" s="14">
        <f t="shared" si="15"/>
        <v>35539.730000000003</v>
      </c>
      <c r="R33" s="14">
        <f t="shared" si="16"/>
        <v>0</v>
      </c>
      <c r="S33" s="14"/>
      <c r="T33" s="14">
        <v>0</v>
      </c>
      <c r="U33" s="14">
        <v>10000</v>
      </c>
      <c r="V33" s="14">
        <f t="shared" si="17"/>
        <v>127943.02</v>
      </c>
      <c r="W33" s="14">
        <f t="shared" si="18"/>
        <v>10000</v>
      </c>
    </row>
    <row r="34" spans="1:26" s="21" customFormat="1" x14ac:dyDescent="0.25">
      <c r="A34" s="41" t="s">
        <v>20</v>
      </c>
      <c r="B34" s="20">
        <f>SUM(B6:B33)</f>
        <v>9951123.2799999993</v>
      </c>
      <c r="C34" s="20"/>
      <c r="D34" s="20"/>
      <c r="E34" s="20"/>
      <c r="F34" s="20">
        <f t="shared" ref="F34:O34" si="19">SUM(F6:F33)</f>
        <v>5970674.0800000001</v>
      </c>
      <c r="G34" s="20">
        <f t="shared" si="19"/>
        <v>5970674.0800000001</v>
      </c>
      <c r="H34" s="20">
        <f t="shared" si="19"/>
        <v>3980449.2</v>
      </c>
      <c r="I34" s="20">
        <f t="shared" si="19"/>
        <v>3980449.2</v>
      </c>
      <c r="J34" s="20"/>
      <c r="K34" s="20">
        <f t="shared" si="19"/>
        <v>1990224.6</v>
      </c>
      <c r="L34" s="20">
        <f t="shared" si="19"/>
        <v>0</v>
      </c>
      <c r="M34" s="20"/>
      <c r="N34" s="20">
        <f t="shared" si="19"/>
        <v>597067.52000000002</v>
      </c>
      <c r="O34" s="20">
        <f t="shared" si="19"/>
        <v>0</v>
      </c>
      <c r="P34" s="20"/>
      <c r="Q34" s="20">
        <f t="shared" ref="Q34:W34" si="20">SUM(Q6:Q33)</f>
        <v>995112.44</v>
      </c>
      <c r="R34" s="20">
        <f t="shared" si="20"/>
        <v>0</v>
      </c>
      <c r="S34" s="20">
        <f t="shared" si="20"/>
        <v>0</v>
      </c>
      <c r="T34" s="20">
        <f t="shared" si="20"/>
        <v>0</v>
      </c>
      <c r="U34" s="20">
        <f t="shared" si="20"/>
        <v>280000</v>
      </c>
      <c r="V34" s="20">
        <f t="shared" si="20"/>
        <v>3582404.56</v>
      </c>
      <c r="W34" s="20">
        <f t="shared" si="20"/>
        <v>280000</v>
      </c>
      <c r="X34" s="28"/>
      <c r="Y34"/>
      <c r="Z34"/>
    </row>
    <row r="35" spans="1:26" x14ac:dyDescent="0.25">
      <c r="A35" s="41"/>
      <c r="B35" s="20" t="s">
        <v>78</v>
      </c>
      <c r="C35" s="14"/>
      <c r="D35" s="20"/>
      <c r="E35" s="20"/>
      <c r="F35" s="1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9553078.6400000006</v>
      </c>
      <c r="W35" s="20"/>
      <c r="X35" s="32"/>
    </row>
    <row r="36" spans="1:26" x14ac:dyDescent="0.25">
      <c r="K36" s="93">
        <f>COUNTIF(K6:K33,"0")</f>
        <v>0</v>
      </c>
      <c r="N36" s="93">
        <f>COUNTIF(N6:N33,"0")</f>
        <v>0</v>
      </c>
      <c r="Q36" s="93">
        <f>COUNTIF(Q6:Q33,"0")</f>
        <v>0</v>
      </c>
      <c r="T36" s="93">
        <f>COUNTIF(T6:T33,"0")</f>
        <v>28</v>
      </c>
    </row>
    <row r="39" spans="1:26" x14ac:dyDescent="0.25">
      <c r="C39" s="94">
        <f>B34/31</f>
        <v>321003.98</v>
      </c>
    </row>
  </sheetData>
  <mergeCells count="19">
    <mergeCell ref="A1:V1"/>
    <mergeCell ref="F3:G3"/>
    <mergeCell ref="H3:V3"/>
    <mergeCell ref="B4:B5"/>
    <mergeCell ref="A4:A5"/>
    <mergeCell ref="D4:D5"/>
    <mergeCell ref="F4:F5"/>
    <mergeCell ref="G4:G5"/>
    <mergeCell ref="H4:H5"/>
    <mergeCell ref="C3:D3"/>
    <mergeCell ref="C4:C5"/>
    <mergeCell ref="I4:I5"/>
    <mergeCell ref="E4:E5"/>
    <mergeCell ref="J4:L4"/>
    <mergeCell ref="W4:W5"/>
    <mergeCell ref="M4:O4"/>
    <mergeCell ref="P4:R4"/>
    <mergeCell ref="S4:U4"/>
    <mergeCell ref="V4:V5"/>
  </mergeCells>
  <pageMargins left="0.25" right="0.25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E39"/>
  <sheetViews>
    <sheetView zoomScale="98" zoomScaleNormal="98" workbookViewId="0">
      <pane xSplit="6" ySplit="5" topLeftCell="L6" activePane="bottomRight" state="frozen"/>
      <selection activeCell="K16" sqref="K16"/>
      <selection pane="topRight" activeCell="K16" sqref="K16"/>
      <selection pane="bottomLeft" activeCell="K16" sqref="K16"/>
      <selection pane="bottomRight" activeCell="T14" sqref="T14"/>
    </sheetView>
  </sheetViews>
  <sheetFormatPr defaultColWidth="9.140625" defaultRowHeight="15.75" x14ac:dyDescent="0.25"/>
  <cols>
    <col min="1" max="1" width="10.42578125" style="93" customWidth="1"/>
    <col min="2" max="2" width="13.5703125" style="93" customWidth="1"/>
    <col min="3" max="4" width="8.5703125" style="93" customWidth="1"/>
    <col min="5" max="5" width="9.42578125" style="93" customWidth="1"/>
    <col min="6" max="6" width="12.5703125" style="93" customWidth="1"/>
    <col min="7" max="7" width="13.28515625" style="93" customWidth="1"/>
    <col min="8" max="8" width="12.7109375" style="93" customWidth="1"/>
    <col min="9" max="9" width="12.5703125" style="93" bestFit="1" customWidth="1"/>
    <col min="10" max="10" width="9.5703125" style="93" customWidth="1"/>
    <col min="11" max="11" width="12.42578125" style="93" customWidth="1"/>
    <col min="12" max="12" width="8.42578125" style="93" customWidth="1"/>
    <col min="13" max="13" width="9.5703125" style="93" customWidth="1"/>
    <col min="14" max="14" width="11.5703125" style="93" customWidth="1"/>
    <col min="15" max="15" width="10.140625" style="93" customWidth="1"/>
    <col min="16" max="16" width="9.42578125" style="93" customWidth="1"/>
    <col min="17" max="17" width="12.85546875" style="93" customWidth="1"/>
    <col min="18" max="18" width="9" style="93" customWidth="1"/>
    <col min="19" max="19" width="10" style="93" customWidth="1"/>
    <col min="20" max="20" width="10.5703125" style="93" customWidth="1"/>
    <col min="21" max="21" width="11.85546875" style="93" customWidth="1"/>
    <col min="22" max="22" width="13.42578125" style="93" customWidth="1"/>
    <col min="23" max="23" width="13.7109375" style="93" customWidth="1"/>
    <col min="24" max="24" width="9.140625" style="28"/>
  </cols>
  <sheetData>
    <row r="1" spans="1:31" ht="18.75" x14ac:dyDescent="0.3">
      <c r="A1" s="199" t="str">
        <f>'56 MLd Dudahaida'!A1:V1</f>
        <v xml:space="preserve">Ghaziabad Zone /Payment for the month of FEBRUARY 2023 (As Per VoL -1, Section IV, Clause 39) 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8"/>
      <c r="Y1" s="3"/>
      <c r="Z1" s="3"/>
      <c r="AA1" s="3"/>
      <c r="AB1" s="3"/>
      <c r="AC1" s="3"/>
      <c r="AD1" s="3"/>
      <c r="AE1" s="3"/>
    </row>
    <row r="2" spans="1:31" ht="18.75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20</v>
      </c>
      <c r="U2" s="43">
        <v>21</v>
      </c>
      <c r="V2" s="43">
        <v>22</v>
      </c>
      <c r="W2" s="43">
        <v>23</v>
      </c>
      <c r="X2" s="30"/>
      <c r="Y2" s="18"/>
      <c r="Z2" s="18"/>
      <c r="AA2" s="18"/>
      <c r="AB2" s="18"/>
      <c r="AC2" s="18"/>
      <c r="AD2" s="18"/>
      <c r="AE2" s="18"/>
    </row>
    <row r="3" spans="1:31" x14ac:dyDescent="0.25">
      <c r="A3" s="95"/>
      <c r="B3" s="95"/>
      <c r="C3" s="203" t="s">
        <v>15</v>
      </c>
      <c r="D3" s="204"/>
      <c r="E3" s="96"/>
      <c r="F3" s="200" t="s">
        <v>18</v>
      </c>
      <c r="G3" s="200"/>
      <c r="H3" s="200" t="s">
        <v>79</v>
      </c>
      <c r="I3" s="200"/>
      <c r="J3" s="200"/>
      <c r="K3" s="200"/>
      <c r="L3" s="200"/>
      <c r="M3" s="200"/>
      <c r="N3" s="200"/>
      <c r="O3" s="200"/>
      <c r="P3" s="200"/>
      <c r="Q3" s="200"/>
      <c r="R3" s="97"/>
      <c r="S3" s="97"/>
      <c r="T3" s="97"/>
      <c r="U3" s="97"/>
      <c r="V3" s="97"/>
      <c r="W3" s="98"/>
    </row>
    <row r="4" spans="1:31" ht="12.75" customHeight="1" x14ac:dyDescent="0.25">
      <c r="A4" s="185" t="s">
        <v>14</v>
      </c>
      <c r="B4" s="187" t="s">
        <v>40</v>
      </c>
      <c r="C4" s="215" t="s">
        <v>37</v>
      </c>
      <c r="D4" s="213" t="s">
        <v>56</v>
      </c>
      <c r="E4" s="213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98" t="s">
        <v>55</v>
      </c>
      <c r="W4" s="187" t="s">
        <v>61</v>
      </c>
    </row>
    <row r="5" spans="1:31" ht="30" x14ac:dyDescent="0.25">
      <c r="A5" s="185"/>
      <c r="B5" s="187"/>
      <c r="C5" s="216"/>
      <c r="D5" s="214"/>
      <c r="E5" s="214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98"/>
      <c r="W5" s="187"/>
    </row>
    <row r="6" spans="1:31" x14ac:dyDescent="0.25">
      <c r="A6" s="99">
        <v>44958</v>
      </c>
      <c r="B6" s="86">
        <f>Summary!$G$11/28</f>
        <v>19039.14</v>
      </c>
      <c r="C6" s="86">
        <v>3</v>
      </c>
      <c r="D6" s="86">
        <v>3.09</v>
      </c>
      <c r="E6" s="86">
        <f>MIN(D6,C6)</f>
        <v>3</v>
      </c>
      <c r="F6" s="86">
        <f>B6*60%</f>
        <v>11423.48</v>
      </c>
      <c r="G6" s="86">
        <f>(F6*E6)/C6</f>
        <v>11423.48</v>
      </c>
      <c r="H6" s="86">
        <f>B6*40%</f>
        <v>7615.66</v>
      </c>
      <c r="I6" s="86">
        <f>(H6*E6)/C6</f>
        <v>7615.66</v>
      </c>
      <c r="J6" s="86">
        <v>10</v>
      </c>
      <c r="K6" s="86">
        <f t="shared" ref="K6" si="0">I6*50%</f>
        <v>3807.83</v>
      </c>
      <c r="L6" s="86">
        <f t="shared" ref="L6" si="1">IF(J6&gt;30,(MAX($B$34*0.1/100,10000)),0)</f>
        <v>0</v>
      </c>
      <c r="M6" s="86">
        <v>48</v>
      </c>
      <c r="N6" s="86">
        <f t="shared" ref="N6" si="2">I6*15%</f>
        <v>1142.3499999999999</v>
      </c>
      <c r="O6" s="86">
        <f t="shared" ref="O6" si="3">IF(M6&gt;100,(MAX($B$34*0.1/100,10000)),0)</f>
        <v>0</v>
      </c>
      <c r="P6" s="86">
        <v>10</v>
      </c>
      <c r="Q6" s="86">
        <f t="shared" ref="Q6" si="4">I6*25%</f>
        <v>1903.92</v>
      </c>
      <c r="R6" s="86">
        <f t="shared" ref="R6" si="5">IF(P6&gt;50,(MAX($B$34*0.1/100,10000)),0)</f>
        <v>0</v>
      </c>
      <c r="S6" s="86">
        <v>560</v>
      </c>
      <c r="T6" s="86">
        <f>I6*10%</f>
        <v>761.57</v>
      </c>
      <c r="U6" s="86">
        <f t="shared" ref="U6" si="6">IF(S6&gt;1000,(MAX($B$34*0.1/100,10000)),0)</f>
        <v>0</v>
      </c>
      <c r="V6" s="86">
        <f>T6+Q6+N6+K6</f>
        <v>7615.67</v>
      </c>
      <c r="W6" s="86">
        <f>U6+R6+O6+L6</f>
        <v>0</v>
      </c>
      <c r="X6" s="32"/>
      <c r="Y6" s="1"/>
      <c r="Z6" s="1"/>
      <c r="AA6" s="1"/>
      <c r="AB6" s="1"/>
    </row>
    <row r="7" spans="1:31" x14ac:dyDescent="0.25">
      <c r="A7" s="99">
        <v>44959</v>
      </c>
      <c r="B7" s="86">
        <f>Summary!$G$11/28</f>
        <v>19039.14</v>
      </c>
      <c r="C7" s="86">
        <v>3</v>
      </c>
      <c r="D7" s="86">
        <v>3.05</v>
      </c>
      <c r="E7" s="86">
        <f t="shared" ref="E7:E33" si="7">MIN(D7,C7)</f>
        <v>3</v>
      </c>
      <c r="F7" s="86">
        <f t="shared" ref="F7:F33" si="8">B7*60%</f>
        <v>11423.48</v>
      </c>
      <c r="G7" s="86">
        <f t="shared" ref="G7:G33" si="9">(F7*E7)/C7</f>
        <v>11423.48</v>
      </c>
      <c r="H7" s="86">
        <f t="shared" ref="H7:H33" si="10">B7*40%</f>
        <v>7615.66</v>
      </c>
      <c r="I7" s="86">
        <f t="shared" ref="I7:I33" si="11">(H7*E7)/C7</f>
        <v>7615.66</v>
      </c>
      <c r="J7" s="86">
        <v>8</v>
      </c>
      <c r="K7" s="86">
        <f t="shared" ref="K7:K33" si="12">I7*50%</f>
        <v>3807.83</v>
      </c>
      <c r="L7" s="86">
        <f t="shared" ref="L7:L33" si="13">IF(J7&gt;30,(MAX($B$34*0.1/100,10000)),0)</f>
        <v>0</v>
      </c>
      <c r="M7" s="86">
        <v>56</v>
      </c>
      <c r="N7" s="86">
        <f t="shared" ref="N7:N33" si="14">I7*15%</f>
        <v>1142.3499999999999</v>
      </c>
      <c r="O7" s="86">
        <f t="shared" ref="O7:O33" si="15">IF(M7&gt;100,(MAX($B$34*0.1/100,10000)),0)</f>
        <v>0</v>
      </c>
      <c r="P7" s="86">
        <v>12</v>
      </c>
      <c r="Q7" s="86">
        <f t="shared" ref="Q7:Q33" si="16">I7*25%</f>
        <v>1903.92</v>
      </c>
      <c r="R7" s="86">
        <f t="shared" ref="R7:R33" si="17">IF(P7&gt;50,(MAX($B$34*0.1/100,10000)),0)</f>
        <v>0</v>
      </c>
      <c r="S7" s="86">
        <v>610</v>
      </c>
      <c r="T7" s="86">
        <f t="shared" ref="T7:T33" si="18">I7*10%</f>
        <v>761.57</v>
      </c>
      <c r="U7" s="86">
        <f t="shared" ref="U7:U33" si="19">IF(S7&gt;1000,(MAX($B$34*0.1/100,10000)),0)</f>
        <v>0</v>
      </c>
      <c r="V7" s="86">
        <f t="shared" ref="V7:V33" si="20">T7+Q7+N7+K7</f>
        <v>7615.67</v>
      </c>
      <c r="W7" s="86">
        <f t="shared" ref="W7:W33" si="21">U7+R7+O7+L7</f>
        <v>0</v>
      </c>
      <c r="X7" s="32"/>
      <c r="Y7" s="1"/>
      <c r="Z7" s="1"/>
      <c r="AA7" s="1"/>
      <c r="AB7" s="1"/>
    </row>
    <row r="8" spans="1:31" x14ac:dyDescent="0.25">
      <c r="A8" s="141">
        <v>44960</v>
      </c>
      <c r="B8" s="86">
        <f>Summary!$G$11/28</f>
        <v>19039.14</v>
      </c>
      <c r="C8" s="131">
        <v>3</v>
      </c>
      <c r="D8" s="131">
        <v>3.09</v>
      </c>
      <c r="E8" s="86">
        <f t="shared" si="7"/>
        <v>3</v>
      </c>
      <c r="F8" s="131">
        <f t="shared" si="8"/>
        <v>11423.48</v>
      </c>
      <c r="G8" s="86">
        <f t="shared" si="9"/>
        <v>11423.48</v>
      </c>
      <c r="H8" s="131">
        <f t="shared" si="10"/>
        <v>7615.66</v>
      </c>
      <c r="I8" s="86">
        <f t="shared" si="11"/>
        <v>7615.66</v>
      </c>
      <c r="J8" s="131">
        <v>5</v>
      </c>
      <c r="K8" s="86">
        <f t="shared" si="12"/>
        <v>3807.83</v>
      </c>
      <c r="L8" s="86">
        <f t="shared" si="13"/>
        <v>0</v>
      </c>
      <c r="M8" s="131">
        <v>32</v>
      </c>
      <c r="N8" s="86">
        <f t="shared" si="14"/>
        <v>1142.3499999999999</v>
      </c>
      <c r="O8" s="86">
        <f t="shared" si="15"/>
        <v>0</v>
      </c>
      <c r="P8" s="131">
        <v>7</v>
      </c>
      <c r="Q8" s="86">
        <f t="shared" si="16"/>
        <v>1903.92</v>
      </c>
      <c r="R8" s="86">
        <f t="shared" si="17"/>
        <v>0</v>
      </c>
      <c r="S8" s="131">
        <v>2</v>
      </c>
      <c r="T8" s="86">
        <f t="shared" si="18"/>
        <v>761.57</v>
      </c>
      <c r="U8" s="86">
        <f t="shared" si="19"/>
        <v>0</v>
      </c>
      <c r="V8" s="86">
        <f t="shared" si="20"/>
        <v>7615.67</v>
      </c>
      <c r="W8" s="86">
        <f t="shared" si="21"/>
        <v>0</v>
      </c>
      <c r="X8" s="142"/>
      <c r="Y8" s="1"/>
      <c r="Z8" s="1"/>
      <c r="AA8" s="1"/>
      <c r="AB8" s="1"/>
    </row>
    <row r="9" spans="1:31" x14ac:dyDescent="0.25">
      <c r="A9" s="99">
        <v>44961</v>
      </c>
      <c r="B9" s="86">
        <f>Summary!$G$11/28</f>
        <v>19039.14</v>
      </c>
      <c r="C9" s="86">
        <v>3</v>
      </c>
      <c r="D9" s="86">
        <v>3.06</v>
      </c>
      <c r="E9" s="86">
        <f t="shared" si="7"/>
        <v>3</v>
      </c>
      <c r="F9" s="86">
        <f t="shared" si="8"/>
        <v>11423.48</v>
      </c>
      <c r="G9" s="86">
        <f t="shared" si="9"/>
        <v>11423.48</v>
      </c>
      <c r="H9" s="86">
        <f t="shared" si="10"/>
        <v>7615.66</v>
      </c>
      <c r="I9" s="86">
        <f t="shared" si="11"/>
        <v>7615.66</v>
      </c>
      <c r="J9" s="86">
        <v>8</v>
      </c>
      <c r="K9" s="86">
        <f t="shared" si="12"/>
        <v>3807.83</v>
      </c>
      <c r="L9" s="86">
        <f t="shared" si="13"/>
        <v>0</v>
      </c>
      <c r="M9" s="86">
        <v>48</v>
      </c>
      <c r="N9" s="86">
        <f t="shared" si="14"/>
        <v>1142.3499999999999</v>
      </c>
      <c r="O9" s="86">
        <f t="shared" si="15"/>
        <v>0</v>
      </c>
      <c r="P9" s="86">
        <v>12</v>
      </c>
      <c r="Q9" s="86">
        <f t="shared" si="16"/>
        <v>1903.92</v>
      </c>
      <c r="R9" s="86">
        <f t="shared" si="17"/>
        <v>0</v>
      </c>
      <c r="S9" s="86">
        <v>730</v>
      </c>
      <c r="T9" s="86">
        <f t="shared" si="18"/>
        <v>761.57</v>
      </c>
      <c r="U9" s="86">
        <f t="shared" si="19"/>
        <v>0</v>
      </c>
      <c r="V9" s="86">
        <f t="shared" si="20"/>
        <v>7615.67</v>
      </c>
      <c r="W9" s="86">
        <f t="shared" si="21"/>
        <v>0</v>
      </c>
      <c r="X9" s="32"/>
      <c r="Y9" s="1"/>
      <c r="Z9" s="1"/>
      <c r="AA9" s="1"/>
      <c r="AB9" s="1"/>
    </row>
    <row r="10" spans="1:31" x14ac:dyDescent="0.25">
      <c r="A10" s="99">
        <v>44962</v>
      </c>
      <c r="B10" s="86">
        <f>Summary!$G$11/28</f>
        <v>19039.14</v>
      </c>
      <c r="C10" s="86">
        <v>3</v>
      </c>
      <c r="D10" s="86">
        <v>3.09</v>
      </c>
      <c r="E10" s="86">
        <f t="shared" si="7"/>
        <v>3</v>
      </c>
      <c r="F10" s="86">
        <f t="shared" si="8"/>
        <v>11423.48</v>
      </c>
      <c r="G10" s="86">
        <f t="shared" si="9"/>
        <v>11423.48</v>
      </c>
      <c r="H10" s="86">
        <f t="shared" si="10"/>
        <v>7615.66</v>
      </c>
      <c r="I10" s="86">
        <f t="shared" si="11"/>
        <v>7615.66</v>
      </c>
      <c r="J10" s="86">
        <v>12</v>
      </c>
      <c r="K10" s="86">
        <f t="shared" si="12"/>
        <v>3807.83</v>
      </c>
      <c r="L10" s="86">
        <f t="shared" si="13"/>
        <v>0</v>
      </c>
      <c r="M10" s="86">
        <v>50</v>
      </c>
      <c r="N10" s="86">
        <f t="shared" si="14"/>
        <v>1142.3499999999999</v>
      </c>
      <c r="O10" s="86">
        <f t="shared" si="15"/>
        <v>0</v>
      </c>
      <c r="P10" s="86">
        <v>10</v>
      </c>
      <c r="Q10" s="86">
        <f t="shared" si="16"/>
        <v>1903.92</v>
      </c>
      <c r="R10" s="86">
        <f t="shared" si="17"/>
        <v>0</v>
      </c>
      <c r="S10" s="86">
        <v>590</v>
      </c>
      <c r="T10" s="86">
        <f t="shared" si="18"/>
        <v>761.57</v>
      </c>
      <c r="U10" s="86">
        <f t="shared" si="19"/>
        <v>0</v>
      </c>
      <c r="V10" s="86">
        <f t="shared" si="20"/>
        <v>7615.67</v>
      </c>
      <c r="W10" s="86">
        <f t="shared" si="21"/>
        <v>0</v>
      </c>
      <c r="X10" s="32"/>
      <c r="Y10" s="1"/>
      <c r="Z10" s="1"/>
      <c r="AA10" s="1"/>
      <c r="AB10" s="1"/>
    </row>
    <row r="11" spans="1:31" x14ac:dyDescent="0.25">
      <c r="A11" s="143">
        <v>44963</v>
      </c>
      <c r="B11" s="86">
        <f>Summary!$G$11/28</f>
        <v>19039.14</v>
      </c>
      <c r="C11" s="132">
        <v>3</v>
      </c>
      <c r="D11" s="132">
        <v>3.1</v>
      </c>
      <c r="E11" s="86">
        <f t="shared" si="7"/>
        <v>3</v>
      </c>
      <c r="F11" s="132">
        <f t="shared" si="8"/>
        <v>11423.48</v>
      </c>
      <c r="G11" s="86">
        <f t="shared" si="9"/>
        <v>11423.48</v>
      </c>
      <c r="H11" s="132">
        <f t="shared" si="10"/>
        <v>7615.66</v>
      </c>
      <c r="I11" s="86">
        <f t="shared" si="11"/>
        <v>7615.66</v>
      </c>
      <c r="J11" s="132">
        <v>16</v>
      </c>
      <c r="K11" s="86">
        <f t="shared" si="12"/>
        <v>3807.83</v>
      </c>
      <c r="L11" s="86">
        <f t="shared" si="13"/>
        <v>0</v>
      </c>
      <c r="M11" s="132">
        <v>65</v>
      </c>
      <c r="N11" s="86">
        <f t="shared" si="14"/>
        <v>1142.3499999999999</v>
      </c>
      <c r="O11" s="86">
        <f t="shared" si="15"/>
        <v>0</v>
      </c>
      <c r="P11" s="132">
        <v>20</v>
      </c>
      <c r="Q11" s="86">
        <f t="shared" si="16"/>
        <v>1903.92</v>
      </c>
      <c r="R11" s="86">
        <f t="shared" si="17"/>
        <v>0</v>
      </c>
      <c r="S11" s="132">
        <v>930</v>
      </c>
      <c r="T11" s="86">
        <f t="shared" si="18"/>
        <v>761.57</v>
      </c>
      <c r="U11" s="86">
        <f t="shared" si="19"/>
        <v>0</v>
      </c>
      <c r="V11" s="86">
        <f t="shared" si="20"/>
        <v>7615.67</v>
      </c>
      <c r="W11" s="86">
        <f t="shared" si="21"/>
        <v>0</v>
      </c>
      <c r="X11" s="144"/>
      <c r="Y11" s="1"/>
      <c r="Z11" s="1"/>
      <c r="AA11" s="1"/>
      <c r="AB11" s="1"/>
    </row>
    <row r="12" spans="1:31" x14ac:dyDescent="0.25">
      <c r="A12" s="99">
        <v>44964</v>
      </c>
      <c r="B12" s="86">
        <f>Summary!$G$11/28</f>
        <v>19039.14</v>
      </c>
      <c r="C12" s="86">
        <v>3</v>
      </c>
      <c r="D12" s="86">
        <v>3.03</v>
      </c>
      <c r="E12" s="86">
        <f t="shared" si="7"/>
        <v>3</v>
      </c>
      <c r="F12" s="86">
        <f t="shared" si="8"/>
        <v>11423.48</v>
      </c>
      <c r="G12" s="86">
        <f t="shared" si="9"/>
        <v>11423.48</v>
      </c>
      <c r="H12" s="86">
        <f t="shared" si="10"/>
        <v>7615.66</v>
      </c>
      <c r="I12" s="86">
        <f t="shared" si="11"/>
        <v>7615.66</v>
      </c>
      <c r="J12" s="86">
        <v>12</v>
      </c>
      <c r="K12" s="86">
        <f t="shared" si="12"/>
        <v>3807.83</v>
      </c>
      <c r="L12" s="86">
        <f t="shared" si="13"/>
        <v>0</v>
      </c>
      <c r="M12" s="86">
        <v>50</v>
      </c>
      <c r="N12" s="86">
        <f t="shared" si="14"/>
        <v>1142.3499999999999</v>
      </c>
      <c r="O12" s="86">
        <f t="shared" si="15"/>
        <v>0</v>
      </c>
      <c r="P12" s="86">
        <v>9</v>
      </c>
      <c r="Q12" s="86">
        <f t="shared" si="16"/>
        <v>1903.92</v>
      </c>
      <c r="R12" s="86">
        <f t="shared" si="17"/>
        <v>0</v>
      </c>
      <c r="S12" s="86">
        <v>450</v>
      </c>
      <c r="T12" s="86">
        <f t="shared" si="18"/>
        <v>761.57</v>
      </c>
      <c r="U12" s="86">
        <f t="shared" si="19"/>
        <v>0</v>
      </c>
      <c r="V12" s="86">
        <f t="shared" si="20"/>
        <v>7615.67</v>
      </c>
      <c r="W12" s="86">
        <f t="shared" si="21"/>
        <v>0</v>
      </c>
      <c r="X12" s="32"/>
      <c r="Y12" s="1"/>
      <c r="Z12" s="1"/>
      <c r="AA12" s="1"/>
      <c r="AB12" s="1"/>
    </row>
    <row r="13" spans="1:31" x14ac:dyDescent="0.25">
      <c r="A13" s="141">
        <v>44965</v>
      </c>
      <c r="B13" s="86">
        <f>Summary!$G$11/28</f>
        <v>19039.14</v>
      </c>
      <c r="C13" s="131">
        <v>3</v>
      </c>
      <c r="D13" s="131">
        <v>3.08</v>
      </c>
      <c r="E13" s="86">
        <f t="shared" si="7"/>
        <v>3</v>
      </c>
      <c r="F13" s="131">
        <f t="shared" si="8"/>
        <v>11423.48</v>
      </c>
      <c r="G13" s="86">
        <f t="shared" si="9"/>
        <v>11423.48</v>
      </c>
      <c r="H13" s="131">
        <f t="shared" si="10"/>
        <v>7615.66</v>
      </c>
      <c r="I13" s="86">
        <f t="shared" si="11"/>
        <v>7615.66</v>
      </c>
      <c r="J13" s="131">
        <v>7</v>
      </c>
      <c r="K13" s="86">
        <f t="shared" si="12"/>
        <v>3807.83</v>
      </c>
      <c r="L13" s="86">
        <f t="shared" si="13"/>
        <v>0</v>
      </c>
      <c r="M13" s="131">
        <v>44</v>
      </c>
      <c r="N13" s="86">
        <f t="shared" si="14"/>
        <v>1142.3499999999999</v>
      </c>
      <c r="O13" s="86">
        <f t="shared" si="15"/>
        <v>0</v>
      </c>
      <c r="P13" s="131">
        <v>12</v>
      </c>
      <c r="Q13" s="86">
        <f t="shared" si="16"/>
        <v>1903.92</v>
      </c>
      <c r="R13" s="86">
        <f t="shared" si="17"/>
        <v>0</v>
      </c>
      <c r="S13" s="145">
        <v>1400</v>
      </c>
      <c r="T13" s="86">
        <v>0</v>
      </c>
      <c r="U13" s="86">
        <f t="shared" si="19"/>
        <v>10000</v>
      </c>
      <c r="V13" s="86">
        <f t="shared" si="20"/>
        <v>6854.1</v>
      </c>
      <c r="W13" s="86">
        <f t="shared" si="21"/>
        <v>10000</v>
      </c>
      <c r="X13" s="142"/>
      <c r="Y13" s="1"/>
      <c r="Z13" s="1"/>
      <c r="AA13" s="1"/>
      <c r="AB13" s="1"/>
    </row>
    <row r="14" spans="1:31" x14ac:dyDescent="0.25">
      <c r="A14" s="99">
        <v>44966</v>
      </c>
      <c r="B14" s="86">
        <f>Summary!$G$11/28</f>
        <v>19039.14</v>
      </c>
      <c r="C14" s="86">
        <v>3</v>
      </c>
      <c r="D14" s="86">
        <v>3.05</v>
      </c>
      <c r="E14" s="86">
        <f t="shared" si="7"/>
        <v>3</v>
      </c>
      <c r="F14" s="86">
        <f t="shared" si="8"/>
        <v>11423.48</v>
      </c>
      <c r="G14" s="86">
        <f t="shared" si="9"/>
        <v>11423.48</v>
      </c>
      <c r="H14" s="86">
        <f t="shared" si="10"/>
        <v>7615.66</v>
      </c>
      <c r="I14" s="86">
        <f t="shared" si="11"/>
        <v>7615.66</v>
      </c>
      <c r="J14" s="86">
        <v>14</v>
      </c>
      <c r="K14" s="86">
        <f t="shared" si="12"/>
        <v>3807.83</v>
      </c>
      <c r="L14" s="86">
        <f t="shared" si="13"/>
        <v>0</v>
      </c>
      <c r="M14" s="86">
        <v>60</v>
      </c>
      <c r="N14" s="86">
        <f t="shared" si="14"/>
        <v>1142.3499999999999</v>
      </c>
      <c r="O14" s="86">
        <f t="shared" si="15"/>
        <v>0</v>
      </c>
      <c r="P14" s="86">
        <v>10</v>
      </c>
      <c r="Q14" s="86">
        <f t="shared" si="16"/>
        <v>1903.92</v>
      </c>
      <c r="R14" s="86">
        <f t="shared" si="17"/>
        <v>0</v>
      </c>
      <c r="S14" s="86">
        <v>590</v>
      </c>
      <c r="T14" s="86">
        <f t="shared" si="18"/>
        <v>761.57</v>
      </c>
      <c r="U14" s="86">
        <f t="shared" si="19"/>
        <v>0</v>
      </c>
      <c r="V14" s="86">
        <f t="shared" si="20"/>
        <v>7615.67</v>
      </c>
      <c r="W14" s="86">
        <f t="shared" si="21"/>
        <v>0</v>
      </c>
      <c r="X14" s="32"/>
      <c r="Y14" s="1"/>
      <c r="Z14" s="1"/>
      <c r="AA14" s="1"/>
      <c r="AB14" s="1"/>
    </row>
    <row r="15" spans="1:31" x14ac:dyDescent="0.25">
      <c r="A15" s="99">
        <v>44967</v>
      </c>
      <c r="B15" s="86">
        <f>Summary!$G$11/28</f>
        <v>19039.14</v>
      </c>
      <c r="C15" s="86">
        <v>3</v>
      </c>
      <c r="D15" s="86">
        <v>3.07</v>
      </c>
      <c r="E15" s="86">
        <f t="shared" si="7"/>
        <v>3</v>
      </c>
      <c r="F15" s="86">
        <f t="shared" si="8"/>
        <v>11423.48</v>
      </c>
      <c r="G15" s="86">
        <f t="shared" si="9"/>
        <v>11423.48</v>
      </c>
      <c r="H15" s="86">
        <f t="shared" si="10"/>
        <v>7615.66</v>
      </c>
      <c r="I15" s="86">
        <f t="shared" si="11"/>
        <v>7615.66</v>
      </c>
      <c r="J15" s="86">
        <v>10</v>
      </c>
      <c r="K15" s="86">
        <f t="shared" si="12"/>
        <v>3807.83</v>
      </c>
      <c r="L15" s="86">
        <f t="shared" si="13"/>
        <v>0</v>
      </c>
      <c r="M15" s="86">
        <v>56</v>
      </c>
      <c r="N15" s="86">
        <f t="shared" si="14"/>
        <v>1142.3499999999999</v>
      </c>
      <c r="O15" s="86">
        <f t="shared" si="15"/>
        <v>0</v>
      </c>
      <c r="P15" s="86">
        <v>12</v>
      </c>
      <c r="Q15" s="86">
        <f t="shared" si="16"/>
        <v>1903.92</v>
      </c>
      <c r="R15" s="86">
        <f t="shared" si="17"/>
        <v>0</v>
      </c>
      <c r="S15" s="86">
        <v>530</v>
      </c>
      <c r="T15" s="86">
        <f t="shared" si="18"/>
        <v>761.57</v>
      </c>
      <c r="U15" s="86">
        <f t="shared" si="19"/>
        <v>0</v>
      </c>
      <c r="V15" s="86">
        <f t="shared" si="20"/>
        <v>7615.67</v>
      </c>
      <c r="W15" s="86">
        <f t="shared" si="21"/>
        <v>0</v>
      </c>
      <c r="X15" s="32"/>
      <c r="Y15" s="1"/>
      <c r="Z15" s="1"/>
      <c r="AA15" s="1"/>
      <c r="AB15" s="1"/>
    </row>
    <row r="16" spans="1:31" x14ac:dyDescent="0.25">
      <c r="A16" s="99">
        <v>44968</v>
      </c>
      <c r="B16" s="86">
        <f>Summary!$G$11/28</f>
        <v>19039.14</v>
      </c>
      <c r="C16" s="86">
        <v>3</v>
      </c>
      <c r="D16" s="86">
        <v>3.06</v>
      </c>
      <c r="E16" s="86">
        <f t="shared" si="7"/>
        <v>3</v>
      </c>
      <c r="F16" s="86">
        <f t="shared" si="8"/>
        <v>11423.48</v>
      </c>
      <c r="G16" s="86">
        <f t="shared" si="9"/>
        <v>11423.48</v>
      </c>
      <c r="H16" s="86">
        <f t="shared" si="10"/>
        <v>7615.66</v>
      </c>
      <c r="I16" s="86">
        <f t="shared" si="11"/>
        <v>7615.66</v>
      </c>
      <c r="J16" s="86">
        <v>12</v>
      </c>
      <c r="K16" s="86">
        <f t="shared" si="12"/>
        <v>3807.83</v>
      </c>
      <c r="L16" s="86">
        <f t="shared" si="13"/>
        <v>0</v>
      </c>
      <c r="M16" s="86">
        <v>45</v>
      </c>
      <c r="N16" s="86">
        <f t="shared" si="14"/>
        <v>1142.3499999999999</v>
      </c>
      <c r="O16" s="86">
        <f t="shared" si="15"/>
        <v>0</v>
      </c>
      <c r="P16" s="86">
        <v>10</v>
      </c>
      <c r="Q16" s="86">
        <f t="shared" si="16"/>
        <v>1903.92</v>
      </c>
      <c r="R16" s="86">
        <f t="shared" si="17"/>
        <v>0</v>
      </c>
      <c r="S16" s="86">
        <v>610</v>
      </c>
      <c r="T16" s="86">
        <f t="shared" si="18"/>
        <v>761.57</v>
      </c>
      <c r="U16" s="86">
        <f t="shared" si="19"/>
        <v>0</v>
      </c>
      <c r="V16" s="86">
        <f t="shared" si="20"/>
        <v>7615.67</v>
      </c>
      <c r="W16" s="86">
        <f t="shared" si="21"/>
        <v>0</v>
      </c>
      <c r="X16" s="32"/>
      <c r="Y16" s="1"/>
      <c r="Z16" s="1"/>
      <c r="AA16" s="1"/>
      <c r="AB16" s="1"/>
    </row>
    <row r="17" spans="1:28" x14ac:dyDescent="0.25">
      <c r="A17" s="99">
        <v>44969</v>
      </c>
      <c r="B17" s="86">
        <f>Summary!$G$11/28</f>
        <v>19039.14</v>
      </c>
      <c r="C17" s="86">
        <v>3</v>
      </c>
      <c r="D17" s="86">
        <v>2.97</v>
      </c>
      <c r="E17" s="86">
        <f t="shared" si="7"/>
        <v>2.97</v>
      </c>
      <c r="F17" s="86">
        <f t="shared" si="8"/>
        <v>11423.48</v>
      </c>
      <c r="G17" s="86">
        <f t="shared" si="9"/>
        <v>11309.25</v>
      </c>
      <c r="H17" s="86">
        <f t="shared" si="10"/>
        <v>7615.66</v>
      </c>
      <c r="I17" s="86">
        <f t="shared" si="11"/>
        <v>7539.5</v>
      </c>
      <c r="J17" s="86">
        <v>10</v>
      </c>
      <c r="K17" s="86">
        <f t="shared" si="12"/>
        <v>3769.75</v>
      </c>
      <c r="L17" s="86">
        <f t="shared" si="13"/>
        <v>0</v>
      </c>
      <c r="M17" s="86">
        <v>53</v>
      </c>
      <c r="N17" s="86">
        <f t="shared" si="14"/>
        <v>1130.93</v>
      </c>
      <c r="O17" s="86">
        <f t="shared" si="15"/>
        <v>0</v>
      </c>
      <c r="P17" s="86">
        <v>12</v>
      </c>
      <c r="Q17" s="86">
        <f t="shared" si="16"/>
        <v>1884.88</v>
      </c>
      <c r="R17" s="86">
        <f t="shared" si="17"/>
        <v>0</v>
      </c>
      <c r="S17" s="86">
        <v>530</v>
      </c>
      <c r="T17" s="86">
        <f t="shared" si="18"/>
        <v>753.95</v>
      </c>
      <c r="U17" s="86">
        <f t="shared" si="19"/>
        <v>0</v>
      </c>
      <c r="V17" s="86">
        <f t="shared" si="20"/>
        <v>7539.51</v>
      </c>
      <c r="W17" s="86">
        <f t="shared" si="21"/>
        <v>0</v>
      </c>
      <c r="X17" s="32"/>
      <c r="Y17" s="1"/>
      <c r="Z17" s="1"/>
      <c r="AA17" s="1"/>
      <c r="AB17" s="1"/>
    </row>
    <row r="18" spans="1:28" x14ac:dyDescent="0.25">
      <c r="A18" s="99">
        <v>44970</v>
      </c>
      <c r="B18" s="86">
        <f>Summary!$G$11/28</f>
        <v>19039.14</v>
      </c>
      <c r="C18" s="86">
        <v>3</v>
      </c>
      <c r="D18" s="86">
        <v>3.15</v>
      </c>
      <c r="E18" s="86">
        <f t="shared" si="7"/>
        <v>3</v>
      </c>
      <c r="F18" s="86">
        <f t="shared" si="8"/>
        <v>11423.48</v>
      </c>
      <c r="G18" s="86">
        <f t="shared" si="9"/>
        <v>11423.48</v>
      </c>
      <c r="H18" s="86">
        <f t="shared" si="10"/>
        <v>7615.66</v>
      </c>
      <c r="I18" s="86">
        <f t="shared" si="11"/>
        <v>7615.66</v>
      </c>
      <c r="J18" s="86">
        <v>12</v>
      </c>
      <c r="K18" s="86">
        <f t="shared" si="12"/>
        <v>3807.83</v>
      </c>
      <c r="L18" s="86">
        <f t="shared" si="13"/>
        <v>0</v>
      </c>
      <c r="M18" s="86">
        <v>51</v>
      </c>
      <c r="N18" s="86">
        <f t="shared" si="14"/>
        <v>1142.3499999999999</v>
      </c>
      <c r="O18" s="86">
        <f t="shared" si="15"/>
        <v>0</v>
      </c>
      <c r="P18" s="86">
        <v>10</v>
      </c>
      <c r="Q18" s="86">
        <f t="shared" si="16"/>
        <v>1903.92</v>
      </c>
      <c r="R18" s="86">
        <f t="shared" si="17"/>
        <v>0</v>
      </c>
      <c r="S18" s="14">
        <v>470</v>
      </c>
      <c r="T18" s="86">
        <f t="shared" si="18"/>
        <v>761.57</v>
      </c>
      <c r="U18" s="86">
        <f t="shared" si="19"/>
        <v>0</v>
      </c>
      <c r="V18" s="86">
        <f t="shared" si="20"/>
        <v>7615.67</v>
      </c>
      <c r="W18" s="86">
        <f t="shared" si="21"/>
        <v>0</v>
      </c>
      <c r="X18" s="32"/>
      <c r="Y18" s="1"/>
      <c r="Z18" s="1"/>
      <c r="AA18" s="1"/>
      <c r="AB18" s="1"/>
    </row>
    <row r="19" spans="1:28" x14ac:dyDescent="0.25">
      <c r="A19" s="143">
        <v>44971</v>
      </c>
      <c r="B19" s="86">
        <f>Summary!$G$11/28</f>
        <v>19039.14</v>
      </c>
      <c r="C19" s="132">
        <v>3</v>
      </c>
      <c r="D19" s="132">
        <v>3.09</v>
      </c>
      <c r="E19" s="86">
        <f t="shared" si="7"/>
        <v>3</v>
      </c>
      <c r="F19" s="132">
        <f t="shared" si="8"/>
        <v>11423.48</v>
      </c>
      <c r="G19" s="86">
        <f t="shared" si="9"/>
        <v>11423.48</v>
      </c>
      <c r="H19" s="132">
        <f t="shared" si="10"/>
        <v>7615.66</v>
      </c>
      <c r="I19" s="86">
        <f t="shared" si="11"/>
        <v>7615.66</v>
      </c>
      <c r="J19" s="132">
        <v>12</v>
      </c>
      <c r="K19" s="86">
        <f t="shared" si="12"/>
        <v>3807.83</v>
      </c>
      <c r="L19" s="86">
        <f t="shared" si="13"/>
        <v>0</v>
      </c>
      <c r="M19" s="132">
        <v>60</v>
      </c>
      <c r="N19" s="86">
        <f t="shared" si="14"/>
        <v>1142.3499999999999</v>
      </c>
      <c r="O19" s="86">
        <f t="shared" si="15"/>
        <v>0</v>
      </c>
      <c r="P19" s="132">
        <v>15</v>
      </c>
      <c r="Q19" s="86">
        <f t="shared" si="16"/>
        <v>1903.92</v>
      </c>
      <c r="R19" s="86">
        <f t="shared" si="17"/>
        <v>0</v>
      </c>
      <c r="S19" s="132">
        <v>930</v>
      </c>
      <c r="T19" s="86">
        <f t="shared" si="18"/>
        <v>761.57</v>
      </c>
      <c r="U19" s="86">
        <f t="shared" si="19"/>
        <v>0</v>
      </c>
      <c r="V19" s="86">
        <f t="shared" si="20"/>
        <v>7615.67</v>
      </c>
      <c r="W19" s="86">
        <f t="shared" si="21"/>
        <v>0</v>
      </c>
      <c r="X19" s="144" t="s">
        <v>131</v>
      </c>
      <c r="Y19" s="1"/>
      <c r="Z19" s="1"/>
      <c r="AA19" s="1"/>
      <c r="AB19" s="1"/>
    </row>
    <row r="20" spans="1:28" x14ac:dyDescent="0.25">
      <c r="A20" s="99">
        <v>44972</v>
      </c>
      <c r="B20" s="86">
        <f>Summary!$G$11/28</f>
        <v>19039.14</v>
      </c>
      <c r="C20" s="86">
        <v>3</v>
      </c>
      <c r="D20" s="86">
        <v>3.04</v>
      </c>
      <c r="E20" s="86">
        <f t="shared" si="7"/>
        <v>3</v>
      </c>
      <c r="F20" s="86">
        <f t="shared" si="8"/>
        <v>11423.48</v>
      </c>
      <c r="G20" s="86">
        <f t="shared" si="9"/>
        <v>11423.48</v>
      </c>
      <c r="H20" s="86">
        <f t="shared" si="10"/>
        <v>7615.66</v>
      </c>
      <c r="I20" s="86">
        <f t="shared" si="11"/>
        <v>7615.66</v>
      </c>
      <c r="J20" s="86">
        <v>10</v>
      </c>
      <c r="K20" s="86">
        <f t="shared" si="12"/>
        <v>3807.83</v>
      </c>
      <c r="L20" s="86">
        <f t="shared" si="13"/>
        <v>0</v>
      </c>
      <c r="M20" s="86">
        <v>50</v>
      </c>
      <c r="N20" s="86">
        <f t="shared" si="14"/>
        <v>1142.3499999999999</v>
      </c>
      <c r="O20" s="86">
        <f t="shared" si="15"/>
        <v>0</v>
      </c>
      <c r="P20" s="86">
        <v>10</v>
      </c>
      <c r="Q20" s="86">
        <f t="shared" si="16"/>
        <v>1903.92</v>
      </c>
      <c r="R20" s="86">
        <f t="shared" si="17"/>
        <v>0</v>
      </c>
      <c r="S20" s="86">
        <v>550</v>
      </c>
      <c r="T20" s="86">
        <f t="shared" si="18"/>
        <v>761.57</v>
      </c>
      <c r="U20" s="86">
        <f t="shared" si="19"/>
        <v>0</v>
      </c>
      <c r="V20" s="86">
        <f t="shared" si="20"/>
        <v>7615.67</v>
      </c>
      <c r="W20" s="86">
        <f t="shared" si="21"/>
        <v>0</v>
      </c>
      <c r="X20" s="32"/>
      <c r="Y20" s="1"/>
      <c r="Z20" s="1"/>
      <c r="AA20" s="1"/>
      <c r="AB20" s="1"/>
    </row>
    <row r="21" spans="1:28" x14ac:dyDescent="0.25">
      <c r="A21" s="99">
        <v>44973</v>
      </c>
      <c r="B21" s="86">
        <f>Summary!$G$11/28</f>
        <v>19039.14</v>
      </c>
      <c r="C21" s="86">
        <v>3</v>
      </c>
      <c r="D21" s="86">
        <v>3.17</v>
      </c>
      <c r="E21" s="86">
        <f t="shared" si="7"/>
        <v>3</v>
      </c>
      <c r="F21" s="86">
        <f t="shared" si="8"/>
        <v>11423.48</v>
      </c>
      <c r="G21" s="86">
        <f t="shared" si="9"/>
        <v>11423.48</v>
      </c>
      <c r="H21" s="86">
        <f t="shared" si="10"/>
        <v>7615.66</v>
      </c>
      <c r="I21" s="86">
        <f t="shared" si="11"/>
        <v>7615.66</v>
      </c>
      <c r="J21" s="86">
        <v>12</v>
      </c>
      <c r="K21" s="86">
        <f t="shared" si="12"/>
        <v>3807.83</v>
      </c>
      <c r="L21" s="86">
        <f t="shared" si="13"/>
        <v>0</v>
      </c>
      <c r="M21" s="86">
        <v>48</v>
      </c>
      <c r="N21" s="86">
        <f t="shared" si="14"/>
        <v>1142.3499999999999</v>
      </c>
      <c r="O21" s="86">
        <f t="shared" si="15"/>
        <v>0</v>
      </c>
      <c r="P21" s="86">
        <v>11</v>
      </c>
      <c r="Q21" s="86">
        <f t="shared" si="16"/>
        <v>1903.92</v>
      </c>
      <c r="R21" s="86">
        <f t="shared" si="17"/>
        <v>0</v>
      </c>
      <c r="S21" s="86">
        <v>480</v>
      </c>
      <c r="T21" s="86">
        <f t="shared" si="18"/>
        <v>761.57</v>
      </c>
      <c r="U21" s="86">
        <f t="shared" si="19"/>
        <v>0</v>
      </c>
      <c r="V21" s="86">
        <f t="shared" si="20"/>
        <v>7615.67</v>
      </c>
      <c r="W21" s="86">
        <f t="shared" si="21"/>
        <v>0</v>
      </c>
      <c r="X21" s="32"/>
      <c r="Y21" s="1"/>
      <c r="Z21" s="1"/>
      <c r="AA21" s="1"/>
      <c r="AB21" s="1"/>
    </row>
    <row r="22" spans="1:28" x14ac:dyDescent="0.25">
      <c r="A22" s="99">
        <v>44974</v>
      </c>
      <c r="B22" s="86">
        <f>Summary!$G$11/28</f>
        <v>19039.14</v>
      </c>
      <c r="C22" s="86">
        <v>3</v>
      </c>
      <c r="D22" s="86">
        <v>3.07</v>
      </c>
      <c r="E22" s="86">
        <f t="shared" si="7"/>
        <v>3</v>
      </c>
      <c r="F22" s="86">
        <f t="shared" si="8"/>
        <v>11423.48</v>
      </c>
      <c r="G22" s="86">
        <f t="shared" si="9"/>
        <v>11423.48</v>
      </c>
      <c r="H22" s="86">
        <f t="shared" si="10"/>
        <v>7615.66</v>
      </c>
      <c r="I22" s="86">
        <f t="shared" si="11"/>
        <v>7615.66</v>
      </c>
      <c r="J22" s="86">
        <v>8</v>
      </c>
      <c r="K22" s="86">
        <f t="shared" si="12"/>
        <v>3807.83</v>
      </c>
      <c r="L22" s="86">
        <f t="shared" si="13"/>
        <v>0</v>
      </c>
      <c r="M22" s="86">
        <v>52</v>
      </c>
      <c r="N22" s="86">
        <f t="shared" si="14"/>
        <v>1142.3499999999999</v>
      </c>
      <c r="O22" s="86">
        <f t="shared" si="15"/>
        <v>0</v>
      </c>
      <c r="P22" s="86">
        <v>12</v>
      </c>
      <c r="Q22" s="86">
        <f t="shared" si="16"/>
        <v>1903.92</v>
      </c>
      <c r="R22" s="86">
        <f t="shared" si="17"/>
        <v>0</v>
      </c>
      <c r="S22" s="86">
        <v>640</v>
      </c>
      <c r="T22" s="86">
        <f t="shared" si="18"/>
        <v>761.57</v>
      </c>
      <c r="U22" s="86">
        <f t="shared" si="19"/>
        <v>0</v>
      </c>
      <c r="V22" s="86">
        <f t="shared" si="20"/>
        <v>7615.67</v>
      </c>
      <c r="W22" s="86">
        <f t="shared" si="21"/>
        <v>0</v>
      </c>
      <c r="X22" s="100"/>
      <c r="Y22" s="1"/>
      <c r="Z22" s="1"/>
      <c r="AA22" s="1"/>
      <c r="AB22" s="1"/>
    </row>
    <row r="23" spans="1:28" x14ac:dyDescent="0.25">
      <c r="A23" s="99">
        <v>44975</v>
      </c>
      <c r="B23" s="86">
        <f>Summary!$G$11/28</f>
        <v>19039.14</v>
      </c>
      <c r="C23" s="86">
        <v>3</v>
      </c>
      <c r="D23" s="86">
        <v>3.09</v>
      </c>
      <c r="E23" s="86">
        <f t="shared" si="7"/>
        <v>3</v>
      </c>
      <c r="F23" s="86">
        <f t="shared" si="8"/>
        <v>11423.48</v>
      </c>
      <c r="G23" s="86">
        <f t="shared" si="9"/>
        <v>11423.48</v>
      </c>
      <c r="H23" s="86">
        <f t="shared" si="10"/>
        <v>7615.66</v>
      </c>
      <c r="I23" s="86">
        <f t="shared" si="11"/>
        <v>7615.66</v>
      </c>
      <c r="J23" s="86">
        <v>14</v>
      </c>
      <c r="K23" s="86">
        <f t="shared" si="12"/>
        <v>3807.83</v>
      </c>
      <c r="L23" s="86">
        <f t="shared" si="13"/>
        <v>0</v>
      </c>
      <c r="M23" s="86">
        <v>60</v>
      </c>
      <c r="N23" s="86">
        <f t="shared" si="14"/>
        <v>1142.3499999999999</v>
      </c>
      <c r="O23" s="86">
        <f t="shared" si="15"/>
        <v>0</v>
      </c>
      <c r="P23" s="86">
        <v>8</v>
      </c>
      <c r="Q23" s="86">
        <f t="shared" si="16"/>
        <v>1903.92</v>
      </c>
      <c r="R23" s="86">
        <f t="shared" si="17"/>
        <v>0</v>
      </c>
      <c r="S23" s="86">
        <v>730</v>
      </c>
      <c r="T23" s="86">
        <f t="shared" si="18"/>
        <v>761.57</v>
      </c>
      <c r="U23" s="86">
        <f t="shared" si="19"/>
        <v>0</v>
      </c>
      <c r="V23" s="86">
        <f t="shared" si="20"/>
        <v>7615.67</v>
      </c>
      <c r="W23" s="86">
        <f t="shared" si="21"/>
        <v>0</v>
      </c>
      <c r="X23" s="32"/>
      <c r="Y23" s="1"/>
      <c r="Z23" s="1"/>
      <c r="AA23" s="1"/>
      <c r="AB23" s="1"/>
    </row>
    <row r="24" spans="1:28" x14ac:dyDescent="0.25">
      <c r="A24" s="99">
        <v>44976</v>
      </c>
      <c r="B24" s="86">
        <f>Summary!$G$11/28</f>
        <v>19039.14</v>
      </c>
      <c r="C24" s="86">
        <v>3</v>
      </c>
      <c r="D24" s="86">
        <v>3.04</v>
      </c>
      <c r="E24" s="86">
        <f t="shared" si="7"/>
        <v>3</v>
      </c>
      <c r="F24" s="86">
        <f t="shared" si="8"/>
        <v>11423.48</v>
      </c>
      <c r="G24" s="86">
        <f t="shared" si="9"/>
        <v>11423.48</v>
      </c>
      <c r="H24" s="86">
        <f t="shared" si="10"/>
        <v>7615.66</v>
      </c>
      <c r="I24" s="86">
        <f t="shared" si="11"/>
        <v>7615.66</v>
      </c>
      <c r="J24" s="86">
        <v>10</v>
      </c>
      <c r="K24" s="86">
        <f t="shared" si="12"/>
        <v>3807.83</v>
      </c>
      <c r="L24" s="86">
        <f t="shared" si="13"/>
        <v>0</v>
      </c>
      <c r="M24" s="86">
        <v>40</v>
      </c>
      <c r="N24" s="86">
        <f t="shared" si="14"/>
        <v>1142.3499999999999</v>
      </c>
      <c r="O24" s="86">
        <f t="shared" si="15"/>
        <v>0</v>
      </c>
      <c r="P24" s="86">
        <v>10</v>
      </c>
      <c r="Q24" s="86">
        <f t="shared" si="16"/>
        <v>1903.92</v>
      </c>
      <c r="R24" s="86">
        <f t="shared" si="17"/>
        <v>0</v>
      </c>
      <c r="S24" s="86">
        <v>680</v>
      </c>
      <c r="T24" s="86">
        <f t="shared" si="18"/>
        <v>761.57</v>
      </c>
      <c r="U24" s="86">
        <f t="shared" si="19"/>
        <v>0</v>
      </c>
      <c r="V24" s="86">
        <f t="shared" si="20"/>
        <v>7615.67</v>
      </c>
      <c r="W24" s="86">
        <f t="shared" si="21"/>
        <v>0</v>
      </c>
      <c r="X24" s="32"/>
      <c r="Y24" s="1"/>
      <c r="Z24" s="1"/>
      <c r="AA24" s="1"/>
      <c r="AB24" s="1"/>
    </row>
    <row r="25" spans="1:28" x14ac:dyDescent="0.25">
      <c r="A25" s="143">
        <v>44977</v>
      </c>
      <c r="B25" s="86">
        <f>Summary!$G$11/28</f>
        <v>19039.14</v>
      </c>
      <c r="C25" s="132">
        <v>3</v>
      </c>
      <c r="D25" s="132">
        <v>3.11</v>
      </c>
      <c r="E25" s="86">
        <f t="shared" si="7"/>
        <v>3</v>
      </c>
      <c r="F25" s="132">
        <f t="shared" si="8"/>
        <v>11423.48</v>
      </c>
      <c r="G25" s="86">
        <f t="shared" si="9"/>
        <v>11423.48</v>
      </c>
      <c r="H25" s="132">
        <f t="shared" si="10"/>
        <v>7615.66</v>
      </c>
      <c r="I25" s="86">
        <f t="shared" si="11"/>
        <v>7615.66</v>
      </c>
      <c r="J25" s="132">
        <v>14</v>
      </c>
      <c r="K25" s="86">
        <f t="shared" si="12"/>
        <v>3807.83</v>
      </c>
      <c r="L25" s="86">
        <f t="shared" si="13"/>
        <v>0</v>
      </c>
      <c r="M25" s="132">
        <v>59</v>
      </c>
      <c r="N25" s="86">
        <f t="shared" si="14"/>
        <v>1142.3499999999999</v>
      </c>
      <c r="O25" s="86">
        <f t="shared" si="15"/>
        <v>0</v>
      </c>
      <c r="P25" s="132">
        <v>16</v>
      </c>
      <c r="Q25" s="86">
        <f t="shared" si="16"/>
        <v>1903.92</v>
      </c>
      <c r="R25" s="86">
        <f t="shared" si="17"/>
        <v>0</v>
      </c>
      <c r="S25" s="132">
        <v>930</v>
      </c>
      <c r="T25" s="86">
        <f t="shared" si="18"/>
        <v>761.57</v>
      </c>
      <c r="U25" s="86">
        <f t="shared" si="19"/>
        <v>0</v>
      </c>
      <c r="V25" s="86">
        <f t="shared" si="20"/>
        <v>7615.67</v>
      </c>
      <c r="W25" s="86">
        <f t="shared" si="21"/>
        <v>0</v>
      </c>
      <c r="X25" s="144" t="s">
        <v>131</v>
      </c>
      <c r="Y25" s="1"/>
      <c r="Z25" s="1"/>
      <c r="AA25" s="1"/>
      <c r="AB25" s="1"/>
    </row>
    <row r="26" spans="1:28" x14ac:dyDescent="0.25">
      <c r="A26" s="99">
        <v>44978</v>
      </c>
      <c r="B26" s="86">
        <f>Summary!$G$11/28</f>
        <v>19039.14</v>
      </c>
      <c r="C26" s="86">
        <v>3</v>
      </c>
      <c r="D26" s="86">
        <v>3.03</v>
      </c>
      <c r="E26" s="86">
        <f t="shared" si="7"/>
        <v>3</v>
      </c>
      <c r="F26" s="86">
        <f t="shared" si="8"/>
        <v>11423.48</v>
      </c>
      <c r="G26" s="86">
        <f t="shared" si="9"/>
        <v>11423.48</v>
      </c>
      <c r="H26" s="86">
        <f t="shared" si="10"/>
        <v>7615.66</v>
      </c>
      <c r="I26" s="86">
        <f t="shared" si="11"/>
        <v>7615.66</v>
      </c>
      <c r="J26" s="86">
        <v>8</v>
      </c>
      <c r="K26" s="86">
        <f t="shared" si="12"/>
        <v>3807.83</v>
      </c>
      <c r="L26" s="86">
        <f t="shared" si="13"/>
        <v>0</v>
      </c>
      <c r="M26" s="86">
        <v>46</v>
      </c>
      <c r="N26" s="86">
        <f t="shared" si="14"/>
        <v>1142.3499999999999</v>
      </c>
      <c r="O26" s="86">
        <f t="shared" si="15"/>
        <v>0</v>
      </c>
      <c r="P26" s="86">
        <v>10</v>
      </c>
      <c r="Q26" s="86">
        <f t="shared" si="16"/>
        <v>1903.92</v>
      </c>
      <c r="R26" s="86">
        <f t="shared" si="17"/>
        <v>0</v>
      </c>
      <c r="S26" s="86">
        <v>570</v>
      </c>
      <c r="T26" s="86">
        <f t="shared" si="18"/>
        <v>761.57</v>
      </c>
      <c r="U26" s="86">
        <f t="shared" si="19"/>
        <v>0</v>
      </c>
      <c r="V26" s="86">
        <f t="shared" si="20"/>
        <v>7615.67</v>
      </c>
      <c r="W26" s="86">
        <f t="shared" si="21"/>
        <v>0</v>
      </c>
      <c r="X26" s="32"/>
      <c r="Y26" s="1"/>
      <c r="Z26" s="1"/>
      <c r="AA26" s="1"/>
      <c r="AB26" s="1"/>
    </row>
    <row r="27" spans="1:28" s="6" customFormat="1" x14ac:dyDescent="0.25">
      <c r="A27" s="99">
        <v>44979</v>
      </c>
      <c r="B27" s="86">
        <f>Summary!$G$11/28</f>
        <v>19039.14</v>
      </c>
      <c r="C27" s="101">
        <v>3</v>
      </c>
      <c r="D27" s="86">
        <v>3.13</v>
      </c>
      <c r="E27" s="86">
        <f t="shared" si="7"/>
        <v>3</v>
      </c>
      <c r="F27" s="101">
        <f t="shared" si="8"/>
        <v>11423.48</v>
      </c>
      <c r="G27" s="86">
        <f t="shared" si="9"/>
        <v>11423.48</v>
      </c>
      <c r="H27" s="101">
        <f t="shared" si="10"/>
        <v>7615.66</v>
      </c>
      <c r="I27" s="86">
        <f t="shared" si="11"/>
        <v>7615.66</v>
      </c>
      <c r="J27" s="101">
        <v>12</v>
      </c>
      <c r="K27" s="86">
        <f t="shared" si="12"/>
        <v>3807.83</v>
      </c>
      <c r="L27" s="86">
        <f t="shared" si="13"/>
        <v>0</v>
      </c>
      <c r="M27" s="101">
        <v>51</v>
      </c>
      <c r="N27" s="86">
        <f t="shared" si="14"/>
        <v>1142.3499999999999</v>
      </c>
      <c r="O27" s="86">
        <f t="shared" si="15"/>
        <v>0</v>
      </c>
      <c r="P27" s="101">
        <v>12</v>
      </c>
      <c r="Q27" s="86">
        <f t="shared" si="16"/>
        <v>1903.92</v>
      </c>
      <c r="R27" s="86">
        <f t="shared" si="17"/>
        <v>0</v>
      </c>
      <c r="S27" s="101">
        <v>530</v>
      </c>
      <c r="T27" s="86">
        <f t="shared" si="18"/>
        <v>761.57</v>
      </c>
      <c r="U27" s="86">
        <f t="shared" si="19"/>
        <v>0</v>
      </c>
      <c r="V27" s="86">
        <f t="shared" si="20"/>
        <v>7615.67</v>
      </c>
      <c r="W27" s="86">
        <f t="shared" si="21"/>
        <v>0</v>
      </c>
      <c r="X27" s="102"/>
      <c r="Y27" s="103"/>
      <c r="Z27" s="103"/>
      <c r="AA27" s="103"/>
      <c r="AB27" s="103"/>
    </row>
    <row r="28" spans="1:28" x14ac:dyDescent="0.25">
      <c r="A28" s="99">
        <v>44980</v>
      </c>
      <c r="B28" s="86">
        <f>Summary!$G$11/28</f>
        <v>19039.14</v>
      </c>
      <c r="C28" s="86">
        <v>3</v>
      </c>
      <c r="D28" s="86">
        <v>3.1</v>
      </c>
      <c r="E28" s="86">
        <f t="shared" si="7"/>
        <v>3</v>
      </c>
      <c r="F28" s="86">
        <f t="shared" si="8"/>
        <v>11423.48</v>
      </c>
      <c r="G28" s="86">
        <f t="shared" si="9"/>
        <v>11423.48</v>
      </c>
      <c r="H28" s="86">
        <f t="shared" si="10"/>
        <v>7615.66</v>
      </c>
      <c r="I28" s="86">
        <f t="shared" si="11"/>
        <v>7615.66</v>
      </c>
      <c r="J28" s="86">
        <v>8</v>
      </c>
      <c r="K28" s="86">
        <f t="shared" si="12"/>
        <v>3807.83</v>
      </c>
      <c r="L28" s="86">
        <f t="shared" si="13"/>
        <v>0</v>
      </c>
      <c r="M28" s="86">
        <v>46</v>
      </c>
      <c r="N28" s="86">
        <f t="shared" si="14"/>
        <v>1142.3499999999999</v>
      </c>
      <c r="O28" s="86">
        <f t="shared" si="15"/>
        <v>0</v>
      </c>
      <c r="P28" s="86">
        <v>10</v>
      </c>
      <c r="Q28" s="86">
        <f t="shared" si="16"/>
        <v>1903.92</v>
      </c>
      <c r="R28" s="86">
        <f t="shared" si="17"/>
        <v>0</v>
      </c>
      <c r="S28" s="86">
        <v>690</v>
      </c>
      <c r="T28" s="86">
        <f t="shared" si="18"/>
        <v>761.57</v>
      </c>
      <c r="U28" s="86">
        <f t="shared" si="19"/>
        <v>0</v>
      </c>
      <c r="V28" s="86">
        <f t="shared" si="20"/>
        <v>7615.67</v>
      </c>
      <c r="W28" s="86">
        <f t="shared" si="21"/>
        <v>0</v>
      </c>
      <c r="X28" s="32"/>
      <c r="Y28" s="1"/>
      <c r="Z28" s="1"/>
      <c r="AA28" s="1"/>
      <c r="AB28" s="1"/>
    </row>
    <row r="29" spans="1:28" x14ac:dyDescent="0.25">
      <c r="A29" s="99">
        <v>44981</v>
      </c>
      <c r="B29" s="86">
        <f>Summary!$G$11/28</f>
        <v>19039.14</v>
      </c>
      <c r="C29" s="86">
        <v>3</v>
      </c>
      <c r="D29" s="86">
        <v>3.08</v>
      </c>
      <c r="E29" s="86">
        <f t="shared" si="7"/>
        <v>3</v>
      </c>
      <c r="F29" s="86">
        <f t="shared" si="8"/>
        <v>11423.48</v>
      </c>
      <c r="G29" s="86">
        <f t="shared" si="9"/>
        <v>11423.48</v>
      </c>
      <c r="H29" s="86">
        <f t="shared" si="10"/>
        <v>7615.66</v>
      </c>
      <c r="I29" s="86">
        <f t="shared" si="11"/>
        <v>7615.66</v>
      </c>
      <c r="J29" s="86">
        <v>12</v>
      </c>
      <c r="K29" s="86">
        <f t="shared" si="12"/>
        <v>3807.83</v>
      </c>
      <c r="L29" s="86">
        <f t="shared" si="13"/>
        <v>0</v>
      </c>
      <c r="M29" s="86">
        <v>53</v>
      </c>
      <c r="N29" s="86">
        <f t="shared" si="14"/>
        <v>1142.3499999999999</v>
      </c>
      <c r="O29" s="86">
        <f t="shared" si="15"/>
        <v>0</v>
      </c>
      <c r="P29" s="86">
        <v>12</v>
      </c>
      <c r="Q29" s="86">
        <f t="shared" si="16"/>
        <v>1903.92</v>
      </c>
      <c r="R29" s="86">
        <f t="shared" si="17"/>
        <v>0</v>
      </c>
      <c r="S29" s="86">
        <v>660</v>
      </c>
      <c r="T29" s="86">
        <f t="shared" si="18"/>
        <v>761.57</v>
      </c>
      <c r="U29" s="86">
        <f t="shared" si="19"/>
        <v>0</v>
      </c>
      <c r="V29" s="86">
        <f t="shared" si="20"/>
        <v>7615.67</v>
      </c>
      <c r="W29" s="86">
        <f t="shared" si="21"/>
        <v>0</v>
      </c>
      <c r="X29" s="32"/>
      <c r="Y29" s="1"/>
      <c r="Z29" s="1"/>
      <c r="AA29" s="1"/>
      <c r="AB29" s="1"/>
    </row>
    <row r="30" spans="1:28" x14ac:dyDescent="0.25">
      <c r="A30" s="99">
        <v>44982</v>
      </c>
      <c r="B30" s="86">
        <f>Summary!$G$11/28</f>
        <v>19039.14</v>
      </c>
      <c r="C30" s="86">
        <v>3</v>
      </c>
      <c r="D30" s="86">
        <v>3.16</v>
      </c>
      <c r="E30" s="86">
        <f t="shared" si="7"/>
        <v>3</v>
      </c>
      <c r="F30" s="86">
        <f t="shared" si="8"/>
        <v>11423.48</v>
      </c>
      <c r="G30" s="86">
        <f t="shared" si="9"/>
        <v>11423.48</v>
      </c>
      <c r="H30" s="86">
        <f t="shared" si="10"/>
        <v>7615.66</v>
      </c>
      <c r="I30" s="86">
        <f t="shared" si="11"/>
        <v>7615.66</v>
      </c>
      <c r="J30" s="86">
        <v>10</v>
      </c>
      <c r="K30" s="86">
        <f t="shared" si="12"/>
        <v>3807.83</v>
      </c>
      <c r="L30" s="86">
        <f t="shared" si="13"/>
        <v>0</v>
      </c>
      <c r="M30" s="86">
        <v>64</v>
      </c>
      <c r="N30" s="86">
        <f t="shared" si="14"/>
        <v>1142.3499999999999</v>
      </c>
      <c r="O30" s="86">
        <f t="shared" si="15"/>
        <v>0</v>
      </c>
      <c r="P30" s="86">
        <v>10</v>
      </c>
      <c r="Q30" s="86">
        <f t="shared" si="16"/>
        <v>1903.92</v>
      </c>
      <c r="R30" s="86">
        <f t="shared" si="17"/>
        <v>0</v>
      </c>
      <c r="S30" s="86">
        <v>580</v>
      </c>
      <c r="T30" s="86">
        <f t="shared" si="18"/>
        <v>761.57</v>
      </c>
      <c r="U30" s="86">
        <f t="shared" si="19"/>
        <v>0</v>
      </c>
      <c r="V30" s="86">
        <f t="shared" si="20"/>
        <v>7615.67</v>
      </c>
      <c r="W30" s="86">
        <f t="shared" si="21"/>
        <v>0</v>
      </c>
      <c r="X30" s="32"/>
      <c r="Y30" s="1"/>
      <c r="Z30" s="1"/>
      <c r="AA30" s="1"/>
      <c r="AB30" s="1"/>
    </row>
    <row r="31" spans="1:28" x14ac:dyDescent="0.25">
      <c r="A31" s="99">
        <v>44983</v>
      </c>
      <c r="B31" s="86">
        <f>Summary!$G$11/28</f>
        <v>19039.14</v>
      </c>
      <c r="C31" s="86">
        <v>3</v>
      </c>
      <c r="D31" s="86">
        <v>3.07</v>
      </c>
      <c r="E31" s="86">
        <f t="shared" si="7"/>
        <v>3</v>
      </c>
      <c r="F31" s="86">
        <f t="shared" si="8"/>
        <v>11423.48</v>
      </c>
      <c r="G31" s="86">
        <f t="shared" si="9"/>
        <v>11423.48</v>
      </c>
      <c r="H31" s="86">
        <f t="shared" si="10"/>
        <v>7615.66</v>
      </c>
      <c r="I31" s="86">
        <f t="shared" si="11"/>
        <v>7615.66</v>
      </c>
      <c r="J31" s="86">
        <v>8</v>
      </c>
      <c r="K31" s="86">
        <f t="shared" si="12"/>
        <v>3807.83</v>
      </c>
      <c r="L31" s="86">
        <f t="shared" si="13"/>
        <v>0</v>
      </c>
      <c r="M31" s="86">
        <v>55</v>
      </c>
      <c r="N31" s="86">
        <f t="shared" si="14"/>
        <v>1142.3499999999999</v>
      </c>
      <c r="O31" s="86">
        <f t="shared" si="15"/>
        <v>0</v>
      </c>
      <c r="P31" s="86">
        <v>8</v>
      </c>
      <c r="Q31" s="86">
        <f t="shared" si="16"/>
        <v>1903.92</v>
      </c>
      <c r="R31" s="86">
        <f t="shared" si="17"/>
        <v>0</v>
      </c>
      <c r="S31" s="86">
        <v>450</v>
      </c>
      <c r="T31" s="86">
        <f t="shared" si="18"/>
        <v>761.57</v>
      </c>
      <c r="U31" s="86">
        <f t="shared" si="19"/>
        <v>0</v>
      </c>
      <c r="V31" s="86">
        <f t="shared" si="20"/>
        <v>7615.67</v>
      </c>
      <c r="W31" s="86">
        <f t="shared" si="21"/>
        <v>0</v>
      </c>
      <c r="X31" s="32"/>
      <c r="Y31" s="1"/>
      <c r="Z31" s="1"/>
      <c r="AA31" s="1"/>
      <c r="AB31" s="1"/>
    </row>
    <row r="32" spans="1:28" x14ac:dyDescent="0.25">
      <c r="A32" s="143">
        <v>44984</v>
      </c>
      <c r="B32" s="86">
        <f>Summary!$G$11/28</f>
        <v>19039.14</v>
      </c>
      <c r="C32" s="132">
        <v>3</v>
      </c>
      <c r="D32" s="132">
        <v>3.1</v>
      </c>
      <c r="E32" s="86">
        <f t="shared" si="7"/>
        <v>3</v>
      </c>
      <c r="F32" s="132">
        <f t="shared" si="8"/>
        <v>11423.48</v>
      </c>
      <c r="G32" s="86">
        <f t="shared" si="9"/>
        <v>11423.48</v>
      </c>
      <c r="H32" s="132">
        <f t="shared" si="10"/>
        <v>7615.66</v>
      </c>
      <c r="I32" s="86">
        <f t="shared" si="11"/>
        <v>7615.66</v>
      </c>
      <c r="J32" s="132">
        <v>12</v>
      </c>
      <c r="K32" s="86">
        <f t="shared" si="12"/>
        <v>3807.83</v>
      </c>
      <c r="L32" s="86">
        <f t="shared" si="13"/>
        <v>0</v>
      </c>
      <c r="M32" s="132">
        <v>57</v>
      </c>
      <c r="N32" s="86">
        <f t="shared" si="14"/>
        <v>1142.3499999999999</v>
      </c>
      <c r="O32" s="86">
        <f t="shared" si="15"/>
        <v>0</v>
      </c>
      <c r="P32" s="132">
        <v>18</v>
      </c>
      <c r="Q32" s="86">
        <f t="shared" si="16"/>
        <v>1903.92</v>
      </c>
      <c r="R32" s="86">
        <f t="shared" si="17"/>
        <v>0</v>
      </c>
      <c r="S32" s="132">
        <v>790</v>
      </c>
      <c r="T32" s="86">
        <f t="shared" si="18"/>
        <v>761.57</v>
      </c>
      <c r="U32" s="86">
        <f t="shared" si="19"/>
        <v>0</v>
      </c>
      <c r="V32" s="86">
        <f t="shared" si="20"/>
        <v>7615.67</v>
      </c>
      <c r="W32" s="86">
        <f t="shared" si="21"/>
        <v>0</v>
      </c>
      <c r="X32" s="144"/>
      <c r="Y32" s="1"/>
      <c r="Z32" s="1"/>
      <c r="AA32" s="1"/>
      <c r="AB32" s="1"/>
    </row>
    <row r="33" spans="1:28" x14ac:dyDescent="0.25">
      <c r="A33" s="99">
        <v>44985</v>
      </c>
      <c r="B33" s="86">
        <f>Summary!$G$11/28</f>
        <v>19039.14</v>
      </c>
      <c r="C33" s="86">
        <v>3</v>
      </c>
      <c r="D33" s="86">
        <v>3.06</v>
      </c>
      <c r="E33" s="86">
        <f t="shared" si="7"/>
        <v>3</v>
      </c>
      <c r="F33" s="86">
        <f t="shared" si="8"/>
        <v>11423.48</v>
      </c>
      <c r="G33" s="86">
        <f t="shared" si="9"/>
        <v>11423.48</v>
      </c>
      <c r="H33" s="86">
        <f t="shared" si="10"/>
        <v>7615.66</v>
      </c>
      <c r="I33" s="86">
        <f t="shared" si="11"/>
        <v>7615.66</v>
      </c>
      <c r="J33" s="86">
        <v>10</v>
      </c>
      <c r="K33" s="86">
        <f t="shared" si="12"/>
        <v>3807.83</v>
      </c>
      <c r="L33" s="86">
        <f t="shared" si="13"/>
        <v>0</v>
      </c>
      <c r="M33" s="86">
        <v>48</v>
      </c>
      <c r="N33" s="86">
        <f t="shared" si="14"/>
        <v>1142.3499999999999</v>
      </c>
      <c r="O33" s="86">
        <f t="shared" si="15"/>
        <v>0</v>
      </c>
      <c r="P33" s="86">
        <v>8</v>
      </c>
      <c r="Q33" s="86">
        <f t="shared" si="16"/>
        <v>1903.92</v>
      </c>
      <c r="R33" s="86">
        <f t="shared" si="17"/>
        <v>0</v>
      </c>
      <c r="S33" s="86">
        <v>640</v>
      </c>
      <c r="T33" s="86">
        <f t="shared" si="18"/>
        <v>761.57</v>
      </c>
      <c r="U33" s="86">
        <f t="shared" si="19"/>
        <v>0</v>
      </c>
      <c r="V33" s="86">
        <f t="shared" si="20"/>
        <v>7615.67</v>
      </c>
      <c r="W33" s="86">
        <f t="shared" si="21"/>
        <v>0</v>
      </c>
      <c r="X33" s="32"/>
      <c r="Y33" s="1"/>
      <c r="Z33" s="1"/>
      <c r="AA33" s="1"/>
      <c r="AB33" s="1"/>
    </row>
    <row r="34" spans="1:28" x14ac:dyDescent="0.25">
      <c r="A34" s="95" t="s">
        <v>20</v>
      </c>
      <c r="B34" s="104">
        <f>SUM(B6:B33)</f>
        <v>533095.92000000004</v>
      </c>
      <c r="C34" s="104"/>
      <c r="D34" s="104"/>
      <c r="E34" s="104"/>
      <c r="F34" s="104">
        <f>SUM(F6:F33)</f>
        <v>319857.44</v>
      </c>
      <c r="G34" s="104">
        <f>SUM(G6:G33)</f>
        <v>319743.21000000002</v>
      </c>
      <c r="H34" s="104">
        <f>SUM(H6:H33)</f>
        <v>213238.48</v>
      </c>
      <c r="I34" s="104">
        <f>SUM(I6:I33)</f>
        <v>213162.32</v>
      </c>
      <c r="J34" s="104"/>
      <c r="K34" s="104">
        <f>SUM(K6:K33)</f>
        <v>106581.16</v>
      </c>
      <c r="L34" s="104">
        <f>SUM(L6:L33)</f>
        <v>0</v>
      </c>
      <c r="M34" s="104"/>
      <c r="N34" s="104">
        <f>SUM(N6:N33)</f>
        <v>31974.38</v>
      </c>
      <c r="O34" s="104">
        <f>SUM(O6:O33)</f>
        <v>0</v>
      </c>
      <c r="P34" s="104"/>
      <c r="Q34" s="104">
        <f>SUM(Q6:Q33)</f>
        <v>53290.720000000001</v>
      </c>
      <c r="R34" s="104">
        <f>SUM(R6:R33)</f>
        <v>0</v>
      </c>
      <c r="S34" s="104"/>
      <c r="T34" s="104">
        <f>SUM(T6:T33)</f>
        <v>20554.77</v>
      </c>
      <c r="U34" s="104">
        <f>SUM(U6:U33)</f>
        <v>10000</v>
      </c>
      <c r="V34" s="104">
        <f>SUM(V6:V33)</f>
        <v>212401.03</v>
      </c>
      <c r="W34" s="104">
        <f>SUM(W6:W33)</f>
        <v>10000</v>
      </c>
      <c r="X34" s="32"/>
      <c r="Y34" s="1"/>
      <c r="Z34" s="1"/>
      <c r="AA34" s="1"/>
      <c r="AB34" s="1"/>
    </row>
    <row r="35" spans="1:28" x14ac:dyDescent="0.25">
      <c r="A35" s="97"/>
      <c r="B35" s="104" t="s">
        <v>78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>
        <f>G34+V34</f>
        <v>532144.24</v>
      </c>
      <c r="W35" s="104"/>
      <c r="X35" s="32"/>
      <c r="Y35" s="1"/>
      <c r="Z35" s="1"/>
      <c r="AA35" s="1"/>
    </row>
    <row r="36" spans="1:28" x14ac:dyDescent="0.25">
      <c r="K36" s="93">
        <f>COUNTIF(K6:K33,"0")</f>
        <v>0</v>
      </c>
      <c r="M36" s="105"/>
      <c r="N36" s="93">
        <f>COUNTIF(N6:N33,"0")</f>
        <v>0</v>
      </c>
      <c r="Q36" s="93">
        <f>COUNTIF(Q6:Q33,"0")</f>
        <v>0</v>
      </c>
      <c r="T36" s="93">
        <f>COUNTIF(T6:T33,"0")</f>
        <v>1</v>
      </c>
      <c r="V36" s="94"/>
      <c r="X36" s="32"/>
      <c r="Y36" s="1"/>
      <c r="Z36" s="1"/>
      <c r="AA36" s="1"/>
    </row>
    <row r="37" spans="1:28" x14ac:dyDescent="0.25">
      <c r="X37" s="32"/>
      <c r="Y37" s="1"/>
      <c r="Z37" s="1"/>
      <c r="AA37" s="1"/>
    </row>
    <row r="38" spans="1:28" x14ac:dyDescent="0.25">
      <c r="X38" s="32"/>
      <c r="Y38" s="1"/>
      <c r="Z38" s="1"/>
      <c r="AA38" s="1"/>
    </row>
    <row r="39" spans="1:28" x14ac:dyDescent="0.25">
      <c r="C39" s="94">
        <f>B34/31</f>
        <v>17196.64</v>
      </c>
    </row>
  </sheetData>
  <mergeCells count="19">
    <mergeCell ref="M4:O4"/>
    <mergeCell ref="P4:R4"/>
    <mergeCell ref="S4:U4"/>
    <mergeCell ref="W4:W5"/>
    <mergeCell ref="F3:G3"/>
    <mergeCell ref="H3:Q3"/>
    <mergeCell ref="A1:V1"/>
    <mergeCell ref="V4:V5"/>
    <mergeCell ref="H4:H5"/>
    <mergeCell ref="A4:A5"/>
    <mergeCell ref="B4:B5"/>
    <mergeCell ref="D4:D5"/>
    <mergeCell ref="F4:F5"/>
    <mergeCell ref="G4:G5"/>
    <mergeCell ref="C3:D3"/>
    <mergeCell ref="C4:C5"/>
    <mergeCell ref="I4:I5"/>
    <mergeCell ref="E4:E5"/>
    <mergeCell ref="J4:L4"/>
  </mergeCells>
  <pageMargins left="0.25" right="0.25" top="0.75" bottom="0.75" header="0.3" footer="0.3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39"/>
  <sheetViews>
    <sheetView zoomScaleNormal="100" workbookViewId="0">
      <pane xSplit="1" topLeftCell="M1" activePane="topRight" state="frozen"/>
      <selection activeCell="K16" sqref="K16"/>
      <selection pane="topRight" activeCell="F6" sqref="F6"/>
    </sheetView>
  </sheetViews>
  <sheetFormatPr defaultColWidth="9.140625" defaultRowHeight="15.75" x14ac:dyDescent="0.25"/>
  <cols>
    <col min="1" max="1" width="10.5703125" style="23" bestFit="1" customWidth="1"/>
    <col min="2" max="2" width="13.7109375" style="23" customWidth="1"/>
    <col min="3" max="3" width="8.5703125" style="23" customWidth="1"/>
    <col min="4" max="5" width="9.140625" style="23"/>
    <col min="6" max="6" width="12.5703125" style="23" customWidth="1"/>
    <col min="7" max="7" width="11.42578125" style="23" customWidth="1"/>
    <col min="8" max="8" width="12.7109375" style="23" customWidth="1"/>
    <col min="9" max="9" width="12.5703125" style="23" bestFit="1" customWidth="1"/>
    <col min="10" max="10" width="9" style="23" customWidth="1"/>
    <col min="11" max="11" width="12.42578125" style="23" customWidth="1"/>
    <col min="12" max="12" width="9.85546875" style="23" customWidth="1"/>
    <col min="13" max="13" width="9.5703125" style="23" customWidth="1"/>
    <col min="14" max="14" width="11.5703125" style="23" customWidth="1"/>
    <col min="15" max="15" width="9" style="23" customWidth="1"/>
    <col min="16" max="16" width="9.42578125" style="23" customWidth="1"/>
    <col min="17" max="17" width="12.85546875" style="23" customWidth="1"/>
    <col min="18" max="18" width="10" style="23" customWidth="1"/>
    <col min="19" max="19" width="9.7109375" style="23" customWidth="1"/>
    <col min="20" max="20" width="10.42578125" style="23" bestFit="1" customWidth="1"/>
    <col min="21" max="21" width="10.42578125" style="23" customWidth="1"/>
    <col min="22" max="22" width="15.42578125" style="23" customWidth="1"/>
    <col min="23" max="23" width="13.7109375" style="23" customWidth="1"/>
    <col min="24" max="24" width="8.140625" style="28" customWidth="1"/>
  </cols>
  <sheetData>
    <row r="1" spans="1:30" ht="18.75" x14ac:dyDescent="0.3">
      <c r="A1" s="188" t="str">
        <f>'56 MLd Dudahaida'!A1:V1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  <c r="Y1" s="3"/>
      <c r="Z1" s="3"/>
      <c r="AA1" s="3"/>
      <c r="AB1" s="3"/>
      <c r="AC1" s="3"/>
      <c r="AD1" s="3"/>
    </row>
    <row r="2" spans="1:30" ht="12.75" customHeight="1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  <c r="X2" s="30"/>
      <c r="Y2" s="18"/>
      <c r="Z2" s="18"/>
      <c r="AA2" s="18"/>
      <c r="AB2" s="18"/>
      <c r="AC2" s="18"/>
      <c r="AD2" s="18"/>
    </row>
    <row r="3" spans="1:30" x14ac:dyDescent="0.25">
      <c r="A3" s="41"/>
      <c r="B3" s="41"/>
      <c r="C3" s="190" t="s">
        <v>15</v>
      </c>
      <c r="D3" s="194"/>
      <c r="E3" s="44"/>
      <c r="F3" s="185" t="s">
        <v>18</v>
      </c>
      <c r="G3" s="185"/>
      <c r="H3" s="185" t="s">
        <v>19</v>
      </c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41"/>
      <c r="V3" s="41"/>
      <c r="W3" s="45"/>
    </row>
    <row r="4" spans="1:30" s="19" customFormat="1" ht="17.25" customHeight="1" x14ac:dyDescent="0.25">
      <c r="A4" s="211" t="s">
        <v>14</v>
      </c>
      <c r="B4" s="209" t="s">
        <v>41</v>
      </c>
      <c r="C4" s="211" t="s">
        <v>37</v>
      </c>
      <c r="D4" s="209" t="s">
        <v>56</v>
      </c>
      <c r="E4" s="192" t="s">
        <v>57</v>
      </c>
      <c r="F4" s="185" t="s">
        <v>16</v>
      </c>
      <c r="G4" s="187" t="s">
        <v>17</v>
      </c>
      <c r="H4" s="185" t="s">
        <v>21</v>
      </c>
      <c r="I4" s="185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  <c r="X4" s="31"/>
    </row>
    <row r="5" spans="1:30" s="19" customFormat="1" ht="30" x14ac:dyDescent="0.25">
      <c r="A5" s="212"/>
      <c r="B5" s="210"/>
      <c r="C5" s="212"/>
      <c r="D5" s="210"/>
      <c r="E5" s="193"/>
      <c r="F5" s="185"/>
      <c r="G5" s="187"/>
      <c r="H5" s="185"/>
      <c r="I5" s="185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  <c r="X5" s="31"/>
    </row>
    <row r="6" spans="1:30" x14ac:dyDescent="0.25">
      <c r="A6" s="15">
        <v>44958</v>
      </c>
      <c r="B6" s="14">
        <f>Summary!$G$12/28</f>
        <v>190391.39</v>
      </c>
      <c r="C6" s="14">
        <v>30</v>
      </c>
      <c r="D6" s="14">
        <v>18.899999999999999</v>
      </c>
      <c r="E6" s="14">
        <f>MIN(D6,C6)</f>
        <v>18.899999999999999</v>
      </c>
      <c r="F6" s="14">
        <f>B6*60%</f>
        <v>114234.83</v>
      </c>
      <c r="G6" s="14">
        <f>(F6*E6)/C6</f>
        <v>71967.94</v>
      </c>
      <c r="H6" s="14">
        <f>B6*40%</f>
        <v>76156.56</v>
      </c>
      <c r="I6" s="14">
        <f>(H6*E6)/C6</f>
        <v>47978.63</v>
      </c>
      <c r="J6" s="14">
        <v>8</v>
      </c>
      <c r="K6" s="14">
        <f t="shared" ref="K6" si="0">I6*50%</f>
        <v>23989.32</v>
      </c>
      <c r="L6" s="14">
        <f t="shared" ref="L6" si="1">IF(J6&gt;10,(MAX($B$34*0.1/100,10000)),0)</f>
        <v>0</v>
      </c>
      <c r="M6" s="14">
        <v>72</v>
      </c>
      <c r="N6" s="14">
        <f t="shared" ref="N6" si="2">I6*15%</f>
        <v>7196.79</v>
      </c>
      <c r="O6" s="14">
        <f t="shared" ref="O6" si="3">IF(M6&gt;100,(MAX($B$34*0.1/100,10000)),0)</f>
        <v>0</v>
      </c>
      <c r="P6" s="14">
        <v>9</v>
      </c>
      <c r="Q6" s="14">
        <f>I6*25/100</f>
        <v>11994.66</v>
      </c>
      <c r="R6" s="14">
        <f>IF(P6&gt;10,(MAX($B$34*0.1/100,10000)),0)</f>
        <v>0</v>
      </c>
      <c r="S6" s="14">
        <v>840</v>
      </c>
      <c r="T6" s="14">
        <f>I6*10%</f>
        <v>4797.8599999999997</v>
      </c>
      <c r="U6" s="14">
        <f>IF(S6&gt;1000,(MAX($B$34*0.1/100,10000)),0)</f>
        <v>0</v>
      </c>
      <c r="V6" s="14">
        <f>T6+Q6+N6+K6</f>
        <v>47978.63</v>
      </c>
      <c r="W6" s="14">
        <f>U6+R6+O6+L6</f>
        <v>0</v>
      </c>
    </row>
    <row r="7" spans="1:30" x14ac:dyDescent="0.25">
      <c r="A7" s="15">
        <v>44959</v>
      </c>
      <c r="B7" s="14">
        <f>Summary!$G$12/28</f>
        <v>190391.39</v>
      </c>
      <c r="C7" s="14">
        <v>30</v>
      </c>
      <c r="D7" s="14">
        <v>18.899999999999999</v>
      </c>
      <c r="E7" s="14">
        <f t="shared" ref="E7:E33" si="4">MIN(D7,C7)</f>
        <v>18.899999999999999</v>
      </c>
      <c r="F7" s="14">
        <f t="shared" ref="F7:F33" si="5">B7*60%</f>
        <v>114234.83</v>
      </c>
      <c r="G7" s="14">
        <f t="shared" ref="G7:G33" si="6">(F7*E7)/C7</f>
        <v>71967.94</v>
      </c>
      <c r="H7" s="14">
        <f t="shared" ref="H7:H33" si="7">B7*40%</f>
        <v>76156.56</v>
      </c>
      <c r="I7" s="14">
        <f t="shared" ref="I7:I33" si="8">(H7*E7)/C7</f>
        <v>47978.63</v>
      </c>
      <c r="J7" s="14">
        <v>9</v>
      </c>
      <c r="K7" s="14">
        <f t="shared" ref="K7:K33" si="9">I7*50%</f>
        <v>23989.32</v>
      </c>
      <c r="L7" s="14">
        <f t="shared" ref="L7:L33" si="10">IF(J7&gt;10,(MAX($B$34*0.1/100,10000)),0)</f>
        <v>0</v>
      </c>
      <c r="M7" s="14">
        <v>92</v>
      </c>
      <c r="N7" s="14">
        <f t="shared" ref="N7:N33" si="11">I7*15%</f>
        <v>7196.79</v>
      </c>
      <c r="O7" s="14">
        <f t="shared" ref="O7:O33" si="12">IF(M7&gt;100,(MAX($B$34*0.1/100,10000)),0)</f>
        <v>0</v>
      </c>
      <c r="P7" s="14">
        <v>7</v>
      </c>
      <c r="Q7" s="14">
        <f t="shared" ref="Q7:Q33" si="13">I7*25/100</f>
        <v>11994.66</v>
      </c>
      <c r="R7" s="14">
        <f t="shared" ref="R7:R33" si="14">IF(P7&gt;10,(MAX($B$34*0.1/100,10000)),0)</f>
        <v>0</v>
      </c>
      <c r="S7" s="14">
        <v>600</v>
      </c>
      <c r="T7" s="14">
        <f t="shared" ref="T7:T33" si="15">I7*10%</f>
        <v>4797.8599999999997</v>
      </c>
      <c r="U7" s="14">
        <f t="shared" ref="U7:U33" si="16">IF(S7&gt;1000,(MAX($B$34*0.1/100,10000)),0)</f>
        <v>0</v>
      </c>
      <c r="V7" s="14">
        <f t="shared" ref="V7:V33" si="17">T7+Q7+N7+K7</f>
        <v>47978.63</v>
      </c>
      <c r="W7" s="14">
        <f t="shared" ref="W7:W33" si="18">U7+R7+O7+L7</f>
        <v>0</v>
      </c>
    </row>
    <row r="8" spans="1:30" s="114" customFormat="1" x14ac:dyDescent="0.25">
      <c r="A8" s="112">
        <v>44960</v>
      </c>
      <c r="B8" s="113">
        <f>Summary!$G$12/28</f>
        <v>190391.39</v>
      </c>
      <c r="C8" s="113">
        <v>30</v>
      </c>
      <c r="D8" s="14">
        <v>18.899999999999999</v>
      </c>
      <c r="E8" s="113">
        <f t="shared" si="4"/>
        <v>18.899999999999999</v>
      </c>
      <c r="F8" s="113">
        <f t="shared" si="5"/>
        <v>114234.83</v>
      </c>
      <c r="G8" s="14">
        <f t="shared" si="6"/>
        <v>71967.94</v>
      </c>
      <c r="H8" s="113">
        <f t="shared" si="7"/>
        <v>76156.56</v>
      </c>
      <c r="I8" s="14">
        <f t="shared" si="8"/>
        <v>47978.63</v>
      </c>
      <c r="J8" s="113">
        <v>7</v>
      </c>
      <c r="K8" s="14">
        <f t="shared" si="9"/>
        <v>23989.32</v>
      </c>
      <c r="L8" s="14">
        <f t="shared" si="10"/>
        <v>0</v>
      </c>
      <c r="M8" s="113">
        <v>92</v>
      </c>
      <c r="N8" s="14">
        <f t="shared" si="11"/>
        <v>7196.79</v>
      </c>
      <c r="O8" s="14">
        <f t="shared" si="12"/>
        <v>0</v>
      </c>
      <c r="P8" s="113">
        <v>8</v>
      </c>
      <c r="Q8" s="14">
        <f t="shared" si="13"/>
        <v>11994.66</v>
      </c>
      <c r="R8" s="14">
        <f t="shared" si="14"/>
        <v>0</v>
      </c>
      <c r="S8" s="113">
        <v>542</v>
      </c>
      <c r="T8" s="14">
        <f t="shared" si="15"/>
        <v>4797.8599999999997</v>
      </c>
      <c r="U8" s="14">
        <f t="shared" si="16"/>
        <v>0</v>
      </c>
      <c r="V8" s="14">
        <f t="shared" si="17"/>
        <v>47978.63</v>
      </c>
      <c r="W8" s="14">
        <f t="shared" si="18"/>
        <v>0</v>
      </c>
      <c r="X8" s="124" t="s">
        <v>131</v>
      </c>
    </row>
    <row r="9" spans="1:30" x14ac:dyDescent="0.25">
      <c r="A9" s="15">
        <v>44961</v>
      </c>
      <c r="B9" s="14">
        <f>Summary!$G$12/28</f>
        <v>190391.39</v>
      </c>
      <c r="C9" s="14">
        <v>30</v>
      </c>
      <c r="D9" s="14">
        <v>18.899999999999999</v>
      </c>
      <c r="E9" s="14">
        <f t="shared" si="4"/>
        <v>18.899999999999999</v>
      </c>
      <c r="F9" s="14">
        <f t="shared" si="5"/>
        <v>114234.83</v>
      </c>
      <c r="G9" s="14">
        <f t="shared" si="6"/>
        <v>71967.94</v>
      </c>
      <c r="H9" s="14">
        <f t="shared" si="7"/>
        <v>76156.56</v>
      </c>
      <c r="I9" s="14">
        <f t="shared" si="8"/>
        <v>47978.63</v>
      </c>
      <c r="J9" s="14">
        <v>10</v>
      </c>
      <c r="K9" s="14">
        <f t="shared" si="9"/>
        <v>23989.32</v>
      </c>
      <c r="L9" s="14">
        <f t="shared" si="10"/>
        <v>0</v>
      </c>
      <c r="M9" s="14">
        <v>76</v>
      </c>
      <c r="N9" s="14">
        <f t="shared" si="11"/>
        <v>7196.79</v>
      </c>
      <c r="O9" s="14">
        <f t="shared" si="12"/>
        <v>0</v>
      </c>
      <c r="P9" s="14">
        <v>7</v>
      </c>
      <c r="Q9" s="14">
        <f t="shared" si="13"/>
        <v>11994.66</v>
      </c>
      <c r="R9" s="14">
        <f t="shared" si="14"/>
        <v>0</v>
      </c>
      <c r="S9" s="14">
        <v>760</v>
      </c>
      <c r="T9" s="14">
        <f t="shared" si="15"/>
        <v>4797.8599999999997</v>
      </c>
      <c r="U9" s="14">
        <f t="shared" si="16"/>
        <v>0</v>
      </c>
      <c r="V9" s="14">
        <f t="shared" si="17"/>
        <v>47978.63</v>
      </c>
      <c r="W9" s="14">
        <f t="shared" si="18"/>
        <v>0</v>
      </c>
    </row>
    <row r="10" spans="1:30" x14ac:dyDescent="0.25">
      <c r="A10" s="15">
        <v>44962</v>
      </c>
      <c r="B10" s="14">
        <f>Summary!$G$12/28</f>
        <v>190391.39</v>
      </c>
      <c r="C10" s="14">
        <v>30</v>
      </c>
      <c r="D10" s="14">
        <v>18.899999999999999</v>
      </c>
      <c r="E10" s="14">
        <f t="shared" si="4"/>
        <v>18.899999999999999</v>
      </c>
      <c r="F10" s="14">
        <f t="shared" si="5"/>
        <v>114234.83</v>
      </c>
      <c r="G10" s="14">
        <f t="shared" si="6"/>
        <v>71967.94</v>
      </c>
      <c r="H10" s="14">
        <f t="shared" si="7"/>
        <v>76156.56</v>
      </c>
      <c r="I10" s="14">
        <f t="shared" si="8"/>
        <v>47978.63</v>
      </c>
      <c r="J10" s="14">
        <v>9</v>
      </c>
      <c r="K10" s="14">
        <f t="shared" si="9"/>
        <v>23989.32</v>
      </c>
      <c r="L10" s="14">
        <f t="shared" si="10"/>
        <v>0</v>
      </c>
      <c r="M10" s="14">
        <v>88</v>
      </c>
      <c r="N10" s="14">
        <f t="shared" si="11"/>
        <v>7196.79</v>
      </c>
      <c r="O10" s="14">
        <f t="shared" si="12"/>
        <v>0</v>
      </c>
      <c r="P10" s="14">
        <v>8</v>
      </c>
      <c r="Q10" s="14">
        <f t="shared" si="13"/>
        <v>11994.66</v>
      </c>
      <c r="R10" s="14">
        <f t="shared" si="14"/>
        <v>0</v>
      </c>
      <c r="S10" s="14">
        <v>810</v>
      </c>
      <c r="T10" s="14">
        <f t="shared" si="15"/>
        <v>4797.8599999999997</v>
      </c>
      <c r="U10" s="14">
        <f t="shared" si="16"/>
        <v>0</v>
      </c>
      <c r="V10" s="14">
        <f t="shared" si="17"/>
        <v>47978.63</v>
      </c>
      <c r="W10" s="14">
        <f t="shared" si="18"/>
        <v>0</v>
      </c>
    </row>
    <row r="11" spans="1:30" x14ac:dyDescent="0.25">
      <c r="A11" s="15">
        <v>44963</v>
      </c>
      <c r="B11" s="14">
        <f>Summary!$G$12/28</f>
        <v>190391.39</v>
      </c>
      <c r="C11" s="14">
        <v>30</v>
      </c>
      <c r="D11" s="14">
        <v>18.899999999999999</v>
      </c>
      <c r="E11" s="14">
        <f t="shared" si="4"/>
        <v>18.899999999999999</v>
      </c>
      <c r="F11" s="14">
        <f t="shared" si="5"/>
        <v>114234.83</v>
      </c>
      <c r="G11" s="14">
        <f t="shared" si="6"/>
        <v>71967.94</v>
      </c>
      <c r="H11" s="14">
        <f t="shared" si="7"/>
        <v>76156.56</v>
      </c>
      <c r="I11" s="14">
        <f t="shared" si="8"/>
        <v>47978.63</v>
      </c>
      <c r="J11" s="14">
        <v>7</v>
      </c>
      <c r="K11" s="14">
        <f t="shared" si="9"/>
        <v>23989.32</v>
      </c>
      <c r="L11" s="14">
        <f t="shared" si="10"/>
        <v>0</v>
      </c>
      <c r="M11" s="14">
        <v>96</v>
      </c>
      <c r="N11" s="14">
        <f t="shared" si="11"/>
        <v>7196.79</v>
      </c>
      <c r="O11" s="14">
        <f t="shared" si="12"/>
        <v>0</v>
      </c>
      <c r="P11" s="14">
        <v>8</v>
      </c>
      <c r="Q11" s="14">
        <f t="shared" si="13"/>
        <v>11994.66</v>
      </c>
      <c r="R11" s="14">
        <f t="shared" si="14"/>
        <v>0</v>
      </c>
      <c r="S11" s="14">
        <v>900</v>
      </c>
      <c r="T11" s="14">
        <f t="shared" si="15"/>
        <v>4797.8599999999997</v>
      </c>
      <c r="U11" s="14">
        <f t="shared" si="16"/>
        <v>0</v>
      </c>
      <c r="V11" s="14">
        <f t="shared" si="17"/>
        <v>47978.63</v>
      </c>
      <c r="W11" s="14">
        <f t="shared" si="18"/>
        <v>0</v>
      </c>
    </row>
    <row r="12" spans="1:30" s="120" customFormat="1" x14ac:dyDescent="0.25">
      <c r="A12" s="117">
        <v>44964</v>
      </c>
      <c r="B12" s="118">
        <f>Summary!$G$12/28</f>
        <v>190391.39</v>
      </c>
      <c r="C12" s="118">
        <v>30</v>
      </c>
      <c r="D12" s="14">
        <v>18.899999999999999</v>
      </c>
      <c r="E12" s="118">
        <f t="shared" si="4"/>
        <v>18.899999999999999</v>
      </c>
      <c r="F12" s="118">
        <f t="shared" si="5"/>
        <v>114234.83</v>
      </c>
      <c r="G12" s="14">
        <f t="shared" si="6"/>
        <v>71967.94</v>
      </c>
      <c r="H12" s="118">
        <f t="shared" si="7"/>
        <v>76156.56</v>
      </c>
      <c r="I12" s="14">
        <f t="shared" si="8"/>
        <v>47978.63</v>
      </c>
      <c r="J12" s="118">
        <v>7</v>
      </c>
      <c r="K12" s="14">
        <f t="shared" si="9"/>
        <v>23989.32</v>
      </c>
      <c r="L12" s="14">
        <f t="shared" si="10"/>
        <v>0</v>
      </c>
      <c r="M12" s="118">
        <v>54</v>
      </c>
      <c r="N12" s="14">
        <f t="shared" si="11"/>
        <v>7196.79</v>
      </c>
      <c r="O12" s="14">
        <f t="shared" si="12"/>
        <v>0</v>
      </c>
      <c r="P12" s="118">
        <v>9</v>
      </c>
      <c r="Q12" s="14">
        <f t="shared" si="13"/>
        <v>11994.66</v>
      </c>
      <c r="R12" s="14">
        <f t="shared" si="14"/>
        <v>0</v>
      </c>
      <c r="S12" s="118">
        <v>930</v>
      </c>
      <c r="T12" s="14">
        <f t="shared" si="15"/>
        <v>4797.8599999999997</v>
      </c>
      <c r="U12" s="14">
        <f t="shared" si="16"/>
        <v>0</v>
      </c>
      <c r="V12" s="14">
        <f t="shared" si="17"/>
        <v>47978.63</v>
      </c>
      <c r="W12" s="14">
        <f t="shared" si="18"/>
        <v>0</v>
      </c>
      <c r="X12" s="125" t="s">
        <v>132</v>
      </c>
    </row>
    <row r="13" spans="1:30" s="114" customFormat="1" x14ac:dyDescent="0.25">
      <c r="A13" s="112">
        <v>44965</v>
      </c>
      <c r="B13" s="113">
        <f>Summary!$G$12/28</f>
        <v>190391.39</v>
      </c>
      <c r="C13" s="113">
        <v>30</v>
      </c>
      <c r="D13" s="14">
        <v>18.899999999999999</v>
      </c>
      <c r="E13" s="113">
        <f t="shared" si="4"/>
        <v>18.899999999999999</v>
      </c>
      <c r="F13" s="113">
        <f t="shared" si="5"/>
        <v>114234.83</v>
      </c>
      <c r="G13" s="14">
        <f t="shared" si="6"/>
        <v>71967.94</v>
      </c>
      <c r="H13" s="113">
        <f t="shared" si="7"/>
        <v>76156.56</v>
      </c>
      <c r="I13" s="14">
        <f t="shared" si="8"/>
        <v>47978.63</v>
      </c>
      <c r="J13" s="113">
        <v>8</v>
      </c>
      <c r="K13" s="14">
        <f t="shared" si="9"/>
        <v>23989.32</v>
      </c>
      <c r="L13" s="14">
        <f t="shared" si="10"/>
        <v>0</v>
      </c>
      <c r="M13" s="113">
        <v>96</v>
      </c>
      <c r="N13" s="14">
        <f t="shared" si="11"/>
        <v>7196.79</v>
      </c>
      <c r="O13" s="14">
        <f t="shared" si="12"/>
        <v>0</v>
      </c>
      <c r="P13" s="113">
        <v>9</v>
      </c>
      <c r="Q13" s="14">
        <f t="shared" si="13"/>
        <v>11994.66</v>
      </c>
      <c r="R13" s="14">
        <f t="shared" si="14"/>
        <v>0</v>
      </c>
      <c r="S13" s="113">
        <v>2</v>
      </c>
      <c r="T13" s="14">
        <f t="shared" si="15"/>
        <v>4797.8599999999997</v>
      </c>
      <c r="U13" s="14">
        <f t="shared" si="16"/>
        <v>0</v>
      </c>
      <c r="V13" s="14">
        <f t="shared" si="17"/>
        <v>47978.63</v>
      </c>
      <c r="W13" s="14">
        <f t="shared" si="18"/>
        <v>0</v>
      </c>
      <c r="X13" s="124" t="s">
        <v>131</v>
      </c>
    </row>
    <row r="14" spans="1:30" x14ac:dyDescent="0.25">
      <c r="A14" s="15">
        <v>44966</v>
      </c>
      <c r="B14" s="14">
        <f>Summary!$G$12/28</f>
        <v>190391.39</v>
      </c>
      <c r="C14" s="14">
        <v>30</v>
      </c>
      <c r="D14" s="14">
        <v>18.899999999999999</v>
      </c>
      <c r="E14" s="14">
        <f t="shared" si="4"/>
        <v>18.899999999999999</v>
      </c>
      <c r="F14" s="14">
        <f t="shared" si="5"/>
        <v>114234.83</v>
      </c>
      <c r="G14" s="14">
        <f t="shared" si="6"/>
        <v>71967.94</v>
      </c>
      <c r="H14" s="14">
        <f t="shared" si="7"/>
        <v>76156.56</v>
      </c>
      <c r="I14" s="14">
        <f t="shared" si="8"/>
        <v>47978.63</v>
      </c>
      <c r="J14" s="14">
        <v>7</v>
      </c>
      <c r="K14" s="14">
        <f t="shared" si="9"/>
        <v>23989.32</v>
      </c>
      <c r="L14" s="14">
        <f t="shared" si="10"/>
        <v>0</v>
      </c>
      <c r="M14" s="14">
        <v>64</v>
      </c>
      <c r="N14" s="14">
        <f t="shared" si="11"/>
        <v>7196.79</v>
      </c>
      <c r="O14" s="14">
        <f t="shared" si="12"/>
        <v>0</v>
      </c>
      <c r="P14" s="14">
        <v>9</v>
      </c>
      <c r="Q14" s="14">
        <f t="shared" si="13"/>
        <v>11994.66</v>
      </c>
      <c r="R14" s="14">
        <f t="shared" si="14"/>
        <v>0</v>
      </c>
      <c r="S14" s="14">
        <v>680</v>
      </c>
      <c r="T14" s="14">
        <f t="shared" si="15"/>
        <v>4797.8599999999997</v>
      </c>
      <c r="U14" s="14">
        <f t="shared" si="16"/>
        <v>0</v>
      </c>
      <c r="V14" s="14">
        <f t="shared" si="17"/>
        <v>47978.63</v>
      </c>
      <c r="W14" s="14">
        <f t="shared" si="18"/>
        <v>0</v>
      </c>
    </row>
    <row r="15" spans="1:30" x14ac:dyDescent="0.25">
      <c r="A15" s="15">
        <v>44967</v>
      </c>
      <c r="B15" s="14">
        <f>Summary!$G$12/28</f>
        <v>190391.39</v>
      </c>
      <c r="C15" s="14">
        <v>30</v>
      </c>
      <c r="D15" s="14">
        <v>18.899999999999999</v>
      </c>
      <c r="E15" s="14">
        <f t="shared" si="4"/>
        <v>18.899999999999999</v>
      </c>
      <c r="F15" s="14">
        <f t="shared" si="5"/>
        <v>114234.83</v>
      </c>
      <c r="G15" s="14">
        <f t="shared" si="6"/>
        <v>71967.94</v>
      </c>
      <c r="H15" s="14">
        <f t="shared" si="7"/>
        <v>76156.56</v>
      </c>
      <c r="I15" s="14">
        <f t="shared" si="8"/>
        <v>47978.63</v>
      </c>
      <c r="J15" s="14">
        <v>6.5</v>
      </c>
      <c r="K15" s="14">
        <f t="shared" si="9"/>
        <v>23989.32</v>
      </c>
      <c r="L15" s="14">
        <f t="shared" si="10"/>
        <v>0</v>
      </c>
      <c r="M15" s="14">
        <v>80</v>
      </c>
      <c r="N15" s="14">
        <f t="shared" si="11"/>
        <v>7196.79</v>
      </c>
      <c r="O15" s="14">
        <f t="shared" si="12"/>
        <v>0</v>
      </c>
      <c r="P15" s="14">
        <v>7</v>
      </c>
      <c r="Q15" s="14">
        <f t="shared" si="13"/>
        <v>11994.66</v>
      </c>
      <c r="R15" s="14">
        <f t="shared" si="14"/>
        <v>0</v>
      </c>
      <c r="S15" s="14">
        <v>490</v>
      </c>
      <c r="T15" s="14">
        <f t="shared" si="15"/>
        <v>4797.8599999999997</v>
      </c>
      <c r="U15" s="14">
        <f t="shared" si="16"/>
        <v>0</v>
      </c>
      <c r="V15" s="14">
        <f t="shared" si="17"/>
        <v>47978.63</v>
      </c>
      <c r="W15" s="14">
        <f t="shared" si="18"/>
        <v>0</v>
      </c>
    </row>
    <row r="16" spans="1:30" x14ac:dyDescent="0.25">
      <c r="A16" s="15">
        <v>44968</v>
      </c>
      <c r="B16" s="14">
        <f>Summary!$G$12/28</f>
        <v>190391.39</v>
      </c>
      <c r="C16" s="14">
        <v>30</v>
      </c>
      <c r="D16" s="14">
        <v>18.899999999999999</v>
      </c>
      <c r="E16" s="14">
        <f t="shared" si="4"/>
        <v>18.899999999999999</v>
      </c>
      <c r="F16" s="14">
        <f t="shared" si="5"/>
        <v>114234.83</v>
      </c>
      <c r="G16" s="14">
        <f t="shared" si="6"/>
        <v>71967.94</v>
      </c>
      <c r="H16" s="14">
        <f t="shared" si="7"/>
        <v>76156.56</v>
      </c>
      <c r="I16" s="14">
        <f t="shared" si="8"/>
        <v>47978.63</v>
      </c>
      <c r="J16" s="14">
        <v>8</v>
      </c>
      <c r="K16" s="14">
        <f t="shared" si="9"/>
        <v>23989.32</v>
      </c>
      <c r="L16" s="14">
        <f t="shared" si="10"/>
        <v>0</v>
      </c>
      <c r="M16" s="14">
        <v>60</v>
      </c>
      <c r="N16" s="14">
        <f t="shared" si="11"/>
        <v>7196.79</v>
      </c>
      <c r="O16" s="14">
        <f t="shared" si="12"/>
        <v>0</v>
      </c>
      <c r="P16" s="14">
        <v>8</v>
      </c>
      <c r="Q16" s="14">
        <f t="shared" si="13"/>
        <v>11994.66</v>
      </c>
      <c r="R16" s="14">
        <f t="shared" si="14"/>
        <v>0</v>
      </c>
      <c r="S16" s="14">
        <v>600</v>
      </c>
      <c r="T16" s="14">
        <f t="shared" si="15"/>
        <v>4797.8599999999997</v>
      </c>
      <c r="U16" s="14">
        <f t="shared" si="16"/>
        <v>0</v>
      </c>
      <c r="V16" s="14">
        <f t="shared" si="17"/>
        <v>47978.63</v>
      </c>
      <c r="W16" s="14">
        <f t="shared" si="18"/>
        <v>0</v>
      </c>
    </row>
    <row r="17" spans="1:24" x14ac:dyDescent="0.25">
      <c r="A17" s="15">
        <v>44969</v>
      </c>
      <c r="B17" s="14">
        <f>Summary!$G$12/28</f>
        <v>190391.39</v>
      </c>
      <c r="C17" s="14">
        <v>30</v>
      </c>
      <c r="D17" s="14">
        <v>18.899999999999999</v>
      </c>
      <c r="E17" s="14">
        <f t="shared" si="4"/>
        <v>18.899999999999999</v>
      </c>
      <c r="F17" s="14">
        <f t="shared" si="5"/>
        <v>114234.83</v>
      </c>
      <c r="G17" s="14">
        <f t="shared" si="6"/>
        <v>71967.94</v>
      </c>
      <c r="H17" s="14">
        <f t="shared" si="7"/>
        <v>76156.56</v>
      </c>
      <c r="I17" s="14">
        <f t="shared" si="8"/>
        <v>47978.63</v>
      </c>
      <c r="J17" s="14">
        <v>9</v>
      </c>
      <c r="K17" s="14">
        <f t="shared" si="9"/>
        <v>23989.32</v>
      </c>
      <c r="L17" s="14">
        <f t="shared" si="10"/>
        <v>0</v>
      </c>
      <c r="M17" s="14">
        <v>87</v>
      </c>
      <c r="N17" s="14">
        <f t="shared" si="11"/>
        <v>7196.79</v>
      </c>
      <c r="O17" s="14">
        <f t="shared" si="12"/>
        <v>0</v>
      </c>
      <c r="P17" s="14">
        <v>9</v>
      </c>
      <c r="Q17" s="14">
        <f t="shared" si="13"/>
        <v>11994.66</v>
      </c>
      <c r="R17" s="14">
        <f t="shared" si="14"/>
        <v>0</v>
      </c>
      <c r="S17" s="14">
        <v>760</v>
      </c>
      <c r="T17" s="14">
        <f t="shared" si="15"/>
        <v>4797.8599999999997</v>
      </c>
      <c r="U17" s="14">
        <f t="shared" si="16"/>
        <v>0</v>
      </c>
      <c r="V17" s="14">
        <f t="shared" si="17"/>
        <v>47978.63</v>
      </c>
      <c r="W17" s="14">
        <f t="shared" si="18"/>
        <v>0</v>
      </c>
    </row>
    <row r="18" spans="1:24" x14ac:dyDescent="0.25">
      <c r="A18" s="15">
        <v>44970</v>
      </c>
      <c r="B18" s="14">
        <f>Summary!$G$12/28</f>
        <v>190391.39</v>
      </c>
      <c r="C18" s="14">
        <v>30</v>
      </c>
      <c r="D18" s="14">
        <v>18.899999999999999</v>
      </c>
      <c r="E18" s="14">
        <f t="shared" si="4"/>
        <v>18.899999999999999</v>
      </c>
      <c r="F18" s="14">
        <f t="shared" si="5"/>
        <v>114234.83</v>
      </c>
      <c r="G18" s="14">
        <f t="shared" si="6"/>
        <v>71967.94</v>
      </c>
      <c r="H18" s="14">
        <f t="shared" si="7"/>
        <v>76156.56</v>
      </c>
      <c r="I18" s="14">
        <f t="shared" si="8"/>
        <v>47978.63</v>
      </c>
      <c r="J18" s="14">
        <v>9</v>
      </c>
      <c r="K18" s="14">
        <f t="shared" si="9"/>
        <v>23989.32</v>
      </c>
      <c r="L18" s="14">
        <f t="shared" si="10"/>
        <v>0</v>
      </c>
      <c r="M18" s="14">
        <v>85</v>
      </c>
      <c r="N18" s="14">
        <f t="shared" si="11"/>
        <v>7196.79</v>
      </c>
      <c r="O18" s="14">
        <f t="shared" si="12"/>
        <v>0</v>
      </c>
      <c r="P18" s="14">
        <v>9</v>
      </c>
      <c r="Q18" s="14">
        <f t="shared" si="13"/>
        <v>11994.66</v>
      </c>
      <c r="R18" s="14">
        <f t="shared" si="14"/>
        <v>0</v>
      </c>
      <c r="S18" s="14">
        <v>950</v>
      </c>
      <c r="T18" s="14">
        <f t="shared" si="15"/>
        <v>4797.8599999999997</v>
      </c>
      <c r="U18" s="14">
        <f t="shared" si="16"/>
        <v>0</v>
      </c>
      <c r="V18" s="14">
        <f t="shared" si="17"/>
        <v>47978.63</v>
      </c>
      <c r="W18" s="14">
        <f t="shared" si="18"/>
        <v>0</v>
      </c>
    </row>
    <row r="19" spans="1:24" s="120" customFormat="1" x14ac:dyDescent="0.25">
      <c r="A19" s="117">
        <v>44971</v>
      </c>
      <c r="B19" s="118">
        <f>Summary!$G$12/28</f>
        <v>190391.39</v>
      </c>
      <c r="C19" s="118">
        <v>30</v>
      </c>
      <c r="D19" s="14">
        <v>18.899999999999999</v>
      </c>
      <c r="E19" s="118">
        <f t="shared" si="4"/>
        <v>18.899999999999999</v>
      </c>
      <c r="F19" s="118">
        <f t="shared" si="5"/>
        <v>114234.83</v>
      </c>
      <c r="G19" s="14">
        <f t="shared" si="6"/>
        <v>71967.94</v>
      </c>
      <c r="H19" s="118">
        <f t="shared" si="7"/>
        <v>76156.56</v>
      </c>
      <c r="I19" s="14">
        <f t="shared" si="8"/>
        <v>47978.63</v>
      </c>
      <c r="J19" s="118">
        <v>9</v>
      </c>
      <c r="K19" s="14">
        <f t="shared" si="9"/>
        <v>23989.32</v>
      </c>
      <c r="L19" s="14">
        <f t="shared" si="10"/>
        <v>0</v>
      </c>
      <c r="M19" s="118">
        <v>99</v>
      </c>
      <c r="N19" s="14">
        <f t="shared" si="11"/>
        <v>7196.79</v>
      </c>
      <c r="O19" s="14">
        <f t="shared" si="12"/>
        <v>0</v>
      </c>
      <c r="P19" s="118">
        <v>8</v>
      </c>
      <c r="Q19" s="14">
        <f t="shared" si="13"/>
        <v>11994.66</v>
      </c>
      <c r="R19" s="14">
        <f t="shared" si="14"/>
        <v>0</v>
      </c>
      <c r="S19" s="121">
        <v>5400</v>
      </c>
      <c r="T19" s="14">
        <v>0</v>
      </c>
      <c r="U19" s="14">
        <f t="shared" si="16"/>
        <v>10000</v>
      </c>
      <c r="V19" s="14">
        <f t="shared" si="17"/>
        <v>43180.77</v>
      </c>
      <c r="W19" s="14">
        <f t="shared" si="18"/>
        <v>10000</v>
      </c>
      <c r="X19" s="125" t="s">
        <v>133</v>
      </c>
    </row>
    <row r="20" spans="1:24" x14ac:dyDescent="0.25">
      <c r="A20" s="15">
        <v>44972</v>
      </c>
      <c r="B20" s="14">
        <f>Summary!$G$12/28</f>
        <v>190391.39</v>
      </c>
      <c r="C20" s="14">
        <v>30</v>
      </c>
      <c r="D20" s="14">
        <v>18.899999999999999</v>
      </c>
      <c r="E20" s="14">
        <f t="shared" si="4"/>
        <v>18.899999999999999</v>
      </c>
      <c r="F20" s="14">
        <f t="shared" si="5"/>
        <v>114234.83</v>
      </c>
      <c r="G20" s="14">
        <f t="shared" si="6"/>
        <v>71967.94</v>
      </c>
      <c r="H20" s="14">
        <f t="shared" si="7"/>
        <v>76156.56</v>
      </c>
      <c r="I20" s="14">
        <f t="shared" si="8"/>
        <v>47978.63</v>
      </c>
      <c r="J20" s="14">
        <v>10</v>
      </c>
      <c r="K20" s="14">
        <f t="shared" si="9"/>
        <v>23989.32</v>
      </c>
      <c r="L20" s="14">
        <f t="shared" si="10"/>
        <v>0</v>
      </c>
      <c r="M20" s="14">
        <v>84</v>
      </c>
      <c r="N20" s="14">
        <f t="shared" si="11"/>
        <v>7196.79</v>
      </c>
      <c r="O20" s="14">
        <f t="shared" si="12"/>
        <v>0</v>
      </c>
      <c r="P20" s="14">
        <v>11</v>
      </c>
      <c r="Q20" s="14">
        <v>0</v>
      </c>
      <c r="R20" s="14">
        <v>0</v>
      </c>
      <c r="S20" s="121">
        <v>730</v>
      </c>
      <c r="T20" s="14">
        <v>0</v>
      </c>
      <c r="U20" s="14">
        <v>10000</v>
      </c>
      <c r="V20" s="14">
        <f t="shared" si="17"/>
        <v>31186.11</v>
      </c>
      <c r="W20" s="14">
        <f t="shared" si="18"/>
        <v>10000</v>
      </c>
    </row>
    <row r="21" spans="1:24" x14ac:dyDescent="0.25">
      <c r="A21" s="15">
        <v>44973</v>
      </c>
      <c r="B21" s="14">
        <f>Summary!$G$12/28</f>
        <v>190391.39</v>
      </c>
      <c r="C21" s="14">
        <v>30</v>
      </c>
      <c r="D21" s="14">
        <v>18.899999999999999</v>
      </c>
      <c r="E21" s="14">
        <f t="shared" si="4"/>
        <v>18.899999999999999</v>
      </c>
      <c r="F21" s="14">
        <f t="shared" si="5"/>
        <v>114234.83</v>
      </c>
      <c r="G21" s="14">
        <f t="shared" si="6"/>
        <v>71967.94</v>
      </c>
      <c r="H21" s="14">
        <f t="shared" si="7"/>
        <v>76156.56</v>
      </c>
      <c r="I21" s="14">
        <f t="shared" si="8"/>
        <v>47978.63</v>
      </c>
      <c r="J21" s="14">
        <v>10</v>
      </c>
      <c r="K21" s="14">
        <f t="shared" si="9"/>
        <v>23989.32</v>
      </c>
      <c r="L21" s="14">
        <f t="shared" si="10"/>
        <v>0</v>
      </c>
      <c r="M21" s="14">
        <v>98</v>
      </c>
      <c r="N21" s="14">
        <f t="shared" si="11"/>
        <v>7196.79</v>
      </c>
      <c r="O21" s="14">
        <f t="shared" si="12"/>
        <v>0</v>
      </c>
      <c r="P21" s="14">
        <v>10</v>
      </c>
      <c r="Q21" s="14">
        <f t="shared" si="13"/>
        <v>11994.66</v>
      </c>
      <c r="R21" s="14">
        <f t="shared" si="14"/>
        <v>0</v>
      </c>
      <c r="S21" s="121">
        <v>910</v>
      </c>
      <c r="T21" s="14">
        <v>0</v>
      </c>
      <c r="U21" s="14">
        <v>10000</v>
      </c>
      <c r="V21" s="14">
        <f t="shared" si="17"/>
        <v>43180.77</v>
      </c>
      <c r="W21" s="14">
        <f t="shared" si="18"/>
        <v>10000</v>
      </c>
    </row>
    <row r="22" spans="1:24" x14ac:dyDescent="0.25">
      <c r="A22" s="15">
        <v>44974</v>
      </c>
      <c r="B22" s="14">
        <f>Summary!$G$12/28</f>
        <v>190391.39</v>
      </c>
      <c r="C22" s="14">
        <v>30</v>
      </c>
      <c r="D22" s="14">
        <v>18.899999999999999</v>
      </c>
      <c r="E22" s="14">
        <f t="shared" si="4"/>
        <v>18.899999999999999</v>
      </c>
      <c r="F22" s="14">
        <f t="shared" si="5"/>
        <v>114234.83</v>
      </c>
      <c r="G22" s="14">
        <f t="shared" si="6"/>
        <v>71967.94</v>
      </c>
      <c r="H22" s="14">
        <f t="shared" si="7"/>
        <v>76156.56</v>
      </c>
      <c r="I22" s="14">
        <f t="shared" si="8"/>
        <v>47978.63</v>
      </c>
      <c r="J22" s="14">
        <v>9</v>
      </c>
      <c r="K22" s="14">
        <f t="shared" si="9"/>
        <v>23989.32</v>
      </c>
      <c r="L22" s="14">
        <f t="shared" si="10"/>
        <v>0</v>
      </c>
      <c r="M22" s="14">
        <v>86</v>
      </c>
      <c r="N22" s="14">
        <f t="shared" si="11"/>
        <v>7196.79</v>
      </c>
      <c r="O22" s="14">
        <f t="shared" si="12"/>
        <v>0</v>
      </c>
      <c r="P22" s="14">
        <v>10</v>
      </c>
      <c r="Q22" s="14">
        <f t="shared" si="13"/>
        <v>11994.66</v>
      </c>
      <c r="R22" s="14">
        <f t="shared" si="14"/>
        <v>0</v>
      </c>
      <c r="S22" s="121">
        <v>840</v>
      </c>
      <c r="T22" s="14">
        <v>0</v>
      </c>
      <c r="U22" s="14">
        <v>10000</v>
      </c>
      <c r="V22" s="14">
        <f t="shared" si="17"/>
        <v>43180.77</v>
      </c>
      <c r="W22" s="14">
        <f t="shared" si="18"/>
        <v>10000</v>
      </c>
    </row>
    <row r="23" spans="1:24" x14ac:dyDescent="0.25">
      <c r="A23" s="15">
        <v>44975</v>
      </c>
      <c r="B23" s="14">
        <f>Summary!$G$12/28</f>
        <v>190391.39</v>
      </c>
      <c r="C23" s="14">
        <v>30</v>
      </c>
      <c r="D23" s="14">
        <v>18.899999999999999</v>
      </c>
      <c r="E23" s="14">
        <f t="shared" si="4"/>
        <v>18.899999999999999</v>
      </c>
      <c r="F23" s="14">
        <f t="shared" si="5"/>
        <v>114234.83</v>
      </c>
      <c r="G23" s="14">
        <f t="shared" si="6"/>
        <v>71967.94</v>
      </c>
      <c r="H23" s="14">
        <f t="shared" si="7"/>
        <v>76156.56</v>
      </c>
      <c r="I23" s="14">
        <f t="shared" si="8"/>
        <v>47978.63</v>
      </c>
      <c r="J23" s="14">
        <v>9</v>
      </c>
      <c r="K23" s="14">
        <f t="shared" si="9"/>
        <v>23989.32</v>
      </c>
      <c r="L23" s="14">
        <f t="shared" si="10"/>
        <v>0</v>
      </c>
      <c r="M23" s="14">
        <v>86</v>
      </c>
      <c r="N23" s="14">
        <f t="shared" si="11"/>
        <v>7196.79</v>
      </c>
      <c r="O23" s="14">
        <f t="shared" si="12"/>
        <v>0</v>
      </c>
      <c r="P23" s="14">
        <v>9</v>
      </c>
      <c r="Q23" s="14">
        <f t="shared" si="13"/>
        <v>11994.66</v>
      </c>
      <c r="R23" s="14">
        <f t="shared" si="14"/>
        <v>0</v>
      </c>
      <c r="S23" s="121">
        <v>810</v>
      </c>
      <c r="T23" s="14">
        <v>0</v>
      </c>
      <c r="U23" s="14">
        <v>10000</v>
      </c>
      <c r="V23" s="14">
        <f t="shared" si="17"/>
        <v>43180.77</v>
      </c>
      <c r="W23" s="14">
        <f t="shared" si="18"/>
        <v>10000</v>
      </c>
    </row>
    <row r="24" spans="1:24" x14ac:dyDescent="0.25">
      <c r="A24" s="15">
        <v>44976</v>
      </c>
      <c r="B24" s="14">
        <f>Summary!$G$12/28</f>
        <v>190391.39</v>
      </c>
      <c r="C24" s="14">
        <v>30</v>
      </c>
      <c r="D24" s="14">
        <v>18.899999999999999</v>
      </c>
      <c r="E24" s="14">
        <f t="shared" si="4"/>
        <v>18.899999999999999</v>
      </c>
      <c r="F24" s="14">
        <f t="shared" si="5"/>
        <v>114234.83</v>
      </c>
      <c r="G24" s="14">
        <f t="shared" si="6"/>
        <v>71967.94</v>
      </c>
      <c r="H24" s="14">
        <f t="shared" si="7"/>
        <v>76156.56</v>
      </c>
      <c r="I24" s="14">
        <f t="shared" si="8"/>
        <v>47978.63</v>
      </c>
      <c r="J24" s="14">
        <v>8</v>
      </c>
      <c r="K24" s="14">
        <f t="shared" si="9"/>
        <v>23989.32</v>
      </c>
      <c r="L24" s="14">
        <f t="shared" si="10"/>
        <v>0</v>
      </c>
      <c r="M24" s="14">
        <v>97</v>
      </c>
      <c r="N24" s="14">
        <f t="shared" si="11"/>
        <v>7196.79</v>
      </c>
      <c r="O24" s="14">
        <f t="shared" si="12"/>
        <v>0</v>
      </c>
      <c r="P24" s="14">
        <v>9</v>
      </c>
      <c r="Q24" s="14">
        <f t="shared" si="13"/>
        <v>11994.66</v>
      </c>
      <c r="R24" s="14">
        <f t="shared" si="14"/>
        <v>0</v>
      </c>
      <c r="S24" s="121">
        <v>930</v>
      </c>
      <c r="T24" s="14">
        <v>0</v>
      </c>
      <c r="U24" s="14">
        <v>10000</v>
      </c>
      <c r="V24" s="14">
        <f t="shared" si="17"/>
        <v>43180.77</v>
      </c>
      <c r="W24" s="14">
        <f t="shared" si="18"/>
        <v>10000</v>
      </c>
    </row>
    <row r="25" spans="1:24" x14ac:dyDescent="0.25">
      <c r="A25" s="15">
        <v>44977</v>
      </c>
      <c r="B25" s="14">
        <f>Summary!$G$12/28</f>
        <v>190391.39</v>
      </c>
      <c r="C25" s="14">
        <v>30</v>
      </c>
      <c r="D25" s="14">
        <v>18.899999999999999</v>
      </c>
      <c r="E25" s="14">
        <f t="shared" si="4"/>
        <v>18.899999999999999</v>
      </c>
      <c r="F25" s="14">
        <f t="shared" si="5"/>
        <v>114234.83</v>
      </c>
      <c r="G25" s="14">
        <f t="shared" si="6"/>
        <v>71967.94</v>
      </c>
      <c r="H25" s="14">
        <f t="shared" si="7"/>
        <v>76156.56</v>
      </c>
      <c r="I25" s="14">
        <f t="shared" si="8"/>
        <v>47978.63</v>
      </c>
      <c r="J25" s="14">
        <v>7</v>
      </c>
      <c r="K25" s="14">
        <f t="shared" si="9"/>
        <v>23989.32</v>
      </c>
      <c r="L25" s="14">
        <f t="shared" si="10"/>
        <v>0</v>
      </c>
      <c r="M25" s="14">
        <v>83</v>
      </c>
      <c r="N25" s="14">
        <f t="shared" si="11"/>
        <v>7196.79</v>
      </c>
      <c r="O25" s="14">
        <f t="shared" si="12"/>
        <v>0</v>
      </c>
      <c r="P25" s="14">
        <v>10</v>
      </c>
      <c r="Q25" s="14">
        <f t="shared" si="13"/>
        <v>11994.66</v>
      </c>
      <c r="R25" s="14">
        <f t="shared" si="14"/>
        <v>0</v>
      </c>
      <c r="S25" s="121">
        <v>810</v>
      </c>
      <c r="T25" s="14">
        <v>0</v>
      </c>
      <c r="U25" s="14">
        <v>10000</v>
      </c>
      <c r="V25" s="14">
        <f t="shared" si="17"/>
        <v>43180.77</v>
      </c>
      <c r="W25" s="14">
        <f t="shared" si="18"/>
        <v>10000</v>
      </c>
    </row>
    <row r="26" spans="1:24" s="120" customFormat="1" x14ac:dyDescent="0.25">
      <c r="A26" s="117">
        <v>44978</v>
      </c>
      <c r="B26" s="118">
        <f>Summary!$G$12/28</f>
        <v>190391.39</v>
      </c>
      <c r="C26" s="118">
        <v>30</v>
      </c>
      <c r="D26" s="14">
        <v>18.899999999999999</v>
      </c>
      <c r="E26" s="118">
        <f t="shared" si="4"/>
        <v>18.899999999999999</v>
      </c>
      <c r="F26" s="118">
        <f t="shared" si="5"/>
        <v>114234.83</v>
      </c>
      <c r="G26" s="14">
        <f t="shared" si="6"/>
        <v>71967.94</v>
      </c>
      <c r="H26" s="118">
        <f t="shared" si="7"/>
        <v>76156.56</v>
      </c>
      <c r="I26" s="14">
        <f t="shared" si="8"/>
        <v>47978.63</v>
      </c>
      <c r="J26" s="121">
        <v>20</v>
      </c>
      <c r="K26" s="14">
        <v>0</v>
      </c>
      <c r="L26" s="14">
        <f t="shared" si="10"/>
        <v>10000</v>
      </c>
      <c r="M26" s="118">
        <v>80</v>
      </c>
      <c r="N26" s="14">
        <f t="shared" si="11"/>
        <v>7196.79</v>
      </c>
      <c r="O26" s="14">
        <f t="shared" si="12"/>
        <v>0</v>
      </c>
      <c r="P26" s="121">
        <v>30</v>
      </c>
      <c r="Q26" s="14">
        <v>0</v>
      </c>
      <c r="R26" s="14">
        <f t="shared" si="14"/>
        <v>10000</v>
      </c>
      <c r="S26" s="121">
        <v>31000</v>
      </c>
      <c r="T26" s="14">
        <v>0</v>
      </c>
      <c r="U26" s="14">
        <f t="shared" si="16"/>
        <v>10000</v>
      </c>
      <c r="V26" s="14">
        <f t="shared" si="17"/>
        <v>7196.79</v>
      </c>
      <c r="W26" s="14">
        <f t="shared" si="18"/>
        <v>30000</v>
      </c>
      <c r="X26" s="125" t="s">
        <v>133</v>
      </c>
    </row>
    <row r="27" spans="1:24" x14ac:dyDescent="0.25">
      <c r="A27" s="15">
        <v>44979</v>
      </c>
      <c r="B27" s="14">
        <f>Summary!$G$12/28</f>
        <v>190391.39</v>
      </c>
      <c r="C27" s="14">
        <v>30</v>
      </c>
      <c r="D27" s="14">
        <v>18.899999999999999</v>
      </c>
      <c r="E27" s="14">
        <f t="shared" si="4"/>
        <v>18.899999999999999</v>
      </c>
      <c r="F27" s="14">
        <f t="shared" si="5"/>
        <v>114234.83</v>
      </c>
      <c r="G27" s="14">
        <f t="shared" si="6"/>
        <v>71967.94</v>
      </c>
      <c r="H27" s="14">
        <f t="shared" si="7"/>
        <v>76156.56</v>
      </c>
      <c r="I27" s="14">
        <f t="shared" si="8"/>
        <v>47978.63</v>
      </c>
      <c r="J27" s="14">
        <v>7</v>
      </c>
      <c r="K27" s="14">
        <f t="shared" si="9"/>
        <v>23989.32</v>
      </c>
      <c r="L27" s="14">
        <f t="shared" si="10"/>
        <v>0</v>
      </c>
      <c r="M27" s="14">
        <v>72</v>
      </c>
      <c r="N27" s="14">
        <f t="shared" si="11"/>
        <v>7196.79</v>
      </c>
      <c r="O27" s="14">
        <f t="shared" si="12"/>
        <v>0</v>
      </c>
      <c r="P27" s="14">
        <v>8</v>
      </c>
      <c r="Q27" s="14">
        <f t="shared" si="13"/>
        <v>11994.66</v>
      </c>
      <c r="R27" s="14">
        <f t="shared" si="14"/>
        <v>0</v>
      </c>
      <c r="S27" s="14">
        <v>790</v>
      </c>
      <c r="T27" s="14">
        <f t="shared" si="15"/>
        <v>4797.8599999999997</v>
      </c>
      <c r="U27" s="14">
        <f t="shared" si="16"/>
        <v>0</v>
      </c>
      <c r="V27" s="14">
        <f t="shared" si="17"/>
        <v>47978.63</v>
      </c>
      <c r="W27" s="14">
        <f t="shared" si="18"/>
        <v>0</v>
      </c>
    </row>
    <row r="28" spans="1:24" x14ac:dyDescent="0.25">
      <c r="A28" s="15">
        <v>44980</v>
      </c>
      <c r="B28" s="14">
        <f>Summary!$G$12/28</f>
        <v>190391.39</v>
      </c>
      <c r="C28" s="14">
        <v>30</v>
      </c>
      <c r="D28" s="14">
        <v>18.899999999999999</v>
      </c>
      <c r="E28" s="14">
        <f t="shared" si="4"/>
        <v>18.899999999999999</v>
      </c>
      <c r="F28" s="14">
        <f t="shared" si="5"/>
        <v>114234.83</v>
      </c>
      <c r="G28" s="14">
        <f t="shared" si="6"/>
        <v>71967.94</v>
      </c>
      <c r="H28" s="14">
        <f t="shared" si="7"/>
        <v>76156.56</v>
      </c>
      <c r="I28" s="14">
        <f t="shared" si="8"/>
        <v>47978.63</v>
      </c>
      <c r="J28" s="14">
        <v>8</v>
      </c>
      <c r="K28" s="14">
        <f t="shared" si="9"/>
        <v>23989.32</v>
      </c>
      <c r="L28" s="14">
        <f t="shared" si="10"/>
        <v>0</v>
      </c>
      <c r="M28" s="14">
        <v>84</v>
      </c>
      <c r="N28" s="14">
        <f t="shared" si="11"/>
        <v>7196.79</v>
      </c>
      <c r="O28" s="14">
        <f t="shared" si="12"/>
        <v>0</v>
      </c>
      <c r="P28" s="14">
        <v>9</v>
      </c>
      <c r="Q28" s="14">
        <f t="shared" si="13"/>
        <v>11994.66</v>
      </c>
      <c r="R28" s="14">
        <f t="shared" si="14"/>
        <v>0</v>
      </c>
      <c r="S28" s="14">
        <v>680</v>
      </c>
      <c r="T28" s="14">
        <f t="shared" si="15"/>
        <v>4797.8599999999997</v>
      </c>
      <c r="U28" s="14">
        <f t="shared" si="16"/>
        <v>0</v>
      </c>
      <c r="V28" s="14">
        <f t="shared" si="17"/>
        <v>47978.63</v>
      </c>
      <c r="W28" s="14">
        <f t="shared" si="18"/>
        <v>0</v>
      </c>
    </row>
    <row r="29" spans="1:24" x14ac:dyDescent="0.25">
      <c r="A29" s="15">
        <v>44981</v>
      </c>
      <c r="B29" s="14">
        <f>Summary!$G$12/28</f>
        <v>190391.39</v>
      </c>
      <c r="C29" s="14">
        <v>30</v>
      </c>
      <c r="D29" s="14">
        <v>18.899999999999999</v>
      </c>
      <c r="E29" s="14">
        <f t="shared" si="4"/>
        <v>18.899999999999999</v>
      </c>
      <c r="F29" s="14">
        <f t="shared" si="5"/>
        <v>114234.83</v>
      </c>
      <c r="G29" s="14">
        <f t="shared" si="6"/>
        <v>71967.94</v>
      </c>
      <c r="H29" s="14">
        <f t="shared" si="7"/>
        <v>76156.56</v>
      </c>
      <c r="I29" s="14">
        <f t="shared" si="8"/>
        <v>47978.63</v>
      </c>
      <c r="J29" s="14">
        <v>9</v>
      </c>
      <c r="K29" s="14">
        <f t="shared" si="9"/>
        <v>23989.32</v>
      </c>
      <c r="L29" s="14">
        <f t="shared" si="10"/>
        <v>0</v>
      </c>
      <c r="M29" s="14">
        <v>64</v>
      </c>
      <c r="N29" s="14">
        <f t="shared" si="11"/>
        <v>7196.79</v>
      </c>
      <c r="O29" s="14">
        <f t="shared" si="12"/>
        <v>0</v>
      </c>
      <c r="P29" s="14">
        <v>10</v>
      </c>
      <c r="Q29" s="14">
        <f t="shared" si="13"/>
        <v>11994.66</v>
      </c>
      <c r="R29" s="14">
        <f t="shared" si="14"/>
        <v>0</v>
      </c>
      <c r="S29" s="14">
        <v>720</v>
      </c>
      <c r="T29" s="14">
        <f t="shared" si="15"/>
        <v>4797.8599999999997</v>
      </c>
      <c r="U29" s="14">
        <f t="shared" si="16"/>
        <v>0</v>
      </c>
      <c r="V29" s="14">
        <f t="shared" si="17"/>
        <v>47978.63</v>
      </c>
      <c r="W29" s="14">
        <f t="shared" si="18"/>
        <v>0</v>
      </c>
    </row>
    <row r="30" spans="1:24" x14ac:dyDescent="0.25">
      <c r="A30" s="15">
        <v>44982</v>
      </c>
      <c r="B30" s="14">
        <f>Summary!$G$12/28</f>
        <v>190391.39</v>
      </c>
      <c r="C30" s="14">
        <v>30</v>
      </c>
      <c r="D30" s="14">
        <v>18.899999999999999</v>
      </c>
      <c r="E30" s="14">
        <f t="shared" si="4"/>
        <v>18.899999999999999</v>
      </c>
      <c r="F30" s="14">
        <f t="shared" si="5"/>
        <v>114234.83</v>
      </c>
      <c r="G30" s="14">
        <f t="shared" si="6"/>
        <v>71967.94</v>
      </c>
      <c r="H30" s="14">
        <f t="shared" si="7"/>
        <v>76156.56</v>
      </c>
      <c r="I30" s="14">
        <f t="shared" si="8"/>
        <v>47978.63</v>
      </c>
      <c r="J30" s="14">
        <v>9</v>
      </c>
      <c r="K30" s="14">
        <f t="shared" si="9"/>
        <v>23989.32</v>
      </c>
      <c r="L30" s="14">
        <f t="shared" si="10"/>
        <v>0</v>
      </c>
      <c r="M30" s="14">
        <v>97</v>
      </c>
      <c r="N30" s="14">
        <f t="shared" si="11"/>
        <v>7196.79</v>
      </c>
      <c r="O30" s="14">
        <f t="shared" si="12"/>
        <v>0</v>
      </c>
      <c r="P30" s="14">
        <v>9</v>
      </c>
      <c r="Q30" s="14">
        <f t="shared" si="13"/>
        <v>11994.66</v>
      </c>
      <c r="R30" s="14">
        <f t="shared" si="14"/>
        <v>0</v>
      </c>
      <c r="S30" s="14">
        <v>930</v>
      </c>
      <c r="T30" s="14">
        <f t="shared" si="15"/>
        <v>4797.8599999999997</v>
      </c>
      <c r="U30" s="14">
        <f t="shared" si="16"/>
        <v>0</v>
      </c>
      <c r="V30" s="14">
        <f t="shared" si="17"/>
        <v>47978.63</v>
      </c>
      <c r="W30" s="14">
        <f t="shared" si="18"/>
        <v>0</v>
      </c>
    </row>
    <row r="31" spans="1:24" x14ac:dyDescent="0.25">
      <c r="A31" s="15">
        <v>44983</v>
      </c>
      <c r="B31" s="14">
        <f>Summary!$G$12/28</f>
        <v>190391.39</v>
      </c>
      <c r="C31" s="14">
        <v>30</v>
      </c>
      <c r="D31" s="14">
        <v>18.899999999999999</v>
      </c>
      <c r="E31" s="14">
        <f t="shared" si="4"/>
        <v>18.899999999999999</v>
      </c>
      <c r="F31" s="14">
        <f t="shared" si="5"/>
        <v>114234.83</v>
      </c>
      <c r="G31" s="14">
        <f t="shared" si="6"/>
        <v>71967.94</v>
      </c>
      <c r="H31" s="14">
        <f t="shared" si="7"/>
        <v>76156.56</v>
      </c>
      <c r="I31" s="14">
        <f t="shared" si="8"/>
        <v>47978.63</v>
      </c>
      <c r="J31" s="14">
        <v>9</v>
      </c>
      <c r="K31" s="14">
        <f t="shared" si="9"/>
        <v>23989.32</v>
      </c>
      <c r="L31" s="14">
        <f t="shared" si="10"/>
        <v>0</v>
      </c>
      <c r="M31" s="14">
        <v>91</v>
      </c>
      <c r="N31" s="14">
        <f t="shared" si="11"/>
        <v>7196.79</v>
      </c>
      <c r="O31" s="14">
        <f t="shared" si="12"/>
        <v>0</v>
      </c>
      <c r="P31" s="14">
        <v>9</v>
      </c>
      <c r="Q31" s="14">
        <f t="shared" si="13"/>
        <v>11994.66</v>
      </c>
      <c r="R31" s="14">
        <f t="shared" si="14"/>
        <v>0</v>
      </c>
      <c r="S31" s="14">
        <v>910</v>
      </c>
      <c r="T31" s="14">
        <f t="shared" si="15"/>
        <v>4797.8599999999997</v>
      </c>
      <c r="U31" s="14">
        <f t="shared" si="16"/>
        <v>0</v>
      </c>
      <c r="V31" s="14">
        <f t="shared" si="17"/>
        <v>47978.63</v>
      </c>
      <c r="W31" s="14">
        <f t="shared" si="18"/>
        <v>0</v>
      </c>
    </row>
    <row r="32" spans="1:24" x14ac:dyDescent="0.25">
      <c r="A32" s="15">
        <v>44984</v>
      </c>
      <c r="B32" s="14">
        <f>Summary!$G$12/28</f>
        <v>190391.39</v>
      </c>
      <c r="C32" s="14">
        <v>30</v>
      </c>
      <c r="D32" s="14">
        <v>18.899999999999999</v>
      </c>
      <c r="E32" s="14">
        <f t="shared" si="4"/>
        <v>18.899999999999999</v>
      </c>
      <c r="F32" s="14">
        <f t="shared" si="5"/>
        <v>114234.83</v>
      </c>
      <c r="G32" s="14">
        <f t="shared" si="6"/>
        <v>71967.94</v>
      </c>
      <c r="H32" s="14">
        <f t="shared" si="7"/>
        <v>76156.56</v>
      </c>
      <c r="I32" s="14">
        <f t="shared" si="8"/>
        <v>47978.63</v>
      </c>
      <c r="J32" s="14">
        <v>7</v>
      </c>
      <c r="K32" s="14">
        <f t="shared" si="9"/>
        <v>23989.32</v>
      </c>
      <c r="L32" s="14">
        <f t="shared" si="10"/>
        <v>0</v>
      </c>
      <c r="M32" s="14">
        <v>84</v>
      </c>
      <c r="N32" s="14">
        <f t="shared" si="11"/>
        <v>7196.79</v>
      </c>
      <c r="O32" s="14">
        <f t="shared" si="12"/>
        <v>0</v>
      </c>
      <c r="P32" s="14">
        <v>9</v>
      </c>
      <c r="Q32" s="14">
        <f t="shared" si="13"/>
        <v>11994.66</v>
      </c>
      <c r="R32" s="14">
        <f t="shared" si="14"/>
        <v>0</v>
      </c>
      <c r="S32" s="14">
        <v>680</v>
      </c>
      <c r="T32" s="14">
        <f t="shared" si="15"/>
        <v>4797.8599999999997</v>
      </c>
      <c r="U32" s="14">
        <f t="shared" si="16"/>
        <v>0</v>
      </c>
      <c r="V32" s="14">
        <f t="shared" si="17"/>
        <v>47978.63</v>
      </c>
      <c r="W32" s="14">
        <f t="shared" si="18"/>
        <v>0</v>
      </c>
    </row>
    <row r="33" spans="1:23" x14ac:dyDescent="0.25">
      <c r="A33" s="15">
        <v>44985</v>
      </c>
      <c r="B33" s="14">
        <f>Summary!$G$12/28</f>
        <v>190391.39</v>
      </c>
      <c r="C33" s="14">
        <v>30</v>
      </c>
      <c r="D33" s="14">
        <v>18.899999999999999</v>
      </c>
      <c r="E33" s="14">
        <f t="shared" si="4"/>
        <v>18.899999999999999</v>
      </c>
      <c r="F33" s="14">
        <f t="shared" si="5"/>
        <v>114234.83</v>
      </c>
      <c r="G33" s="14">
        <f t="shared" si="6"/>
        <v>71967.94</v>
      </c>
      <c r="H33" s="14">
        <f t="shared" si="7"/>
        <v>76156.56</v>
      </c>
      <c r="I33" s="14">
        <f t="shared" si="8"/>
        <v>47978.63</v>
      </c>
      <c r="J33" s="14">
        <v>8</v>
      </c>
      <c r="K33" s="14">
        <f t="shared" si="9"/>
        <v>23989.32</v>
      </c>
      <c r="L33" s="14">
        <f t="shared" si="10"/>
        <v>0</v>
      </c>
      <c r="M33" s="14">
        <v>76</v>
      </c>
      <c r="N33" s="14">
        <f t="shared" si="11"/>
        <v>7196.79</v>
      </c>
      <c r="O33" s="14">
        <f t="shared" si="12"/>
        <v>0</v>
      </c>
      <c r="P33" s="14">
        <v>9</v>
      </c>
      <c r="Q33" s="14">
        <f t="shared" si="13"/>
        <v>11994.66</v>
      </c>
      <c r="R33" s="14">
        <f t="shared" si="14"/>
        <v>0</v>
      </c>
      <c r="S33" s="14">
        <v>840</v>
      </c>
      <c r="T33" s="14">
        <f t="shared" si="15"/>
        <v>4797.8599999999997</v>
      </c>
      <c r="U33" s="14">
        <f t="shared" si="16"/>
        <v>0</v>
      </c>
      <c r="V33" s="14">
        <f t="shared" si="17"/>
        <v>47978.63</v>
      </c>
      <c r="W33" s="14">
        <f t="shared" si="18"/>
        <v>0</v>
      </c>
    </row>
    <row r="34" spans="1:23" x14ac:dyDescent="0.25">
      <c r="A34" s="41" t="s">
        <v>20</v>
      </c>
      <c r="B34" s="20">
        <f>SUM(B6:B33)</f>
        <v>5330958.92</v>
      </c>
      <c r="C34" s="20"/>
      <c r="D34" s="14"/>
      <c r="E34" s="14"/>
      <c r="F34" s="20">
        <f>SUM(F6:F33)</f>
        <v>3198575.24</v>
      </c>
      <c r="G34" s="20">
        <f>SUM(G6:G33)</f>
        <v>2015102.32</v>
      </c>
      <c r="H34" s="20">
        <f>SUM(H6:H33)</f>
        <v>2132383.6800000002</v>
      </c>
      <c r="I34" s="20">
        <f>SUM(I6:I33)</f>
        <v>1343401.64</v>
      </c>
      <c r="J34" s="20"/>
      <c r="K34" s="20">
        <f>SUM(K6:K33)</f>
        <v>647711.64</v>
      </c>
      <c r="L34" s="20">
        <f>SUM(L6:L33)</f>
        <v>10000</v>
      </c>
      <c r="M34" s="20"/>
      <c r="N34" s="20">
        <f>SUM(N6:N33)</f>
        <v>201510.12</v>
      </c>
      <c r="O34" s="20">
        <f>SUM(O6:O33)</f>
        <v>0</v>
      </c>
      <c r="P34" s="20"/>
      <c r="Q34" s="20">
        <f>SUM(Q6:Q33)</f>
        <v>311861.15999999997</v>
      </c>
      <c r="R34" s="20">
        <f>SUM(R6:R33)</f>
        <v>10000</v>
      </c>
      <c r="S34" s="20"/>
      <c r="T34" s="20">
        <f>SUM(T6:T33)</f>
        <v>95957.2</v>
      </c>
      <c r="U34" s="20">
        <f>SUM(U6:U33)</f>
        <v>80000</v>
      </c>
      <c r="V34" s="20">
        <f>SUM(V6:V33)</f>
        <v>1257040.1200000001</v>
      </c>
      <c r="W34" s="20">
        <f>SUM(W6:W33)</f>
        <v>100000</v>
      </c>
    </row>
    <row r="35" spans="1:23" x14ac:dyDescent="0.25">
      <c r="A35" s="41"/>
      <c r="B35" s="20" t="s">
        <v>78</v>
      </c>
      <c r="C35" s="20"/>
      <c r="D35" s="20"/>
      <c r="E35" s="14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3272142.44</v>
      </c>
      <c r="W35" s="20"/>
    </row>
    <row r="36" spans="1:23" x14ac:dyDescent="0.25">
      <c r="G36" s="24"/>
      <c r="K36" s="23">
        <f>COUNTIF(K6:K33,"0")</f>
        <v>1</v>
      </c>
      <c r="L36" s="33"/>
      <c r="N36" s="23">
        <f>COUNTIF(N6:N33,"0")</f>
        <v>0</v>
      </c>
      <c r="Q36" s="23">
        <f>COUNTIF(Q6:Q33,"0")</f>
        <v>2</v>
      </c>
      <c r="T36" s="23">
        <f>COUNTIF(T6:T33,"0")</f>
        <v>8</v>
      </c>
      <c r="V36" s="22"/>
      <c r="W36" s="22"/>
    </row>
    <row r="39" spans="1:23" x14ac:dyDescent="0.25">
      <c r="C39" s="24">
        <f>B34/31</f>
        <v>171966.42</v>
      </c>
    </row>
  </sheetData>
  <mergeCells count="19">
    <mergeCell ref="A1:V1"/>
    <mergeCell ref="F3:G3"/>
    <mergeCell ref="H3:T3"/>
    <mergeCell ref="A4:A5"/>
    <mergeCell ref="B4:B5"/>
    <mergeCell ref="D4:D5"/>
    <mergeCell ref="F4:F5"/>
    <mergeCell ref="C3:D3"/>
    <mergeCell ref="C4:C5"/>
    <mergeCell ref="I4:I5"/>
    <mergeCell ref="E4:E5"/>
    <mergeCell ref="J4:L4"/>
    <mergeCell ref="M4:O4"/>
    <mergeCell ref="P4:R4"/>
    <mergeCell ref="W4:W5"/>
    <mergeCell ref="S4:U4"/>
    <mergeCell ref="G4:G5"/>
    <mergeCell ref="H4:H5"/>
    <mergeCell ref="V4:V5"/>
  </mergeCells>
  <pageMargins left="0.25" right="0.25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E39"/>
  <sheetViews>
    <sheetView zoomScaleNormal="100" workbookViewId="0">
      <pane xSplit="1" ySplit="1" topLeftCell="G17" activePane="bottomRight" state="frozen"/>
      <selection activeCell="K16" sqref="K16"/>
      <selection pane="topRight" activeCell="K16" sqref="K16"/>
      <selection pane="bottomLeft" activeCell="K16" sqref="K16"/>
      <selection pane="bottomRight" activeCell="V36" sqref="V36"/>
    </sheetView>
  </sheetViews>
  <sheetFormatPr defaultColWidth="9.140625" defaultRowHeight="15.75" x14ac:dyDescent="0.25"/>
  <cols>
    <col min="1" max="1" width="10.5703125" style="93" bestFit="1" customWidth="1"/>
    <col min="2" max="2" width="11.28515625" style="93" customWidth="1"/>
    <col min="3" max="3" width="8.42578125" style="93" customWidth="1"/>
    <col min="4" max="4" width="8.28515625" style="93" customWidth="1"/>
    <col min="5" max="5" width="8.85546875" style="93" customWidth="1"/>
    <col min="6" max="6" width="12.5703125" style="93" customWidth="1"/>
    <col min="7" max="7" width="10.28515625" style="93" customWidth="1"/>
    <col min="8" max="8" width="12.7109375" style="93" customWidth="1"/>
    <col min="9" max="9" width="11" style="93" customWidth="1"/>
    <col min="10" max="10" width="9.28515625" style="93" customWidth="1"/>
    <col min="11" max="11" width="12.42578125" style="93" customWidth="1"/>
    <col min="12" max="12" width="9.28515625" style="93" customWidth="1"/>
    <col min="13" max="13" width="9" style="93" customWidth="1"/>
    <col min="14" max="14" width="11.5703125" style="93" customWidth="1"/>
    <col min="15" max="15" width="9.5703125" style="93" customWidth="1"/>
    <col min="16" max="16" width="9.140625" style="93" customWidth="1"/>
    <col min="17" max="17" width="12.85546875" style="93" customWidth="1"/>
    <col min="18" max="18" width="9.28515625" style="93" customWidth="1"/>
    <col min="19" max="19" width="9.140625" style="93" customWidth="1"/>
    <col min="20" max="20" width="8.42578125" style="93" customWidth="1"/>
    <col min="21" max="21" width="10.7109375" style="93" customWidth="1"/>
    <col min="22" max="22" width="12.28515625" style="93" customWidth="1"/>
    <col min="23" max="23" width="10.85546875" style="93" customWidth="1"/>
    <col min="24" max="24" width="10.5703125" style="28" bestFit="1" customWidth="1"/>
    <col min="25" max="25" width="9.5703125" bestFit="1" customWidth="1"/>
    <col min="26" max="30" width="9.28515625" bestFit="1" customWidth="1"/>
    <col min="31" max="31" width="10.5703125" bestFit="1" customWidth="1"/>
  </cols>
  <sheetData>
    <row r="1" spans="1:31" ht="18.75" customHeight="1" x14ac:dyDescent="0.3">
      <c r="A1" s="224" t="str">
        <f>'56 MLd Dudahaida'!A1:V1</f>
        <v xml:space="preserve">Ghaziabad Zone /Payment for the month of FEBRUARY 2023 (As Per VoL -1, Section IV, Clause 39) 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6"/>
      <c r="W1" s="17"/>
      <c r="Y1" s="3"/>
      <c r="Z1" s="3"/>
      <c r="AA1" s="3"/>
      <c r="AB1" s="3"/>
      <c r="AC1" s="3"/>
      <c r="AD1" s="3"/>
      <c r="AE1" s="3"/>
    </row>
    <row r="2" spans="1:31" ht="15" customHeight="1" x14ac:dyDescent="0.3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>
        <v>10</v>
      </c>
      <c r="K2" s="43">
        <v>11</v>
      </c>
      <c r="L2" s="43">
        <v>12</v>
      </c>
      <c r="M2" s="43">
        <v>13</v>
      </c>
      <c r="N2" s="43">
        <v>14</v>
      </c>
      <c r="O2" s="43">
        <v>15</v>
      </c>
      <c r="P2" s="43">
        <v>16</v>
      </c>
      <c r="Q2" s="43">
        <v>17</v>
      </c>
      <c r="R2" s="43">
        <v>18</v>
      </c>
      <c r="S2" s="43">
        <v>19</v>
      </c>
      <c r="T2" s="43">
        <v>21</v>
      </c>
      <c r="U2" s="43">
        <v>23</v>
      </c>
      <c r="V2" s="43">
        <v>24</v>
      </c>
      <c r="W2" s="43">
        <v>25</v>
      </c>
      <c r="Y2" s="3"/>
      <c r="Z2" s="3"/>
      <c r="AA2" s="3"/>
      <c r="AB2" s="3"/>
      <c r="AC2" s="3"/>
      <c r="AD2" s="3"/>
      <c r="AE2" s="3"/>
    </row>
    <row r="3" spans="1:31" ht="15.75" customHeight="1" x14ac:dyDescent="0.3">
      <c r="A3" s="41"/>
      <c r="B3" s="41"/>
      <c r="C3" s="190" t="s">
        <v>15</v>
      </c>
      <c r="D3" s="227"/>
      <c r="E3" s="44"/>
      <c r="F3" s="190" t="s">
        <v>80</v>
      </c>
      <c r="G3" s="194"/>
      <c r="H3" s="190" t="s">
        <v>19</v>
      </c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27"/>
      <c r="W3" s="92"/>
      <c r="Y3" s="3"/>
      <c r="Z3" s="3"/>
      <c r="AA3" s="3"/>
      <c r="AB3" s="3"/>
      <c r="AC3" s="3"/>
      <c r="AD3" s="3"/>
      <c r="AE3" s="3"/>
    </row>
    <row r="4" spans="1:31" ht="15" customHeight="1" x14ac:dyDescent="0.3">
      <c r="A4" s="211" t="s">
        <v>14</v>
      </c>
      <c r="B4" s="209" t="s">
        <v>42</v>
      </c>
      <c r="C4" s="215" t="s">
        <v>37</v>
      </c>
      <c r="D4" s="213" t="s">
        <v>56</v>
      </c>
      <c r="E4" s="213" t="s">
        <v>59</v>
      </c>
      <c r="F4" s="211" t="s">
        <v>16</v>
      </c>
      <c r="G4" s="209" t="s">
        <v>17</v>
      </c>
      <c r="H4" s="211" t="s">
        <v>21</v>
      </c>
      <c r="I4" s="209" t="s">
        <v>17</v>
      </c>
      <c r="J4" s="190" t="s">
        <v>8</v>
      </c>
      <c r="K4" s="218"/>
      <c r="L4" s="218"/>
      <c r="M4" s="190" t="s">
        <v>10</v>
      </c>
      <c r="N4" s="218"/>
      <c r="O4" s="218"/>
      <c r="P4" s="190" t="s">
        <v>9</v>
      </c>
      <c r="Q4" s="191"/>
      <c r="R4" s="191"/>
      <c r="S4" s="219" t="s">
        <v>13</v>
      </c>
      <c r="T4" s="220"/>
      <c r="U4" s="220"/>
      <c r="V4" s="209" t="s">
        <v>55</v>
      </c>
      <c r="W4" s="187" t="s">
        <v>61</v>
      </c>
      <c r="Y4" s="3"/>
      <c r="Z4" s="3"/>
      <c r="AA4" s="3"/>
      <c r="AB4" s="3"/>
      <c r="AC4" s="3"/>
      <c r="AD4" s="3"/>
      <c r="AE4" s="3"/>
    </row>
    <row r="5" spans="1:31" ht="41.45" customHeight="1" x14ac:dyDescent="0.3">
      <c r="A5" s="217"/>
      <c r="B5" s="217"/>
      <c r="C5" s="217"/>
      <c r="D5" s="217"/>
      <c r="E5" s="217"/>
      <c r="F5" s="212"/>
      <c r="G5" s="210"/>
      <c r="H5" s="212"/>
      <c r="I5" s="210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210"/>
      <c r="W5" s="187"/>
      <c r="Y5" s="3"/>
      <c r="Z5" s="3"/>
      <c r="AA5" s="3"/>
      <c r="AB5" s="3"/>
      <c r="AC5" s="3"/>
      <c r="AD5" s="3"/>
      <c r="AE5" s="3"/>
    </row>
    <row r="6" spans="1:31" x14ac:dyDescent="0.25">
      <c r="A6" s="15">
        <v>44958</v>
      </c>
      <c r="B6" s="14">
        <f>Summary!$G$13/28</f>
        <v>5140.57</v>
      </c>
      <c r="C6" s="14">
        <v>0.81</v>
      </c>
      <c r="D6" s="14">
        <v>0.41</v>
      </c>
      <c r="E6" s="27">
        <f>MIN(D6,C6)</f>
        <v>0.41</v>
      </c>
      <c r="F6" s="14">
        <f>B6*60%</f>
        <v>3084.34</v>
      </c>
      <c r="G6" s="14">
        <f>(F6*E6)/C6</f>
        <v>1561.21</v>
      </c>
      <c r="H6" s="14">
        <f>B6*40%</f>
        <v>2056.23</v>
      </c>
      <c r="I6" s="14">
        <f>(H6*E6)/C6</f>
        <v>1040.81</v>
      </c>
      <c r="J6" s="14">
        <v>26</v>
      </c>
      <c r="K6" s="14">
        <f>I6*50%</f>
        <v>520.41</v>
      </c>
      <c r="L6" s="14">
        <f t="shared" ref="L6" si="0">IF(J6&gt;30,(MAX($B$34*0.1/100,10000)),0)</f>
        <v>0</v>
      </c>
      <c r="M6" s="14">
        <v>70</v>
      </c>
      <c r="N6" s="14">
        <f>I6*15%</f>
        <v>156.12</v>
      </c>
      <c r="O6" s="14">
        <f>IF(M6&gt;100,(MAX($B$34*0.1/100,10000)),0)</f>
        <v>0</v>
      </c>
      <c r="P6" s="14">
        <v>22</v>
      </c>
      <c r="Q6" s="14">
        <f>I6*25%</f>
        <v>260.2</v>
      </c>
      <c r="R6" s="14">
        <f>IF(P6&gt;50,(MAX($B$34*0.1/100,10000)),0)</f>
        <v>0</v>
      </c>
      <c r="S6" s="14"/>
      <c r="T6" s="14">
        <v>0</v>
      </c>
      <c r="U6" s="14">
        <v>10000</v>
      </c>
      <c r="V6" s="14">
        <f>T6+Q6+N6+K6</f>
        <v>936.73</v>
      </c>
      <c r="W6" s="14">
        <f>U6+R6+O6+L6</f>
        <v>10000</v>
      </c>
    </row>
    <row r="7" spans="1:31" x14ac:dyDescent="0.25">
      <c r="A7" s="15">
        <v>44959</v>
      </c>
      <c r="B7" s="14">
        <f>Summary!$G$13/28</f>
        <v>5140.57</v>
      </c>
      <c r="C7" s="14">
        <v>0.81</v>
      </c>
      <c r="D7" s="14">
        <v>0.41</v>
      </c>
      <c r="E7" s="27">
        <f t="shared" ref="E7:E33" si="1">MIN(D7,C7)</f>
        <v>0.41</v>
      </c>
      <c r="F7" s="14">
        <f t="shared" ref="F7:F33" si="2">B7*60%</f>
        <v>3084.34</v>
      </c>
      <c r="G7" s="14">
        <f t="shared" ref="G7:G33" si="3">(F7*E7)/C7</f>
        <v>1561.21</v>
      </c>
      <c r="H7" s="14">
        <f t="shared" ref="H7:H33" si="4">B7*40%</f>
        <v>2056.23</v>
      </c>
      <c r="I7" s="14">
        <f t="shared" ref="I7:I33" si="5">(H7*E7)/C7</f>
        <v>1040.81</v>
      </c>
      <c r="J7" s="14">
        <v>23</v>
      </c>
      <c r="K7" s="14">
        <f t="shared" ref="K7:K33" si="6">I7*50%</f>
        <v>520.41</v>
      </c>
      <c r="L7" s="14">
        <f t="shared" ref="L7:L33" si="7">IF(J7&gt;30,(MAX($B$34*0.1/100,10000)),0)</f>
        <v>0</v>
      </c>
      <c r="M7" s="14">
        <v>64</v>
      </c>
      <c r="N7" s="14">
        <f t="shared" ref="N7:N33" si="8">I7*15%</f>
        <v>156.12</v>
      </c>
      <c r="O7" s="14">
        <f t="shared" ref="O7:O33" si="9">IF(M7&gt;100,(MAX($B$34*0.1/100,10000)),0)</f>
        <v>0</v>
      </c>
      <c r="P7" s="14">
        <v>26</v>
      </c>
      <c r="Q7" s="14">
        <f t="shared" ref="Q7:Q33" si="10">I7*25%</f>
        <v>260.2</v>
      </c>
      <c r="R7" s="14">
        <f t="shared" ref="R7:R33" si="11">IF(P7&gt;50,(MAX($B$34*0.1/100,10000)),0)</f>
        <v>0</v>
      </c>
      <c r="S7" s="14"/>
      <c r="T7" s="14">
        <v>0</v>
      </c>
      <c r="U7" s="14">
        <v>10000</v>
      </c>
      <c r="V7" s="14">
        <f t="shared" ref="V7:V33" si="12">T7+Q7+N7+K7</f>
        <v>936.73</v>
      </c>
      <c r="W7" s="14">
        <f t="shared" ref="W7:W33" si="13">U7+R7+O7+L7</f>
        <v>10000</v>
      </c>
    </row>
    <row r="8" spans="1:31" s="114" customFormat="1" x14ac:dyDescent="0.25">
      <c r="A8" s="112">
        <v>44960</v>
      </c>
      <c r="B8" s="113">
        <f>Summary!$G$13/28</f>
        <v>5140.57</v>
      </c>
      <c r="C8" s="113">
        <v>0.81</v>
      </c>
      <c r="D8" s="113">
        <v>0.41</v>
      </c>
      <c r="E8" s="27">
        <f t="shared" si="1"/>
        <v>0.41</v>
      </c>
      <c r="F8" s="113">
        <f t="shared" si="2"/>
        <v>3084.34</v>
      </c>
      <c r="G8" s="14">
        <f t="shared" si="3"/>
        <v>1561.21</v>
      </c>
      <c r="H8" s="113">
        <f t="shared" si="4"/>
        <v>2056.23</v>
      </c>
      <c r="I8" s="14">
        <f t="shared" si="5"/>
        <v>1040.81</v>
      </c>
      <c r="J8" s="113">
        <v>7</v>
      </c>
      <c r="K8" s="14">
        <f t="shared" si="6"/>
        <v>520.41</v>
      </c>
      <c r="L8" s="14">
        <f t="shared" si="7"/>
        <v>0</v>
      </c>
      <c r="M8" s="113">
        <v>40</v>
      </c>
      <c r="N8" s="14">
        <f t="shared" si="8"/>
        <v>156.12</v>
      </c>
      <c r="O8" s="14">
        <f t="shared" si="9"/>
        <v>0</v>
      </c>
      <c r="P8" s="113">
        <v>10</v>
      </c>
      <c r="Q8" s="14">
        <f t="shared" si="10"/>
        <v>260.2</v>
      </c>
      <c r="R8" s="14">
        <f t="shared" si="11"/>
        <v>0</v>
      </c>
      <c r="S8" s="113"/>
      <c r="T8" s="113">
        <v>0</v>
      </c>
      <c r="U8" s="113">
        <v>10000</v>
      </c>
      <c r="V8" s="14">
        <f t="shared" si="12"/>
        <v>936.73</v>
      </c>
      <c r="W8" s="14">
        <f t="shared" si="13"/>
        <v>10000</v>
      </c>
      <c r="X8" s="124" t="s">
        <v>131</v>
      </c>
    </row>
    <row r="9" spans="1:31" x14ac:dyDescent="0.25">
      <c r="A9" s="15">
        <v>44961</v>
      </c>
      <c r="B9" s="14">
        <f>Summary!$G$13/28</f>
        <v>5140.57</v>
      </c>
      <c r="C9" s="14">
        <v>0.81</v>
      </c>
      <c r="D9" s="14">
        <v>0.41</v>
      </c>
      <c r="E9" s="27">
        <f t="shared" si="1"/>
        <v>0.41</v>
      </c>
      <c r="F9" s="14">
        <f t="shared" si="2"/>
        <v>3084.34</v>
      </c>
      <c r="G9" s="14">
        <f t="shared" si="3"/>
        <v>1561.21</v>
      </c>
      <c r="H9" s="14">
        <f t="shared" si="4"/>
        <v>2056.23</v>
      </c>
      <c r="I9" s="14">
        <f t="shared" si="5"/>
        <v>1040.81</v>
      </c>
      <c r="J9" s="14">
        <v>24</v>
      </c>
      <c r="K9" s="14">
        <f t="shared" si="6"/>
        <v>520.41</v>
      </c>
      <c r="L9" s="14">
        <f t="shared" si="7"/>
        <v>0</v>
      </c>
      <c r="M9" s="14">
        <v>70</v>
      </c>
      <c r="N9" s="14">
        <f t="shared" si="8"/>
        <v>156.12</v>
      </c>
      <c r="O9" s="14">
        <f t="shared" si="9"/>
        <v>0</v>
      </c>
      <c r="P9" s="14">
        <v>18</v>
      </c>
      <c r="Q9" s="14">
        <f t="shared" si="10"/>
        <v>260.2</v>
      </c>
      <c r="R9" s="14">
        <f t="shared" si="11"/>
        <v>0</v>
      </c>
      <c r="S9" s="14"/>
      <c r="T9" s="14">
        <v>0</v>
      </c>
      <c r="U9" s="14">
        <v>10000</v>
      </c>
      <c r="V9" s="14">
        <f t="shared" si="12"/>
        <v>936.73</v>
      </c>
      <c r="W9" s="14">
        <f t="shared" si="13"/>
        <v>10000</v>
      </c>
    </row>
    <row r="10" spans="1:31" x14ac:dyDescent="0.25">
      <c r="A10" s="15">
        <v>44962</v>
      </c>
      <c r="B10" s="14">
        <f>Summary!$G$13/28</f>
        <v>5140.57</v>
      </c>
      <c r="C10" s="14">
        <v>0.81</v>
      </c>
      <c r="D10" s="14">
        <v>0.41</v>
      </c>
      <c r="E10" s="27">
        <f t="shared" si="1"/>
        <v>0.41</v>
      </c>
      <c r="F10" s="14">
        <f t="shared" si="2"/>
        <v>3084.34</v>
      </c>
      <c r="G10" s="14">
        <f t="shared" si="3"/>
        <v>1561.21</v>
      </c>
      <c r="H10" s="14">
        <f t="shared" si="4"/>
        <v>2056.23</v>
      </c>
      <c r="I10" s="14">
        <f t="shared" si="5"/>
        <v>1040.81</v>
      </c>
      <c r="J10" s="14">
        <v>27</v>
      </c>
      <c r="K10" s="14">
        <f t="shared" si="6"/>
        <v>520.41</v>
      </c>
      <c r="L10" s="14">
        <f t="shared" si="7"/>
        <v>0</v>
      </c>
      <c r="M10" s="14">
        <v>63</v>
      </c>
      <c r="N10" s="14">
        <f t="shared" si="8"/>
        <v>156.12</v>
      </c>
      <c r="O10" s="14">
        <f t="shared" si="9"/>
        <v>0</v>
      </c>
      <c r="P10" s="14">
        <v>16</v>
      </c>
      <c r="Q10" s="14">
        <f t="shared" si="10"/>
        <v>260.2</v>
      </c>
      <c r="R10" s="14">
        <f t="shared" si="11"/>
        <v>0</v>
      </c>
      <c r="S10" s="14"/>
      <c r="T10" s="14">
        <v>0</v>
      </c>
      <c r="U10" s="14">
        <v>10000</v>
      </c>
      <c r="V10" s="14">
        <f t="shared" si="12"/>
        <v>936.73</v>
      </c>
      <c r="W10" s="14">
        <f t="shared" si="13"/>
        <v>10000</v>
      </c>
    </row>
    <row r="11" spans="1:31" s="120" customFormat="1" x14ac:dyDescent="0.25">
      <c r="A11" s="117">
        <v>44963</v>
      </c>
      <c r="B11" s="118">
        <f>Summary!$G$13/28</f>
        <v>5140.57</v>
      </c>
      <c r="C11" s="118">
        <v>0.81</v>
      </c>
      <c r="D11" s="118">
        <v>0.41</v>
      </c>
      <c r="E11" s="27">
        <f t="shared" si="1"/>
        <v>0.41</v>
      </c>
      <c r="F11" s="118">
        <f t="shared" si="2"/>
        <v>3084.34</v>
      </c>
      <c r="G11" s="14">
        <f t="shared" si="3"/>
        <v>1561.21</v>
      </c>
      <c r="H11" s="118">
        <f t="shared" si="4"/>
        <v>2056.23</v>
      </c>
      <c r="I11" s="14">
        <f t="shared" si="5"/>
        <v>1040.81</v>
      </c>
      <c r="J11" s="118">
        <v>24</v>
      </c>
      <c r="K11" s="14">
        <f t="shared" si="6"/>
        <v>520.41</v>
      </c>
      <c r="L11" s="14">
        <f t="shared" si="7"/>
        <v>0</v>
      </c>
      <c r="M11" s="121">
        <v>152</v>
      </c>
      <c r="N11" s="14">
        <v>0</v>
      </c>
      <c r="O11" s="14">
        <f t="shared" si="9"/>
        <v>10000</v>
      </c>
      <c r="P11" s="121">
        <v>68</v>
      </c>
      <c r="Q11" s="14">
        <v>0</v>
      </c>
      <c r="R11" s="14">
        <f t="shared" si="11"/>
        <v>10000</v>
      </c>
      <c r="S11" s="118"/>
      <c r="T11" s="118">
        <v>0</v>
      </c>
      <c r="U11" s="118">
        <v>10000</v>
      </c>
      <c r="V11" s="14">
        <f t="shared" si="12"/>
        <v>520.41</v>
      </c>
      <c r="W11" s="14">
        <f t="shared" si="13"/>
        <v>30000</v>
      </c>
      <c r="X11" s="125"/>
    </row>
    <row r="12" spans="1:31" x14ac:dyDescent="0.25">
      <c r="A12" s="15">
        <v>44964</v>
      </c>
      <c r="B12" s="14">
        <f>Summary!$G$13/28</f>
        <v>5140.57</v>
      </c>
      <c r="C12" s="14">
        <v>0.81</v>
      </c>
      <c r="D12" s="14">
        <v>0.41</v>
      </c>
      <c r="E12" s="27">
        <f t="shared" si="1"/>
        <v>0.41</v>
      </c>
      <c r="F12" s="14">
        <f t="shared" si="2"/>
        <v>3084.34</v>
      </c>
      <c r="G12" s="14">
        <f t="shared" si="3"/>
        <v>1561.21</v>
      </c>
      <c r="H12" s="14">
        <f t="shared" si="4"/>
        <v>2056.23</v>
      </c>
      <c r="I12" s="14">
        <f t="shared" si="5"/>
        <v>1040.81</v>
      </c>
      <c r="J12" s="14">
        <v>25</v>
      </c>
      <c r="K12" s="14">
        <f t="shared" si="6"/>
        <v>520.41</v>
      </c>
      <c r="L12" s="14">
        <f t="shared" si="7"/>
        <v>0</v>
      </c>
      <c r="M12" s="14">
        <v>60</v>
      </c>
      <c r="N12" s="14">
        <f t="shared" si="8"/>
        <v>156.12</v>
      </c>
      <c r="O12" s="14">
        <f t="shared" si="9"/>
        <v>0</v>
      </c>
      <c r="P12" s="14">
        <v>12</v>
      </c>
      <c r="Q12" s="14">
        <f t="shared" si="10"/>
        <v>260.2</v>
      </c>
      <c r="R12" s="14">
        <f t="shared" si="11"/>
        <v>0</v>
      </c>
      <c r="S12" s="14"/>
      <c r="T12" s="14">
        <v>0</v>
      </c>
      <c r="U12" s="14">
        <v>10000</v>
      </c>
      <c r="V12" s="14">
        <f t="shared" si="12"/>
        <v>936.73</v>
      </c>
      <c r="W12" s="14">
        <f t="shared" si="13"/>
        <v>10000</v>
      </c>
    </row>
    <row r="13" spans="1:31" x14ac:dyDescent="0.25">
      <c r="A13" s="15">
        <v>44965</v>
      </c>
      <c r="B13" s="14">
        <f>Summary!$G$13/28</f>
        <v>5140.57</v>
      </c>
      <c r="C13" s="14">
        <v>0.81</v>
      </c>
      <c r="D13" s="14">
        <v>0.41</v>
      </c>
      <c r="E13" s="27">
        <f t="shared" si="1"/>
        <v>0.41</v>
      </c>
      <c r="F13" s="14">
        <f t="shared" si="2"/>
        <v>3084.34</v>
      </c>
      <c r="G13" s="14">
        <f t="shared" si="3"/>
        <v>1561.21</v>
      </c>
      <c r="H13" s="14">
        <f t="shared" si="4"/>
        <v>2056.23</v>
      </c>
      <c r="I13" s="14">
        <f t="shared" si="5"/>
        <v>1040.81</v>
      </c>
      <c r="J13" s="14">
        <v>23</v>
      </c>
      <c r="K13" s="14">
        <f t="shared" si="6"/>
        <v>520.41</v>
      </c>
      <c r="L13" s="14">
        <f t="shared" si="7"/>
        <v>0</v>
      </c>
      <c r="M13" s="14">
        <v>65</v>
      </c>
      <c r="N13" s="14">
        <f t="shared" si="8"/>
        <v>156.12</v>
      </c>
      <c r="O13" s="14">
        <f t="shared" si="9"/>
        <v>0</v>
      </c>
      <c r="P13" s="14">
        <v>15</v>
      </c>
      <c r="Q13" s="14">
        <f t="shared" si="10"/>
        <v>260.2</v>
      </c>
      <c r="R13" s="14">
        <f t="shared" si="11"/>
        <v>0</v>
      </c>
      <c r="S13" s="14"/>
      <c r="T13" s="14">
        <v>0</v>
      </c>
      <c r="U13" s="14">
        <v>10000</v>
      </c>
      <c r="V13" s="14">
        <f t="shared" si="12"/>
        <v>936.73</v>
      </c>
      <c r="W13" s="14">
        <f t="shared" si="13"/>
        <v>10000</v>
      </c>
    </row>
    <row r="14" spans="1:31" s="114" customFormat="1" x14ac:dyDescent="0.25">
      <c r="A14" s="112">
        <v>44966</v>
      </c>
      <c r="B14" s="113">
        <f>Summary!$G$13/28</f>
        <v>5140.57</v>
      </c>
      <c r="C14" s="113">
        <v>0.81</v>
      </c>
      <c r="D14" s="113">
        <v>0.41</v>
      </c>
      <c r="E14" s="27">
        <f t="shared" si="1"/>
        <v>0.41</v>
      </c>
      <c r="F14" s="113">
        <f t="shared" si="2"/>
        <v>3084.34</v>
      </c>
      <c r="G14" s="14">
        <f t="shared" si="3"/>
        <v>1561.21</v>
      </c>
      <c r="H14" s="113">
        <f t="shared" si="4"/>
        <v>2056.23</v>
      </c>
      <c r="I14" s="14">
        <f t="shared" si="5"/>
        <v>1040.81</v>
      </c>
      <c r="J14" s="113">
        <v>7</v>
      </c>
      <c r="K14" s="14">
        <f t="shared" si="6"/>
        <v>520.41</v>
      </c>
      <c r="L14" s="14">
        <f t="shared" si="7"/>
        <v>0</v>
      </c>
      <c r="M14" s="113">
        <v>40</v>
      </c>
      <c r="N14" s="14">
        <f t="shared" si="8"/>
        <v>156.12</v>
      </c>
      <c r="O14" s="14">
        <f t="shared" si="9"/>
        <v>0</v>
      </c>
      <c r="P14" s="113">
        <v>5</v>
      </c>
      <c r="Q14" s="14">
        <f t="shared" si="10"/>
        <v>260.2</v>
      </c>
      <c r="R14" s="14">
        <f t="shared" si="11"/>
        <v>0</v>
      </c>
      <c r="S14" s="113"/>
      <c r="T14" s="113">
        <v>0</v>
      </c>
      <c r="U14" s="113">
        <v>10000</v>
      </c>
      <c r="V14" s="14">
        <f t="shared" si="12"/>
        <v>936.73</v>
      </c>
      <c r="W14" s="14">
        <f t="shared" si="13"/>
        <v>10000</v>
      </c>
      <c r="X14" s="124" t="s">
        <v>131</v>
      </c>
    </row>
    <row r="15" spans="1:31" x14ac:dyDescent="0.25">
      <c r="A15" s="15">
        <v>44967</v>
      </c>
      <c r="B15" s="14">
        <f>Summary!$G$13/28</f>
        <v>5140.57</v>
      </c>
      <c r="C15" s="14">
        <v>0.81</v>
      </c>
      <c r="D15" s="14">
        <v>0.41</v>
      </c>
      <c r="E15" s="27">
        <f t="shared" si="1"/>
        <v>0.41</v>
      </c>
      <c r="F15" s="14">
        <f t="shared" si="2"/>
        <v>3084.34</v>
      </c>
      <c r="G15" s="14">
        <f t="shared" si="3"/>
        <v>1561.21</v>
      </c>
      <c r="H15" s="14">
        <f t="shared" si="4"/>
        <v>2056.23</v>
      </c>
      <c r="I15" s="14">
        <f t="shared" si="5"/>
        <v>1040.81</v>
      </c>
      <c r="J15" s="14">
        <v>27</v>
      </c>
      <c r="K15" s="14">
        <f t="shared" si="6"/>
        <v>520.41</v>
      </c>
      <c r="L15" s="14">
        <f t="shared" si="7"/>
        <v>0</v>
      </c>
      <c r="M15" s="14">
        <v>61</v>
      </c>
      <c r="N15" s="14">
        <f t="shared" si="8"/>
        <v>156.12</v>
      </c>
      <c r="O15" s="14">
        <f t="shared" si="9"/>
        <v>0</v>
      </c>
      <c r="P15" s="14">
        <v>15</v>
      </c>
      <c r="Q15" s="14">
        <f t="shared" si="10"/>
        <v>260.2</v>
      </c>
      <c r="R15" s="14">
        <f t="shared" si="11"/>
        <v>0</v>
      </c>
      <c r="S15" s="14"/>
      <c r="T15" s="14">
        <v>0</v>
      </c>
      <c r="U15" s="14">
        <v>10000</v>
      </c>
      <c r="V15" s="14">
        <f t="shared" si="12"/>
        <v>936.73</v>
      </c>
      <c r="W15" s="14">
        <f t="shared" si="13"/>
        <v>10000</v>
      </c>
    </row>
    <row r="16" spans="1:31" x14ac:dyDescent="0.25">
      <c r="A16" s="15">
        <v>44968</v>
      </c>
      <c r="B16" s="14">
        <f>Summary!$G$13/28</f>
        <v>5140.57</v>
      </c>
      <c r="C16" s="14">
        <v>0.81</v>
      </c>
      <c r="D16" s="14">
        <v>0.41</v>
      </c>
      <c r="E16" s="27">
        <f t="shared" si="1"/>
        <v>0.41</v>
      </c>
      <c r="F16" s="14">
        <f t="shared" si="2"/>
        <v>3084.34</v>
      </c>
      <c r="G16" s="14">
        <f t="shared" si="3"/>
        <v>1561.21</v>
      </c>
      <c r="H16" s="14">
        <f t="shared" si="4"/>
        <v>2056.23</v>
      </c>
      <c r="I16" s="14">
        <f t="shared" si="5"/>
        <v>1040.81</v>
      </c>
      <c r="J16" s="14">
        <v>28</v>
      </c>
      <c r="K16" s="14">
        <f t="shared" si="6"/>
        <v>520.41</v>
      </c>
      <c r="L16" s="14">
        <f t="shared" si="7"/>
        <v>0</v>
      </c>
      <c r="M16" s="14">
        <v>65</v>
      </c>
      <c r="N16" s="14">
        <f t="shared" si="8"/>
        <v>156.12</v>
      </c>
      <c r="O16" s="14">
        <f t="shared" si="9"/>
        <v>0</v>
      </c>
      <c r="P16" s="14">
        <v>14</v>
      </c>
      <c r="Q16" s="14">
        <f t="shared" si="10"/>
        <v>260.2</v>
      </c>
      <c r="R16" s="14">
        <f t="shared" si="11"/>
        <v>0</v>
      </c>
      <c r="S16" s="14"/>
      <c r="T16" s="14">
        <v>0</v>
      </c>
      <c r="U16" s="14">
        <v>10000</v>
      </c>
      <c r="V16" s="14">
        <f t="shared" si="12"/>
        <v>936.73</v>
      </c>
      <c r="W16" s="14">
        <f t="shared" si="13"/>
        <v>10000</v>
      </c>
    </row>
    <row r="17" spans="1:24" x14ac:dyDescent="0.25">
      <c r="A17" s="15">
        <v>44969</v>
      </c>
      <c r="B17" s="14">
        <f>Summary!$G$13/28</f>
        <v>5140.57</v>
      </c>
      <c r="C17" s="14">
        <v>0.81</v>
      </c>
      <c r="D17" s="14">
        <v>0.41</v>
      </c>
      <c r="E17" s="27">
        <f t="shared" si="1"/>
        <v>0.41</v>
      </c>
      <c r="F17" s="14">
        <f t="shared" si="2"/>
        <v>3084.34</v>
      </c>
      <c r="G17" s="14">
        <f t="shared" si="3"/>
        <v>1561.21</v>
      </c>
      <c r="H17" s="14">
        <f t="shared" si="4"/>
        <v>2056.23</v>
      </c>
      <c r="I17" s="14">
        <f t="shared" si="5"/>
        <v>1040.81</v>
      </c>
      <c r="J17" s="14">
        <v>24</v>
      </c>
      <c r="K17" s="14">
        <f t="shared" si="6"/>
        <v>520.41</v>
      </c>
      <c r="L17" s="14">
        <f t="shared" si="7"/>
        <v>0</v>
      </c>
      <c r="M17" s="14">
        <v>60</v>
      </c>
      <c r="N17" s="14">
        <f t="shared" si="8"/>
        <v>156.12</v>
      </c>
      <c r="O17" s="14">
        <f t="shared" si="9"/>
        <v>0</v>
      </c>
      <c r="P17" s="14">
        <v>12</v>
      </c>
      <c r="Q17" s="14">
        <f t="shared" si="10"/>
        <v>260.2</v>
      </c>
      <c r="R17" s="14">
        <f t="shared" si="11"/>
        <v>0</v>
      </c>
      <c r="S17" s="14"/>
      <c r="T17" s="14">
        <v>0</v>
      </c>
      <c r="U17" s="14">
        <v>10000</v>
      </c>
      <c r="V17" s="14">
        <f t="shared" si="12"/>
        <v>936.73</v>
      </c>
      <c r="W17" s="14">
        <f t="shared" si="13"/>
        <v>10000</v>
      </c>
    </row>
    <row r="18" spans="1:24" s="120" customFormat="1" x14ac:dyDescent="0.25">
      <c r="A18" s="117">
        <v>44970</v>
      </c>
      <c r="B18" s="118">
        <f>Summary!$G$13/28</f>
        <v>5140.57</v>
      </c>
      <c r="C18" s="118">
        <v>0.81</v>
      </c>
      <c r="D18" s="118">
        <v>0.41</v>
      </c>
      <c r="E18" s="27">
        <f t="shared" si="1"/>
        <v>0.41</v>
      </c>
      <c r="F18" s="118">
        <f t="shared" si="2"/>
        <v>3084.34</v>
      </c>
      <c r="G18" s="14">
        <f t="shared" si="3"/>
        <v>1561.21</v>
      </c>
      <c r="H18" s="118">
        <f t="shared" si="4"/>
        <v>2056.23</v>
      </c>
      <c r="I18" s="14">
        <f t="shared" si="5"/>
        <v>1040.81</v>
      </c>
      <c r="J18" s="118">
        <v>28</v>
      </c>
      <c r="K18" s="14">
        <f t="shared" si="6"/>
        <v>520.41</v>
      </c>
      <c r="L18" s="14">
        <f t="shared" si="7"/>
        <v>0</v>
      </c>
      <c r="M18" s="121">
        <v>136</v>
      </c>
      <c r="N18" s="14">
        <v>0</v>
      </c>
      <c r="O18" s="14">
        <f t="shared" si="9"/>
        <v>10000</v>
      </c>
      <c r="P18" s="121">
        <v>74</v>
      </c>
      <c r="Q18" s="14">
        <v>0</v>
      </c>
      <c r="R18" s="14">
        <f t="shared" si="11"/>
        <v>10000</v>
      </c>
      <c r="S18" s="118"/>
      <c r="T18" s="118">
        <v>0</v>
      </c>
      <c r="U18" s="118">
        <v>10000</v>
      </c>
      <c r="V18" s="14">
        <f t="shared" si="12"/>
        <v>520.41</v>
      </c>
      <c r="W18" s="14">
        <f t="shared" si="13"/>
        <v>30000</v>
      </c>
      <c r="X18" s="125"/>
    </row>
    <row r="19" spans="1:24" x14ac:dyDescent="0.25">
      <c r="A19" s="15">
        <v>44971</v>
      </c>
      <c r="B19" s="14">
        <f>Summary!$G$13/28</f>
        <v>5140.57</v>
      </c>
      <c r="C19" s="14">
        <v>0.81</v>
      </c>
      <c r="D19" s="14">
        <v>0.41</v>
      </c>
      <c r="E19" s="27">
        <f t="shared" si="1"/>
        <v>0.41</v>
      </c>
      <c r="F19" s="14">
        <f t="shared" si="2"/>
        <v>3084.34</v>
      </c>
      <c r="G19" s="14">
        <f t="shared" si="3"/>
        <v>1561.21</v>
      </c>
      <c r="H19" s="14">
        <f t="shared" si="4"/>
        <v>2056.23</v>
      </c>
      <c r="I19" s="14">
        <f t="shared" si="5"/>
        <v>1040.81</v>
      </c>
      <c r="J19" s="14">
        <v>30</v>
      </c>
      <c r="K19" s="14">
        <f t="shared" si="6"/>
        <v>520.41</v>
      </c>
      <c r="L19" s="14">
        <f t="shared" si="7"/>
        <v>0</v>
      </c>
      <c r="M19" s="14">
        <v>70</v>
      </c>
      <c r="N19" s="14">
        <f t="shared" si="8"/>
        <v>156.12</v>
      </c>
      <c r="O19" s="14">
        <f t="shared" si="9"/>
        <v>0</v>
      </c>
      <c r="P19" s="14">
        <v>9</v>
      </c>
      <c r="Q19" s="14">
        <f t="shared" si="10"/>
        <v>260.2</v>
      </c>
      <c r="R19" s="14">
        <f t="shared" si="11"/>
        <v>0</v>
      </c>
      <c r="S19" s="14"/>
      <c r="T19" s="14">
        <v>0</v>
      </c>
      <c r="U19" s="14">
        <v>10000</v>
      </c>
      <c r="V19" s="14">
        <f t="shared" si="12"/>
        <v>936.73</v>
      </c>
      <c r="W19" s="14">
        <f t="shared" si="13"/>
        <v>10000</v>
      </c>
    </row>
    <row r="20" spans="1:24" s="114" customFormat="1" x14ac:dyDescent="0.25">
      <c r="A20" s="112">
        <v>44972</v>
      </c>
      <c r="B20" s="113">
        <f>Summary!$G$13/28</f>
        <v>5140.57</v>
      </c>
      <c r="C20" s="113">
        <v>0.81</v>
      </c>
      <c r="D20" s="113">
        <v>0.41</v>
      </c>
      <c r="E20" s="27">
        <f t="shared" si="1"/>
        <v>0.41</v>
      </c>
      <c r="F20" s="113">
        <f t="shared" si="2"/>
        <v>3084.34</v>
      </c>
      <c r="G20" s="14">
        <f t="shared" si="3"/>
        <v>1561.21</v>
      </c>
      <c r="H20" s="113">
        <f t="shared" si="4"/>
        <v>2056.23</v>
      </c>
      <c r="I20" s="14">
        <f t="shared" si="5"/>
        <v>1040.81</v>
      </c>
      <c r="J20" s="113">
        <v>5</v>
      </c>
      <c r="K20" s="14">
        <f t="shared" si="6"/>
        <v>520.41</v>
      </c>
      <c r="L20" s="14">
        <f t="shared" si="7"/>
        <v>0</v>
      </c>
      <c r="M20" s="113">
        <v>28</v>
      </c>
      <c r="N20" s="14">
        <f t="shared" si="8"/>
        <v>156.12</v>
      </c>
      <c r="O20" s="14">
        <f t="shared" si="9"/>
        <v>0</v>
      </c>
      <c r="P20" s="113">
        <v>6</v>
      </c>
      <c r="Q20" s="14">
        <f t="shared" si="10"/>
        <v>260.2</v>
      </c>
      <c r="R20" s="14">
        <f t="shared" si="11"/>
        <v>0</v>
      </c>
      <c r="S20" s="113"/>
      <c r="T20" s="113">
        <v>0</v>
      </c>
      <c r="U20" s="113">
        <v>10000</v>
      </c>
      <c r="V20" s="14">
        <f t="shared" si="12"/>
        <v>936.73</v>
      </c>
      <c r="W20" s="14">
        <f t="shared" si="13"/>
        <v>10000</v>
      </c>
      <c r="X20" s="124" t="s">
        <v>131</v>
      </c>
    </row>
    <row r="21" spans="1:24" x14ac:dyDescent="0.25">
      <c r="A21" s="15">
        <v>44973</v>
      </c>
      <c r="B21" s="14">
        <f>Summary!$G$13/28</f>
        <v>5140.57</v>
      </c>
      <c r="C21" s="14">
        <v>0.81</v>
      </c>
      <c r="D21" s="14">
        <v>0.41</v>
      </c>
      <c r="E21" s="27">
        <f t="shared" si="1"/>
        <v>0.41</v>
      </c>
      <c r="F21" s="14">
        <f t="shared" si="2"/>
        <v>3084.34</v>
      </c>
      <c r="G21" s="14">
        <f t="shared" si="3"/>
        <v>1561.21</v>
      </c>
      <c r="H21" s="14">
        <f t="shared" si="4"/>
        <v>2056.23</v>
      </c>
      <c r="I21" s="14">
        <f t="shared" si="5"/>
        <v>1040.81</v>
      </c>
      <c r="J21" s="14">
        <v>26</v>
      </c>
      <c r="K21" s="14">
        <f t="shared" si="6"/>
        <v>520.41</v>
      </c>
      <c r="L21" s="14">
        <f t="shared" si="7"/>
        <v>0</v>
      </c>
      <c r="M21" s="14">
        <v>72</v>
      </c>
      <c r="N21" s="14">
        <f t="shared" si="8"/>
        <v>156.12</v>
      </c>
      <c r="O21" s="14">
        <f t="shared" si="9"/>
        <v>0</v>
      </c>
      <c r="P21" s="14">
        <v>9</v>
      </c>
      <c r="Q21" s="14">
        <f t="shared" si="10"/>
        <v>260.2</v>
      </c>
      <c r="R21" s="14">
        <f t="shared" si="11"/>
        <v>0</v>
      </c>
      <c r="S21" s="14"/>
      <c r="T21" s="14">
        <v>0</v>
      </c>
      <c r="U21" s="14">
        <v>10000</v>
      </c>
      <c r="V21" s="14">
        <f t="shared" si="12"/>
        <v>936.73</v>
      </c>
      <c r="W21" s="14">
        <f t="shared" si="13"/>
        <v>10000</v>
      </c>
    </row>
    <row r="22" spans="1:24" x14ac:dyDescent="0.25">
      <c r="A22" s="15">
        <v>44974</v>
      </c>
      <c r="B22" s="14">
        <f>Summary!$G$13/28</f>
        <v>5140.57</v>
      </c>
      <c r="C22" s="14">
        <v>0.81</v>
      </c>
      <c r="D22" s="14">
        <v>0.41</v>
      </c>
      <c r="E22" s="27">
        <f t="shared" si="1"/>
        <v>0.41</v>
      </c>
      <c r="F22" s="14">
        <f t="shared" si="2"/>
        <v>3084.34</v>
      </c>
      <c r="G22" s="14">
        <f t="shared" si="3"/>
        <v>1561.21</v>
      </c>
      <c r="H22" s="14">
        <f t="shared" si="4"/>
        <v>2056.23</v>
      </c>
      <c r="I22" s="14">
        <f t="shared" si="5"/>
        <v>1040.81</v>
      </c>
      <c r="J22" s="14">
        <v>22</v>
      </c>
      <c r="K22" s="14">
        <f t="shared" si="6"/>
        <v>520.41</v>
      </c>
      <c r="L22" s="14">
        <f t="shared" si="7"/>
        <v>0</v>
      </c>
      <c r="M22" s="14">
        <v>70</v>
      </c>
      <c r="N22" s="14">
        <f t="shared" si="8"/>
        <v>156.12</v>
      </c>
      <c r="O22" s="14">
        <f t="shared" si="9"/>
        <v>0</v>
      </c>
      <c r="P22" s="14">
        <v>12</v>
      </c>
      <c r="Q22" s="14">
        <f t="shared" si="10"/>
        <v>260.2</v>
      </c>
      <c r="R22" s="14">
        <f t="shared" si="11"/>
        <v>0</v>
      </c>
      <c r="S22" s="14"/>
      <c r="T22" s="14">
        <v>0</v>
      </c>
      <c r="U22" s="14">
        <v>10000</v>
      </c>
      <c r="V22" s="14">
        <f t="shared" si="12"/>
        <v>936.73</v>
      </c>
      <c r="W22" s="14">
        <f t="shared" si="13"/>
        <v>10000</v>
      </c>
    </row>
    <row r="23" spans="1:24" x14ac:dyDescent="0.25">
      <c r="A23" s="15">
        <v>44975</v>
      </c>
      <c r="B23" s="14">
        <f>Summary!$G$13/28</f>
        <v>5140.57</v>
      </c>
      <c r="C23" s="14">
        <v>0.81</v>
      </c>
      <c r="D23" s="14">
        <v>0.41</v>
      </c>
      <c r="E23" s="27">
        <f t="shared" si="1"/>
        <v>0.41</v>
      </c>
      <c r="F23" s="14">
        <f t="shared" si="2"/>
        <v>3084.34</v>
      </c>
      <c r="G23" s="14">
        <f t="shared" si="3"/>
        <v>1561.21</v>
      </c>
      <c r="H23" s="14">
        <f t="shared" si="4"/>
        <v>2056.23</v>
      </c>
      <c r="I23" s="14">
        <f t="shared" si="5"/>
        <v>1040.81</v>
      </c>
      <c r="J23" s="14">
        <v>24</v>
      </c>
      <c r="K23" s="14">
        <f t="shared" si="6"/>
        <v>520.41</v>
      </c>
      <c r="L23" s="14">
        <f t="shared" si="7"/>
        <v>0</v>
      </c>
      <c r="M23" s="14">
        <v>60</v>
      </c>
      <c r="N23" s="14">
        <f t="shared" si="8"/>
        <v>156.12</v>
      </c>
      <c r="O23" s="14">
        <f t="shared" si="9"/>
        <v>0</v>
      </c>
      <c r="P23" s="14">
        <v>11</v>
      </c>
      <c r="Q23" s="14">
        <f t="shared" si="10"/>
        <v>260.2</v>
      </c>
      <c r="R23" s="14">
        <f t="shared" si="11"/>
        <v>0</v>
      </c>
      <c r="S23" s="14"/>
      <c r="T23" s="14">
        <v>0</v>
      </c>
      <c r="U23" s="14">
        <v>10000</v>
      </c>
      <c r="V23" s="14">
        <f t="shared" si="12"/>
        <v>936.73</v>
      </c>
      <c r="W23" s="14">
        <f t="shared" si="13"/>
        <v>10000</v>
      </c>
    </row>
    <row r="24" spans="1:24" x14ac:dyDescent="0.25">
      <c r="A24" s="15">
        <v>44976</v>
      </c>
      <c r="B24" s="14">
        <f>Summary!$G$13/28</f>
        <v>5140.57</v>
      </c>
      <c r="C24" s="14">
        <v>0.81</v>
      </c>
      <c r="D24" s="14">
        <v>0.41</v>
      </c>
      <c r="E24" s="27">
        <f t="shared" si="1"/>
        <v>0.41</v>
      </c>
      <c r="F24" s="14">
        <f t="shared" si="2"/>
        <v>3084.34</v>
      </c>
      <c r="G24" s="14">
        <f t="shared" si="3"/>
        <v>1561.21</v>
      </c>
      <c r="H24" s="14">
        <f t="shared" si="4"/>
        <v>2056.23</v>
      </c>
      <c r="I24" s="14">
        <f t="shared" si="5"/>
        <v>1040.81</v>
      </c>
      <c r="J24" s="14">
        <v>27</v>
      </c>
      <c r="K24" s="14">
        <f t="shared" si="6"/>
        <v>520.41</v>
      </c>
      <c r="L24" s="14">
        <f t="shared" si="7"/>
        <v>0</v>
      </c>
      <c r="M24" s="14">
        <v>67</v>
      </c>
      <c r="N24" s="14">
        <f t="shared" si="8"/>
        <v>156.12</v>
      </c>
      <c r="O24" s="14">
        <f t="shared" si="9"/>
        <v>0</v>
      </c>
      <c r="P24" s="14">
        <v>10</v>
      </c>
      <c r="Q24" s="14">
        <f t="shared" si="10"/>
        <v>260.2</v>
      </c>
      <c r="R24" s="14">
        <f t="shared" si="11"/>
        <v>0</v>
      </c>
      <c r="S24" s="14"/>
      <c r="T24" s="14">
        <v>0</v>
      </c>
      <c r="U24" s="14">
        <v>10000</v>
      </c>
      <c r="V24" s="14">
        <f t="shared" si="12"/>
        <v>936.73</v>
      </c>
      <c r="W24" s="14">
        <f t="shared" si="13"/>
        <v>10000</v>
      </c>
    </row>
    <row r="25" spans="1:24" s="120" customFormat="1" x14ac:dyDescent="0.25">
      <c r="A25" s="117">
        <v>44977</v>
      </c>
      <c r="B25" s="118">
        <f>Summary!$G$13/28</f>
        <v>5140.57</v>
      </c>
      <c r="C25" s="118">
        <v>0.81</v>
      </c>
      <c r="D25" s="118">
        <v>0.41</v>
      </c>
      <c r="E25" s="27">
        <f t="shared" si="1"/>
        <v>0.41</v>
      </c>
      <c r="F25" s="118">
        <f t="shared" si="2"/>
        <v>3084.34</v>
      </c>
      <c r="G25" s="14">
        <f t="shared" si="3"/>
        <v>1561.21</v>
      </c>
      <c r="H25" s="118">
        <f t="shared" si="4"/>
        <v>2056.23</v>
      </c>
      <c r="I25" s="14">
        <f t="shared" si="5"/>
        <v>1040.81</v>
      </c>
      <c r="J25" s="118">
        <v>26</v>
      </c>
      <c r="K25" s="14">
        <f t="shared" si="6"/>
        <v>520.41</v>
      </c>
      <c r="L25" s="14">
        <f t="shared" si="7"/>
        <v>0</v>
      </c>
      <c r="M25" s="121">
        <v>144</v>
      </c>
      <c r="N25" s="14">
        <v>0</v>
      </c>
      <c r="O25" s="14">
        <f t="shared" si="9"/>
        <v>10000</v>
      </c>
      <c r="P25" s="121">
        <v>75</v>
      </c>
      <c r="Q25" s="14">
        <v>0</v>
      </c>
      <c r="R25" s="14">
        <f t="shared" si="11"/>
        <v>10000</v>
      </c>
      <c r="S25" s="118"/>
      <c r="T25" s="118">
        <v>0</v>
      </c>
      <c r="U25" s="118">
        <v>10000</v>
      </c>
      <c r="V25" s="14">
        <f t="shared" si="12"/>
        <v>520.41</v>
      </c>
      <c r="W25" s="14">
        <f t="shared" si="13"/>
        <v>30000</v>
      </c>
      <c r="X25" s="125"/>
    </row>
    <row r="26" spans="1:24" x14ac:dyDescent="0.25">
      <c r="A26" s="15">
        <v>44978</v>
      </c>
      <c r="B26" s="14">
        <f>Summary!$G$13/28</f>
        <v>5140.57</v>
      </c>
      <c r="C26" s="14">
        <v>0.81</v>
      </c>
      <c r="D26" s="14">
        <v>0.41</v>
      </c>
      <c r="E26" s="27">
        <f t="shared" si="1"/>
        <v>0.41</v>
      </c>
      <c r="F26" s="14">
        <f t="shared" si="2"/>
        <v>3084.34</v>
      </c>
      <c r="G26" s="14">
        <f t="shared" si="3"/>
        <v>1561.21</v>
      </c>
      <c r="H26" s="14">
        <f t="shared" si="4"/>
        <v>2056.23</v>
      </c>
      <c r="I26" s="14">
        <f t="shared" si="5"/>
        <v>1040.81</v>
      </c>
      <c r="J26" s="14">
        <v>25</v>
      </c>
      <c r="K26" s="14">
        <f t="shared" si="6"/>
        <v>520.41</v>
      </c>
      <c r="L26" s="14">
        <f t="shared" si="7"/>
        <v>0</v>
      </c>
      <c r="M26" s="14">
        <v>65</v>
      </c>
      <c r="N26" s="14">
        <f t="shared" si="8"/>
        <v>156.12</v>
      </c>
      <c r="O26" s="14">
        <f t="shared" si="9"/>
        <v>0</v>
      </c>
      <c r="P26" s="14">
        <v>10</v>
      </c>
      <c r="Q26" s="14">
        <f t="shared" si="10"/>
        <v>260.2</v>
      </c>
      <c r="R26" s="14">
        <f t="shared" si="11"/>
        <v>0</v>
      </c>
      <c r="S26" s="14"/>
      <c r="T26" s="14">
        <v>0</v>
      </c>
      <c r="U26" s="14">
        <v>10000</v>
      </c>
      <c r="V26" s="14">
        <f t="shared" si="12"/>
        <v>936.73</v>
      </c>
      <c r="W26" s="14">
        <f t="shared" si="13"/>
        <v>10000</v>
      </c>
    </row>
    <row r="27" spans="1:24" s="114" customFormat="1" x14ac:dyDescent="0.25">
      <c r="A27" s="112">
        <v>44979</v>
      </c>
      <c r="B27" s="113">
        <f>Summary!$G$13/28</f>
        <v>5140.57</v>
      </c>
      <c r="C27" s="113">
        <v>0.81</v>
      </c>
      <c r="D27" s="113">
        <v>0.41</v>
      </c>
      <c r="E27" s="27">
        <f t="shared" si="1"/>
        <v>0.41</v>
      </c>
      <c r="F27" s="113">
        <f t="shared" si="2"/>
        <v>3084.34</v>
      </c>
      <c r="G27" s="14">
        <f t="shared" si="3"/>
        <v>1561.21</v>
      </c>
      <c r="H27" s="113">
        <f t="shared" si="4"/>
        <v>2056.23</v>
      </c>
      <c r="I27" s="14">
        <f t="shared" si="5"/>
        <v>1040.81</v>
      </c>
      <c r="J27" s="113">
        <v>9</v>
      </c>
      <c r="K27" s="14">
        <f t="shared" si="6"/>
        <v>520.41</v>
      </c>
      <c r="L27" s="14">
        <f t="shared" si="7"/>
        <v>0</v>
      </c>
      <c r="M27" s="113">
        <v>48</v>
      </c>
      <c r="N27" s="14">
        <f t="shared" si="8"/>
        <v>156.12</v>
      </c>
      <c r="O27" s="14">
        <f t="shared" si="9"/>
        <v>0</v>
      </c>
      <c r="P27" s="113">
        <v>8</v>
      </c>
      <c r="Q27" s="14">
        <f t="shared" si="10"/>
        <v>260.2</v>
      </c>
      <c r="R27" s="14">
        <f t="shared" si="11"/>
        <v>0</v>
      </c>
      <c r="S27" s="113"/>
      <c r="T27" s="113">
        <v>0</v>
      </c>
      <c r="U27" s="113">
        <v>10000</v>
      </c>
      <c r="V27" s="14">
        <f t="shared" si="12"/>
        <v>936.73</v>
      </c>
      <c r="W27" s="14">
        <f t="shared" si="13"/>
        <v>10000</v>
      </c>
      <c r="X27" s="124" t="s">
        <v>131</v>
      </c>
    </row>
    <row r="28" spans="1:24" x14ac:dyDescent="0.25">
      <c r="A28" s="15">
        <v>44980</v>
      </c>
      <c r="B28" s="14">
        <f>Summary!$G$13/28</f>
        <v>5140.57</v>
      </c>
      <c r="C28" s="14">
        <v>0.81</v>
      </c>
      <c r="D28" s="14">
        <v>0.41</v>
      </c>
      <c r="E28" s="27">
        <f t="shared" si="1"/>
        <v>0.41</v>
      </c>
      <c r="F28" s="14">
        <f t="shared" si="2"/>
        <v>3084.34</v>
      </c>
      <c r="G28" s="14">
        <f t="shared" si="3"/>
        <v>1561.21</v>
      </c>
      <c r="H28" s="14">
        <f t="shared" si="4"/>
        <v>2056.23</v>
      </c>
      <c r="I28" s="14">
        <f t="shared" si="5"/>
        <v>1040.81</v>
      </c>
      <c r="J28" s="14">
        <v>24</v>
      </c>
      <c r="K28" s="14">
        <f t="shared" si="6"/>
        <v>520.41</v>
      </c>
      <c r="L28" s="14">
        <f t="shared" si="7"/>
        <v>0</v>
      </c>
      <c r="M28" s="14">
        <v>68</v>
      </c>
      <c r="N28" s="14">
        <f t="shared" si="8"/>
        <v>156.12</v>
      </c>
      <c r="O28" s="14">
        <f t="shared" si="9"/>
        <v>0</v>
      </c>
      <c r="P28" s="14">
        <v>10</v>
      </c>
      <c r="Q28" s="14">
        <f t="shared" si="10"/>
        <v>260.2</v>
      </c>
      <c r="R28" s="14">
        <f t="shared" si="11"/>
        <v>0</v>
      </c>
      <c r="S28" s="14"/>
      <c r="T28" s="14">
        <v>0</v>
      </c>
      <c r="U28" s="14">
        <v>10000</v>
      </c>
      <c r="V28" s="14">
        <f t="shared" si="12"/>
        <v>936.73</v>
      </c>
      <c r="W28" s="14">
        <f t="shared" si="13"/>
        <v>10000</v>
      </c>
    </row>
    <row r="29" spans="1:24" x14ac:dyDescent="0.25">
      <c r="A29" s="15">
        <v>44981</v>
      </c>
      <c r="B29" s="14">
        <f>Summary!$G$13/28</f>
        <v>5140.57</v>
      </c>
      <c r="C29" s="14">
        <v>0.81</v>
      </c>
      <c r="D29" s="14">
        <v>0.41</v>
      </c>
      <c r="E29" s="27">
        <f t="shared" si="1"/>
        <v>0.41</v>
      </c>
      <c r="F29" s="14">
        <f t="shared" si="2"/>
        <v>3084.34</v>
      </c>
      <c r="G29" s="14">
        <f t="shared" si="3"/>
        <v>1561.21</v>
      </c>
      <c r="H29" s="14">
        <f t="shared" si="4"/>
        <v>2056.23</v>
      </c>
      <c r="I29" s="14">
        <f t="shared" si="5"/>
        <v>1040.81</v>
      </c>
      <c r="J29" s="14">
        <v>27</v>
      </c>
      <c r="K29" s="14">
        <f t="shared" si="6"/>
        <v>520.41</v>
      </c>
      <c r="L29" s="14">
        <f t="shared" si="7"/>
        <v>0</v>
      </c>
      <c r="M29" s="14">
        <v>70</v>
      </c>
      <c r="N29" s="14">
        <f t="shared" si="8"/>
        <v>156.12</v>
      </c>
      <c r="O29" s="14">
        <f t="shared" si="9"/>
        <v>0</v>
      </c>
      <c r="P29" s="14">
        <v>11</v>
      </c>
      <c r="Q29" s="14">
        <f t="shared" si="10"/>
        <v>260.2</v>
      </c>
      <c r="R29" s="14">
        <f t="shared" si="11"/>
        <v>0</v>
      </c>
      <c r="S29" s="14"/>
      <c r="T29" s="14">
        <v>0</v>
      </c>
      <c r="U29" s="14">
        <v>10000</v>
      </c>
      <c r="V29" s="14">
        <f t="shared" si="12"/>
        <v>936.73</v>
      </c>
      <c r="W29" s="14">
        <f t="shared" si="13"/>
        <v>10000</v>
      </c>
    </row>
    <row r="30" spans="1:24" x14ac:dyDescent="0.25">
      <c r="A30" s="15">
        <v>44982</v>
      </c>
      <c r="B30" s="14">
        <f>Summary!$G$13/28</f>
        <v>5140.57</v>
      </c>
      <c r="C30" s="14">
        <v>0.81</v>
      </c>
      <c r="D30" s="14">
        <v>0.41</v>
      </c>
      <c r="E30" s="27">
        <f t="shared" si="1"/>
        <v>0.41</v>
      </c>
      <c r="F30" s="14">
        <f t="shared" si="2"/>
        <v>3084.34</v>
      </c>
      <c r="G30" s="14">
        <f t="shared" si="3"/>
        <v>1561.21</v>
      </c>
      <c r="H30" s="14">
        <f t="shared" si="4"/>
        <v>2056.23</v>
      </c>
      <c r="I30" s="14">
        <f t="shared" si="5"/>
        <v>1040.81</v>
      </c>
      <c r="J30" s="14">
        <v>29</v>
      </c>
      <c r="K30" s="14">
        <f t="shared" si="6"/>
        <v>520.41</v>
      </c>
      <c r="L30" s="14">
        <f t="shared" si="7"/>
        <v>0</v>
      </c>
      <c r="M30" s="14">
        <v>56</v>
      </c>
      <c r="N30" s="14">
        <f t="shared" si="8"/>
        <v>156.12</v>
      </c>
      <c r="O30" s="14">
        <f t="shared" si="9"/>
        <v>0</v>
      </c>
      <c r="P30" s="14">
        <v>9</v>
      </c>
      <c r="Q30" s="14">
        <f t="shared" si="10"/>
        <v>260.2</v>
      </c>
      <c r="R30" s="14">
        <f t="shared" si="11"/>
        <v>0</v>
      </c>
      <c r="S30" s="14"/>
      <c r="T30" s="14">
        <v>0</v>
      </c>
      <c r="U30" s="14">
        <v>10000</v>
      </c>
      <c r="V30" s="14">
        <f t="shared" si="12"/>
        <v>936.73</v>
      </c>
      <c r="W30" s="14">
        <f t="shared" si="13"/>
        <v>10000</v>
      </c>
    </row>
    <row r="31" spans="1:24" x14ac:dyDescent="0.25">
      <c r="A31" s="15">
        <v>44983</v>
      </c>
      <c r="B31" s="14">
        <f>Summary!$G$13/28</f>
        <v>5140.57</v>
      </c>
      <c r="C31" s="14">
        <v>0.81</v>
      </c>
      <c r="D31" s="14">
        <v>0.41</v>
      </c>
      <c r="E31" s="27">
        <f t="shared" si="1"/>
        <v>0.41</v>
      </c>
      <c r="F31" s="14">
        <f t="shared" si="2"/>
        <v>3084.34</v>
      </c>
      <c r="G31" s="14">
        <f t="shared" si="3"/>
        <v>1561.21</v>
      </c>
      <c r="H31" s="14">
        <f t="shared" si="4"/>
        <v>2056.23</v>
      </c>
      <c r="I31" s="14">
        <f t="shared" si="5"/>
        <v>1040.81</v>
      </c>
      <c r="J31" s="14">
        <v>27</v>
      </c>
      <c r="K31" s="14">
        <f t="shared" si="6"/>
        <v>520.41</v>
      </c>
      <c r="L31" s="14">
        <f t="shared" si="7"/>
        <v>0</v>
      </c>
      <c r="M31" s="14">
        <v>60</v>
      </c>
      <c r="N31" s="14">
        <f t="shared" si="8"/>
        <v>156.12</v>
      </c>
      <c r="O31" s="14">
        <f t="shared" si="9"/>
        <v>0</v>
      </c>
      <c r="P31" s="14">
        <v>11</v>
      </c>
      <c r="Q31" s="14">
        <f t="shared" si="10"/>
        <v>260.2</v>
      </c>
      <c r="R31" s="14">
        <f t="shared" si="11"/>
        <v>0</v>
      </c>
      <c r="S31" s="14"/>
      <c r="T31" s="14">
        <v>0</v>
      </c>
      <c r="U31" s="14">
        <v>10000</v>
      </c>
      <c r="V31" s="14">
        <f t="shared" si="12"/>
        <v>936.73</v>
      </c>
      <c r="W31" s="14">
        <f t="shared" si="13"/>
        <v>10000</v>
      </c>
    </row>
    <row r="32" spans="1:24" s="120" customFormat="1" x14ac:dyDescent="0.25">
      <c r="A32" s="117">
        <v>44984</v>
      </c>
      <c r="B32" s="118">
        <f>Summary!$G$13/28</f>
        <v>5140.57</v>
      </c>
      <c r="C32" s="118">
        <v>0.81</v>
      </c>
      <c r="D32" s="118">
        <v>0.41</v>
      </c>
      <c r="E32" s="27">
        <f t="shared" si="1"/>
        <v>0.41</v>
      </c>
      <c r="F32" s="118">
        <f t="shared" si="2"/>
        <v>3084.34</v>
      </c>
      <c r="G32" s="14">
        <f t="shared" si="3"/>
        <v>1561.21</v>
      </c>
      <c r="H32" s="118">
        <f t="shared" si="4"/>
        <v>2056.23</v>
      </c>
      <c r="I32" s="14">
        <f t="shared" si="5"/>
        <v>1040.81</v>
      </c>
      <c r="J32" s="118">
        <v>24</v>
      </c>
      <c r="K32" s="14">
        <f t="shared" si="6"/>
        <v>520.41</v>
      </c>
      <c r="L32" s="14">
        <f t="shared" si="7"/>
        <v>0</v>
      </c>
      <c r="M32" s="121">
        <v>160</v>
      </c>
      <c r="N32" s="14">
        <v>0</v>
      </c>
      <c r="O32" s="14">
        <f t="shared" si="9"/>
        <v>10000</v>
      </c>
      <c r="P32" s="121">
        <v>84</v>
      </c>
      <c r="Q32" s="14">
        <v>0</v>
      </c>
      <c r="R32" s="14">
        <f t="shared" si="11"/>
        <v>10000</v>
      </c>
      <c r="S32" s="118"/>
      <c r="T32" s="118">
        <v>0</v>
      </c>
      <c r="U32" s="118">
        <v>10000</v>
      </c>
      <c r="V32" s="14">
        <f t="shared" si="12"/>
        <v>520.41</v>
      </c>
      <c r="W32" s="14">
        <f t="shared" si="13"/>
        <v>30000</v>
      </c>
      <c r="X32" s="125"/>
    </row>
    <row r="33" spans="1:24" x14ac:dyDescent="0.25">
      <c r="A33" s="15">
        <v>44985</v>
      </c>
      <c r="B33" s="14">
        <f>Summary!$G$13/28</f>
        <v>5140.57</v>
      </c>
      <c r="C33" s="14">
        <v>0.81</v>
      </c>
      <c r="D33" s="14">
        <v>0.41</v>
      </c>
      <c r="E33" s="27">
        <f t="shared" si="1"/>
        <v>0.41</v>
      </c>
      <c r="F33" s="14">
        <f t="shared" si="2"/>
        <v>3084.34</v>
      </c>
      <c r="G33" s="14">
        <f t="shared" si="3"/>
        <v>1561.21</v>
      </c>
      <c r="H33" s="14">
        <f t="shared" si="4"/>
        <v>2056.23</v>
      </c>
      <c r="I33" s="14">
        <f t="shared" si="5"/>
        <v>1040.81</v>
      </c>
      <c r="J33" s="14">
        <v>19</v>
      </c>
      <c r="K33" s="14">
        <f t="shared" si="6"/>
        <v>520.41</v>
      </c>
      <c r="L33" s="14">
        <f t="shared" si="7"/>
        <v>0</v>
      </c>
      <c r="M33" s="14">
        <v>60</v>
      </c>
      <c r="N33" s="14">
        <f t="shared" si="8"/>
        <v>156.12</v>
      </c>
      <c r="O33" s="14">
        <f t="shared" si="9"/>
        <v>0</v>
      </c>
      <c r="P33" s="14">
        <v>9</v>
      </c>
      <c r="Q33" s="14">
        <f t="shared" si="10"/>
        <v>260.2</v>
      </c>
      <c r="R33" s="14">
        <f t="shared" si="11"/>
        <v>0</v>
      </c>
      <c r="S33" s="14"/>
      <c r="T33" s="14">
        <v>0</v>
      </c>
      <c r="U33" s="14">
        <v>10000</v>
      </c>
      <c r="V33" s="14">
        <f t="shared" si="12"/>
        <v>936.73</v>
      </c>
      <c r="W33" s="14">
        <f t="shared" si="13"/>
        <v>10000</v>
      </c>
    </row>
    <row r="34" spans="1:24" s="21" customFormat="1" ht="15" customHeight="1" x14ac:dyDescent="0.25">
      <c r="A34" s="41" t="s">
        <v>20</v>
      </c>
      <c r="B34" s="20">
        <f>SUM(B6:B33)</f>
        <v>143935.96</v>
      </c>
      <c r="C34" s="20"/>
      <c r="D34" s="20"/>
      <c r="E34" s="20"/>
      <c r="F34" s="20">
        <f>SUM(F6:F33)</f>
        <v>86361.52</v>
      </c>
      <c r="G34" s="20">
        <f>SUM(G6:G33)</f>
        <v>43713.88</v>
      </c>
      <c r="H34" s="20">
        <f>SUM(H6:H33)</f>
        <v>57574.44</v>
      </c>
      <c r="I34" s="20">
        <f>SUM(I6:I33)</f>
        <v>29142.68</v>
      </c>
      <c r="J34" s="20"/>
      <c r="K34" s="20">
        <f>SUM(K6:K33)</f>
        <v>14571.48</v>
      </c>
      <c r="L34" s="20">
        <f>SUM(L6:L33)</f>
        <v>0</v>
      </c>
      <c r="M34" s="20"/>
      <c r="N34" s="20">
        <f>SUM(N6:N33)</f>
        <v>3746.88</v>
      </c>
      <c r="O34" s="20">
        <f>SUM(O6:O33)</f>
        <v>40000</v>
      </c>
      <c r="P34" s="20"/>
      <c r="Q34" s="20">
        <f t="shared" ref="Q34:U34" si="14">SUM(Q6:Q33)</f>
        <v>6244.8</v>
      </c>
      <c r="R34" s="20">
        <f t="shared" si="14"/>
        <v>40000</v>
      </c>
      <c r="S34" s="20">
        <f t="shared" si="14"/>
        <v>0</v>
      </c>
      <c r="T34" s="20">
        <f t="shared" si="14"/>
        <v>0</v>
      </c>
      <c r="U34" s="20">
        <f t="shared" si="14"/>
        <v>280000</v>
      </c>
      <c r="V34" s="20">
        <f>SUM(V6:V33)</f>
        <v>24563.16</v>
      </c>
      <c r="W34" s="20">
        <f>SUM(W6:W33)</f>
        <v>360000</v>
      </c>
    </row>
    <row r="35" spans="1:24" ht="15" customHeight="1" x14ac:dyDescent="0.25">
      <c r="A35" s="221" t="s">
        <v>81</v>
      </c>
      <c r="B35" s="222"/>
      <c r="C35" s="223"/>
      <c r="D35" s="20"/>
      <c r="E35" s="20"/>
      <c r="F35" s="1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68277.039999999994</v>
      </c>
      <c r="W35" s="20"/>
      <c r="X35" s="32"/>
    </row>
    <row r="36" spans="1:24" s="93" customFormat="1" ht="15" customHeight="1" x14ac:dyDescent="0.25">
      <c r="K36" s="93">
        <f>COUNTIF(K6:K33,"0")</f>
        <v>0</v>
      </c>
      <c r="N36" s="93">
        <f>COUNTIF(N6:N33,"0")</f>
        <v>4</v>
      </c>
      <c r="Q36" s="93">
        <f>COUNTIF(Q6:Q33,"0")</f>
        <v>4</v>
      </c>
      <c r="T36" s="93">
        <f>COUNTIF(T6:T33,"0")</f>
        <v>28</v>
      </c>
      <c r="V36" s="94"/>
      <c r="W36" s="94"/>
      <c r="X36" s="30"/>
    </row>
    <row r="39" spans="1:24" ht="15" customHeight="1" x14ac:dyDescent="0.25">
      <c r="C39" s="94"/>
    </row>
  </sheetData>
  <mergeCells count="20">
    <mergeCell ref="A35:C35"/>
    <mergeCell ref="A1:V1"/>
    <mergeCell ref="F3:G3"/>
    <mergeCell ref="H3:V3"/>
    <mergeCell ref="B4:B5"/>
    <mergeCell ref="A4:A5"/>
    <mergeCell ref="C4:C5"/>
    <mergeCell ref="F4:F5"/>
    <mergeCell ref="G4:G5"/>
    <mergeCell ref="H4:H5"/>
    <mergeCell ref="C3:D3"/>
    <mergeCell ref="D4:D5"/>
    <mergeCell ref="I4:I5"/>
    <mergeCell ref="E4:E5"/>
    <mergeCell ref="J4:L4"/>
    <mergeCell ref="M4:O4"/>
    <mergeCell ref="P4:R4"/>
    <mergeCell ref="W4:W5"/>
    <mergeCell ref="S4:U4"/>
    <mergeCell ref="V4:V5"/>
  </mergeCells>
  <pageMargins left="0.25" right="0.25" top="0.75" bottom="0.75" header="0.3" footer="0.3"/>
  <pageSetup paperSize="9"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43"/>
  <sheetViews>
    <sheetView topLeftCell="G15" zoomScaleNormal="100" workbookViewId="0">
      <selection activeCell="W35" sqref="W35"/>
    </sheetView>
  </sheetViews>
  <sheetFormatPr defaultColWidth="9.140625" defaultRowHeight="15.75" x14ac:dyDescent="0.25"/>
  <cols>
    <col min="1" max="1" width="10.5703125" bestFit="1" customWidth="1"/>
    <col min="2" max="2" width="11.85546875" customWidth="1"/>
    <col min="3" max="3" width="8.5703125" customWidth="1"/>
    <col min="4" max="4" width="7.85546875" customWidth="1"/>
    <col min="5" max="5" width="9.7109375" customWidth="1"/>
    <col min="6" max="6" width="12.5703125" customWidth="1"/>
    <col min="7" max="7" width="10.85546875" customWidth="1"/>
    <col min="8" max="8" width="12.7109375" customWidth="1"/>
    <col min="9" max="9" width="10.28515625" customWidth="1"/>
    <col min="10" max="10" width="9" customWidth="1"/>
    <col min="11" max="11" width="12.42578125" customWidth="1"/>
    <col min="12" max="12" width="9.140625" customWidth="1"/>
    <col min="13" max="13" width="9" customWidth="1"/>
    <col min="14" max="14" width="11.5703125" customWidth="1"/>
    <col min="15" max="15" width="10.140625" customWidth="1"/>
    <col min="16" max="16" width="9.140625" customWidth="1"/>
    <col min="17" max="17" width="12.85546875" customWidth="1"/>
    <col min="18" max="18" width="9.5703125" customWidth="1"/>
    <col min="19" max="19" width="9.42578125" customWidth="1"/>
    <col min="20" max="20" width="9.140625" bestFit="1" customWidth="1"/>
    <col min="21" max="21" width="11.85546875" customWidth="1"/>
    <col min="22" max="22" width="15.42578125" customWidth="1"/>
    <col min="23" max="23" width="13.7109375" customWidth="1"/>
    <col min="24" max="24" width="9.140625" style="28"/>
  </cols>
  <sheetData>
    <row r="1" spans="1:24" ht="18.75" x14ac:dyDescent="0.25">
      <c r="A1" s="188" t="str">
        <f>'56 MLd Dudahaida'!A1:V1</f>
        <v xml:space="preserve">Ghaziabad Zone /Payment for the month of FEBRUARY 2023 (As Per VoL -1, Section IV, Clause 39) 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7"/>
    </row>
    <row r="2" spans="1:24" ht="18.75" x14ac:dyDescent="0.25">
      <c r="A2" s="43">
        <v>1</v>
      </c>
      <c r="B2" s="43">
        <v>2</v>
      </c>
      <c r="C2" s="43">
        <v>3</v>
      </c>
      <c r="D2" s="43">
        <v>4</v>
      </c>
      <c r="E2" s="43">
        <v>5</v>
      </c>
      <c r="F2" s="43">
        <v>6</v>
      </c>
      <c r="G2" s="43">
        <v>7</v>
      </c>
      <c r="H2" s="43">
        <v>8</v>
      </c>
      <c r="I2" s="43">
        <v>9</v>
      </c>
      <c r="J2" s="43"/>
      <c r="K2" s="43">
        <v>10</v>
      </c>
      <c r="L2" s="43"/>
      <c r="M2" s="43"/>
      <c r="N2" s="43">
        <v>11</v>
      </c>
      <c r="O2" s="43"/>
      <c r="P2" s="43"/>
      <c r="Q2" s="43">
        <v>12</v>
      </c>
      <c r="R2" s="43"/>
      <c r="S2" s="43"/>
      <c r="T2" s="43">
        <v>13</v>
      </c>
      <c r="U2" s="43"/>
      <c r="V2" s="43">
        <v>14</v>
      </c>
      <c r="W2" s="26"/>
    </row>
    <row r="3" spans="1:24" x14ac:dyDescent="0.25">
      <c r="A3" s="41"/>
      <c r="B3" s="41"/>
      <c r="C3" s="190" t="s">
        <v>15</v>
      </c>
      <c r="D3" s="194"/>
      <c r="E3" s="44"/>
      <c r="F3" s="185" t="s">
        <v>18</v>
      </c>
      <c r="G3" s="185"/>
      <c r="H3" s="190" t="s">
        <v>19</v>
      </c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4"/>
      <c r="W3" s="45"/>
    </row>
    <row r="4" spans="1:24" x14ac:dyDescent="0.25">
      <c r="A4" s="211" t="s">
        <v>14</v>
      </c>
      <c r="B4" s="209" t="s">
        <v>43</v>
      </c>
      <c r="C4" s="195" t="s">
        <v>37</v>
      </c>
      <c r="D4" s="192" t="s">
        <v>56</v>
      </c>
      <c r="E4" s="213" t="s">
        <v>59</v>
      </c>
      <c r="F4" s="185" t="s">
        <v>16</v>
      </c>
      <c r="G4" s="187" t="s">
        <v>17</v>
      </c>
      <c r="H4" s="185" t="s">
        <v>21</v>
      </c>
      <c r="I4" s="187" t="s">
        <v>17</v>
      </c>
      <c r="J4" s="190" t="s">
        <v>8</v>
      </c>
      <c r="K4" s="191"/>
      <c r="L4" s="191"/>
      <c r="M4" s="190" t="s">
        <v>10</v>
      </c>
      <c r="N4" s="191"/>
      <c r="O4" s="191"/>
      <c r="P4" s="190" t="s">
        <v>9</v>
      </c>
      <c r="Q4" s="191"/>
      <c r="R4" s="191"/>
      <c r="S4" s="190" t="s">
        <v>13</v>
      </c>
      <c r="T4" s="191"/>
      <c r="U4" s="191"/>
      <c r="V4" s="187" t="s">
        <v>55</v>
      </c>
      <c r="W4" s="187" t="s">
        <v>61</v>
      </c>
    </row>
    <row r="5" spans="1:24" ht="30" x14ac:dyDescent="0.25">
      <c r="A5" s="212"/>
      <c r="B5" s="210"/>
      <c r="C5" s="196"/>
      <c r="D5" s="193"/>
      <c r="E5" s="214"/>
      <c r="F5" s="185"/>
      <c r="G5" s="187"/>
      <c r="H5" s="185"/>
      <c r="I5" s="187"/>
      <c r="J5" s="42" t="s">
        <v>60</v>
      </c>
      <c r="K5" s="4">
        <v>0.5</v>
      </c>
      <c r="L5" s="4" t="s">
        <v>61</v>
      </c>
      <c r="M5" s="42" t="s">
        <v>60</v>
      </c>
      <c r="N5" s="4">
        <v>0.15</v>
      </c>
      <c r="O5" s="4" t="s">
        <v>61</v>
      </c>
      <c r="P5" s="42" t="s">
        <v>60</v>
      </c>
      <c r="Q5" s="4">
        <v>0.25</v>
      </c>
      <c r="R5" s="4" t="s">
        <v>61</v>
      </c>
      <c r="S5" s="42" t="s">
        <v>60</v>
      </c>
      <c r="T5" s="4">
        <v>0.1</v>
      </c>
      <c r="U5" s="4" t="s">
        <v>61</v>
      </c>
      <c r="V5" s="187"/>
      <c r="W5" s="187"/>
    </row>
    <row r="6" spans="1:24" x14ac:dyDescent="0.25">
      <c r="A6" s="15">
        <v>44958</v>
      </c>
      <c r="B6" s="14">
        <f>Summary!$G$14/28</f>
        <v>11169.63</v>
      </c>
      <c r="C6" s="14">
        <v>1.76</v>
      </c>
      <c r="D6" s="27">
        <v>0.67</v>
      </c>
      <c r="E6" s="27">
        <f>MIN(D6,C6)</f>
        <v>0.67</v>
      </c>
      <c r="F6" s="14">
        <f>B6*60%</f>
        <v>6701.78</v>
      </c>
      <c r="G6" s="14">
        <f>(F6*E6)/C6</f>
        <v>2551.25</v>
      </c>
      <c r="H6" s="14">
        <f>B6*40%</f>
        <v>4467.8500000000004</v>
      </c>
      <c r="I6" s="14">
        <f>(H6*E6)/C6</f>
        <v>1700.83</v>
      </c>
      <c r="J6" s="14">
        <v>24</v>
      </c>
      <c r="K6" s="14">
        <f t="shared" ref="K6:K33" si="0">$I6*50%</f>
        <v>850.42</v>
      </c>
      <c r="L6" s="14">
        <f t="shared" ref="L6" si="1">IF(J6&gt;30,(MAX($B$34*0.1/100,10000)),0)</f>
        <v>0</v>
      </c>
      <c r="M6" s="14">
        <v>45</v>
      </c>
      <c r="N6" s="14">
        <f t="shared" ref="N6:N33" si="2">$I6*15%</f>
        <v>255.12</v>
      </c>
      <c r="O6" s="14">
        <f>IF(M6&gt;100,(MAX($B$34*0.1/100,10000)),0)</f>
        <v>0</v>
      </c>
      <c r="P6" s="14">
        <v>16</v>
      </c>
      <c r="Q6" s="14">
        <f>$I6*25%</f>
        <v>425.21</v>
      </c>
      <c r="R6" s="14">
        <f>IF(P6&gt;50,(MAX($B$34*0.1/100,10000)),0)</f>
        <v>0</v>
      </c>
      <c r="S6" s="14"/>
      <c r="T6" s="14">
        <v>0</v>
      </c>
      <c r="U6" s="14">
        <v>10000</v>
      </c>
      <c r="V6" s="14">
        <f>T6+Q6+N6+K6</f>
        <v>1530.75</v>
      </c>
      <c r="W6" s="14">
        <f>U6+R6+O6+L6</f>
        <v>10000</v>
      </c>
    </row>
    <row r="7" spans="1:24" x14ac:dyDescent="0.25">
      <c r="A7" s="15">
        <v>44959</v>
      </c>
      <c r="B7" s="14">
        <f>Summary!$G$14/28</f>
        <v>11169.63</v>
      </c>
      <c r="C7" s="14">
        <v>1.76</v>
      </c>
      <c r="D7" s="27">
        <v>0.67</v>
      </c>
      <c r="E7" s="27">
        <f t="shared" ref="E7:E33" si="3">MIN(D7,C7)</f>
        <v>0.67</v>
      </c>
      <c r="F7" s="14">
        <f t="shared" ref="F7:F33" si="4">B7*60%</f>
        <v>6701.78</v>
      </c>
      <c r="G7" s="14">
        <f t="shared" ref="G7:G33" si="5">(F7*E7)/C7</f>
        <v>2551.25</v>
      </c>
      <c r="H7" s="14">
        <f t="shared" ref="H7:H33" si="6">B7*40%</f>
        <v>4467.8500000000004</v>
      </c>
      <c r="I7" s="14">
        <f t="shared" ref="I7:I33" si="7">(H7*E7)/C7</f>
        <v>1700.83</v>
      </c>
      <c r="J7" s="14">
        <v>27</v>
      </c>
      <c r="K7" s="14">
        <f t="shared" si="0"/>
        <v>850.42</v>
      </c>
      <c r="L7" s="14">
        <f t="shared" ref="L7:L33" si="8">IF(J7&gt;30,(MAX($B$34*0.1/100,10000)),0)</f>
        <v>0</v>
      </c>
      <c r="M7" s="14">
        <v>48</v>
      </c>
      <c r="N7" s="14">
        <f t="shared" si="2"/>
        <v>255.12</v>
      </c>
      <c r="O7" s="14">
        <f t="shared" ref="O7:O33" si="9">IF(M7&gt;100,(MAX($B$34*0.1/100,10000)),0)</f>
        <v>0</v>
      </c>
      <c r="P7" s="14">
        <v>10</v>
      </c>
      <c r="Q7" s="14">
        <f t="shared" ref="Q7:Q33" si="10">$I7*25%</f>
        <v>425.21</v>
      </c>
      <c r="R7" s="14">
        <f t="shared" ref="R7:R33" si="11">IF(P7&gt;50,(MAX($B$34*0.1/100,10000)),0)</f>
        <v>0</v>
      </c>
      <c r="S7" s="14"/>
      <c r="T7" s="14">
        <v>0</v>
      </c>
      <c r="U7" s="14">
        <v>10000</v>
      </c>
      <c r="V7" s="14">
        <f t="shared" ref="V7:V33" si="12">T7+Q7+N7+K7</f>
        <v>1530.75</v>
      </c>
      <c r="W7" s="14">
        <f t="shared" ref="W7:W33" si="13">U7+R7+O7+L7</f>
        <v>10000</v>
      </c>
    </row>
    <row r="8" spans="1:24" s="114" customFormat="1" x14ac:dyDescent="0.25">
      <c r="A8" s="112">
        <v>44960</v>
      </c>
      <c r="B8" s="113">
        <f>Summary!$G$14/28</f>
        <v>11169.63</v>
      </c>
      <c r="C8" s="113">
        <v>1.76</v>
      </c>
      <c r="D8" s="126">
        <v>0.67</v>
      </c>
      <c r="E8" s="27">
        <f t="shared" si="3"/>
        <v>0.67</v>
      </c>
      <c r="F8" s="113">
        <f t="shared" si="4"/>
        <v>6701.78</v>
      </c>
      <c r="G8" s="14">
        <f t="shared" si="5"/>
        <v>2551.25</v>
      </c>
      <c r="H8" s="113">
        <f t="shared" si="6"/>
        <v>4467.8500000000004</v>
      </c>
      <c r="I8" s="113">
        <f t="shared" si="7"/>
        <v>1700.83</v>
      </c>
      <c r="J8" s="113">
        <v>7</v>
      </c>
      <c r="K8" s="14">
        <f t="shared" si="0"/>
        <v>850.42</v>
      </c>
      <c r="L8" s="14">
        <f t="shared" si="8"/>
        <v>0</v>
      </c>
      <c r="M8" s="113">
        <v>36</v>
      </c>
      <c r="N8" s="14">
        <f t="shared" si="2"/>
        <v>255.12</v>
      </c>
      <c r="O8" s="14">
        <f t="shared" si="9"/>
        <v>0</v>
      </c>
      <c r="P8" s="113">
        <v>15</v>
      </c>
      <c r="Q8" s="14">
        <f t="shared" si="10"/>
        <v>425.21</v>
      </c>
      <c r="R8" s="14">
        <f t="shared" si="11"/>
        <v>0</v>
      </c>
      <c r="S8" s="113"/>
      <c r="T8" s="113">
        <v>0</v>
      </c>
      <c r="U8" s="113">
        <v>10000</v>
      </c>
      <c r="V8" s="14">
        <f t="shared" si="12"/>
        <v>1530.75</v>
      </c>
      <c r="W8" s="14">
        <f t="shared" si="13"/>
        <v>10000</v>
      </c>
      <c r="X8" s="124" t="s">
        <v>131</v>
      </c>
    </row>
    <row r="9" spans="1:24" x14ac:dyDescent="0.25">
      <c r="A9" s="15">
        <v>44961</v>
      </c>
      <c r="B9" s="14">
        <f>Summary!$G$14/28</f>
        <v>11169.63</v>
      </c>
      <c r="C9" s="14">
        <v>1.76</v>
      </c>
      <c r="D9" s="27">
        <v>0.67</v>
      </c>
      <c r="E9" s="27">
        <f t="shared" si="3"/>
        <v>0.67</v>
      </c>
      <c r="F9" s="14">
        <f t="shared" si="4"/>
        <v>6701.78</v>
      </c>
      <c r="G9" s="14">
        <f t="shared" si="5"/>
        <v>2551.25</v>
      </c>
      <c r="H9" s="14">
        <f t="shared" si="6"/>
        <v>4467.8500000000004</v>
      </c>
      <c r="I9" s="14">
        <f t="shared" si="7"/>
        <v>1700.83</v>
      </c>
      <c r="J9" s="14">
        <v>21</v>
      </c>
      <c r="K9" s="14">
        <f t="shared" si="0"/>
        <v>850.42</v>
      </c>
      <c r="L9" s="14">
        <f t="shared" si="8"/>
        <v>0</v>
      </c>
      <c r="M9" s="14">
        <v>50</v>
      </c>
      <c r="N9" s="14">
        <f t="shared" si="2"/>
        <v>255.12</v>
      </c>
      <c r="O9" s="14">
        <f t="shared" si="9"/>
        <v>0</v>
      </c>
      <c r="P9" s="14">
        <v>11</v>
      </c>
      <c r="Q9" s="14">
        <f t="shared" si="10"/>
        <v>425.21</v>
      </c>
      <c r="R9" s="14">
        <f t="shared" si="11"/>
        <v>0</v>
      </c>
      <c r="S9" s="14"/>
      <c r="T9" s="14">
        <v>0</v>
      </c>
      <c r="U9" s="14">
        <v>10000</v>
      </c>
      <c r="V9" s="14">
        <f t="shared" si="12"/>
        <v>1530.75</v>
      </c>
      <c r="W9" s="14">
        <f t="shared" si="13"/>
        <v>10000</v>
      </c>
    </row>
    <row r="10" spans="1:24" x14ac:dyDescent="0.25">
      <c r="A10" s="15">
        <v>44962</v>
      </c>
      <c r="B10" s="14">
        <f>Summary!$G$14/28</f>
        <v>11169.63</v>
      </c>
      <c r="C10" s="14">
        <v>1.76</v>
      </c>
      <c r="D10" s="27">
        <v>0.67</v>
      </c>
      <c r="E10" s="27">
        <f t="shared" si="3"/>
        <v>0.67</v>
      </c>
      <c r="F10" s="14">
        <f t="shared" si="4"/>
        <v>6701.78</v>
      </c>
      <c r="G10" s="14">
        <f t="shared" si="5"/>
        <v>2551.25</v>
      </c>
      <c r="H10" s="14">
        <f t="shared" si="6"/>
        <v>4467.8500000000004</v>
      </c>
      <c r="I10" s="14">
        <f t="shared" si="7"/>
        <v>1700.83</v>
      </c>
      <c r="J10" s="14">
        <v>22</v>
      </c>
      <c r="K10" s="14">
        <f t="shared" si="0"/>
        <v>850.42</v>
      </c>
      <c r="L10" s="14">
        <f t="shared" si="8"/>
        <v>0</v>
      </c>
      <c r="M10" s="14">
        <v>48</v>
      </c>
      <c r="N10" s="14">
        <f t="shared" si="2"/>
        <v>255.12</v>
      </c>
      <c r="O10" s="14">
        <f t="shared" si="9"/>
        <v>0</v>
      </c>
      <c r="P10" s="14">
        <v>14</v>
      </c>
      <c r="Q10" s="14">
        <f t="shared" si="10"/>
        <v>425.21</v>
      </c>
      <c r="R10" s="14">
        <f t="shared" si="11"/>
        <v>0</v>
      </c>
      <c r="S10" s="14"/>
      <c r="T10" s="14">
        <v>0</v>
      </c>
      <c r="U10" s="14">
        <v>10000</v>
      </c>
      <c r="V10" s="14">
        <f t="shared" si="12"/>
        <v>1530.75</v>
      </c>
      <c r="W10" s="14">
        <f t="shared" si="13"/>
        <v>10000</v>
      </c>
    </row>
    <row r="11" spans="1:24" s="120" customFormat="1" x14ac:dyDescent="0.25">
      <c r="A11" s="117">
        <v>44963</v>
      </c>
      <c r="B11" s="118">
        <f>Summary!$G$14/28</f>
        <v>11169.63</v>
      </c>
      <c r="C11" s="118">
        <v>1.76</v>
      </c>
      <c r="D11" s="127">
        <v>0.67</v>
      </c>
      <c r="E11" s="27">
        <f t="shared" si="3"/>
        <v>0.67</v>
      </c>
      <c r="F11" s="118">
        <f t="shared" si="4"/>
        <v>6701.78</v>
      </c>
      <c r="G11" s="14">
        <f t="shared" si="5"/>
        <v>2551.25</v>
      </c>
      <c r="H11" s="118">
        <f t="shared" si="6"/>
        <v>4467.8500000000004</v>
      </c>
      <c r="I11" s="118">
        <f t="shared" si="7"/>
        <v>1700.83</v>
      </c>
      <c r="J11" s="118">
        <v>22</v>
      </c>
      <c r="K11" s="14">
        <f t="shared" si="0"/>
        <v>850.42</v>
      </c>
      <c r="L11" s="14">
        <f t="shared" si="8"/>
        <v>0</v>
      </c>
      <c r="M11" s="121">
        <v>152</v>
      </c>
      <c r="N11" s="14">
        <v>0</v>
      </c>
      <c r="O11" s="14">
        <f t="shared" si="9"/>
        <v>10000</v>
      </c>
      <c r="P11" s="121">
        <v>81</v>
      </c>
      <c r="Q11" s="14">
        <v>0</v>
      </c>
      <c r="R11" s="14">
        <f t="shared" si="11"/>
        <v>10000</v>
      </c>
      <c r="S11" s="118"/>
      <c r="T11" s="118">
        <v>0</v>
      </c>
      <c r="U11" s="118">
        <v>10000</v>
      </c>
      <c r="V11" s="14">
        <f t="shared" si="12"/>
        <v>850.42</v>
      </c>
      <c r="W11" s="14">
        <f t="shared" si="13"/>
        <v>30000</v>
      </c>
      <c r="X11" s="125"/>
    </row>
    <row r="12" spans="1:24" x14ac:dyDescent="0.25">
      <c r="A12" s="15">
        <v>44964</v>
      </c>
      <c r="B12" s="14">
        <f>Summary!$G$14/28</f>
        <v>11169.63</v>
      </c>
      <c r="C12" s="14">
        <v>1.76</v>
      </c>
      <c r="D12" s="27">
        <v>0.67</v>
      </c>
      <c r="E12" s="27">
        <f t="shared" si="3"/>
        <v>0.67</v>
      </c>
      <c r="F12" s="14">
        <f t="shared" si="4"/>
        <v>6701.78</v>
      </c>
      <c r="G12" s="14">
        <f t="shared" si="5"/>
        <v>2551.25</v>
      </c>
      <c r="H12" s="14">
        <f t="shared" si="6"/>
        <v>4467.8500000000004</v>
      </c>
      <c r="I12" s="14">
        <f t="shared" si="7"/>
        <v>1700.83</v>
      </c>
      <c r="J12" s="14">
        <v>20</v>
      </c>
      <c r="K12" s="14">
        <f t="shared" si="0"/>
        <v>850.42</v>
      </c>
      <c r="L12" s="14">
        <f t="shared" si="8"/>
        <v>0</v>
      </c>
      <c r="M12" s="14">
        <v>49</v>
      </c>
      <c r="N12" s="14">
        <f t="shared" si="2"/>
        <v>255.12</v>
      </c>
      <c r="O12" s="14">
        <f t="shared" si="9"/>
        <v>0</v>
      </c>
      <c r="P12" s="14">
        <v>11</v>
      </c>
      <c r="Q12" s="14">
        <f t="shared" si="10"/>
        <v>425.21</v>
      </c>
      <c r="R12" s="14">
        <f t="shared" si="11"/>
        <v>0</v>
      </c>
      <c r="S12" s="14"/>
      <c r="T12" s="14">
        <v>0</v>
      </c>
      <c r="U12" s="14">
        <v>10000</v>
      </c>
      <c r="V12" s="14">
        <f t="shared" si="12"/>
        <v>1530.75</v>
      </c>
      <c r="W12" s="14">
        <f t="shared" si="13"/>
        <v>10000</v>
      </c>
    </row>
    <row r="13" spans="1:24" x14ac:dyDescent="0.25">
      <c r="A13" s="15">
        <v>44965</v>
      </c>
      <c r="B13" s="14">
        <f>Summary!$G$14/28</f>
        <v>11169.63</v>
      </c>
      <c r="C13" s="14">
        <v>1.76</v>
      </c>
      <c r="D13" s="27">
        <v>0.67</v>
      </c>
      <c r="E13" s="27">
        <f t="shared" si="3"/>
        <v>0.67</v>
      </c>
      <c r="F13" s="14">
        <f t="shared" si="4"/>
        <v>6701.78</v>
      </c>
      <c r="G13" s="14">
        <f t="shared" si="5"/>
        <v>2551.25</v>
      </c>
      <c r="H13" s="14">
        <f t="shared" si="6"/>
        <v>4467.8500000000004</v>
      </c>
      <c r="I13" s="14">
        <f t="shared" si="7"/>
        <v>1700.83</v>
      </c>
      <c r="J13" s="14">
        <v>18</v>
      </c>
      <c r="K13" s="14">
        <f t="shared" si="0"/>
        <v>850.42</v>
      </c>
      <c r="L13" s="14">
        <f t="shared" si="8"/>
        <v>0</v>
      </c>
      <c r="M13" s="14">
        <v>45</v>
      </c>
      <c r="N13" s="14">
        <f t="shared" si="2"/>
        <v>255.12</v>
      </c>
      <c r="O13" s="14">
        <f t="shared" si="9"/>
        <v>0</v>
      </c>
      <c r="P13" s="14">
        <v>10</v>
      </c>
      <c r="Q13" s="14">
        <f t="shared" si="10"/>
        <v>425.21</v>
      </c>
      <c r="R13" s="14">
        <f t="shared" si="11"/>
        <v>0</v>
      </c>
      <c r="S13" s="14"/>
      <c r="T13" s="14">
        <v>0</v>
      </c>
      <c r="U13" s="14">
        <v>10000</v>
      </c>
      <c r="V13" s="14">
        <f t="shared" si="12"/>
        <v>1530.75</v>
      </c>
      <c r="W13" s="14">
        <f t="shared" si="13"/>
        <v>10000</v>
      </c>
    </row>
    <row r="14" spans="1:24" s="114" customFormat="1" x14ac:dyDescent="0.25">
      <c r="A14" s="112">
        <v>44966</v>
      </c>
      <c r="B14" s="113">
        <f>Summary!$G$14/28</f>
        <v>11169.63</v>
      </c>
      <c r="C14" s="113">
        <v>1.76</v>
      </c>
      <c r="D14" s="126">
        <v>0.67</v>
      </c>
      <c r="E14" s="27">
        <f t="shared" si="3"/>
        <v>0.67</v>
      </c>
      <c r="F14" s="113">
        <f t="shared" si="4"/>
        <v>6701.78</v>
      </c>
      <c r="G14" s="14">
        <f t="shared" si="5"/>
        <v>2551.25</v>
      </c>
      <c r="H14" s="113">
        <f t="shared" si="6"/>
        <v>4467.8500000000004</v>
      </c>
      <c r="I14" s="113">
        <f t="shared" si="7"/>
        <v>1700.83</v>
      </c>
      <c r="J14" s="113">
        <v>8</v>
      </c>
      <c r="K14" s="14">
        <f t="shared" si="0"/>
        <v>850.42</v>
      </c>
      <c r="L14" s="14">
        <f t="shared" si="8"/>
        <v>0</v>
      </c>
      <c r="M14" s="113">
        <v>44</v>
      </c>
      <c r="N14" s="14">
        <f t="shared" si="2"/>
        <v>255.12</v>
      </c>
      <c r="O14" s="14">
        <f t="shared" si="9"/>
        <v>0</v>
      </c>
      <c r="P14" s="113">
        <v>8</v>
      </c>
      <c r="Q14" s="14">
        <f t="shared" si="10"/>
        <v>425.21</v>
      </c>
      <c r="R14" s="14">
        <f t="shared" si="11"/>
        <v>0</v>
      </c>
      <c r="S14" s="113"/>
      <c r="T14" s="113">
        <v>0</v>
      </c>
      <c r="U14" s="113">
        <v>10000</v>
      </c>
      <c r="V14" s="14">
        <f t="shared" si="12"/>
        <v>1530.75</v>
      </c>
      <c r="W14" s="14">
        <f t="shared" si="13"/>
        <v>10000</v>
      </c>
      <c r="X14" s="124" t="s">
        <v>131</v>
      </c>
    </row>
    <row r="15" spans="1:24" x14ac:dyDescent="0.25">
      <c r="A15" s="15">
        <v>44967</v>
      </c>
      <c r="B15" s="14">
        <f>Summary!$G$14/28</f>
        <v>11169.63</v>
      </c>
      <c r="C15" s="14">
        <v>1.76</v>
      </c>
      <c r="D15" s="27">
        <v>0.67</v>
      </c>
      <c r="E15" s="27">
        <f t="shared" si="3"/>
        <v>0.67</v>
      </c>
      <c r="F15" s="14">
        <f t="shared" si="4"/>
        <v>6701.78</v>
      </c>
      <c r="G15" s="14">
        <f t="shared" si="5"/>
        <v>2551.25</v>
      </c>
      <c r="H15" s="14">
        <f t="shared" si="6"/>
        <v>4467.8500000000004</v>
      </c>
      <c r="I15" s="14">
        <f t="shared" si="7"/>
        <v>1700.83</v>
      </c>
      <c r="J15" s="14">
        <v>30</v>
      </c>
      <c r="K15" s="14">
        <f t="shared" si="0"/>
        <v>850.42</v>
      </c>
      <c r="L15" s="14">
        <f t="shared" si="8"/>
        <v>0</v>
      </c>
      <c r="M15" s="14">
        <v>50</v>
      </c>
      <c r="N15" s="14">
        <f t="shared" si="2"/>
        <v>255.12</v>
      </c>
      <c r="O15" s="14">
        <f t="shared" si="9"/>
        <v>0</v>
      </c>
      <c r="P15" s="14">
        <v>13</v>
      </c>
      <c r="Q15" s="14">
        <f t="shared" si="10"/>
        <v>425.21</v>
      </c>
      <c r="R15" s="14">
        <f t="shared" si="11"/>
        <v>0</v>
      </c>
      <c r="S15" s="14"/>
      <c r="T15" s="14">
        <v>0</v>
      </c>
      <c r="U15" s="14">
        <v>10000</v>
      </c>
      <c r="V15" s="14">
        <f t="shared" si="12"/>
        <v>1530.75</v>
      </c>
      <c r="W15" s="14">
        <f t="shared" si="13"/>
        <v>10000</v>
      </c>
    </row>
    <row r="16" spans="1:24" x14ac:dyDescent="0.25">
      <c r="A16" s="15">
        <v>44968</v>
      </c>
      <c r="B16" s="14">
        <f>Summary!$G$14/28</f>
        <v>11169.63</v>
      </c>
      <c r="C16" s="14">
        <v>1.76</v>
      </c>
      <c r="D16" s="27">
        <v>0.67</v>
      </c>
      <c r="E16" s="27">
        <f t="shared" si="3"/>
        <v>0.67</v>
      </c>
      <c r="F16" s="14">
        <f t="shared" si="4"/>
        <v>6701.78</v>
      </c>
      <c r="G16" s="14">
        <f t="shared" si="5"/>
        <v>2551.25</v>
      </c>
      <c r="H16" s="14">
        <f t="shared" si="6"/>
        <v>4467.8500000000004</v>
      </c>
      <c r="I16" s="14">
        <f t="shared" si="7"/>
        <v>1700.83</v>
      </c>
      <c r="J16" s="14">
        <v>25</v>
      </c>
      <c r="K16" s="14">
        <f t="shared" si="0"/>
        <v>850.42</v>
      </c>
      <c r="L16" s="14">
        <f t="shared" si="8"/>
        <v>0</v>
      </c>
      <c r="M16" s="14">
        <v>45</v>
      </c>
      <c r="N16" s="14">
        <f t="shared" si="2"/>
        <v>255.12</v>
      </c>
      <c r="O16" s="14">
        <f t="shared" si="9"/>
        <v>0</v>
      </c>
      <c r="P16" s="14">
        <v>10</v>
      </c>
      <c r="Q16" s="14">
        <f t="shared" si="10"/>
        <v>425.21</v>
      </c>
      <c r="R16" s="14">
        <f t="shared" si="11"/>
        <v>0</v>
      </c>
      <c r="S16" s="14"/>
      <c r="T16" s="14">
        <v>0</v>
      </c>
      <c r="U16" s="14">
        <v>10000</v>
      </c>
      <c r="V16" s="14">
        <f t="shared" si="12"/>
        <v>1530.75</v>
      </c>
      <c r="W16" s="14">
        <f t="shared" si="13"/>
        <v>10000</v>
      </c>
    </row>
    <row r="17" spans="1:24" x14ac:dyDescent="0.25">
      <c r="A17" s="15">
        <v>44969</v>
      </c>
      <c r="B17" s="14">
        <f>Summary!$G$14/28</f>
        <v>11169.63</v>
      </c>
      <c r="C17" s="14">
        <v>1.76</v>
      </c>
      <c r="D17" s="27">
        <v>0.67</v>
      </c>
      <c r="E17" s="27">
        <f t="shared" si="3"/>
        <v>0.67</v>
      </c>
      <c r="F17" s="14">
        <f t="shared" si="4"/>
        <v>6701.78</v>
      </c>
      <c r="G17" s="14">
        <f t="shared" si="5"/>
        <v>2551.25</v>
      </c>
      <c r="H17" s="14">
        <f t="shared" si="6"/>
        <v>4467.8500000000004</v>
      </c>
      <c r="I17" s="14">
        <f t="shared" si="7"/>
        <v>1700.83</v>
      </c>
      <c r="J17" s="14">
        <v>22</v>
      </c>
      <c r="K17" s="14">
        <f t="shared" si="0"/>
        <v>850.42</v>
      </c>
      <c r="L17" s="14">
        <f t="shared" si="8"/>
        <v>0</v>
      </c>
      <c r="M17" s="14">
        <v>48</v>
      </c>
      <c r="N17" s="14">
        <f t="shared" si="2"/>
        <v>255.12</v>
      </c>
      <c r="O17" s="14">
        <f t="shared" si="9"/>
        <v>0</v>
      </c>
      <c r="P17" s="14">
        <v>12</v>
      </c>
      <c r="Q17" s="14">
        <f t="shared" si="10"/>
        <v>425.21</v>
      </c>
      <c r="R17" s="14">
        <f t="shared" si="11"/>
        <v>0</v>
      </c>
      <c r="S17" s="14"/>
      <c r="T17" s="14">
        <v>0</v>
      </c>
      <c r="U17" s="14">
        <v>10000</v>
      </c>
      <c r="V17" s="14">
        <f t="shared" si="12"/>
        <v>1530.75</v>
      </c>
      <c r="W17" s="14">
        <f t="shared" si="13"/>
        <v>10000</v>
      </c>
    </row>
    <row r="18" spans="1:24" s="120" customFormat="1" x14ac:dyDescent="0.25">
      <c r="A18" s="117">
        <v>44970</v>
      </c>
      <c r="B18" s="118">
        <f>Summary!$G$14/28</f>
        <v>11169.63</v>
      </c>
      <c r="C18" s="118">
        <v>1.76</v>
      </c>
      <c r="D18" s="127">
        <v>0.67</v>
      </c>
      <c r="E18" s="27">
        <f t="shared" si="3"/>
        <v>0.67</v>
      </c>
      <c r="F18" s="118">
        <f t="shared" si="4"/>
        <v>6701.78</v>
      </c>
      <c r="G18" s="14">
        <f t="shared" si="5"/>
        <v>2551.25</v>
      </c>
      <c r="H18" s="118">
        <f t="shared" si="6"/>
        <v>4467.8500000000004</v>
      </c>
      <c r="I18" s="118">
        <f t="shared" si="7"/>
        <v>1700.83</v>
      </c>
      <c r="J18" s="118">
        <v>26</v>
      </c>
      <c r="K18" s="14">
        <f t="shared" si="0"/>
        <v>850.42</v>
      </c>
      <c r="L18" s="14">
        <f t="shared" si="8"/>
        <v>0</v>
      </c>
      <c r="M18" s="121">
        <v>144</v>
      </c>
      <c r="N18" s="14">
        <v>0</v>
      </c>
      <c r="O18" s="14">
        <f t="shared" si="9"/>
        <v>10000</v>
      </c>
      <c r="P18" s="121">
        <v>76</v>
      </c>
      <c r="Q18" s="14">
        <v>0</v>
      </c>
      <c r="R18" s="14">
        <f t="shared" si="11"/>
        <v>10000</v>
      </c>
      <c r="S18" s="118"/>
      <c r="T18" s="118">
        <v>0</v>
      </c>
      <c r="U18" s="118">
        <v>10000</v>
      </c>
      <c r="V18" s="14">
        <f t="shared" si="12"/>
        <v>850.42</v>
      </c>
      <c r="W18" s="14">
        <f t="shared" si="13"/>
        <v>30000</v>
      </c>
      <c r="X18" s="125"/>
    </row>
    <row r="19" spans="1:24" x14ac:dyDescent="0.25">
      <c r="A19" s="15">
        <v>44971</v>
      </c>
      <c r="B19" s="14">
        <f>Summary!$G$14/28</f>
        <v>11169.63</v>
      </c>
      <c r="C19" s="14">
        <v>1.76</v>
      </c>
      <c r="D19" s="27">
        <v>0.67</v>
      </c>
      <c r="E19" s="27">
        <f t="shared" si="3"/>
        <v>0.67</v>
      </c>
      <c r="F19" s="14">
        <f t="shared" si="4"/>
        <v>6701.78</v>
      </c>
      <c r="G19" s="14">
        <f t="shared" si="5"/>
        <v>2551.25</v>
      </c>
      <c r="H19" s="14">
        <f t="shared" si="6"/>
        <v>4467.8500000000004</v>
      </c>
      <c r="I19" s="14">
        <f t="shared" si="7"/>
        <v>1700.83</v>
      </c>
      <c r="J19" s="14">
        <v>28</v>
      </c>
      <c r="K19" s="14">
        <f t="shared" si="0"/>
        <v>850.42</v>
      </c>
      <c r="L19" s="14">
        <f t="shared" si="8"/>
        <v>0</v>
      </c>
      <c r="M19" s="14">
        <v>47</v>
      </c>
      <c r="N19" s="14">
        <f t="shared" si="2"/>
        <v>255.12</v>
      </c>
      <c r="O19" s="14">
        <f t="shared" si="9"/>
        <v>0</v>
      </c>
      <c r="P19" s="14">
        <v>6</v>
      </c>
      <c r="Q19" s="14">
        <f t="shared" si="10"/>
        <v>425.21</v>
      </c>
      <c r="R19" s="14">
        <f t="shared" si="11"/>
        <v>0</v>
      </c>
      <c r="S19" s="14"/>
      <c r="T19" s="14">
        <v>0</v>
      </c>
      <c r="U19" s="14">
        <v>10000</v>
      </c>
      <c r="V19" s="14">
        <f t="shared" si="12"/>
        <v>1530.75</v>
      </c>
      <c r="W19" s="14">
        <f t="shared" si="13"/>
        <v>10000</v>
      </c>
    </row>
    <row r="20" spans="1:24" s="114" customFormat="1" x14ac:dyDescent="0.25">
      <c r="A20" s="112">
        <v>44972</v>
      </c>
      <c r="B20" s="113">
        <f>Summary!$G$14/28</f>
        <v>11169.63</v>
      </c>
      <c r="C20" s="113">
        <v>1.76</v>
      </c>
      <c r="D20" s="126">
        <v>0.67</v>
      </c>
      <c r="E20" s="27">
        <f t="shared" si="3"/>
        <v>0.67</v>
      </c>
      <c r="F20" s="113">
        <f t="shared" si="4"/>
        <v>6701.78</v>
      </c>
      <c r="G20" s="14">
        <f t="shared" si="5"/>
        <v>2551.25</v>
      </c>
      <c r="H20" s="113">
        <f t="shared" si="6"/>
        <v>4467.8500000000004</v>
      </c>
      <c r="I20" s="113">
        <f t="shared" si="7"/>
        <v>1700.83</v>
      </c>
      <c r="J20" s="113">
        <v>5</v>
      </c>
      <c r="K20" s="14">
        <f t="shared" si="0"/>
        <v>850.42</v>
      </c>
      <c r="L20" s="14">
        <f t="shared" si="8"/>
        <v>0</v>
      </c>
      <c r="M20" s="113">
        <v>28</v>
      </c>
      <c r="N20" s="14">
        <f t="shared" si="2"/>
        <v>255.12</v>
      </c>
      <c r="O20" s="14">
        <f t="shared" si="9"/>
        <v>0</v>
      </c>
      <c r="P20" s="113">
        <v>5</v>
      </c>
      <c r="Q20" s="14">
        <f t="shared" si="10"/>
        <v>425.21</v>
      </c>
      <c r="R20" s="14">
        <f t="shared" si="11"/>
        <v>0</v>
      </c>
      <c r="S20" s="113"/>
      <c r="T20" s="113">
        <v>0</v>
      </c>
      <c r="U20" s="113">
        <v>10000</v>
      </c>
      <c r="V20" s="14">
        <f t="shared" si="12"/>
        <v>1530.75</v>
      </c>
      <c r="W20" s="14">
        <f t="shared" si="13"/>
        <v>10000</v>
      </c>
      <c r="X20" s="124" t="s">
        <v>131</v>
      </c>
    </row>
    <row r="21" spans="1:24" x14ac:dyDescent="0.25">
      <c r="A21" s="15">
        <v>44973</v>
      </c>
      <c r="B21" s="14">
        <f>Summary!$G$14/28</f>
        <v>11169.63</v>
      </c>
      <c r="C21" s="14">
        <v>1.76</v>
      </c>
      <c r="D21" s="27">
        <v>0.67</v>
      </c>
      <c r="E21" s="27">
        <f t="shared" si="3"/>
        <v>0.67</v>
      </c>
      <c r="F21" s="14">
        <f t="shared" si="4"/>
        <v>6701.78</v>
      </c>
      <c r="G21" s="14">
        <f t="shared" si="5"/>
        <v>2551.25</v>
      </c>
      <c r="H21" s="14">
        <f t="shared" si="6"/>
        <v>4467.8500000000004</v>
      </c>
      <c r="I21" s="14">
        <f t="shared" si="7"/>
        <v>1700.83</v>
      </c>
      <c r="J21" s="14">
        <v>26</v>
      </c>
      <c r="K21" s="14">
        <f t="shared" si="0"/>
        <v>850.42</v>
      </c>
      <c r="L21" s="14">
        <f t="shared" si="8"/>
        <v>0</v>
      </c>
      <c r="M21" s="14">
        <v>58</v>
      </c>
      <c r="N21" s="14">
        <f t="shared" si="2"/>
        <v>255.12</v>
      </c>
      <c r="O21" s="14">
        <f t="shared" si="9"/>
        <v>0</v>
      </c>
      <c r="P21" s="14">
        <v>9</v>
      </c>
      <c r="Q21" s="14">
        <f t="shared" si="10"/>
        <v>425.21</v>
      </c>
      <c r="R21" s="14">
        <f t="shared" si="11"/>
        <v>0</v>
      </c>
      <c r="S21" s="14"/>
      <c r="T21" s="14">
        <v>0</v>
      </c>
      <c r="U21" s="14">
        <v>10000</v>
      </c>
      <c r="V21" s="14">
        <f t="shared" si="12"/>
        <v>1530.75</v>
      </c>
      <c r="W21" s="14">
        <f t="shared" si="13"/>
        <v>10000</v>
      </c>
    </row>
    <row r="22" spans="1:24" x14ac:dyDescent="0.25">
      <c r="A22" s="15">
        <v>44974</v>
      </c>
      <c r="B22" s="14">
        <f>Summary!$G$14/28</f>
        <v>11169.63</v>
      </c>
      <c r="C22" s="14">
        <v>1.76</v>
      </c>
      <c r="D22" s="27">
        <v>0.67</v>
      </c>
      <c r="E22" s="27">
        <f t="shared" si="3"/>
        <v>0.67</v>
      </c>
      <c r="F22" s="14">
        <f t="shared" si="4"/>
        <v>6701.78</v>
      </c>
      <c r="G22" s="14">
        <f t="shared" si="5"/>
        <v>2551.25</v>
      </c>
      <c r="H22" s="14">
        <f t="shared" si="6"/>
        <v>4467.8500000000004</v>
      </c>
      <c r="I22" s="14">
        <f t="shared" si="7"/>
        <v>1700.83</v>
      </c>
      <c r="J22" s="14">
        <v>24</v>
      </c>
      <c r="K22" s="14">
        <f t="shared" si="0"/>
        <v>850.42</v>
      </c>
      <c r="L22" s="14">
        <f t="shared" si="8"/>
        <v>0</v>
      </c>
      <c r="M22" s="14">
        <v>64</v>
      </c>
      <c r="N22" s="14">
        <f t="shared" si="2"/>
        <v>255.12</v>
      </c>
      <c r="O22" s="14">
        <f t="shared" si="9"/>
        <v>0</v>
      </c>
      <c r="P22" s="14">
        <v>10</v>
      </c>
      <c r="Q22" s="14">
        <f t="shared" si="10"/>
        <v>425.21</v>
      </c>
      <c r="R22" s="14">
        <f t="shared" si="11"/>
        <v>0</v>
      </c>
      <c r="S22" s="14"/>
      <c r="T22" s="14">
        <v>0</v>
      </c>
      <c r="U22" s="14">
        <v>10000</v>
      </c>
      <c r="V22" s="14">
        <f t="shared" si="12"/>
        <v>1530.75</v>
      </c>
      <c r="W22" s="14">
        <f t="shared" si="13"/>
        <v>10000</v>
      </c>
    </row>
    <row r="23" spans="1:24" x14ac:dyDescent="0.25">
      <c r="A23" s="15">
        <v>44975</v>
      </c>
      <c r="B23" s="14">
        <f>Summary!$G$14/28</f>
        <v>11169.63</v>
      </c>
      <c r="C23" s="14">
        <v>1.76</v>
      </c>
      <c r="D23" s="27">
        <v>0.67</v>
      </c>
      <c r="E23" s="27">
        <f t="shared" si="3"/>
        <v>0.67</v>
      </c>
      <c r="F23" s="14">
        <f t="shared" si="4"/>
        <v>6701.78</v>
      </c>
      <c r="G23" s="14">
        <f t="shared" si="5"/>
        <v>2551.25</v>
      </c>
      <c r="H23" s="14">
        <f t="shared" si="6"/>
        <v>4467.8500000000004</v>
      </c>
      <c r="I23" s="14">
        <f t="shared" si="7"/>
        <v>1700.83</v>
      </c>
      <c r="J23" s="14">
        <v>26</v>
      </c>
      <c r="K23" s="14">
        <f t="shared" si="0"/>
        <v>850.42</v>
      </c>
      <c r="L23" s="14">
        <f t="shared" si="8"/>
        <v>0</v>
      </c>
      <c r="M23" s="14">
        <v>55</v>
      </c>
      <c r="N23" s="14">
        <f t="shared" si="2"/>
        <v>255.12</v>
      </c>
      <c r="O23" s="14">
        <f t="shared" si="9"/>
        <v>0</v>
      </c>
      <c r="P23" s="14">
        <v>8</v>
      </c>
      <c r="Q23" s="14">
        <f t="shared" si="10"/>
        <v>425.21</v>
      </c>
      <c r="R23" s="14">
        <f t="shared" si="11"/>
        <v>0</v>
      </c>
      <c r="S23" s="14"/>
      <c r="T23" s="14">
        <v>0</v>
      </c>
      <c r="U23" s="14">
        <v>10000</v>
      </c>
      <c r="V23" s="14">
        <f t="shared" si="12"/>
        <v>1530.75</v>
      </c>
      <c r="W23" s="14">
        <f t="shared" si="13"/>
        <v>10000</v>
      </c>
    </row>
    <row r="24" spans="1:24" x14ac:dyDescent="0.25">
      <c r="A24" s="15">
        <v>44976</v>
      </c>
      <c r="B24" s="14">
        <f>Summary!$G$14/28</f>
        <v>11169.63</v>
      </c>
      <c r="C24" s="14">
        <v>1.76</v>
      </c>
      <c r="D24" s="27">
        <v>0.67</v>
      </c>
      <c r="E24" s="27">
        <f t="shared" si="3"/>
        <v>0.67</v>
      </c>
      <c r="F24" s="14">
        <f t="shared" si="4"/>
        <v>6701.78</v>
      </c>
      <c r="G24" s="14">
        <f t="shared" si="5"/>
        <v>2551.25</v>
      </c>
      <c r="H24" s="14">
        <f t="shared" si="6"/>
        <v>4467.8500000000004</v>
      </c>
      <c r="I24" s="14">
        <f t="shared" si="7"/>
        <v>1700.83</v>
      </c>
      <c r="J24" s="14">
        <v>20</v>
      </c>
      <c r="K24" s="14">
        <f t="shared" si="0"/>
        <v>850.42</v>
      </c>
      <c r="L24" s="14">
        <f t="shared" si="8"/>
        <v>0</v>
      </c>
      <c r="M24" s="14">
        <v>57</v>
      </c>
      <c r="N24" s="14">
        <f t="shared" si="2"/>
        <v>255.12</v>
      </c>
      <c r="O24" s="14">
        <f t="shared" si="9"/>
        <v>0</v>
      </c>
      <c r="P24" s="14">
        <v>9</v>
      </c>
      <c r="Q24" s="14">
        <f t="shared" si="10"/>
        <v>425.21</v>
      </c>
      <c r="R24" s="14">
        <f t="shared" si="11"/>
        <v>0</v>
      </c>
      <c r="S24" s="14"/>
      <c r="T24" s="14">
        <v>0</v>
      </c>
      <c r="U24" s="14">
        <v>10000</v>
      </c>
      <c r="V24" s="14">
        <f t="shared" si="12"/>
        <v>1530.75</v>
      </c>
      <c r="W24" s="14">
        <f t="shared" si="13"/>
        <v>10000</v>
      </c>
    </row>
    <row r="25" spans="1:24" s="120" customFormat="1" x14ac:dyDescent="0.25">
      <c r="A25" s="117">
        <v>44977</v>
      </c>
      <c r="B25" s="118">
        <f>Summary!$G$14/28</f>
        <v>11169.63</v>
      </c>
      <c r="C25" s="118">
        <v>1.76</v>
      </c>
      <c r="D25" s="127">
        <v>0.67</v>
      </c>
      <c r="E25" s="27">
        <f t="shared" si="3"/>
        <v>0.67</v>
      </c>
      <c r="F25" s="118">
        <f t="shared" si="4"/>
        <v>6701.78</v>
      </c>
      <c r="G25" s="14">
        <f t="shared" si="5"/>
        <v>2551.25</v>
      </c>
      <c r="H25" s="118">
        <f t="shared" si="6"/>
        <v>4467.8500000000004</v>
      </c>
      <c r="I25" s="118">
        <f t="shared" si="7"/>
        <v>1700.83</v>
      </c>
      <c r="J25" s="118">
        <v>24</v>
      </c>
      <c r="K25" s="14">
        <f t="shared" si="0"/>
        <v>850.42</v>
      </c>
      <c r="L25" s="14">
        <f t="shared" si="8"/>
        <v>0</v>
      </c>
      <c r="M25" s="121">
        <v>128</v>
      </c>
      <c r="N25" s="14">
        <v>0</v>
      </c>
      <c r="O25" s="14">
        <f t="shared" si="9"/>
        <v>10000</v>
      </c>
      <c r="P25" s="121">
        <v>71</v>
      </c>
      <c r="Q25" s="14">
        <v>0</v>
      </c>
      <c r="R25" s="14">
        <f t="shared" si="11"/>
        <v>10000</v>
      </c>
      <c r="S25" s="118"/>
      <c r="T25" s="118">
        <v>0</v>
      </c>
      <c r="U25" s="118">
        <v>10000</v>
      </c>
      <c r="V25" s="14">
        <f t="shared" si="12"/>
        <v>850.42</v>
      </c>
      <c r="W25" s="14">
        <f t="shared" si="13"/>
        <v>30000</v>
      </c>
      <c r="X25" s="125"/>
    </row>
    <row r="26" spans="1:24" x14ac:dyDescent="0.25">
      <c r="A26" s="15">
        <v>44978</v>
      </c>
      <c r="B26" s="14">
        <f>Summary!$G$14/28</f>
        <v>11169.63</v>
      </c>
      <c r="C26" s="14">
        <v>1.76</v>
      </c>
      <c r="D26" s="27">
        <v>0.67</v>
      </c>
      <c r="E26" s="27">
        <f t="shared" si="3"/>
        <v>0.67</v>
      </c>
      <c r="F26" s="14">
        <f t="shared" si="4"/>
        <v>6701.78</v>
      </c>
      <c r="G26" s="14">
        <f t="shared" si="5"/>
        <v>2551.25</v>
      </c>
      <c r="H26" s="14">
        <f t="shared" si="6"/>
        <v>4467.8500000000004</v>
      </c>
      <c r="I26" s="14">
        <f t="shared" si="7"/>
        <v>1700.83</v>
      </c>
      <c r="J26" s="14">
        <v>28</v>
      </c>
      <c r="K26" s="14">
        <f t="shared" si="0"/>
        <v>850.42</v>
      </c>
      <c r="L26" s="14">
        <f t="shared" si="8"/>
        <v>0</v>
      </c>
      <c r="M26" s="14">
        <v>50</v>
      </c>
      <c r="N26" s="14">
        <f t="shared" si="2"/>
        <v>255.12</v>
      </c>
      <c r="O26" s="14">
        <f t="shared" si="9"/>
        <v>0</v>
      </c>
      <c r="P26" s="14">
        <v>10</v>
      </c>
      <c r="Q26" s="14">
        <f t="shared" si="10"/>
        <v>425.21</v>
      </c>
      <c r="R26" s="14">
        <f t="shared" si="11"/>
        <v>0</v>
      </c>
      <c r="S26" s="14"/>
      <c r="T26" s="14">
        <v>0</v>
      </c>
      <c r="U26" s="14">
        <v>10000</v>
      </c>
      <c r="V26" s="14">
        <f t="shared" si="12"/>
        <v>1530.75</v>
      </c>
      <c r="W26" s="14">
        <f t="shared" si="13"/>
        <v>10000</v>
      </c>
    </row>
    <row r="27" spans="1:24" s="114" customFormat="1" x14ac:dyDescent="0.25">
      <c r="A27" s="112">
        <v>44979</v>
      </c>
      <c r="B27" s="113">
        <f>Summary!$G$14/28</f>
        <v>11169.63</v>
      </c>
      <c r="C27" s="113">
        <v>1.76</v>
      </c>
      <c r="D27" s="126">
        <v>0.67</v>
      </c>
      <c r="E27" s="27">
        <f t="shared" si="3"/>
        <v>0.67</v>
      </c>
      <c r="F27" s="113">
        <f t="shared" si="4"/>
        <v>6701.78</v>
      </c>
      <c r="G27" s="14">
        <f t="shared" si="5"/>
        <v>2551.25</v>
      </c>
      <c r="H27" s="113">
        <f t="shared" si="6"/>
        <v>4467.8500000000004</v>
      </c>
      <c r="I27" s="113">
        <f t="shared" si="7"/>
        <v>1700.83</v>
      </c>
      <c r="J27" s="113">
        <v>6</v>
      </c>
      <c r="K27" s="14">
        <f t="shared" si="0"/>
        <v>850.42</v>
      </c>
      <c r="L27" s="14">
        <f t="shared" si="8"/>
        <v>0</v>
      </c>
      <c r="M27" s="113">
        <v>32</v>
      </c>
      <c r="N27" s="14">
        <f t="shared" si="2"/>
        <v>255.12</v>
      </c>
      <c r="O27" s="14">
        <f t="shared" si="9"/>
        <v>0</v>
      </c>
      <c r="P27" s="113">
        <v>6</v>
      </c>
      <c r="Q27" s="14">
        <f t="shared" si="10"/>
        <v>425.21</v>
      </c>
      <c r="R27" s="14">
        <f t="shared" si="11"/>
        <v>0</v>
      </c>
      <c r="S27" s="113"/>
      <c r="T27" s="113">
        <v>0</v>
      </c>
      <c r="U27" s="113">
        <v>10000</v>
      </c>
      <c r="V27" s="14">
        <f t="shared" si="12"/>
        <v>1530.75</v>
      </c>
      <c r="W27" s="14">
        <f t="shared" si="13"/>
        <v>10000</v>
      </c>
      <c r="X27" s="124" t="s">
        <v>131</v>
      </c>
    </row>
    <row r="28" spans="1:24" x14ac:dyDescent="0.25">
      <c r="A28" s="15">
        <v>44980</v>
      </c>
      <c r="B28" s="14">
        <f>Summary!$G$14/28</f>
        <v>11169.63</v>
      </c>
      <c r="C28" s="14">
        <v>1.76</v>
      </c>
      <c r="D28" s="27">
        <v>0.67</v>
      </c>
      <c r="E28" s="27">
        <f t="shared" si="3"/>
        <v>0.67</v>
      </c>
      <c r="F28" s="14">
        <f t="shared" si="4"/>
        <v>6701.78</v>
      </c>
      <c r="G28" s="14">
        <f t="shared" si="5"/>
        <v>2551.25</v>
      </c>
      <c r="H28" s="14">
        <f t="shared" si="6"/>
        <v>4467.8500000000004</v>
      </c>
      <c r="I28" s="14">
        <f t="shared" si="7"/>
        <v>1700.83</v>
      </c>
      <c r="J28" s="14">
        <v>26</v>
      </c>
      <c r="K28" s="14">
        <f t="shared" si="0"/>
        <v>850.42</v>
      </c>
      <c r="L28" s="14">
        <f t="shared" si="8"/>
        <v>0</v>
      </c>
      <c r="M28" s="14">
        <v>83</v>
      </c>
      <c r="N28" s="14">
        <f t="shared" si="2"/>
        <v>255.12</v>
      </c>
      <c r="O28" s="14">
        <f t="shared" si="9"/>
        <v>0</v>
      </c>
      <c r="P28" s="14">
        <v>9</v>
      </c>
      <c r="Q28" s="14">
        <f t="shared" si="10"/>
        <v>425.21</v>
      </c>
      <c r="R28" s="14">
        <f t="shared" si="11"/>
        <v>0</v>
      </c>
      <c r="S28" s="14"/>
      <c r="T28" s="14">
        <v>0</v>
      </c>
      <c r="U28" s="14">
        <v>10000</v>
      </c>
      <c r="V28" s="14">
        <f t="shared" si="12"/>
        <v>1530.75</v>
      </c>
      <c r="W28" s="14">
        <f t="shared" si="13"/>
        <v>10000</v>
      </c>
    </row>
    <row r="29" spans="1:24" x14ac:dyDescent="0.25">
      <c r="A29" s="15">
        <v>44981</v>
      </c>
      <c r="B29" s="14">
        <f>Summary!$G$14/28</f>
        <v>11169.63</v>
      </c>
      <c r="C29" s="14">
        <v>1.76</v>
      </c>
      <c r="D29" s="27">
        <v>0.67</v>
      </c>
      <c r="E29" s="27">
        <f t="shared" si="3"/>
        <v>0.67</v>
      </c>
      <c r="F29" s="14">
        <f t="shared" si="4"/>
        <v>6701.78</v>
      </c>
      <c r="G29" s="14">
        <f t="shared" si="5"/>
        <v>2551.25</v>
      </c>
      <c r="H29" s="14">
        <f t="shared" si="6"/>
        <v>4467.8500000000004</v>
      </c>
      <c r="I29" s="14">
        <f t="shared" si="7"/>
        <v>1700.83</v>
      </c>
      <c r="J29" s="14">
        <v>30</v>
      </c>
      <c r="K29" s="14">
        <f t="shared" si="0"/>
        <v>850.42</v>
      </c>
      <c r="L29" s="14">
        <f t="shared" si="8"/>
        <v>0</v>
      </c>
      <c r="M29" s="14">
        <v>75</v>
      </c>
      <c r="N29" s="14">
        <f t="shared" si="2"/>
        <v>255.12</v>
      </c>
      <c r="O29" s="14">
        <f t="shared" si="9"/>
        <v>0</v>
      </c>
      <c r="P29" s="14">
        <v>8</v>
      </c>
      <c r="Q29" s="14">
        <f t="shared" si="10"/>
        <v>425.21</v>
      </c>
      <c r="R29" s="14">
        <f t="shared" si="11"/>
        <v>0</v>
      </c>
      <c r="S29" s="14"/>
      <c r="T29" s="14">
        <v>0</v>
      </c>
      <c r="U29" s="14">
        <v>10000</v>
      </c>
      <c r="V29" s="14">
        <f t="shared" si="12"/>
        <v>1530.75</v>
      </c>
      <c r="W29" s="14">
        <f t="shared" si="13"/>
        <v>10000</v>
      </c>
    </row>
    <row r="30" spans="1:24" x14ac:dyDescent="0.25">
      <c r="A30" s="15">
        <v>44982</v>
      </c>
      <c r="B30" s="14">
        <f>Summary!$G$14/28</f>
        <v>11169.63</v>
      </c>
      <c r="C30" s="14">
        <v>1.76</v>
      </c>
      <c r="D30" s="27">
        <v>0.67</v>
      </c>
      <c r="E30" s="27">
        <f t="shared" si="3"/>
        <v>0.67</v>
      </c>
      <c r="F30" s="14">
        <f t="shared" si="4"/>
        <v>6701.78</v>
      </c>
      <c r="G30" s="14">
        <f t="shared" si="5"/>
        <v>2551.25</v>
      </c>
      <c r="H30" s="14">
        <f t="shared" si="6"/>
        <v>4467.8500000000004</v>
      </c>
      <c r="I30" s="14">
        <f t="shared" si="7"/>
        <v>1700.83</v>
      </c>
      <c r="J30" s="14">
        <v>28</v>
      </c>
      <c r="K30" s="14">
        <f t="shared" si="0"/>
        <v>850.42</v>
      </c>
      <c r="L30" s="14">
        <f t="shared" si="8"/>
        <v>0</v>
      </c>
      <c r="M30" s="14">
        <v>64</v>
      </c>
      <c r="N30" s="14">
        <f t="shared" si="2"/>
        <v>255.12</v>
      </c>
      <c r="O30" s="14">
        <f t="shared" si="9"/>
        <v>0</v>
      </c>
      <c r="P30" s="14">
        <v>10</v>
      </c>
      <c r="Q30" s="14">
        <f t="shared" si="10"/>
        <v>425.21</v>
      </c>
      <c r="R30" s="14">
        <f t="shared" si="11"/>
        <v>0</v>
      </c>
      <c r="S30" s="14"/>
      <c r="T30" s="14">
        <v>0</v>
      </c>
      <c r="U30" s="14">
        <v>10000</v>
      </c>
      <c r="V30" s="14">
        <f t="shared" si="12"/>
        <v>1530.75</v>
      </c>
      <c r="W30" s="14">
        <f t="shared" si="13"/>
        <v>10000</v>
      </c>
    </row>
    <row r="31" spans="1:24" x14ac:dyDescent="0.25">
      <c r="A31" s="15">
        <v>44983</v>
      </c>
      <c r="B31" s="14">
        <f>Summary!$G$14/28</f>
        <v>11169.63</v>
      </c>
      <c r="C31" s="14">
        <v>1.76</v>
      </c>
      <c r="D31" s="27">
        <v>0.67</v>
      </c>
      <c r="E31" s="27">
        <f t="shared" si="3"/>
        <v>0.67</v>
      </c>
      <c r="F31" s="14">
        <f t="shared" si="4"/>
        <v>6701.78</v>
      </c>
      <c r="G31" s="14">
        <f t="shared" si="5"/>
        <v>2551.25</v>
      </c>
      <c r="H31" s="14">
        <f t="shared" si="6"/>
        <v>4467.8500000000004</v>
      </c>
      <c r="I31" s="14">
        <f t="shared" si="7"/>
        <v>1700.83</v>
      </c>
      <c r="J31" s="14">
        <v>25</v>
      </c>
      <c r="K31" s="14">
        <f t="shared" si="0"/>
        <v>850.42</v>
      </c>
      <c r="L31" s="14">
        <f t="shared" si="8"/>
        <v>0</v>
      </c>
      <c r="M31" s="14">
        <v>68</v>
      </c>
      <c r="N31" s="14">
        <f t="shared" si="2"/>
        <v>255.12</v>
      </c>
      <c r="O31" s="14">
        <f t="shared" si="9"/>
        <v>0</v>
      </c>
      <c r="P31" s="14">
        <v>9</v>
      </c>
      <c r="Q31" s="14">
        <f t="shared" si="10"/>
        <v>425.21</v>
      </c>
      <c r="R31" s="14">
        <f t="shared" si="11"/>
        <v>0</v>
      </c>
      <c r="S31" s="14"/>
      <c r="T31" s="14">
        <v>0</v>
      </c>
      <c r="U31" s="14">
        <v>10000</v>
      </c>
      <c r="V31" s="14">
        <f t="shared" si="12"/>
        <v>1530.75</v>
      </c>
      <c r="W31" s="14">
        <f t="shared" si="13"/>
        <v>10000</v>
      </c>
    </row>
    <row r="32" spans="1:24" s="120" customFormat="1" x14ac:dyDescent="0.25">
      <c r="A32" s="117">
        <v>44984</v>
      </c>
      <c r="B32" s="118">
        <f>Summary!$G$14/28</f>
        <v>11169.63</v>
      </c>
      <c r="C32" s="118">
        <v>1.76</v>
      </c>
      <c r="D32" s="127">
        <v>0.67</v>
      </c>
      <c r="E32" s="27">
        <f t="shared" si="3"/>
        <v>0.67</v>
      </c>
      <c r="F32" s="118">
        <f t="shared" si="4"/>
        <v>6701.78</v>
      </c>
      <c r="G32" s="14">
        <f t="shared" si="5"/>
        <v>2551.25</v>
      </c>
      <c r="H32" s="118">
        <f t="shared" si="6"/>
        <v>4467.8500000000004</v>
      </c>
      <c r="I32" s="118">
        <f t="shared" si="7"/>
        <v>1700.83</v>
      </c>
      <c r="J32" s="118">
        <v>20</v>
      </c>
      <c r="K32" s="14">
        <f t="shared" si="0"/>
        <v>850.42</v>
      </c>
      <c r="L32" s="14">
        <f t="shared" si="8"/>
        <v>0</v>
      </c>
      <c r="M32" s="121">
        <v>120</v>
      </c>
      <c r="N32" s="14">
        <v>0</v>
      </c>
      <c r="O32" s="14">
        <f t="shared" si="9"/>
        <v>10000</v>
      </c>
      <c r="P32" s="121">
        <v>78</v>
      </c>
      <c r="Q32" s="14">
        <v>0</v>
      </c>
      <c r="R32" s="14">
        <f t="shared" si="11"/>
        <v>10000</v>
      </c>
      <c r="S32" s="118"/>
      <c r="T32" s="118">
        <v>0</v>
      </c>
      <c r="U32" s="118">
        <v>10000</v>
      </c>
      <c r="V32" s="14">
        <f t="shared" si="12"/>
        <v>850.42</v>
      </c>
      <c r="W32" s="14">
        <f t="shared" si="13"/>
        <v>30000</v>
      </c>
      <c r="X32" s="125"/>
    </row>
    <row r="33" spans="1:25" x14ac:dyDescent="0.25">
      <c r="A33" s="15">
        <v>44985</v>
      </c>
      <c r="B33" s="14">
        <f>Summary!$G$14/28</f>
        <v>11169.63</v>
      </c>
      <c r="C33" s="14">
        <v>1.76</v>
      </c>
      <c r="D33" s="27">
        <v>0.67</v>
      </c>
      <c r="E33" s="27">
        <f t="shared" si="3"/>
        <v>0.67</v>
      </c>
      <c r="F33" s="14">
        <f t="shared" si="4"/>
        <v>6701.78</v>
      </c>
      <c r="G33" s="14">
        <f t="shared" si="5"/>
        <v>2551.25</v>
      </c>
      <c r="H33" s="14">
        <f t="shared" si="6"/>
        <v>4467.8500000000004</v>
      </c>
      <c r="I33" s="14">
        <f t="shared" si="7"/>
        <v>1700.83</v>
      </c>
      <c r="J33" s="14">
        <v>17</v>
      </c>
      <c r="K33" s="14">
        <f t="shared" si="0"/>
        <v>850.42</v>
      </c>
      <c r="L33" s="14">
        <f t="shared" si="8"/>
        <v>0</v>
      </c>
      <c r="M33" s="14">
        <v>64</v>
      </c>
      <c r="N33" s="14">
        <f t="shared" si="2"/>
        <v>255.12</v>
      </c>
      <c r="O33" s="14">
        <f t="shared" si="9"/>
        <v>0</v>
      </c>
      <c r="P33" s="14">
        <v>9</v>
      </c>
      <c r="Q33" s="14">
        <f t="shared" si="10"/>
        <v>425.21</v>
      </c>
      <c r="R33" s="14">
        <f t="shared" si="11"/>
        <v>0</v>
      </c>
      <c r="S33" s="14"/>
      <c r="T33" s="14">
        <v>0</v>
      </c>
      <c r="U33" s="14">
        <v>10000</v>
      </c>
      <c r="V33" s="14">
        <f t="shared" si="12"/>
        <v>1530.75</v>
      </c>
      <c r="W33" s="14">
        <f t="shared" si="13"/>
        <v>10000</v>
      </c>
    </row>
    <row r="34" spans="1:25" s="21" customFormat="1" ht="15" x14ac:dyDescent="0.25">
      <c r="A34" s="41" t="s">
        <v>20</v>
      </c>
      <c r="B34" s="20">
        <f>SUM(B6:B33)</f>
        <v>312749.64</v>
      </c>
      <c r="C34" s="20"/>
      <c r="D34" s="14"/>
      <c r="E34" s="20"/>
      <c r="F34" s="20">
        <f>SUM(F6:F33)</f>
        <v>187649.84</v>
      </c>
      <c r="G34" s="20">
        <f>SUM(G6:G33)</f>
        <v>71435</v>
      </c>
      <c r="H34" s="20">
        <f>SUM(H6:H33)</f>
        <v>125099.8</v>
      </c>
      <c r="I34" s="20">
        <f>SUM(I6:I33)</f>
        <v>47623.24</v>
      </c>
      <c r="J34" s="20"/>
      <c r="K34" s="20">
        <f>SUM(K6:K33)</f>
        <v>23811.759999999998</v>
      </c>
      <c r="L34" s="20">
        <f>SUM(L6:L33)</f>
        <v>0</v>
      </c>
      <c r="M34" s="20"/>
      <c r="N34" s="20">
        <f>SUM(N6:N33)</f>
        <v>6122.88</v>
      </c>
      <c r="O34" s="20">
        <f>SUM(O6:O33)</f>
        <v>40000</v>
      </c>
      <c r="P34" s="20"/>
      <c r="Q34" s="20">
        <f t="shared" ref="Q34:U34" si="14">SUM(Q6:Q33)</f>
        <v>10205.040000000001</v>
      </c>
      <c r="R34" s="20">
        <f t="shared" si="14"/>
        <v>40000</v>
      </c>
      <c r="S34" s="20">
        <f t="shared" si="14"/>
        <v>0</v>
      </c>
      <c r="T34" s="20">
        <f t="shared" si="14"/>
        <v>0</v>
      </c>
      <c r="U34" s="20">
        <f t="shared" si="14"/>
        <v>280000</v>
      </c>
      <c r="V34" s="20">
        <f>SUM(V6:V33)</f>
        <v>40139.68</v>
      </c>
      <c r="W34" s="20">
        <f>SUM(W6:W33)</f>
        <v>360000</v>
      </c>
      <c r="X34"/>
      <c r="Y34"/>
    </row>
    <row r="35" spans="1:25" x14ac:dyDescent="0.25">
      <c r="A35" s="41"/>
      <c r="B35" s="20" t="s">
        <v>63</v>
      </c>
      <c r="C35" s="20"/>
      <c r="D35" s="14"/>
      <c r="E35" s="20"/>
      <c r="F35" s="14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>
        <f>G34+V34</f>
        <v>111574.68</v>
      </c>
      <c r="W35" s="20"/>
      <c r="X35" s="32"/>
    </row>
    <row r="36" spans="1:25" x14ac:dyDescent="0.25">
      <c r="D36" s="14"/>
      <c r="K36" s="23">
        <f>COUNTIF(K6:K33,"0")</f>
        <v>0</v>
      </c>
      <c r="L36" s="23"/>
      <c r="M36" s="23"/>
      <c r="N36" s="23">
        <f>COUNTIF(N6:N33,"0")</f>
        <v>4</v>
      </c>
      <c r="O36" s="23"/>
      <c r="P36" s="23"/>
      <c r="Q36" s="23">
        <f>COUNTIF(Q6:Q33,"0")</f>
        <v>4</v>
      </c>
      <c r="R36" s="23"/>
      <c r="S36" s="23"/>
      <c r="T36" s="93">
        <f>COUNTIF(T6:T33,"0")</f>
        <v>28</v>
      </c>
    </row>
    <row r="39" spans="1:25" x14ac:dyDescent="0.25">
      <c r="C39" s="1"/>
      <c r="F39">
        <f>1.76/2</f>
        <v>0.88</v>
      </c>
    </row>
    <row r="43" spans="1:25" x14ac:dyDescent="0.25">
      <c r="E43" s="84"/>
      <c r="F43" s="84"/>
    </row>
  </sheetData>
  <mergeCells count="19">
    <mergeCell ref="J4:L4"/>
    <mergeCell ref="M4:O4"/>
    <mergeCell ref="P4:R4"/>
    <mergeCell ref="W4:W5"/>
    <mergeCell ref="S4:U4"/>
    <mergeCell ref="H4:H5"/>
    <mergeCell ref="V4:V5"/>
    <mergeCell ref="A1:V1"/>
    <mergeCell ref="C3:D3"/>
    <mergeCell ref="F3:G3"/>
    <mergeCell ref="H3:V3"/>
    <mergeCell ref="A4:A5"/>
    <mergeCell ref="B4:B5"/>
    <mergeCell ref="C4:C5"/>
    <mergeCell ref="D4:D5"/>
    <mergeCell ref="F4:F5"/>
    <mergeCell ref="G4:G5"/>
    <mergeCell ref="I4:I5"/>
    <mergeCell ref="E4:E5"/>
  </mergeCells>
  <pageMargins left="0.25" right="0.25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Summary</vt:lpstr>
      <vt:lpstr>74 MLDIndirapuram</vt:lpstr>
      <vt:lpstr>56 Indirapuram</vt:lpstr>
      <vt:lpstr>70 MLD Dudahera</vt:lpstr>
      <vt:lpstr>56 MLd Dudahaida</vt:lpstr>
      <vt:lpstr>3 MLD Pilkhuwa</vt:lpstr>
      <vt:lpstr>30 MLD LONI</vt:lpstr>
      <vt:lpstr>.81 MLD</vt:lpstr>
      <vt:lpstr>1.76 MLD</vt:lpstr>
      <vt:lpstr>24 MLD Bijnore</vt:lpstr>
      <vt:lpstr>72 MLD MEERUT</vt:lpstr>
      <vt:lpstr>32.5 MLD </vt:lpstr>
      <vt:lpstr>38 MLD</vt:lpstr>
      <vt:lpstr>15 MLD RAMPUR</vt:lpstr>
      <vt:lpstr>5 MLD RAMPUR</vt:lpstr>
      <vt:lpstr>14 MLD RAMPUR</vt:lpstr>
      <vt:lpstr>Sheet1</vt:lpstr>
      <vt:lpstr>'.81 MLD'!Print_Area</vt:lpstr>
      <vt:lpstr>'1.76 MLD'!Print_Area</vt:lpstr>
      <vt:lpstr>'14 MLD RAMPUR'!Print_Area</vt:lpstr>
      <vt:lpstr>'15 MLD RAMPUR'!Print_Area</vt:lpstr>
      <vt:lpstr>'24 MLD Bijnore'!Print_Area</vt:lpstr>
      <vt:lpstr>'3 MLD Pilkhuwa'!Print_Area</vt:lpstr>
      <vt:lpstr>'30 MLD LONI'!Print_Area</vt:lpstr>
      <vt:lpstr>'32.5 MLD '!Print_Area</vt:lpstr>
      <vt:lpstr>'38 MLD'!Print_Area</vt:lpstr>
      <vt:lpstr>'5 MLD RAMPUR'!Print_Area</vt:lpstr>
      <vt:lpstr>'56 Indirapuram'!Print_Area</vt:lpstr>
      <vt:lpstr>'56 MLd Dudahaida'!Print_Area</vt:lpstr>
      <vt:lpstr>'70 MLD Dudahera'!Print_Area</vt:lpstr>
      <vt:lpstr>'72 MLD MEERUT'!Print_Area</vt:lpstr>
      <vt:lpstr>'74 MLDIndirapuram'!Print_Area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Jalnigam</cp:lastModifiedBy>
  <cp:lastPrinted>2023-04-05T06:33:10Z</cp:lastPrinted>
  <dcterms:created xsi:type="dcterms:W3CDTF">2020-05-29T08:02:13Z</dcterms:created>
  <dcterms:modified xsi:type="dcterms:W3CDTF">2023-06-20T07:26:39Z</dcterms:modified>
</cp:coreProperties>
</file>