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vans\Downloads\Práctica 2\"/>
    </mc:Choice>
  </mc:AlternateContent>
  <xr:revisionPtr revIDLastSave="0" documentId="13_ncr:1_{FD31882C-8F56-42FE-8247-520CF6AB2109}" xr6:coauthVersionLast="45" xr6:coauthVersionMax="45" xr10:uidLastSave="{00000000-0000-0000-0000-000000000000}"/>
  <bookViews>
    <workbookView xWindow="-108" yWindow="-108" windowWidth="23256" windowHeight="12576" tabRatio="555" xr2:uid="{00000000-000D-0000-FFFF-FFFF00000000}"/>
  </bookViews>
  <sheets>
    <sheet name="Oferta" sheetId="5" r:id="rId1"/>
    <sheet name="Pedido" sheetId="10" r:id="rId2"/>
    <sheet name="Albarán" sheetId="3" r:id="rId3"/>
    <sheet name="Factura" sheetId="11" r:id="rId4"/>
  </sheets>
  <definedNames>
    <definedName name="bibidellobo_gmail.com">Factura!$G$7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5" i="5"/>
  <c r="J29" i="11" l="1"/>
  <c r="I29" i="11"/>
  <c r="H29" i="11"/>
  <c r="G29" i="11"/>
  <c r="F29" i="11"/>
  <c r="B29" i="11"/>
  <c r="G7" i="11"/>
  <c r="B19" i="3"/>
  <c r="B20" i="3"/>
  <c r="B21" i="3"/>
  <c r="B22" i="3"/>
  <c r="B23" i="3"/>
  <c r="B24" i="3"/>
  <c r="B18" i="3"/>
  <c r="G2" i="11"/>
  <c r="G3" i="11"/>
  <c r="G5" i="11"/>
  <c r="G6" i="11"/>
  <c r="J32" i="11"/>
  <c r="J15" i="11" l="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14" i="11"/>
  <c r="H30" i="11" l="1"/>
  <c r="H32" i="11" s="1"/>
  <c r="P19" i="10"/>
  <c r="O19" i="10"/>
  <c r="N19" i="10"/>
  <c r="P18" i="10"/>
  <c r="O18" i="10"/>
  <c r="N18" i="10"/>
  <c r="P17" i="10"/>
  <c r="O17" i="10"/>
  <c r="N17" i="10"/>
  <c r="J24" i="10" s="1"/>
  <c r="P16" i="10"/>
  <c r="O16" i="10"/>
  <c r="N16" i="10"/>
  <c r="P15" i="10"/>
  <c r="O15" i="10"/>
  <c r="N15" i="10"/>
  <c r="P14" i="10"/>
  <c r="O14" i="10"/>
  <c r="N14" i="10"/>
  <c r="P13" i="10"/>
  <c r="O13" i="10"/>
  <c r="N13" i="10"/>
  <c r="P12" i="10"/>
  <c r="O12" i="10"/>
  <c r="N12" i="10"/>
  <c r="P11" i="10"/>
  <c r="O11" i="10"/>
  <c r="N11" i="10"/>
  <c r="P10" i="10"/>
  <c r="O10" i="10"/>
  <c r="N10" i="10"/>
  <c r="D19" i="3"/>
  <c r="D20" i="3"/>
  <c r="D21" i="3"/>
  <c r="D22" i="3"/>
  <c r="D23" i="3"/>
  <c r="D24" i="3"/>
  <c r="D18" i="3"/>
  <c r="D22" i="10"/>
  <c r="D17" i="10"/>
  <c r="D18" i="10"/>
  <c r="D19" i="10"/>
  <c r="D20" i="10"/>
  <c r="D21" i="10"/>
  <c r="D23" i="10"/>
  <c r="D24" i="10"/>
  <c r="J31" i="11" l="1"/>
  <c r="H33" i="11" s="1"/>
  <c r="K23" i="10"/>
  <c r="J17" i="10"/>
  <c r="K25" i="10"/>
  <c r="K17" i="10"/>
  <c r="K32" i="10"/>
  <c r="K24" i="10"/>
  <c r="K31" i="10"/>
  <c r="J18" i="10"/>
  <c r="K30" i="10"/>
  <c r="K22" i="10"/>
  <c r="K29" i="10"/>
  <c r="K21" i="10"/>
  <c r="K28" i="10"/>
  <c r="K20" i="10"/>
  <c r="K27" i="10"/>
  <c r="K19" i="10"/>
  <c r="J31" i="10"/>
  <c r="J25" i="10"/>
  <c r="K26" i="10"/>
  <c r="K18" i="10"/>
  <c r="J32" i="10"/>
  <c r="J23" i="10"/>
  <c r="J30" i="10"/>
  <c r="J22" i="10"/>
  <c r="J29" i="10"/>
  <c r="J21" i="10"/>
  <c r="J28" i="10"/>
  <c r="J20" i="10"/>
  <c r="J27" i="10"/>
  <c r="J19" i="10"/>
  <c r="J26" i="10"/>
  <c r="C24" i="3"/>
  <c r="C23" i="3"/>
  <c r="H17" i="10" l="1"/>
  <c r="H18" i="10"/>
  <c r="H19" i="10"/>
  <c r="H20" i="10"/>
  <c r="H21" i="10"/>
  <c r="H22" i="10"/>
  <c r="H23" i="10"/>
  <c r="H24" i="10"/>
  <c r="L24" i="10" s="1"/>
  <c r="H25" i="10"/>
  <c r="L25" i="10" s="1"/>
  <c r="H26" i="10"/>
  <c r="L26" i="10" s="1"/>
  <c r="H27" i="10"/>
  <c r="L27" i="10" s="1"/>
  <c r="H28" i="10"/>
  <c r="L28" i="10" s="1"/>
  <c r="H29" i="10"/>
  <c r="L29" i="10" s="1"/>
  <c r="H30" i="10"/>
  <c r="L30" i="10" s="1"/>
  <c r="H31" i="10"/>
  <c r="L31" i="10" s="1"/>
  <c r="H32" i="10"/>
  <c r="L32" i="10" s="1"/>
  <c r="F17" i="10" l="1"/>
  <c r="I17" i="10" s="1"/>
  <c r="F18" i="10"/>
  <c r="I18" i="10" s="1"/>
  <c r="F19" i="10"/>
  <c r="I19" i="10" s="1"/>
  <c r="F20" i="10"/>
  <c r="I20" i="10" s="1"/>
  <c r="F21" i="10"/>
  <c r="L21" i="10" s="1"/>
  <c r="F22" i="10"/>
  <c r="E23" i="3" s="1"/>
  <c r="F23" i="10"/>
  <c r="E24" i="3" s="1"/>
  <c r="F24" i="10"/>
  <c r="F25" i="10"/>
  <c r="I25" i="10" s="1"/>
  <c r="F26" i="10"/>
  <c r="I26" i="10" s="1"/>
  <c r="F27" i="10"/>
  <c r="I27" i="10" s="1"/>
  <c r="F28" i="10"/>
  <c r="I28" i="10" s="1"/>
  <c r="F29" i="10"/>
  <c r="F30" i="10"/>
  <c r="F31" i="10"/>
  <c r="F32" i="10"/>
  <c r="I32" i="10" s="1"/>
  <c r="L17" i="10" l="1"/>
  <c r="L18" i="10"/>
  <c r="L19" i="10"/>
  <c r="L20" i="10"/>
  <c r="L22" i="10"/>
  <c r="L23" i="10"/>
  <c r="I21" i="10"/>
  <c r="I29" i="10"/>
  <c r="I23" i="10"/>
  <c r="I31" i="10"/>
  <c r="I30" i="10"/>
  <c r="I22" i="10"/>
  <c r="I24" i="10"/>
  <c r="F21" i="3"/>
  <c r="F20" i="3"/>
  <c r="F18" i="3"/>
  <c r="F19" i="3"/>
  <c r="F22" i="3" l="1"/>
  <c r="F23" i="3"/>
  <c r="L33" i="10"/>
  <c r="I33" i="10"/>
  <c r="F25" i="3" s="1"/>
  <c r="F27" i="3" s="1"/>
  <c r="F24" i="3"/>
  <c r="C18" i="3"/>
  <c r="C19" i="3" l="1"/>
  <c r="C20" i="3"/>
  <c r="C21" i="3"/>
  <c r="C22" i="3"/>
  <c r="C18" i="10" l="1"/>
  <c r="A15" i="11" s="1"/>
  <c r="C19" i="10"/>
  <c r="A16" i="11" s="1"/>
  <c r="C20" i="10"/>
  <c r="A17" i="11" s="1"/>
  <c r="C21" i="10"/>
  <c r="A18" i="11" s="1"/>
  <c r="C22" i="10"/>
  <c r="A19" i="11" s="1"/>
  <c r="C23" i="10"/>
  <c r="A20" i="11" s="1"/>
  <c r="C24" i="10"/>
  <c r="A21" i="11" s="1"/>
  <c r="C25" i="10"/>
  <c r="A22" i="11" s="1"/>
  <c r="C26" i="10"/>
  <c r="A23" i="11" s="1"/>
  <c r="C27" i="10"/>
  <c r="A24" i="11" s="1"/>
  <c r="C28" i="10"/>
  <c r="A25" i="11" s="1"/>
  <c r="C29" i="10"/>
  <c r="A26" i="11" s="1"/>
  <c r="C30" i="10"/>
  <c r="A27" i="11" s="1"/>
  <c r="C31" i="10"/>
  <c r="A28" i="11" s="1"/>
  <c r="C32" i="10"/>
  <c r="A29" i="11" s="1"/>
  <c r="C17" i="10"/>
  <c r="A14" i="11" s="1"/>
  <c r="D25" i="10"/>
  <c r="D26" i="10"/>
  <c r="D27" i="10"/>
  <c r="D28" i="10"/>
  <c r="D29" i="10"/>
  <c r="D30" i="10"/>
  <c r="D31" i="10"/>
  <c r="D32" i="10"/>
  <c r="E22" i="3" l="1"/>
  <c r="E21" i="3"/>
  <c r="E20" i="3"/>
  <c r="E19" i="3"/>
  <c r="E18" i="3"/>
  <c r="A3" i="5" l="1"/>
</calcChain>
</file>

<file path=xl/sharedStrings.xml><?xml version="1.0" encoding="utf-8"?>
<sst xmlns="http://schemas.openxmlformats.org/spreadsheetml/2006/main" count="171" uniqueCount="122">
  <si>
    <t>LISTA DE INVENTARIO DE ALMACÉN</t>
  </si>
  <si>
    <t>ARTÍCULOS DEL INVENTARIO:</t>
  </si>
  <si>
    <t>Modelo</t>
  </si>
  <si>
    <t>Marca</t>
  </si>
  <si>
    <t>Descripción</t>
  </si>
  <si>
    <t>Código</t>
  </si>
  <si>
    <t>CANT.</t>
  </si>
  <si>
    <t>UNID MIN.</t>
  </si>
  <si>
    <t>Unidades Descuento</t>
  </si>
  <si>
    <t>COSTE CON IVA</t>
  </si>
  <si>
    <t>COSTE SIN IVA</t>
  </si>
  <si>
    <t>ZenBook UX410UA-GV036T</t>
  </si>
  <si>
    <t>Asus</t>
  </si>
  <si>
    <t>i7, 8GB RAM, 256 GB SSD, 14", Windows</t>
  </si>
  <si>
    <t>A002</t>
  </si>
  <si>
    <t>15-DA1071NS</t>
  </si>
  <si>
    <t>HP</t>
  </si>
  <si>
    <t>i7, 8GB RAM, 256 GB SSD, 15.6", Windows</t>
  </si>
  <si>
    <t>H468</t>
  </si>
  <si>
    <t>GF63Thin 9SC-047XES</t>
  </si>
  <si>
    <t>MSI</t>
  </si>
  <si>
    <t>i7, 16GB RAM, 512 GB SSD, 15.6", No Incluido</t>
  </si>
  <si>
    <t>M654</t>
  </si>
  <si>
    <t>Inspiron 15 5000</t>
  </si>
  <si>
    <t>Dell</t>
  </si>
  <si>
    <t>i7, 8GB RAM, 1 TB, 15,6", Windows</t>
  </si>
  <si>
    <t>D454</t>
  </si>
  <si>
    <t>Inspiron 5584</t>
  </si>
  <si>
    <t>i7, 8GB RAM, 1 TB + 128GB SSD, 15,6", Windows</t>
  </si>
  <si>
    <t>D845</t>
  </si>
  <si>
    <t>X560UD-EJ362T</t>
  </si>
  <si>
    <t>i5,8GB RAM,256GB SSD,"15,6", Windows</t>
  </si>
  <si>
    <t>A959</t>
  </si>
  <si>
    <t>Asus VivoBook Pro 15 N580GD-E4154T</t>
  </si>
  <si>
    <t>i7,8GB RAM,256GB SSD,"15,6", Windows</t>
  </si>
  <si>
    <t>A556</t>
  </si>
  <si>
    <t>PE62 8RC-009XES</t>
  </si>
  <si>
    <t>i7, 8GB RAM, 1TB + 256GB SSD, 15,6", Windows</t>
  </si>
  <si>
    <t>M846</t>
  </si>
  <si>
    <t>Nuevo Inspiron 15 5000</t>
  </si>
  <si>
    <t>i7,16GB RAM,512GB SSD,"15,6", Windows</t>
  </si>
  <si>
    <t>D557</t>
  </si>
  <si>
    <t>GP63 Leopard 8RD-694XES</t>
  </si>
  <si>
    <t>i7 16GB RAM, 1 TB+ 256GB SSD, 15,6", Windows</t>
  </si>
  <si>
    <t>M984</t>
  </si>
  <si>
    <t>Vacio</t>
  </si>
  <si>
    <t>Realiza el Pedido</t>
  </si>
  <si>
    <t>Descuentos</t>
  </si>
  <si>
    <t>Cantidad</t>
  </si>
  <si>
    <t>Descuento</t>
  </si>
  <si>
    <t>Nombre</t>
  </si>
  <si>
    <t>Apellidos</t>
  </si>
  <si>
    <t>Tudela</t>
  </si>
  <si>
    <t>Empresa</t>
  </si>
  <si>
    <t>Hermanos Jacinto</t>
  </si>
  <si>
    <t>Cantidad Pedida</t>
  </si>
  <si>
    <t>Cantidad Total</t>
  </si>
  <si>
    <t>Subtotal</t>
  </si>
  <si>
    <t>PC GAMING MASTER RACE</t>
  </si>
  <si>
    <t>ALBARÁN</t>
  </si>
  <si>
    <t>PC GAMING MASTER RACE - UA Alicante - 47878646X</t>
  </si>
  <si>
    <t>Entregar a:</t>
  </si>
  <si>
    <t>Bibi del Lobo</t>
  </si>
  <si>
    <t>Número de albrán: 74</t>
  </si>
  <si>
    <t>Cliente</t>
  </si>
  <si>
    <t>Fecha: 9/11/19</t>
  </si>
  <si>
    <t>Domicilio</t>
  </si>
  <si>
    <t>Número de pedido:7444545</t>
  </si>
  <si>
    <t>Ciudad</t>
  </si>
  <si>
    <t>Alicante</t>
  </si>
  <si>
    <t>Fecha de entrega: 12/11/19</t>
  </si>
  <si>
    <t>(NIF)</t>
  </si>
  <si>
    <t>Lugar de entrega: UA Alicante</t>
  </si>
  <si>
    <t>Número de Albarán</t>
  </si>
  <si>
    <t>Pos.</t>
  </si>
  <si>
    <t>Concepto/descripción</t>
  </si>
  <si>
    <t>Unidades</t>
  </si>
  <si>
    <t>Precio un.</t>
  </si>
  <si>
    <t>Importe</t>
  </si>
  <si>
    <t>I.V.A aplicado:</t>
  </si>
  <si>
    <t>Fecha de recepción y firma del receptor:</t>
  </si>
  <si>
    <t>Observaciones:</t>
  </si>
  <si>
    <t>UA Alicante</t>
  </si>
  <si>
    <t>Total con IVA</t>
  </si>
  <si>
    <t>Precio Por Unidad Con IVA</t>
  </si>
  <si>
    <t>Subtotal con IVA:</t>
  </si>
  <si>
    <t>Subtotal sin IVA:</t>
  </si>
  <si>
    <t>Precio con Descuento</t>
  </si>
  <si>
    <t xml:space="preserve">Nombre </t>
  </si>
  <si>
    <t>Datos del cliente</t>
  </si>
  <si>
    <t>Dirección:</t>
  </si>
  <si>
    <t>Nombre:</t>
  </si>
  <si>
    <t>Población:</t>
  </si>
  <si>
    <t>C. Postal:</t>
  </si>
  <si>
    <t>Provincia:</t>
  </si>
  <si>
    <t>CIF / NIF:</t>
  </si>
  <si>
    <t>……………………………….</t>
  </si>
  <si>
    <t>Tef. Fijo</t>
  </si>
  <si>
    <t>Tef. Móvil</t>
  </si>
  <si>
    <t>Fax.</t>
  </si>
  <si>
    <t>Nº Factura</t>
  </si>
  <si>
    <t>Precio Unidad</t>
  </si>
  <si>
    <t>%</t>
  </si>
  <si>
    <t>Precio</t>
  </si>
  <si>
    <t>Total Factura</t>
  </si>
  <si>
    <t>Rambla Méndez Núñez, 41, 03002 Alicante,</t>
  </si>
  <si>
    <t>54973416 B</t>
  </si>
  <si>
    <t xml:space="preserve">Calle Germán Bernácer, 71, </t>
  </si>
  <si>
    <t xml:space="preserve"> Elche</t>
  </si>
  <si>
    <t>Descuent.</t>
  </si>
  <si>
    <t>Fecha Factura</t>
  </si>
  <si>
    <t xml:space="preserve">Total  </t>
  </si>
  <si>
    <t>Sin Descuent.</t>
  </si>
  <si>
    <t xml:space="preserve"> Total con IVA</t>
  </si>
  <si>
    <t>Total  sin IVA %</t>
  </si>
  <si>
    <t>47878646X</t>
  </si>
  <si>
    <t>Correo</t>
  </si>
  <si>
    <t xml:space="preserve">E-mail: </t>
  </si>
  <si>
    <t>bibidellobo@gmail.com</t>
  </si>
  <si>
    <t>E-mail:</t>
  </si>
  <si>
    <t>hermanosJacinto@pcgaming.es</t>
  </si>
  <si>
    <t>Total Descuento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</si>
</sst>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_-* #,##0.00\ [$€-407]_-;\-* #,##0.00\ [$€-407]_-;_-* &quot;-&quot;??\ [$€-407]_-;_-@_-"/>
    <numFmt numFmtId="167" formatCode="dd\-mm\-yy;@"/>
    <numFmt numFmtId="168" formatCode="#,##0.00\ [$€-1];\-#,##0.00\ [$€-1]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Franklin Gothic Medium"/>
    </font>
    <font>
      <sz val="11"/>
      <color rgb="FF262626"/>
      <name val="Franklin Gothic Medium"/>
    </font>
    <font>
      <sz val="16"/>
      <color rgb="FF335C30"/>
      <name val="Franklin Gothic Medium"/>
    </font>
    <font>
      <sz val="11"/>
      <color rgb="FFFFFFFF"/>
      <name val="Franklin Gothic Medium"/>
    </font>
    <font>
      <b/>
      <sz val="26"/>
      <color theme="1"/>
      <name val="Calibri"/>
      <family val="2"/>
      <scheme val="minor"/>
    </font>
    <font>
      <sz val="11"/>
      <color rgb="FFFFFFFF"/>
      <name val="Franklin Gothic Medium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6"/>
      <color rgb="FF000000"/>
      <name val="Calibri"/>
      <family val="2"/>
    </font>
    <font>
      <b/>
      <sz val="16"/>
      <color rgb="FF000000"/>
      <name val="Calibri"/>
    </font>
    <font>
      <b/>
      <sz val="20"/>
      <color rgb="FF000000"/>
      <name val="Calibri"/>
    </font>
    <font>
      <sz val="11"/>
      <color rgb="FF262626"/>
      <name val="Franklin Gothic Medium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name val="Calibri"/>
      <family val="2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sz val="8"/>
      <name val="Calibri"/>
      <family val="2"/>
    </font>
    <font>
      <b/>
      <i/>
      <u/>
      <sz val="12"/>
      <color indexed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i/>
      <sz val="11"/>
      <name val="Calibri"/>
      <family val="2"/>
    </font>
    <font>
      <b/>
      <sz val="16"/>
      <name val="Arial"/>
      <family val="2"/>
    </font>
    <font>
      <u/>
      <sz val="15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335C30"/>
        <bgColor rgb="FF000000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3366"/>
        <bgColor indexed="64"/>
      </patternFill>
    </fill>
  </fills>
  <borders count="77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double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64"/>
      </top>
      <bottom style="hair">
        <color indexed="8"/>
      </bottom>
      <diagonal/>
    </border>
    <border>
      <left style="hair">
        <color indexed="8"/>
      </left>
      <right/>
      <top style="double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64"/>
      </top>
      <bottom style="hair">
        <color indexed="64"/>
      </bottom>
      <diagonal/>
    </border>
    <border>
      <left style="hair">
        <color indexed="8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hair">
        <color indexed="8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8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4" applyNumberFormat="0" applyFill="0" applyAlignment="0" applyProtection="0"/>
    <xf numFmtId="0" fontId="9" fillId="3" borderId="0" applyNumberFormat="0" applyBorder="0" applyAlignment="0" applyProtection="0"/>
    <xf numFmtId="44" fontId="16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27" applyNumberFormat="0" applyFill="0" applyAlignment="0" applyProtection="0"/>
    <xf numFmtId="0" fontId="9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1" fillId="0" borderId="0" xfId="0" applyFont="1" applyAlignment="1">
      <alignment horizontal="center"/>
    </xf>
    <xf numFmtId="0" fontId="7" fillId="2" borderId="2" xfId="0" applyFont="1" applyFill="1" applyBorder="1"/>
    <xf numFmtId="0" fontId="3" fillId="0" borderId="2" xfId="0" quotePrefix="1" applyFont="1" applyBorder="1" applyAlignment="1">
      <alignment wrapText="1"/>
    </xf>
    <xf numFmtId="0" fontId="10" fillId="0" borderId="4" xfId="1" applyFont="1"/>
    <xf numFmtId="164" fontId="10" fillId="5" borderId="4" xfId="1" applyNumberFormat="1" applyFont="1" applyFill="1"/>
    <xf numFmtId="164" fontId="10" fillId="0" borderId="4" xfId="1" applyNumberFormat="1" applyFont="1"/>
    <xf numFmtId="0" fontId="0" fillId="0" borderId="0" xfId="0" quotePrefix="1"/>
    <xf numFmtId="0" fontId="10" fillId="4" borderId="5" xfId="1" applyFont="1" applyFill="1" applyBorder="1"/>
    <xf numFmtId="0" fontId="10" fillId="7" borderId="5" xfId="1" applyFont="1" applyFill="1" applyBorder="1"/>
    <xf numFmtId="0" fontId="10" fillId="8" borderId="4" xfId="1" applyFont="1" applyFill="1"/>
    <xf numFmtId="164" fontId="10" fillId="8" borderId="4" xfId="1" applyNumberFormat="1" applyFont="1" applyFill="1"/>
    <xf numFmtId="0" fontId="11" fillId="3" borderId="0" xfId="2" applyFont="1" applyAlignment="1">
      <alignment horizontal="center"/>
    </xf>
    <xf numFmtId="164" fontId="11" fillId="3" borderId="0" xfId="2" applyNumberFormat="1" applyFont="1"/>
    <xf numFmtId="0" fontId="0" fillId="9" borderId="0" xfId="0" applyFill="1"/>
    <xf numFmtId="0" fontId="12" fillId="9" borderId="0" xfId="0" applyFont="1" applyFill="1"/>
    <xf numFmtId="0" fontId="13" fillId="6" borderId="5" xfId="1" applyFont="1" applyFill="1" applyBorder="1"/>
    <xf numFmtId="0" fontId="13" fillId="0" borderId="4" xfId="1" applyFont="1"/>
    <xf numFmtId="0" fontId="13" fillId="10" borderId="4" xfId="1" applyFont="1" applyFill="1"/>
    <xf numFmtId="0" fontId="0" fillId="0" borderId="0" xfId="0" applyFill="1"/>
    <xf numFmtId="0" fontId="19" fillId="0" borderId="0" xfId="0" applyFont="1" applyAlignment="1">
      <alignment vertical="center"/>
    </xf>
    <xf numFmtId="0" fontId="20" fillId="0" borderId="0" xfId="0" applyFont="1"/>
    <xf numFmtId="0" fontId="20" fillId="0" borderId="16" xfId="0" applyFont="1" applyBorder="1"/>
    <xf numFmtId="8" fontId="20" fillId="0" borderId="0" xfId="0" applyNumberFormat="1" applyFont="1"/>
    <xf numFmtId="0" fontId="21" fillId="11" borderId="18" xfId="0" applyFont="1" applyFill="1" applyBorder="1" applyAlignment="1">
      <alignment vertical="center"/>
    </xf>
    <xf numFmtId="0" fontId="21" fillId="11" borderId="19" xfId="0" applyFont="1" applyFill="1" applyBorder="1" applyAlignment="1">
      <alignment vertical="center"/>
    </xf>
    <xf numFmtId="0" fontId="21" fillId="11" borderId="20" xfId="0" applyFont="1" applyFill="1" applyBorder="1" applyAlignment="1">
      <alignment vertical="center"/>
    </xf>
    <xf numFmtId="0" fontId="20" fillId="11" borderId="17" xfId="0" applyFont="1" applyFill="1" applyBorder="1" applyAlignment="1">
      <alignment vertical="center"/>
    </xf>
    <xf numFmtId="0" fontId="20" fillId="11" borderId="0" xfId="0" applyFont="1" applyFill="1"/>
    <xf numFmtId="0" fontId="20" fillId="11" borderId="23" xfId="0" applyFont="1" applyFill="1" applyBorder="1"/>
    <xf numFmtId="0" fontId="24" fillId="11" borderId="17" xfId="0" applyFont="1" applyFill="1" applyBorder="1"/>
    <xf numFmtId="166" fontId="24" fillId="11" borderId="23" xfId="0" applyNumberFormat="1" applyFont="1" applyFill="1" applyBorder="1"/>
    <xf numFmtId="0" fontId="19" fillId="11" borderId="24" xfId="0" applyFont="1" applyFill="1" applyBorder="1" applyAlignment="1">
      <alignment horizontal="left"/>
    </xf>
    <xf numFmtId="0" fontId="19" fillId="11" borderId="25" xfId="0" applyFont="1" applyFill="1" applyBorder="1" applyAlignment="1">
      <alignment horizontal="left"/>
    </xf>
    <xf numFmtId="0" fontId="19" fillId="11" borderId="26" xfId="0" applyFont="1" applyFill="1" applyBorder="1" applyAlignment="1">
      <alignment horizontal="left"/>
    </xf>
    <xf numFmtId="0" fontId="0" fillId="11" borderId="24" xfId="0" applyFill="1" applyBorder="1"/>
    <xf numFmtId="0" fontId="0" fillId="11" borderId="26" xfId="0" applyFill="1" applyBorder="1"/>
    <xf numFmtId="164" fontId="20" fillId="0" borderId="16" xfId="0" applyNumberFormat="1" applyFont="1" applyBorder="1"/>
    <xf numFmtId="3" fontId="10" fillId="0" borderId="4" xfId="1" applyNumberFormat="1" applyFont="1"/>
    <xf numFmtId="0" fontId="6" fillId="0" borderId="0" xfId="0" applyFont="1" applyAlignment="1">
      <alignment horizontal="center"/>
    </xf>
    <xf numFmtId="0" fontId="15" fillId="10" borderId="0" xfId="0" applyFont="1" applyFill="1" applyAlignment="1">
      <alignment horizontal="center"/>
    </xf>
    <xf numFmtId="0" fontId="19" fillId="0" borderId="29" xfId="0" applyFont="1" applyBorder="1" applyAlignment="1">
      <alignment horizontal="right" vertical="center"/>
    </xf>
    <xf numFmtId="0" fontId="19" fillId="0" borderId="23" xfId="0" applyFont="1" applyBorder="1" applyAlignment="1">
      <alignment horizontal="right"/>
    </xf>
    <xf numFmtId="0" fontId="19" fillId="0" borderId="23" xfId="0" applyFont="1" applyBorder="1" applyAlignment="1">
      <alignment horizontal="right" vertical="center"/>
    </xf>
    <xf numFmtId="164" fontId="20" fillId="0" borderId="15" xfId="0" applyNumberFormat="1" applyFont="1" applyBorder="1"/>
    <xf numFmtId="0" fontId="22" fillId="15" borderId="30" xfId="0" applyFont="1" applyFill="1" applyBorder="1" applyAlignment="1">
      <alignment vertical="center"/>
    </xf>
    <xf numFmtId="0" fontId="22" fillId="15" borderId="31" xfId="0" applyFont="1" applyFill="1" applyBorder="1" applyAlignment="1">
      <alignment vertical="center"/>
    </xf>
    <xf numFmtId="0" fontId="22" fillId="15" borderId="32" xfId="0" applyFont="1" applyFill="1" applyBorder="1" applyAlignment="1">
      <alignment horizontal="center"/>
    </xf>
    <xf numFmtId="0" fontId="22" fillId="15" borderId="30" xfId="0" applyFont="1" applyFill="1" applyBorder="1" applyAlignment="1">
      <alignment horizontal="center"/>
    </xf>
    <xf numFmtId="0" fontId="20" fillId="0" borderId="15" xfId="0" applyFont="1" applyBorder="1"/>
    <xf numFmtId="0" fontId="0" fillId="0" borderId="0" xfId="0" applyBorder="1"/>
    <xf numFmtId="164" fontId="20" fillId="0" borderId="34" xfId="0" applyNumberFormat="1" applyFont="1" applyBorder="1"/>
    <xf numFmtId="0" fontId="19" fillId="0" borderId="14" xfId="0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164" fontId="20" fillId="0" borderId="35" xfId="0" applyNumberFormat="1" applyFont="1" applyBorder="1"/>
    <xf numFmtId="164" fontId="1" fillId="0" borderId="0" xfId="0" applyNumberFormat="1" applyFont="1"/>
    <xf numFmtId="0" fontId="4" fillId="0" borderId="0" xfId="0" applyFont="1" applyBorder="1"/>
    <xf numFmtId="0" fontId="2" fillId="0" borderId="0" xfId="0" applyFont="1" applyBorder="1"/>
    <xf numFmtId="164" fontId="27" fillId="0" borderId="15" xfId="0" applyNumberFormat="1" applyFont="1" applyBorder="1"/>
    <xf numFmtId="0" fontId="27" fillId="0" borderId="16" xfId="0" applyFont="1" applyBorder="1"/>
    <xf numFmtId="164" fontId="27" fillId="0" borderId="16" xfId="0" applyNumberFormat="1" applyFont="1" applyBorder="1"/>
    <xf numFmtId="0" fontId="28" fillId="0" borderId="35" xfId="0" applyFont="1" applyBorder="1" applyAlignment="1">
      <alignment horizontal="right"/>
    </xf>
    <xf numFmtId="164" fontId="27" fillId="0" borderId="35" xfId="0" applyNumberFormat="1" applyFont="1" applyBorder="1"/>
    <xf numFmtId="9" fontId="23" fillId="0" borderId="0" xfId="3" applyNumberFormat="1" applyFont="1"/>
    <xf numFmtId="0" fontId="19" fillId="0" borderId="0" xfId="0" applyFont="1" applyBorder="1" applyAlignment="1">
      <alignment vertical="center"/>
    </xf>
    <xf numFmtId="0" fontId="19" fillId="0" borderId="0" xfId="0" applyFont="1" applyBorder="1"/>
    <xf numFmtId="49" fontId="0" fillId="0" borderId="0" xfId="0" applyNumberFormat="1" applyBorder="1"/>
    <xf numFmtId="8" fontId="33" fillId="0" borderId="3" xfId="0" applyNumberFormat="1" applyFont="1" applyBorder="1"/>
    <xf numFmtId="164" fontId="0" fillId="0" borderId="0" xfId="0" applyNumberFormat="1"/>
    <xf numFmtId="8" fontId="0" fillId="0" borderId="0" xfId="0" applyNumberFormat="1"/>
    <xf numFmtId="0" fontId="34" fillId="0" borderId="0" xfId="0" applyFont="1"/>
    <xf numFmtId="8" fontId="35" fillId="0" borderId="0" xfId="0" applyNumberFormat="1" applyFont="1"/>
    <xf numFmtId="0" fontId="0" fillId="0" borderId="0" xfId="0" applyFont="1"/>
    <xf numFmtId="3" fontId="19" fillId="0" borderId="0" xfId="0" applyNumberFormat="1" applyFont="1" applyAlignment="1">
      <alignment horizontal="right"/>
    </xf>
    <xf numFmtId="0" fontId="13" fillId="0" borderId="4" xfId="1" applyFont="1" applyFill="1"/>
    <xf numFmtId="10" fontId="10" fillId="8" borderId="4" xfId="1" applyNumberFormat="1" applyFont="1" applyFill="1"/>
    <xf numFmtId="10" fontId="10" fillId="5" borderId="4" xfId="1" applyNumberFormat="1" applyFont="1" applyFill="1"/>
    <xf numFmtId="10" fontId="10" fillId="0" borderId="4" xfId="1" applyNumberFormat="1" applyFont="1"/>
    <xf numFmtId="0" fontId="10" fillId="0" borderId="4" xfId="1" applyNumberFormat="1" applyFont="1"/>
    <xf numFmtId="0" fontId="10" fillId="8" borderId="4" xfId="1" applyNumberFormat="1" applyFont="1" applyFill="1"/>
    <xf numFmtId="0" fontId="10" fillId="5" borderId="4" xfId="1" applyNumberFormat="1" applyFont="1" applyFill="1"/>
    <xf numFmtId="0" fontId="38" fillId="12" borderId="27" xfId="7" applyFont="1" applyBorder="1"/>
    <xf numFmtId="0" fontId="38" fillId="13" borderId="27" xfId="8" applyFont="1" applyBorder="1"/>
    <xf numFmtId="9" fontId="39" fillId="13" borderId="27" xfId="8" applyNumberFormat="1" applyFont="1" applyBorder="1"/>
    <xf numFmtId="0" fontId="38" fillId="14" borderId="27" xfId="9" applyFont="1" applyBorder="1"/>
    <xf numFmtId="0" fontId="39" fillId="14" borderId="27" xfId="6" applyFont="1" applyFill="1"/>
    <xf numFmtId="9" fontId="39" fillId="14" borderId="27" xfId="6" applyNumberFormat="1" applyFont="1" applyFill="1"/>
    <xf numFmtId="0" fontId="38" fillId="14" borderId="27" xfId="6" applyFont="1" applyFill="1"/>
    <xf numFmtId="0" fontId="40" fillId="10" borderId="0" xfId="0" applyFont="1" applyFill="1"/>
    <xf numFmtId="0" fontId="40" fillId="9" borderId="0" xfId="0" applyFont="1" applyFill="1"/>
    <xf numFmtId="0" fontId="37" fillId="9" borderId="0" xfId="0" applyFont="1" applyFill="1"/>
    <xf numFmtId="0" fontId="1" fillId="9" borderId="0" xfId="0" applyFont="1" applyFill="1"/>
    <xf numFmtId="0" fontId="0" fillId="0" borderId="0" xfId="0" applyBorder="1" applyAlignment="1" applyProtection="1"/>
    <xf numFmtId="0" fontId="0" fillId="0" borderId="39" xfId="0" applyNumberFormat="1" applyBorder="1" applyAlignment="1" applyProtection="1">
      <alignment horizontal="center"/>
      <protection locked="0"/>
    </xf>
    <xf numFmtId="4" fontId="0" fillId="0" borderId="41" xfId="0" applyNumberFormat="1" applyBorder="1" applyAlignment="1" applyProtection="1">
      <protection locked="0"/>
    </xf>
    <xf numFmtId="9" fontId="0" fillId="0" borderId="42" xfId="0" applyNumberFormat="1" applyBorder="1" applyAlignment="1" applyProtection="1">
      <alignment horizontal="right" indent="1"/>
      <protection locked="0"/>
    </xf>
    <xf numFmtId="4" fontId="0" fillId="0" borderId="44" xfId="0" applyNumberFormat="1" applyBorder="1" applyProtection="1"/>
    <xf numFmtId="0" fontId="0" fillId="0" borderId="45" xfId="0" applyBorder="1" applyAlignment="1" applyProtection="1"/>
    <xf numFmtId="0" fontId="42" fillId="0" borderId="49" xfId="0" applyFont="1" applyFill="1" applyBorder="1" applyAlignment="1" applyProtection="1">
      <alignment wrapText="1"/>
      <protection locked="0"/>
    </xf>
    <xf numFmtId="0" fontId="42" fillId="0" borderId="38" xfId="0" applyFont="1" applyFill="1" applyBorder="1" applyAlignment="1" applyProtection="1">
      <protection locked="0"/>
    </xf>
    <xf numFmtId="0" fontId="0" fillId="16" borderId="50" xfId="0" applyFill="1" applyBorder="1" applyAlignment="1" applyProtection="1">
      <alignment horizontal="center"/>
    </xf>
    <xf numFmtId="0" fontId="41" fillId="16" borderId="51" xfId="0" applyFont="1" applyFill="1" applyBorder="1" applyAlignment="1" applyProtection="1"/>
    <xf numFmtId="0" fontId="0" fillId="16" borderId="51" xfId="0" applyFill="1" applyBorder="1" applyAlignment="1" applyProtection="1"/>
    <xf numFmtId="0" fontId="43" fillId="16" borderId="38" xfId="0" applyFont="1" applyFill="1" applyBorder="1" applyAlignment="1" applyProtection="1">
      <alignment horizontal="center" vertical="center"/>
    </xf>
    <xf numFmtId="0" fontId="43" fillId="16" borderId="0" xfId="0" applyFont="1" applyFill="1" applyBorder="1" applyAlignment="1" applyProtection="1">
      <alignment horizontal="center" vertical="center"/>
    </xf>
    <xf numFmtId="0" fontId="43" fillId="16" borderId="36" xfId="0" applyFont="1" applyFill="1" applyBorder="1" applyAlignment="1" applyProtection="1">
      <alignment horizontal="center" vertical="center"/>
    </xf>
    <xf numFmtId="0" fontId="46" fillId="0" borderId="46" xfId="0" applyFont="1" applyFill="1" applyBorder="1" applyAlignment="1" applyProtection="1">
      <protection locked="0"/>
    </xf>
    <xf numFmtId="0" fontId="44" fillId="0" borderId="50" xfId="0" applyFont="1" applyFill="1" applyBorder="1" applyAlignment="1" applyProtection="1">
      <alignment horizontal="left"/>
      <protection locked="0"/>
    </xf>
    <xf numFmtId="0" fontId="47" fillId="0" borderId="38" xfId="0" applyFont="1" applyFill="1" applyBorder="1" applyAlignment="1" applyProtection="1"/>
    <xf numFmtId="0" fontId="47" fillId="0" borderId="50" xfId="0" applyFont="1" applyFill="1" applyBorder="1" applyAlignment="1" applyProtection="1"/>
    <xf numFmtId="0" fontId="47" fillId="0" borderId="49" xfId="0" applyFont="1" applyFill="1" applyBorder="1" applyAlignment="1" applyProtection="1"/>
    <xf numFmtId="0" fontId="42" fillId="0" borderId="66" xfId="0" applyFont="1" applyFill="1" applyBorder="1" applyAlignment="1" applyProtection="1">
      <alignment horizontal="center"/>
    </xf>
    <xf numFmtId="44" fontId="41" fillId="16" borderId="75" xfId="0" applyNumberFormat="1" applyFont="1" applyFill="1" applyBorder="1" applyProtection="1"/>
    <xf numFmtId="0" fontId="46" fillId="0" borderId="0" xfId="0" applyFont="1" applyFill="1" applyBorder="1" applyAlignment="1" applyProtection="1">
      <alignment horizontal="left"/>
      <protection locked="0"/>
    </xf>
    <xf numFmtId="0" fontId="0" fillId="0" borderId="40" xfId="0" applyNumberFormat="1" applyBorder="1" applyAlignment="1" applyProtection="1">
      <protection locked="0"/>
    </xf>
    <xf numFmtId="164" fontId="17" fillId="0" borderId="43" xfId="0" applyNumberFormat="1" applyFont="1" applyBorder="1" applyProtection="1"/>
    <xf numFmtId="0" fontId="50" fillId="17" borderId="56" xfId="0" applyFont="1" applyFill="1" applyBorder="1" applyAlignment="1" applyProtection="1">
      <alignment horizontal="center" vertical="center"/>
      <protection locked="0"/>
    </xf>
    <xf numFmtId="0" fontId="50" fillId="17" borderId="57" xfId="0" applyFont="1" applyFill="1" applyBorder="1" applyAlignment="1" applyProtection="1">
      <alignment horizontal="center" vertical="center"/>
      <protection locked="0"/>
    </xf>
    <xf numFmtId="0" fontId="50" fillId="17" borderId="32" xfId="0" applyFont="1" applyFill="1" applyBorder="1" applyAlignment="1" applyProtection="1">
      <alignment horizontal="center" vertical="center"/>
      <protection locked="0"/>
    </xf>
    <xf numFmtId="0" fontId="50" fillId="17" borderId="59" xfId="0" applyFont="1" applyFill="1" applyBorder="1" applyAlignment="1" applyProtection="1">
      <alignment vertical="center"/>
      <protection locked="0"/>
    </xf>
    <xf numFmtId="3" fontId="20" fillId="0" borderId="15" xfId="0" applyNumberFormat="1" applyFont="1" applyBorder="1" applyAlignment="1">
      <alignment horizontal="center"/>
    </xf>
    <xf numFmtId="0" fontId="19" fillId="0" borderId="0" xfId="0" applyFont="1" applyFill="1" applyBorder="1" applyAlignment="1"/>
    <xf numFmtId="0" fontId="49" fillId="5" borderId="63" xfId="0" applyFont="1" applyFill="1" applyBorder="1" applyAlignment="1" applyProtection="1">
      <alignment vertical="center"/>
    </xf>
    <xf numFmtId="0" fontId="0" fillId="5" borderId="63" xfId="0" applyFill="1" applyBorder="1" applyAlignment="1" applyProtection="1">
      <alignment vertical="center" wrapText="1"/>
      <protection locked="0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6" fillId="12" borderId="28" xfId="7" applyFont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40" fillId="1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30" fillId="11" borderId="6" xfId="0" applyFont="1" applyFill="1" applyBorder="1" applyAlignment="1">
      <alignment horizontal="center" vertical="center" wrapText="1"/>
    </xf>
    <xf numFmtId="0" fontId="30" fillId="11" borderId="7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horizontal="center" vertical="center" wrapText="1"/>
    </xf>
    <xf numFmtId="0" fontId="31" fillId="11" borderId="9" xfId="0" applyFont="1" applyFill="1" applyBorder="1" applyAlignment="1">
      <alignment horizontal="center" vertical="center" wrapText="1"/>
    </xf>
    <xf numFmtId="0" fontId="30" fillId="11" borderId="0" xfId="0" applyFont="1" applyFill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9" xfId="0" applyFont="1" applyFill="1" applyBorder="1" applyAlignment="1">
      <alignment horizontal="center" vertical="center" wrapText="1"/>
    </xf>
    <xf numFmtId="0" fontId="30" fillId="11" borderId="11" xfId="0" applyFont="1" applyFill="1" applyBorder="1" applyAlignment="1">
      <alignment horizontal="center" vertical="center" wrapText="1"/>
    </xf>
    <xf numFmtId="0" fontId="30" fillId="11" borderId="12" xfId="0" applyFont="1" applyFill="1" applyBorder="1" applyAlignment="1">
      <alignment horizontal="center" vertical="center" wrapText="1"/>
    </xf>
    <xf numFmtId="0" fontId="30" fillId="11" borderId="1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21" fillId="11" borderId="21" xfId="0" applyFont="1" applyFill="1" applyBorder="1" applyAlignment="1">
      <alignment horizontal="left" vertical="center"/>
    </xf>
    <xf numFmtId="0" fontId="21" fillId="11" borderId="22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51" fillId="17" borderId="32" xfId="0" applyFont="1" applyFill="1" applyBorder="1" applyAlignment="1" applyProtection="1">
      <alignment horizontal="center"/>
    </xf>
    <xf numFmtId="0" fontId="51" fillId="17" borderId="67" xfId="0" applyFont="1" applyFill="1" applyBorder="1" applyAlignment="1" applyProtection="1">
      <alignment horizontal="center"/>
    </xf>
    <xf numFmtId="165" fontId="41" fillId="16" borderId="73" xfId="0" applyNumberFormat="1" applyFont="1" applyFill="1" applyBorder="1" applyAlignment="1" applyProtection="1">
      <alignment horizontal="left" wrapText="1" indent="1"/>
      <protection locked="0"/>
    </xf>
    <xf numFmtId="165" fontId="0" fillId="16" borderId="74" xfId="0" applyNumberFormat="1" applyFill="1" applyBorder="1" applyAlignment="1">
      <alignment horizontal="left" wrapText="1"/>
    </xf>
    <xf numFmtId="0" fontId="36" fillId="5" borderId="64" xfId="5" applyFont="1" applyFill="1" applyBorder="1" applyAlignment="1" applyProtection="1">
      <alignment horizontal="center" vertical="center"/>
    </xf>
    <xf numFmtId="0" fontId="55" fillId="5" borderId="64" xfId="5" applyFont="1" applyFill="1" applyBorder="1" applyAlignment="1" applyProtection="1">
      <alignment horizontal="center" vertical="center"/>
    </xf>
    <xf numFmtId="0" fontId="55" fillId="5" borderId="65" xfId="5" applyFont="1" applyFill="1" applyBorder="1" applyAlignment="1" applyProtection="1">
      <alignment horizontal="center" vertical="center"/>
    </xf>
    <xf numFmtId="0" fontId="0" fillId="5" borderId="64" xfId="0" applyFill="1" applyBorder="1" applyAlignment="1" applyProtection="1">
      <alignment horizontal="center" vertical="center" wrapText="1"/>
      <protection locked="0"/>
    </xf>
    <xf numFmtId="0" fontId="0" fillId="5" borderId="65" xfId="0" applyFill="1" applyBorder="1" applyAlignment="1" applyProtection="1">
      <alignment horizontal="center" vertical="center" wrapText="1"/>
      <protection locked="0"/>
    </xf>
    <xf numFmtId="0" fontId="41" fillId="0" borderId="14" xfId="0" applyNumberFormat="1" applyFont="1" applyFill="1" applyBorder="1" applyAlignment="1" applyProtection="1">
      <alignment horizontal="center" vertical="center"/>
      <protection locked="0"/>
    </xf>
    <xf numFmtId="49" fontId="41" fillId="0" borderId="70" xfId="0" applyNumberFormat="1" applyFont="1" applyFill="1" applyBorder="1" applyAlignment="1" applyProtection="1">
      <alignment horizontal="center" vertical="center"/>
      <protection locked="0"/>
    </xf>
    <xf numFmtId="3" fontId="0" fillId="0" borderId="47" xfId="0" applyNumberFormat="1" applyFont="1" applyBorder="1" applyAlignment="1" applyProtection="1">
      <alignment horizontal="center"/>
      <protection locked="0"/>
    </xf>
    <xf numFmtId="0" fontId="0" fillId="0" borderId="45" xfId="0" applyNumberFormat="1" applyFont="1" applyBorder="1" applyAlignment="1" applyProtection="1">
      <alignment horizontal="center"/>
      <protection locked="0"/>
    </xf>
    <xf numFmtId="0" fontId="0" fillId="0" borderId="48" xfId="0" applyNumberFormat="1" applyFont="1" applyBorder="1" applyAlignment="1" applyProtection="1">
      <alignment horizontal="center"/>
      <protection locked="0"/>
    </xf>
    <xf numFmtId="10" fontId="41" fillId="16" borderId="73" xfId="0" applyNumberFormat="1" applyFont="1" applyFill="1" applyBorder="1" applyAlignment="1" applyProtection="1">
      <alignment horizontal="left" wrapText="1" indent="1"/>
      <protection locked="0"/>
    </xf>
    <xf numFmtId="10" fontId="0" fillId="16" borderId="74" xfId="0" applyNumberFormat="1" applyFill="1" applyBorder="1" applyAlignment="1">
      <alignment horizontal="left" wrapText="1"/>
    </xf>
    <xf numFmtId="167" fontId="41" fillId="0" borderId="68" xfId="0" applyNumberFormat="1" applyFont="1" applyFill="1" applyBorder="1" applyAlignment="1" applyProtection="1">
      <alignment horizontal="center" vertical="center"/>
      <protection locked="0"/>
    </xf>
    <xf numFmtId="167" fontId="41" fillId="0" borderId="69" xfId="0" applyNumberFormat="1" applyFont="1" applyFill="1" applyBorder="1" applyAlignment="1" applyProtection="1">
      <alignment horizontal="center" vertical="center"/>
      <protection locked="0"/>
    </xf>
    <xf numFmtId="0" fontId="0" fillId="16" borderId="51" xfId="0" applyFont="1" applyFill="1" applyBorder="1" applyAlignment="1" applyProtection="1">
      <alignment horizontal="center"/>
    </xf>
    <xf numFmtId="0" fontId="0" fillId="16" borderId="52" xfId="0" applyFont="1" applyFill="1" applyBorder="1" applyAlignment="1" applyProtection="1">
      <alignment horizontal="center"/>
    </xf>
    <xf numFmtId="0" fontId="50" fillId="17" borderId="56" xfId="0" applyFont="1" applyFill="1" applyBorder="1" applyAlignment="1" applyProtection="1">
      <alignment horizontal="center" vertical="center"/>
      <protection locked="0"/>
    </xf>
    <xf numFmtId="0" fontId="50" fillId="17" borderId="32" xfId="0" applyFont="1" applyFill="1" applyBorder="1" applyAlignment="1" applyProtection="1">
      <alignment horizontal="center" vertical="center"/>
      <protection locked="0"/>
    </xf>
    <xf numFmtId="0" fontId="50" fillId="17" borderId="56" xfId="0" applyFont="1" applyFill="1" applyBorder="1" applyAlignment="1" applyProtection="1">
      <alignment horizontal="center" vertical="center" wrapText="1"/>
      <protection locked="0"/>
    </xf>
    <xf numFmtId="0" fontId="50" fillId="17" borderId="32" xfId="0" applyFont="1" applyFill="1" applyBorder="1" applyAlignment="1" applyProtection="1">
      <alignment horizontal="center" vertical="center" wrapText="1"/>
      <protection locked="0"/>
    </xf>
    <xf numFmtId="0" fontId="50" fillId="17" borderId="53" xfId="0" applyFont="1" applyFill="1" applyBorder="1" applyAlignment="1" applyProtection="1">
      <alignment horizontal="center" vertical="center"/>
      <protection locked="0"/>
    </xf>
    <xf numFmtId="0" fontId="50" fillId="17" borderId="58" xfId="0" applyFont="1" applyFill="1" applyBorder="1" applyAlignment="1" applyProtection="1">
      <alignment horizontal="center" vertical="center"/>
      <protection locked="0"/>
    </xf>
    <xf numFmtId="0" fontId="50" fillId="17" borderId="54" xfId="0" applyFont="1" applyFill="1" applyBorder="1" applyAlignment="1" applyProtection="1">
      <alignment horizontal="center" vertical="center"/>
      <protection locked="0"/>
    </xf>
    <xf numFmtId="0" fontId="50" fillId="17" borderId="45" xfId="0" applyFont="1" applyFill="1" applyBorder="1" applyAlignment="1" applyProtection="1">
      <alignment horizontal="center" vertical="center"/>
      <protection locked="0"/>
    </xf>
    <xf numFmtId="0" fontId="50" fillId="17" borderId="55" xfId="0" applyFont="1" applyFill="1" applyBorder="1" applyAlignment="1" applyProtection="1">
      <alignment horizontal="center" vertical="center"/>
      <protection locked="0"/>
    </xf>
    <xf numFmtId="0" fontId="50" fillId="17" borderId="31" xfId="0" applyFont="1" applyFill="1" applyBorder="1" applyAlignment="1" applyProtection="1">
      <alignment horizontal="center" vertical="center"/>
      <protection locked="0"/>
    </xf>
    <xf numFmtId="0" fontId="50" fillId="17" borderId="30" xfId="0" applyFont="1" applyFill="1" applyBorder="1" applyAlignment="1" applyProtection="1">
      <alignment horizontal="center" vertical="center"/>
      <protection locked="0"/>
    </xf>
    <xf numFmtId="0" fontId="50" fillId="17" borderId="37" xfId="0" applyFont="1" applyFill="1" applyBorder="1" applyAlignment="1" applyProtection="1">
      <alignment horizontal="center" vertical="center"/>
      <protection locked="0"/>
    </xf>
    <xf numFmtId="0" fontId="51" fillId="17" borderId="71" xfId="0" applyFont="1" applyFill="1" applyBorder="1" applyAlignment="1" applyProtection="1">
      <alignment horizontal="center"/>
    </xf>
    <xf numFmtId="0" fontId="51" fillId="17" borderId="72" xfId="0" applyFont="1" applyFill="1" applyBorder="1" applyAlignment="1" applyProtection="1">
      <alignment horizontal="center"/>
    </xf>
    <xf numFmtId="0" fontId="45" fillId="17" borderId="60" xfId="0" applyFont="1" applyFill="1" applyBorder="1" applyAlignment="1" applyProtection="1">
      <alignment horizontal="center" wrapText="1"/>
    </xf>
    <xf numFmtId="0" fontId="45" fillId="17" borderId="61" xfId="0" applyFont="1" applyFill="1" applyBorder="1" applyAlignment="1" applyProtection="1">
      <alignment horizontal="center" wrapText="1"/>
    </xf>
    <xf numFmtId="0" fontId="45" fillId="17" borderId="62" xfId="0" applyFont="1" applyFill="1" applyBorder="1" applyAlignment="1" applyProtection="1">
      <alignment horizontal="center" wrapText="1"/>
    </xf>
    <xf numFmtId="0" fontId="0" fillId="0" borderId="33" xfId="0" applyBorder="1" applyAlignment="1">
      <alignment horizontal="center"/>
    </xf>
    <xf numFmtId="0" fontId="0" fillId="0" borderId="76" xfId="0" applyBorder="1" applyAlignment="1">
      <alignment horizontal="center"/>
    </xf>
    <xf numFmtId="0" fontId="46" fillId="0" borderId="0" xfId="0" applyFont="1" applyFill="1" applyBorder="1" applyAlignment="1" applyProtection="1">
      <alignment wrapText="1"/>
      <protection locked="0"/>
    </xf>
    <xf numFmtId="0" fontId="46" fillId="0" borderId="46" xfId="0" applyFont="1" applyFill="1" applyBorder="1" applyAlignment="1" applyProtection="1">
      <alignment wrapText="1"/>
      <protection locked="0"/>
    </xf>
    <xf numFmtId="0" fontId="46" fillId="0" borderId="0" xfId="0" applyFont="1" applyFill="1" applyBorder="1" applyAlignment="1">
      <alignment wrapText="1"/>
    </xf>
    <xf numFmtId="0" fontId="46" fillId="0" borderId="46" xfId="0" applyFont="1" applyFill="1" applyBorder="1" applyAlignment="1">
      <alignment wrapText="1"/>
    </xf>
    <xf numFmtId="0" fontId="46" fillId="0" borderId="0" xfId="0" applyFont="1" applyFill="1" applyBorder="1" applyAlignment="1" applyProtection="1">
      <alignment horizontal="left" indent="1"/>
      <protection locked="0"/>
    </xf>
    <xf numFmtId="0" fontId="46" fillId="0" borderId="46" xfId="0" applyFont="1" applyFill="1" applyBorder="1" applyAlignment="1" applyProtection="1">
      <alignment horizontal="left" indent="1"/>
      <protection locked="0"/>
    </xf>
    <xf numFmtId="49" fontId="46" fillId="0" borderId="0" xfId="0" applyNumberFormat="1" applyFont="1" applyFill="1" applyBorder="1" applyAlignment="1" applyProtection="1">
      <alignment horizontal="left" indent="1"/>
      <protection locked="0"/>
    </xf>
    <xf numFmtId="49" fontId="46" fillId="0" borderId="51" xfId="0" applyNumberFormat="1" applyFont="1" applyFill="1" applyBorder="1" applyAlignment="1" applyProtection="1">
      <alignment horizontal="left" indent="1"/>
      <protection locked="0"/>
    </xf>
    <xf numFmtId="0" fontId="46" fillId="0" borderId="51" xfId="0" applyFont="1" applyFill="1" applyBorder="1" applyAlignment="1" applyProtection="1">
      <alignment horizontal="left" indent="1"/>
      <protection locked="0"/>
    </xf>
    <xf numFmtId="0" fontId="46" fillId="0" borderId="52" xfId="0" applyFont="1" applyFill="1" applyBorder="1" applyAlignment="1" applyProtection="1">
      <alignment horizontal="left" indent="1"/>
      <protection locked="0"/>
    </xf>
    <xf numFmtId="0" fontId="46" fillId="0" borderId="51" xfId="0" applyFont="1" applyFill="1" applyBorder="1" applyAlignment="1" applyProtection="1">
      <alignment wrapText="1"/>
      <protection locked="0"/>
    </xf>
    <xf numFmtId="0" fontId="46" fillId="0" borderId="52" xfId="0" applyFont="1" applyFill="1" applyBorder="1" applyAlignment="1" applyProtection="1">
      <alignment wrapText="1"/>
      <protection locked="0"/>
    </xf>
    <xf numFmtId="168" fontId="54" fillId="16" borderId="73" xfId="10" applyNumberFormat="1" applyFont="1" applyFill="1" applyBorder="1" applyAlignment="1" applyProtection="1">
      <alignment horizontal="right"/>
    </xf>
    <xf numFmtId="168" fontId="54" fillId="16" borderId="74" xfId="10" applyNumberFormat="1" applyFont="1" applyFill="1" applyBorder="1" applyAlignment="1" applyProtection="1">
      <alignment horizontal="right"/>
    </xf>
    <xf numFmtId="168" fontId="54" fillId="16" borderId="75" xfId="10" applyNumberFormat="1" applyFont="1" applyFill="1" applyBorder="1" applyAlignment="1" applyProtection="1">
      <alignment horizontal="right"/>
    </xf>
    <xf numFmtId="0" fontId="52" fillId="17" borderId="73" xfId="0" applyFont="1" applyFill="1" applyBorder="1" applyAlignment="1" applyProtection="1">
      <alignment horizontal="right" wrapText="1"/>
      <protection locked="0"/>
    </xf>
    <xf numFmtId="0" fontId="9" fillId="17" borderId="74" xfId="0" applyFont="1" applyFill="1" applyBorder="1" applyAlignment="1" applyProtection="1">
      <alignment horizontal="right" wrapText="1"/>
      <protection locked="0"/>
    </xf>
    <xf numFmtId="0" fontId="9" fillId="17" borderId="75" xfId="0" applyFont="1" applyFill="1" applyBorder="1" applyAlignment="1" applyProtection="1">
      <alignment horizontal="right" wrapText="1"/>
      <protection locked="0"/>
    </xf>
    <xf numFmtId="0" fontId="48" fillId="16" borderId="73" xfId="0" applyFont="1" applyFill="1" applyBorder="1" applyAlignment="1" applyProtection="1">
      <alignment horizontal="right" wrapText="1"/>
      <protection locked="0"/>
    </xf>
    <xf numFmtId="0" fontId="53" fillId="16" borderId="74" xfId="0" applyFont="1" applyFill="1" applyBorder="1" applyAlignment="1" applyProtection="1">
      <alignment horizontal="right" wrapText="1"/>
      <protection locked="0"/>
    </xf>
    <xf numFmtId="0" fontId="53" fillId="16" borderId="75" xfId="0" applyFont="1" applyFill="1" applyBorder="1" applyAlignment="1" applyProtection="1">
      <alignment horizontal="right" wrapText="1"/>
      <protection locked="0"/>
    </xf>
    <xf numFmtId="44" fontId="41" fillId="16" borderId="73" xfId="0" applyNumberFormat="1" applyFont="1" applyFill="1" applyBorder="1" applyAlignment="1" applyProtection="1">
      <alignment wrapText="1"/>
    </xf>
    <xf numFmtId="44" fontId="0" fillId="16" borderId="74" xfId="0" applyNumberFormat="1" applyFill="1" applyBorder="1" applyAlignment="1">
      <alignment wrapText="1"/>
    </xf>
    <xf numFmtId="44" fontId="0" fillId="16" borderId="75" xfId="0" applyNumberFormat="1" applyFill="1" applyBorder="1" applyAlignment="1">
      <alignment wrapText="1"/>
    </xf>
  </cellXfs>
  <cellStyles count="11">
    <cellStyle name="20% - Énfasis4" xfId="8" builtinId="42"/>
    <cellStyle name="40% - Énfasis4" xfId="9" builtinId="43"/>
    <cellStyle name="Encabezado 1" xfId="1" builtinId="16"/>
    <cellStyle name="Énfasis1" xfId="2" builtinId="29"/>
    <cellStyle name="Énfasis4" xfId="7" builtinId="41"/>
    <cellStyle name="Euro" xfId="10" xr:uid="{B2E9F463-6406-4120-A953-50564265F10A}"/>
    <cellStyle name="Hipervínculo" xfId="5" builtinId="8"/>
    <cellStyle name="Moneda" xfId="3" builtinId="4"/>
    <cellStyle name="Normal" xfId="0" builtinId="0"/>
    <cellStyle name="Normal 2" xfId="4" xr:uid="{F87D061C-D1B6-4A10-AF30-6539832B353E}"/>
    <cellStyle name="Total" xfId="6" builtinId="25"/>
  </cellStyles>
  <dxfs count="4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#,##0.00\ &quot;€&quot;"/>
      <border diagonalUp="0" diagonalDown="0">
        <left style="thin">
          <color theme="0" tint="-0.499984740745262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#,##0.00\ &quot;€&quot;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theme="0" tint="-0.499984740745262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b/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FFFFFF"/>
        <name val="Calibri"/>
        <family val="2"/>
        <scheme val="minor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Franklin Gothic Medium"/>
        <scheme val="none"/>
      </font>
      <numFmt numFmtId="12" formatCode="#,##0.00\ &quot;€&quot;;[Red]\-#,##0.00\ &quot;€&quot;"/>
      <border diagonalUp="0" diagonalDown="0">
        <left style="thick">
          <color rgb="FFFFFFFF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Franklin Gothic Medium"/>
        <scheme val="none"/>
      </font>
      <fill>
        <patternFill patternType="solid">
          <fgColor rgb="FF000000"/>
          <bgColor rgb="FF335C30"/>
        </patternFill>
      </fill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ont>
        <color theme="0" tint="-0.14996795556505021"/>
      </font>
    </dxf>
  </dxfs>
  <tableStyles count="0" defaultTableStyle="TableStyleMedium2" defaultPivotStyle="PivotStyleMedium9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DA5D8-B94C-4316-8961-E94741199221}" name="Tabla3" displayName="Tabla3" ref="A4:I15" totalsRowShown="0" headerRowDxfId="47">
  <autoFilter ref="A4:I15" xr:uid="{5B92281B-5503-4AA8-8DD7-7006AE8801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6B3D0B7-A3C3-4F1E-B5D8-34F11A1936CE}" name="Modelo" dataDxfId="46"/>
    <tableColumn id="2" xr3:uid="{79D56F63-907C-4455-BA01-42FA1B22751B}" name="Marca" dataDxfId="45"/>
    <tableColumn id="3" xr3:uid="{E28AA033-A1CB-4100-A4C8-80DCA69137C7}" name="Descripción" dataCellStyle="Normal"/>
    <tableColumn id="4" xr3:uid="{E4B3E6B0-6A00-4889-8ECB-A4EC5FBD28CB}" name="Código" dataCellStyle="Normal"/>
    <tableColumn id="5" xr3:uid="{B13D5A85-81D9-4CE0-A06D-2F9A5178C9A4}" name="CANT." dataCellStyle="Normal"/>
    <tableColumn id="6" xr3:uid="{8D89B0CD-DB4D-41D6-BAA8-E858A6CBCB69}" name="UNID MIN." dataCellStyle="Normal"/>
    <tableColumn id="9" xr3:uid="{66031594-EABE-47B7-A611-EB3E5CD83F8C}" name="Unidades Descuento"/>
    <tableColumn id="7" xr3:uid="{84E04C1E-BB26-4E2B-90B6-5B408C1A7989}" name="COSTE CON IVA" dataCellStyle="Normal"/>
    <tableColumn id="8" xr3:uid="{36ED2C89-D1E6-46D5-ADFE-D7124B9E6607}" name="COSTE SIN IVA" data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FD8CC-FCFF-46EF-A5A8-A4420D61ED3A}" name="Tabla1" displayName="Tabla1" ref="D16:L32" totalsRowShown="0" headerRowDxfId="29" dataDxfId="28" headerRowCellStyle="Encabezado 1" dataCellStyle="Encabezado 1">
  <autoFilter ref="D16:L32" xr:uid="{AFCD371B-2377-427E-AC1B-85925A081C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539B031-F221-4667-955F-5F99CB80D3B7}" name="Marca" dataDxfId="27" dataCellStyle="Encabezado 1">
      <calculatedColumnFormula>VLOOKUP(E17,Oferta!$A$4:$H$15,2,FALSE)</calculatedColumnFormula>
    </tableColumn>
    <tableColumn id="2" xr3:uid="{E02C0FA0-12BA-4216-9538-AD905F71B9EE}" name="Modelo" dataDxfId="26" dataCellStyle="Encabezado 1"/>
    <tableColumn id="3" xr3:uid="{FC634AB1-8668-4600-9BE0-5814E8EBA691}" name="Precio Por Unidad Con IVA" dataDxfId="25" dataCellStyle="Encabezado 1">
      <calculatedColumnFormula>VLOOKUP(E17,Oferta!$A$4:$H$15,8,FALSE)</calculatedColumnFormula>
    </tableColumn>
    <tableColumn id="6" xr3:uid="{2FF25E12-E3E9-4F42-A79B-1FF0609F8263}" name="Cantidad Pedida" dataDxfId="24" dataCellStyle="Encabezado 1"/>
    <tableColumn id="4" xr3:uid="{B3236BBC-A4D4-448E-84CD-EF83573362F8}" name="Cantidad Total" dataDxfId="23" dataCellStyle="Encabezado 1">
      <calculatedColumnFormula>VLOOKUP($E17,Oferta!$A$4:$H$15,5,FALSE)</calculatedColumnFormula>
    </tableColumn>
    <tableColumn id="7" xr3:uid="{42F14ED1-8D9B-41CE-999A-498BD4AFC75F}" name="Subtotal" dataDxfId="22" dataCellStyle="Encabezado 1">
      <calculatedColumnFormula>IF($G17 &lt;= $H17,$G17*$F17,"No hay en el Inventario")</calculatedColumnFormula>
    </tableColumn>
    <tableColumn id="8" xr3:uid="{84FA42C1-D4E5-455E-9A5E-4775CB1D5E1C}" name="Descuento" dataDxfId="21" dataCellStyle="Encabezado 1">
      <calculatedColumnFormula>VLOOKUP($E17,$N$9:$Q$19,4,FALSE)</calculatedColumnFormula>
    </tableColumn>
    <tableColumn id="9" xr3:uid="{313D95B1-3468-4FD9-8D43-44460619AC2D}" name="Unidades Descuento" dataDxfId="20" dataCellStyle="Encabezado 1">
      <calculatedColumnFormula>VLOOKUP($E17,$N$9:$Q$19,3,FALSE)</calculatedColumnFormula>
    </tableColumn>
    <tableColumn id="5" xr3:uid="{32CDB0FF-7A74-4D1F-B5A5-16B4E17C63F2}" name="Precio con Descuento" dataDxfId="19" dataCellStyle="Encabezado 1">
      <calculatedColumnFormula>IF($G17 &lt;= $H17,IF($G17 &gt; $K17,$F17*(1-$J17)*$G17,$F17*$G17),"No hay en el Inventario")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7909B-1102-48F2-8F4B-A6A2472F7936}" name="Tabla2" displayName="Tabla2" ref="A17:F24" totalsRowShown="0" headerRowDxfId="14" headerRowBorderDxfId="13" tableBorderDxfId="12">
  <autoFilter ref="A17:F24" xr:uid="{ADDEA20A-68F2-440D-87B0-72B3249CA1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ADA4B41-F248-45CB-889F-34FE3F388A16}" name="Pos." dataDxfId="11"/>
    <tableColumn id="2" xr3:uid="{C5FD1848-E6F2-4B12-8A27-412B9E254646}" name="Concepto/descripción" dataDxfId="10">
      <calculatedColumnFormula>Pedido!$D17</calculatedColumnFormula>
    </tableColumn>
    <tableColumn id="3" xr3:uid="{7CCB0CE7-8542-42D9-96D9-164AA4B2949A}" name="Modelo" dataDxfId="9"/>
    <tableColumn id="4" xr3:uid="{E42B5D45-A77A-47A6-87F0-2CAA5A730D3E}" name="Unidades" dataDxfId="8">
      <calculatedColumnFormula>Pedido!$G17</calculatedColumnFormula>
    </tableColumn>
    <tableColumn id="5" xr3:uid="{98969030-BF5E-44C3-B73C-AD1D648BD796}" name="Precio un." dataDxfId="7"/>
    <tableColumn id="6" xr3:uid="{4877C910-B109-416E-87F7-10D18DABFBA8}" name="Importe" dataDxfId="6">
      <calculatedColumnFormula>Pedido!I17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95BC-4AF6-4D7E-AEFF-EF35CF99AF55}">
  <sheetPr codeName="Hoja1"/>
  <dimension ref="A1:I18"/>
  <sheetViews>
    <sheetView tabSelected="1" topLeftCell="A2" zoomScaleNormal="100" workbookViewId="0">
      <selection activeCell="J12" sqref="J12"/>
    </sheetView>
  </sheetViews>
  <sheetFormatPr baseColWidth="10" defaultColWidth="11.44140625" defaultRowHeight="14.4" x14ac:dyDescent="0.3"/>
  <cols>
    <col min="1" max="1" width="32.109375" customWidth="1"/>
    <col min="2" max="2" width="10.109375" bestFit="1" customWidth="1"/>
    <col min="3" max="3" width="42.44140625" customWidth="1"/>
    <col min="4" max="4" width="11" bestFit="1" customWidth="1"/>
    <col min="5" max="5" width="8" customWidth="1"/>
    <col min="6" max="6" width="6.44140625" hidden="1" customWidth="1"/>
    <col min="7" max="7" width="8.5546875" customWidth="1"/>
    <col min="8" max="8" width="10.5546875" customWidth="1"/>
    <col min="9" max="9" width="15.109375" bestFit="1" customWidth="1"/>
  </cols>
  <sheetData>
    <row r="1" spans="1:9" ht="33.6" hidden="1" customHeight="1" x14ac:dyDescent="0.65">
      <c r="A1" s="128" t="s">
        <v>0</v>
      </c>
      <c r="B1" s="128"/>
      <c r="C1" s="128"/>
      <c r="D1" s="43"/>
    </row>
    <row r="2" spans="1:9" ht="15" x14ac:dyDescent="0.35">
      <c r="A2" s="61" t="s">
        <v>1</v>
      </c>
      <c r="B2" s="129"/>
      <c r="C2" s="129"/>
      <c r="D2" s="129"/>
      <c r="E2" s="129"/>
      <c r="F2" s="129"/>
      <c r="G2" s="129"/>
      <c r="H2" s="129"/>
      <c r="I2" s="129"/>
    </row>
    <row r="3" spans="1:9" ht="21.6" x14ac:dyDescent="0.45">
      <c r="A3" s="60">
        <f>SUM(E5:E14)</f>
        <v>251</v>
      </c>
      <c r="B3" s="129"/>
      <c r="C3" s="129"/>
      <c r="D3" s="129"/>
      <c r="E3" s="129"/>
      <c r="F3" s="129"/>
      <c r="G3" s="129"/>
      <c r="H3" s="129"/>
      <c r="I3" s="129"/>
    </row>
    <row r="4" spans="1:9" ht="15" x14ac:dyDescent="0.35">
      <c r="A4" s="3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6" t="s">
        <v>7</v>
      </c>
      <c r="G4" s="6" t="s">
        <v>8</v>
      </c>
      <c r="H4" s="3" t="s">
        <v>9</v>
      </c>
      <c r="I4" s="4" t="s">
        <v>10</v>
      </c>
    </row>
    <row r="5" spans="1:9" ht="15" x14ac:dyDescent="0.35">
      <c r="A5" s="1" t="s">
        <v>11</v>
      </c>
      <c r="B5" s="5" t="s">
        <v>12</v>
      </c>
      <c r="C5" s="1" t="s">
        <v>13</v>
      </c>
      <c r="D5" s="1" t="s">
        <v>14</v>
      </c>
      <c r="E5" s="1">
        <v>20</v>
      </c>
      <c r="F5" s="1">
        <v>1</v>
      </c>
      <c r="G5" s="1">
        <v>5</v>
      </c>
      <c r="H5" s="59">
        <v>679</v>
      </c>
      <c r="I5" s="71">
        <f>$H5*(1-Factura!$H$31)</f>
        <v>536.41</v>
      </c>
    </row>
    <row r="6" spans="1:9" ht="15" x14ac:dyDescent="0.35">
      <c r="A6" s="1" t="s">
        <v>15</v>
      </c>
      <c r="B6" s="5" t="s">
        <v>16</v>
      </c>
      <c r="C6" s="1" t="s">
        <v>17</v>
      </c>
      <c r="D6" s="1" t="s">
        <v>18</v>
      </c>
      <c r="E6" s="1">
        <v>30</v>
      </c>
      <c r="F6" s="1">
        <v>1</v>
      </c>
      <c r="G6" s="1">
        <v>7</v>
      </c>
      <c r="H6" s="59">
        <v>699</v>
      </c>
      <c r="I6" s="71">
        <f>$H6*(1-Factura!$H$31)</f>
        <v>552.21</v>
      </c>
    </row>
    <row r="7" spans="1:9" ht="15" x14ac:dyDescent="0.35">
      <c r="A7" s="1" t="s">
        <v>19</v>
      </c>
      <c r="B7" s="5" t="s">
        <v>20</v>
      </c>
      <c r="C7" s="1" t="s">
        <v>21</v>
      </c>
      <c r="D7" s="1" t="s">
        <v>22</v>
      </c>
      <c r="E7" s="1">
        <v>10</v>
      </c>
      <c r="F7" s="1">
        <v>1</v>
      </c>
      <c r="G7" s="1">
        <v>5</v>
      </c>
      <c r="H7" s="59">
        <v>961.71</v>
      </c>
      <c r="I7" s="71">
        <f>$H7*(1-Factura!$H$31)</f>
        <v>759.75090000000012</v>
      </c>
    </row>
    <row r="8" spans="1:9" ht="15" x14ac:dyDescent="0.35">
      <c r="A8" s="1" t="s">
        <v>23</v>
      </c>
      <c r="B8" s="5" t="s">
        <v>24</v>
      </c>
      <c r="C8" s="1" t="s">
        <v>25</v>
      </c>
      <c r="D8" s="1" t="s">
        <v>26</v>
      </c>
      <c r="E8" s="1">
        <v>40</v>
      </c>
      <c r="F8" s="1">
        <v>1</v>
      </c>
      <c r="G8" s="1">
        <v>15</v>
      </c>
      <c r="H8" s="59">
        <v>588.82000000000005</v>
      </c>
      <c r="I8" s="71">
        <f>$H8*(1-Factura!$H$31)</f>
        <v>465.16780000000006</v>
      </c>
    </row>
    <row r="9" spans="1:9" ht="15" x14ac:dyDescent="0.35">
      <c r="A9" s="1" t="s">
        <v>27</v>
      </c>
      <c r="B9" s="5" t="s">
        <v>24</v>
      </c>
      <c r="C9" s="1" t="s">
        <v>28</v>
      </c>
      <c r="D9" s="1" t="s">
        <v>29</v>
      </c>
      <c r="E9" s="1">
        <v>12</v>
      </c>
      <c r="F9" s="1">
        <v>1</v>
      </c>
      <c r="G9" s="1">
        <v>5</v>
      </c>
      <c r="H9" s="59">
        <v>879.59</v>
      </c>
      <c r="I9" s="71">
        <f>$H9*(1-Factura!$H$31)</f>
        <v>694.87610000000006</v>
      </c>
    </row>
    <row r="10" spans="1:9" ht="15" x14ac:dyDescent="0.35">
      <c r="A10" s="1" t="s">
        <v>30</v>
      </c>
      <c r="B10" s="5" t="s">
        <v>12</v>
      </c>
      <c r="C10" s="1" t="s">
        <v>31</v>
      </c>
      <c r="D10" s="1" t="s">
        <v>32</v>
      </c>
      <c r="E10" s="1">
        <v>35</v>
      </c>
      <c r="F10" s="1">
        <v>1</v>
      </c>
      <c r="G10" s="1">
        <v>7</v>
      </c>
      <c r="H10" s="59">
        <v>799</v>
      </c>
      <c r="I10" s="71">
        <f>$H10*(1-Factura!$H$31)</f>
        <v>631.21</v>
      </c>
    </row>
    <row r="11" spans="1:9" ht="15" x14ac:dyDescent="0.35">
      <c r="A11" s="1" t="s">
        <v>33</v>
      </c>
      <c r="B11" s="5" t="s">
        <v>12</v>
      </c>
      <c r="C11" s="1" t="s">
        <v>34</v>
      </c>
      <c r="D11" s="1" t="s">
        <v>35</v>
      </c>
      <c r="E11" s="1">
        <v>28</v>
      </c>
      <c r="F11" s="1">
        <v>1</v>
      </c>
      <c r="G11" s="1">
        <v>6</v>
      </c>
      <c r="H11" s="59">
        <v>999</v>
      </c>
      <c r="I11" s="71">
        <f>$H11*(1-Factura!$H$31)</f>
        <v>789.21</v>
      </c>
    </row>
    <row r="12" spans="1:9" ht="15" x14ac:dyDescent="0.35">
      <c r="A12" s="1" t="s">
        <v>36</v>
      </c>
      <c r="B12" s="5" t="s">
        <v>20</v>
      </c>
      <c r="C12" s="1" t="s">
        <v>37</v>
      </c>
      <c r="D12" s="1" t="s">
        <v>38</v>
      </c>
      <c r="E12" s="1">
        <v>19</v>
      </c>
      <c r="F12" s="1">
        <v>1</v>
      </c>
      <c r="G12" s="1">
        <v>5</v>
      </c>
      <c r="H12" s="59">
        <v>898</v>
      </c>
      <c r="I12" s="71">
        <f>$H12*(1-Factura!$H$31)</f>
        <v>709.42000000000007</v>
      </c>
    </row>
    <row r="13" spans="1:9" ht="15" x14ac:dyDescent="0.35">
      <c r="A13" s="1" t="s">
        <v>39</v>
      </c>
      <c r="B13" s="5" t="s">
        <v>24</v>
      </c>
      <c r="C13" s="1" t="s">
        <v>40</v>
      </c>
      <c r="D13" s="1" t="s">
        <v>41</v>
      </c>
      <c r="E13" s="1">
        <v>20</v>
      </c>
      <c r="F13" s="1">
        <v>1</v>
      </c>
      <c r="G13" s="1">
        <v>5</v>
      </c>
      <c r="H13" s="59">
        <v>898.99</v>
      </c>
      <c r="I13" s="71">
        <f>$H13*(1-Factura!$H$31)</f>
        <v>710.20210000000009</v>
      </c>
    </row>
    <row r="14" spans="1:9" ht="15" x14ac:dyDescent="0.35">
      <c r="A14" s="1" t="s">
        <v>42</v>
      </c>
      <c r="B14" s="5" t="s">
        <v>20</v>
      </c>
      <c r="C14" s="1" t="s">
        <v>43</v>
      </c>
      <c r="D14" s="1" t="s">
        <v>44</v>
      </c>
      <c r="E14" s="1">
        <v>37</v>
      </c>
      <c r="F14" s="1">
        <v>1</v>
      </c>
      <c r="G14" s="1">
        <v>16</v>
      </c>
      <c r="H14" s="59">
        <v>999</v>
      </c>
      <c r="I14" s="71">
        <f>$H14*(1-Factura!$H$31)</f>
        <v>789.21</v>
      </c>
    </row>
    <row r="15" spans="1:9" ht="15" x14ac:dyDescent="0.35">
      <c r="A15" s="7" t="s">
        <v>45</v>
      </c>
      <c r="B15" s="7" t="s">
        <v>45</v>
      </c>
      <c r="C15" s="11" t="s">
        <v>45</v>
      </c>
      <c r="D15" s="11" t="s">
        <v>45</v>
      </c>
      <c r="E15" s="11" t="s">
        <v>45</v>
      </c>
      <c r="F15" s="11" t="s">
        <v>45</v>
      </c>
      <c r="G15" s="11"/>
      <c r="H15" s="11" t="s">
        <v>45</v>
      </c>
      <c r="I15" s="7" t="s">
        <v>45</v>
      </c>
    </row>
    <row r="17" spans="8:9" x14ac:dyDescent="0.3">
      <c r="H17" s="72"/>
      <c r="I17" s="73"/>
    </row>
    <row r="18" spans="8:9" x14ac:dyDescent="0.3">
      <c r="H18" s="72"/>
    </row>
  </sheetData>
  <mergeCells count="2">
    <mergeCell ref="A1:C1"/>
    <mergeCell ref="B2:I3"/>
  </mergeCells>
  <conditionalFormatting sqref="A15:I15">
    <cfRule type="containsText" dxfId="48" priority="1" operator="containsText" text="Vacio">
      <formula>NOT(ISERROR(SEARCH("Vacio",A15)))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7700-7D50-4A24-B4A0-859E99507C6D}">
  <dimension ref="C1:S37"/>
  <sheetViews>
    <sheetView topLeftCell="B15" zoomScale="92" zoomScaleNormal="112" workbookViewId="0">
      <selection activeCell="F35" sqref="F35"/>
    </sheetView>
  </sheetViews>
  <sheetFormatPr baseColWidth="10" defaultColWidth="11.44140625" defaultRowHeight="14.4" x14ac:dyDescent="0.3"/>
  <cols>
    <col min="5" max="5" width="33.44140625" bestFit="1" customWidth="1"/>
    <col min="6" max="6" width="30.6640625" customWidth="1"/>
    <col min="7" max="7" width="21.33203125" customWidth="1"/>
    <col min="8" max="11" width="18" customWidth="1"/>
    <col min="12" max="12" width="26.109375" bestFit="1" customWidth="1"/>
    <col min="14" max="14" width="34.5546875" bestFit="1" customWidth="1"/>
    <col min="16" max="16" width="19.33203125" bestFit="1" customWidth="1"/>
    <col min="17" max="17" width="13.6640625" bestFit="1" customWidth="1"/>
    <col min="19" max="19" width="33.5546875" bestFit="1" customWidth="1"/>
  </cols>
  <sheetData>
    <row r="1" spans="3:17" x14ac:dyDescent="0.3"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3:17" ht="21" x14ac:dyDescent="0.4">
      <c r="C2" s="131" t="s">
        <v>46</v>
      </c>
      <c r="D2" s="131"/>
      <c r="E2" s="131"/>
      <c r="F2" s="131"/>
      <c r="G2" s="131"/>
      <c r="H2" s="131"/>
      <c r="I2" s="131"/>
      <c r="J2" s="131"/>
      <c r="K2" s="131"/>
      <c r="L2" s="131"/>
    </row>
    <row r="3" spans="3:17" x14ac:dyDescent="0.3">
      <c r="C3" s="18"/>
      <c r="D3" s="19"/>
      <c r="E3" s="18"/>
      <c r="F3" s="18"/>
      <c r="G3" s="18"/>
      <c r="H3" s="18"/>
      <c r="I3" s="18"/>
      <c r="J3" s="18"/>
      <c r="K3" s="18"/>
      <c r="L3" s="18"/>
    </row>
    <row r="4" spans="3:17" ht="18" x14ac:dyDescent="0.35">
      <c r="C4" s="18"/>
      <c r="D4" s="92" t="s">
        <v>50</v>
      </c>
      <c r="E4" s="132" t="s">
        <v>62</v>
      </c>
      <c r="F4" s="132"/>
      <c r="G4" s="132"/>
      <c r="H4" s="132"/>
      <c r="I4" s="44"/>
      <c r="J4" s="44"/>
      <c r="K4" s="44"/>
      <c r="L4" s="18"/>
    </row>
    <row r="5" spans="3:17" ht="18" x14ac:dyDescent="0.35">
      <c r="C5" s="18"/>
      <c r="D5" s="92" t="s">
        <v>51</v>
      </c>
      <c r="E5" s="132" t="s">
        <v>52</v>
      </c>
      <c r="F5" s="132"/>
      <c r="G5" s="132"/>
      <c r="H5" s="132"/>
      <c r="I5" s="44"/>
      <c r="J5" s="44"/>
      <c r="K5" s="44"/>
      <c r="L5" s="18"/>
    </row>
    <row r="6" spans="3:17" ht="18" x14ac:dyDescent="0.35">
      <c r="C6" s="18"/>
      <c r="D6" s="93"/>
      <c r="E6" s="94"/>
      <c r="F6" s="94"/>
      <c r="G6" s="94"/>
      <c r="H6" s="95"/>
      <c r="I6" s="18"/>
      <c r="J6" s="18"/>
      <c r="K6" s="18"/>
      <c r="L6" s="18"/>
    </row>
    <row r="7" spans="3:17" ht="18" x14ac:dyDescent="0.35">
      <c r="C7" s="18"/>
      <c r="D7" s="92" t="s">
        <v>53</v>
      </c>
      <c r="E7" s="132" t="s">
        <v>54</v>
      </c>
      <c r="F7" s="132"/>
      <c r="G7" s="132"/>
      <c r="H7" s="132"/>
      <c r="I7" s="44"/>
      <c r="J7" s="44"/>
      <c r="K7" s="44"/>
      <c r="L7" s="18"/>
    </row>
    <row r="8" spans="3:17" ht="23.4" x14ac:dyDescent="0.45">
      <c r="C8" s="18"/>
      <c r="D8" s="18"/>
      <c r="E8" s="18"/>
      <c r="F8" s="18"/>
      <c r="G8" s="18"/>
      <c r="H8" s="18"/>
      <c r="I8" s="18"/>
      <c r="J8" s="18"/>
      <c r="K8" s="18"/>
      <c r="L8" s="18"/>
      <c r="N8" s="130" t="s">
        <v>47</v>
      </c>
      <c r="O8" s="130"/>
      <c r="P8" s="130"/>
      <c r="Q8" s="130"/>
    </row>
    <row r="9" spans="3:17" ht="20.399999999999999" thickBot="1" x14ac:dyDescent="0.45">
      <c r="C9" s="18"/>
      <c r="D9" s="18"/>
      <c r="E9" s="18"/>
      <c r="F9" s="18"/>
      <c r="G9" s="18"/>
      <c r="H9" s="18"/>
      <c r="I9" s="18"/>
      <c r="J9" s="18"/>
      <c r="K9" s="18"/>
      <c r="L9" s="18"/>
      <c r="N9" s="85" t="s">
        <v>2</v>
      </c>
      <c r="O9" s="85" t="s">
        <v>48</v>
      </c>
      <c r="P9" s="85" t="s">
        <v>8</v>
      </c>
      <c r="Q9" s="85" t="s">
        <v>49</v>
      </c>
    </row>
    <row r="10" spans="3:17" ht="21" thickTop="1" thickBot="1" x14ac:dyDescent="0.45">
      <c r="C10" s="18"/>
      <c r="D10" s="18"/>
      <c r="E10" s="18"/>
      <c r="F10" s="18"/>
      <c r="G10" s="18"/>
      <c r="H10" s="18"/>
      <c r="I10" s="18"/>
      <c r="J10" s="18"/>
      <c r="K10" s="18"/>
      <c r="L10" s="18"/>
      <c r="N10" s="86" t="str">
        <f>Oferta!$A5</f>
        <v>ZenBook UX410UA-GV036T</v>
      </c>
      <c r="O10" s="86">
        <f>Oferta!$E5</f>
        <v>20</v>
      </c>
      <c r="P10" s="86">
        <f>Oferta!G5</f>
        <v>5</v>
      </c>
      <c r="Q10" s="87">
        <v>7.0000000000000007E-2</v>
      </c>
    </row>
    <row r="11" spans="3:17" ht="21" thickTop="1" thickBot="1" x14ac:dyDescent="0.45">
      <c r="C11" s="18"/>
      <c r="D11" s="18"/>
      <c r="E11" s="18"/>
      <c r="F11" s="18"/>
      <c r="G11" s="18"/>
      <c r="H11" s="18"/>
      <c r="I11" s="18"/>
      <c r="J11" s="18"/>
      <c r="K11" s="18"/>
      <c r="L11" s="18"/>
      <c r="N11" s="88" t="str">
        <f>Oferta!$A6</f>
        <v>15-DA1071NS</v>
      </c>
      <c r="O11" s="89">
        <f>Oferta!$E6</f>
        <v>30</v>
      </c>
      <c r="P11" s="89">
        <f>Oferta!G6</f>
        <v>7</v>
      </c>
      <c r="Q11" s="90">
        <v>0.05</v>
      </c>
    </row>
    <row r="12" spans="3:17" ht="21" thickTop="1" thickBot="1" x14ac:dyDescent="0.45">
      <c r="C12" s="18"/>
      <c r="D12" s="18"/>
      <c r="E12" s="18"/>
      <c r="F12" s="18"/>
      <c r="G12" s="18"/>
      <c r="H12" s="18"/>
      <c r="I12" s="18"/>
      <c r="J12" s="18"/>
      <c r="K12" s="18"/>
      <c r="L12" s="18"/>
      <c r="N12" s="86" t="str">
        <f>Oferta!$A7</f>
        <v>GF63Thin 9SC-047XES</v>
      </c>
      <c r="O12" s="86">
        <f>Oferta!$E7</f>
        <v>10</v>
      </c>
      <c r="P12" s="86">
        <f>Oferta!G7</f>
        <v>5</v>
      </c>
      <c r="Q12" s="87">
        <v>0.08</v>
      </c>
    </row>
    <row r="13" spans="3:17" ht="21" thickTop="1" thickBot="1" x14ac:dyDescent="0.45">
      <c r="C13" s="18"/>
      <c r="D13" s="18"/>
      <c r="E13" s="18"/>
      <c r="F13" s="18"/>
      <c r="G13" s="18"/>
      <c r="H13" s="18"/>
      <c r="I13" s="18"/>
      <c r="J13" s="18"/>
      <c r="K13" s="18"/>
      <c r="L13" s="18"/>
      <c r="N13" s="88" t="str">
        <f>Oferta!$A8</f>
        <v>Inspiron 15 5000</v>
      </c>
      <c r="O13" s="91">
        <f>Oferta!$E8</f>
        <v>40</v>
      </c>
      <c r="P13" s="91">
        <f>Oferta!G8</f>
        <v>15</v>
      </c>
      <c r="Q13" s="90">
        <v>0.1</v>
      </c>
    </row>
    <row r="14" spans="3:17" ht="21" thickTop="1" thickBot="1" x14ac:dyDescent="0.45">
      <c r="C14" s="18"/>
      <c r="D14" s="18"/>
      <c r="E14" s="18"/>
      <c r="F14" s="18"/>
      <c r="G14" s="18"/>
      <c r="H14" s="18"/>
      <c r="I14" s="18"/>
      <c r="J14" s="18"/>
      <c r="K14" s="18"/>
      <c r="L14" s="18"/>
      <c r="N14" s="86" t="str">
        <f>Oferta!$A9</f>
        <v>Inspiron 5584</v>
      </c>
      <c r="O14" s="86">
        <f>Oferta!$E9</f>
        <v>12</v>
      </c>
      <c r="P14" s="86">
        <f>Oferta!G9</f>
        <v>5</v>
      </c>
      <c r="Q14" s="87">
        <v>0.03</v>
      </c>
    </row>
    <row r="15" spans="3:17" ht="21" thickTop="1" thickBot="1" x14ac:dyDescent="0.45">
      <c r="C15" s="18"/>
      <c r="D15" s="18"/>
      <c r="E15" s="18"/>
      <c r="F15" s="18"/>
      <c r="G15" s="18"/>
      <c r="H15" s="18"/>
      <c r="I15" s="18"/>
      <c r="J15" s="18"/>
      <c r="K15" s="18"/>
      <c r="L15" s="18"/>
      <c r="N15" s="88" t="str">
        <f>Oferta!$A10</f>
        <v>X560UD-EJ362T</v>
      </c>
      <c r="O15" s="89">
        <f>Oferta!$E10</f>
        <v>35</v>
      </c>
      <c r="P15" s="89">
        <f>Oferta!G10</f>
        <v>7</v>
      </c>
      <c r="Q15" s="90">
        <v>0.1</v>
      </c>
    </row>
    <row r="16" spans="3:17" ht="21" thickTop="1" thickBot="1" x14ac:dyDescent="0.45">
      <c r="C16" s="20" t="s">
        <v>5</v>
      </c>
      <c r="D16" s="21" t="s">
        <v>3</v>
      </c>
      <c r="E16" s="22" t="s">
        <v>2</v>
      </c>
      <c r="F16" s="21" t="s">
        <v>84</v>
      </c>
      <c r="G16" s="21" t="s">
        <v>55</v>
      </c>
      <c r="H16" s="21" t="s">
        <v>56</v>
      </c>
      <c r="I16" s="21" t="s">
        <v>57</v>
      </c>
      <c r="J16" s="21" t="s">
        <v>49</v>
      </c>
      <c r="K16" s="21" t="s">
        <v>8</v>
      </c>
      <c r="L16" s="78" t="s">
        <v>87</v>
      </c>
      <c r="N16" s="86" t="str">
        <f>Oferta!$A11</f>
        <v>Asus VivoBook Pro 15 N580GD-E4154T</v>
      </c>
      <c r="O16" s="86">
        <f>Oferta!$E11</f>
        <v>28</v>
      </c>
      <c r="P16" s="86">
        <f>Oferta!G11</f>
        <v>6</v>
      </c>
      <c r="Q16" s="87">
        <v>0.08</v>
      </c>
    </row>
    <row r="17" spans="3:19" ht="21" thickTop="1" thickBot="1" x14ac:dyDescent="0.45">
      <c r="C17" s="12" t="str">
        <f>VLOOKUP(Tabla1[[#This Row],[Modelo]],Tabla3[[#All],[Modelo]:[COSTE CON IVA]],4,FALSE)</f>
        <v>A556</v>
      </c>
      <c r="D17" s="8" t="str">
        <f>VLOOKUP(E17,Oferta!A4:H15,2,FALSE)</f>
        <v>Asus</v>
      </c>
      <c r="E17" s="8" t="s">
        <v>33</v>
      </c>
      <c r="F17" s="10">
        <f>VLOOKUP(E17,Oferta!$A$4:$H$15,8,FALSE)</f>
        <v>999</v>
      </c>
      <c r="G17" s="42">
        <v>25</v>
      </c>
      <c r="H17" s="8">
        <f>VLOOKUP($E17,Oferta!$A$4:$H$15,5,FALSE)</f>
        <v>28</v>
      </c>
      <c r="I17" s="15">
        <f t="shared" ref="I17:I32" si="0">IF($G17 &lt;= $H17,$G17*$F17,"No hay en el Inventario")</f>
        <v>24975</v>
      </c>
      <c r="J17" s="79">
        <f t="shared" ref="J17:J32" si="1">VLOOKUP($E17,$N$9:$Q$19,4,FALSE)</f>
        <v>0.08</v>
      </c>
      <c r="K17" s="83">
        <f t="shared" ref="K17:K32" si="2">VLOOKUP($E17,$N$9:$Q$19,3,FALSE)</f>
        <v>6</v>
      </c>
      <c r="L17" s="15">
        <f>IF($G17 &lt;= $H17,IF($G17 &gt; $K17,$F17*(1-$J17)*$G17,$F17*$G17),"No hay en el Inventario")</f>
        <v>22977</v>
      </c>
      <c r="N17" s="88" t="str">
        <f>Oferta!$A12</f>
        <v>PE62 8RC-009XES</v>
      </c>
      <c r="O17" s="89">
        <f>Oferta!$E12</f>
        <v>19</v>
      </c>
      <c r="P17" s="89">
        <f>Oferta!G12</f>
        <v>5</v>
      </c>
      <c r="Q17" s="90">
        <v>7.0000000000000007E-2</v>
      </c>
      <c r="S17" s="1"/>
    </row>
    <row r="18" spans="3:19" ht="21" thickTop="1" thickBot="1" x14ac:dyDescent="0.45">
      <c r="C18" s="13" t="str">
        <f>VLOOKUP(Tabla1[[#This Row],[Modelo]],Tabla3[[#All],[Modelo]:[COSTE CON IVA]],4,FALSE)</f>
        <v>A959</v>
      </c>
      <c r="D18" s="8" t="str">
        <f>VLOOKUP($E18,Oferta!A4:H15,2,FALSE)</f>
        <v>Asus</v>
      </c>
      <c r="E18" s="8" t="s">
        <v>30</v>
      </c>
      <c r="F18" s="10">
        <f>VLOOKUP(E18,Oferta!$A$4:$H$15,8,FALSE)</f>
        <v>799</v>
      </c>
      <c r="G18" s="42">
        <v>34</v>
      </c>
      <c r="H18" s="8">
        <f>VLOOKUP($E18,Oferta!$A$4:$H$15,5,FALSE)</f>
        <v>35</v>
      </c>
      <c r="I18" s="9">
        <f t="shared" si="0"/>
        <v>27166</v>
      </c>
      <c r="J18" s="80">
        <f t="shared" si="1"/>
        <v>0.1</v>
      </c>
      <c r="K18" s="84">
        <f t="shared" si="2"/>
        <v>7</v>
      </c>
      <c r="L18" s="9">
        <f t="shared" ref="L18:L32" si="3">IF($G18 &lt;= $H18,IF($G18 &gt; $K18,$F18*(1-$J18)*$G18,$F18*$G18),"No hay en el Inventario")</f>
        <v>24449.4</v>
      </c>
      <c r="N18" s="86" t="str">
        <f>Oferta!$A13</f>
        <v>Nuevo Inspiron 15 5000</v>
      </c>
      <c r="O18" s="86">
        <f>Oferta!$E13</f>
        <v>20</v>
      </c>
      <c r="P18" s="86">
        <f>Oferta!G13</f>
        <v>5</v>
      </c>
      <c r="Q18" s="87">
        <v>7.0000000000000007E-2</v>
      </c>
      <c r="S18" s="1"/>
    </row>
    <row r="19" spans="3:19" ht="21" thickTop="1" thickBot="1" x14ac:dyDescent="0.45">
      <c r="C19" s="12" t="str">
        <f>VLOOKUP(Tabla1[[#This Row],[Modelo]],Tabla3[[#All],[Modelo]:[COSTE CON IVA]],4,FALSE)</f>
        <v>D845</v>
      </c>
      <c r="D19" s="8" t="str">
        <f>VLOOKUP($E19,Oferta!A4:H15,2,FALSE)</f>
        <v>Dell</v>
      </c>
      <c r="E19" s="8" t="s">
        <v>27</v>
      </c>
      <c r="F19" s="10">
        <f>VLOOKUP(E19,Oferta!$A$4:$H$15,8,FALSE)</f>
        <v>879.59</v>
      </c>
      <c r="G19" s="42">
        <v>5</v>
      </c>
      <c r="H19" s="14">
        <f>VLOOKUP($E19,Oferta!$A$4:$H$15,5,FALSE)</f>
        <v>12</v>
      </c>
      <c r="I19" s="15">
        <f t="shared" si="0"/>
        <v>4397.95</v>
      </c>
      <c r="J19" s="79">
        <f t="shared" si="1"/>
        <v>0.03</v>
      </c>
      <c r="K19" s="83">
        <f t="shared" si="2"/>
        <v>5</v>
      </c>
      <c r="L19" s="15">
        <f t="shared" si="3"/>
        <v>4397.95</v>
      </c>
      <c r="N19" s="88" t="str">
        <f>Oferta!$A14</f>
        <v>GP63 Leopard 8RD-694XES</v>
      </c>
      <c r="O19" s="91">
        <f>Oferta!$E14</f>
        <v>37</v>
      </c>
      <c r="P19" s="91">
        <f>Oferta!G14</f>
        <v>16</v>
      </c>
      <c r="Q19" s="90">
        <v>0.13</v>
      </c>
      <c r="S19" s="1"/>
    </row>
    <row r="20" spans="3:19" ht="21" thickTop="1" thickBot="1" x14ac:dyDescent="0.45">
      <c r="C20" s="13" t="str">
        <f>VLOOKUP(Tabla1[[#This Row],[Modelo]],Tabla3[[#All],[Modelo]:[COSTE CON IVA]],4,FALSE)</f>
        <v>A002</v>
      </c>
      <c r="D20" s="8" t="str">
        <f>VLOOKUP(E20,Oferta!A4:H15,2,FALSE)</f>
        <v>Asus</v>
      </c>
      <c r="E20" s="8" t="s">
        <v>11</v>
      </c>
      <c r="F20" s="10">
        <f>VLOOKUP(E20,Oferta!$A$4:$H$15,8,FALSE)</f>
        <v>679</v>
      </c>
      <c r="G20" s="42">
        <v>8</v>
      </c>
      <c r="H20" s="8">
        <f>VLOOKUP($E20,Oferta!$A$4:$H$15,5,FALSE)</f>
        <v>20</v>
      </c>
      <c r="I20" s="9">
        <f t="shared" si="0"/>
        <v>5432</v>
      </c>
      <c r="J20" s="80">
        <f t="shared" si="1"/>
        <v>7.0000000000000007E-2</v>
      </c>
      <c r="K20" s="84">
        <f t="shared" si="2"/>
        <v>5</v>
      </c>
      <c r="L20" s="9">
        <f t="shared" si="3"/>
        <v>5051.7599999999993</v>
      </c>
      <c r="S20" s="1"/>
    </row>
    <row r="21" spans="3:19" ht="21" thickTop="1" thickBot="1" x14ac:dyDescent="0.45">
      <c r="C21" s="12" t="str">
        <f>VLOOKUP(Tabla1[[#This Row],[Modelo]],Tabla3[[#All],[Modelo]:[COSTE CON IVA]],4,FALSE)</f>
        <v>M984</v>
      </c>
      <c r="D21" s="8" t="str">
        <f>VLOOKUP(E21,Oferta!A4:H15,2,FALSE)</f>
        <v>MSI</v>
      </c>
      <c r="E21" s="8" t="s">
        <v>42</v>
      </c>
      <c r="F21" s="10">
        <f>VLOOKUP(E21,Oferta!$A$4:$H$15,8,FALSE)</f>
        <v>999</v>
      </c>
      <c r="G21" s="42">
        <v>10</v>
      </c>
      <c r="H21" s="8">
        <f>VLOOKUP($E21,Oferta!$A$4:$H$15,5,FALSE)</f>
        <v>37</v>
      </c>
      <c r="I21" s="15">
        <f t="shared" si="0"/>
        <v>9990</v>
      </c>
      <c r="J21" s="79">
        <f t="shared" si="1"/>
        <v>0.13</v>
      </c>
      <c r="K21" s="83">
        <f t="shared" si="2"/>
        <v>16</v>
      </c>
      <c r="L21" s="15">
        <f t="shared" si="3"/>
        <v>9990</v>
      </c>
      <c r="S21" s="1"/>
    </row>
    <row r="22" spans="3:19" ht="21" thickTop="1" thickBot="1" x14ac:dyDescent="0.45">
      <c r="C22" s="13" t="str">
        <f>VLOOKUP(Tabla1[[#This Row],[Modelo]],Tabla3[[#All],[Modelo]:[COSTE CON IVA]],4,FALSE)</f>
        <v>D557</v>
      </c>
      <c r="D22" s="8" t="str">
        <f>VLOOKUP(E22,Oferta!$A$4:$H$15,2,FALSE)</f>
        <v>Dell</v>
      </c>
      <c r="E22" s="8" t="s">
        <v>39</v>
      </c>
      <c r="F22" s="10">
        <f>VLOOKUP(E22,Oferta!$A$4:$H$15,8,FALSE)</f>
        <v>898.99</v>
      </c>
      <c r="G22" s="42">
        <v>12</v>
      </c>
      <c r="H22" s="8">
        <f>VLOOKUP($E22,Oferta!$A$4:$H$15,5,FALSE)</f>
        <v>20</v>
      </c>
      <c r="I22" s="9">
        <f t="shared" si="0"/>
        <v>10787.880000000001</v>
      </c>
      <c r="J22" s="80">
        <f t="shared" si="1"/>
        <v>7.0000000000000007E-2</v>
      </c>
      <c r="K22" s="84">
        <f t="shared" si="2"/>
        <v>5</v>
      </c>
      <c r="L22" s="9">
        <f t="shared" si="3"/>
        <v>10032.7284</v>
      </c>
      <c r="S22" s="1"/>
    </row>
    <row r="23" spans="3:19" ht="21" thickTop="1" thickBot="1" x14ac:dyDescent="0.45">
      <c r="C23" s="12" t="str">
        <f>VLOOKUP(Tabla1[[#This Row],[Modelo]],Tabla3[[#All],[Modelo]:[COSTE CON IVA]],4,FALSE)</f>
        <v>H468</v>
      </c>
      <c r="D23" s="8" t="str">
        <f>VLOOKUP(E23,Oferta!$A$4:$H$15,2,FALSE)</f>
        <v>HP</v>
      </c>
      <c r="E23" s="8" t="s">
        <v>15</v>
      </c>
      <c r="F23" s="10">
        <f>VLOOKUP(E23,Oferta!$A$4:$H$15,8,FALSE)</f>
        <v>699</v>
      </c>
      <c r="G23" s="42">
        <v>17</v>
      </c>
      <c r="H23" s="8">
        <f>VLOOKUP($E23,Oferta!$A$4:$H$15,5,FALSE)</f>
        <v>30</v>
      </c>
      <c r="I23" s="15">
        <f t="shared" si="0"/>
        <v>11883</v>
      </c>
      <c r="J23" s="79">
        <f t="shared" si="1"/>
        <v>0.05</v>
      </c>
      <c r="K23" s="83">
        <f t="shared" si="2"/>
        <v>7</v>
      </c>
      <c r="L23" s="15">
        <f t="shared" si="3"/>
        <v>11288.849999999999</v>
      </c>
      <c r="S23" s="1"/>
    </row>
    <row r="24" spans="3:19" ht="21" thickTop="1" thickBot="1" x14ac:dyDescent="0.45">
      <c r="C24" s="13" t="str">
        <f>VLOOKUP(Tabla1[[#This Row],[Modelo]],Tabla3[[#All],[Modelo]:[COSTE CON IVA]],4,FALSE)</f>
        <v>Vacio</v>
      </c>
      <c r="D24" s="8" t="str">
        <f>VLOOKUP(E24,Oferta!$A$4:$H$15,2,FALSE)</f>
        <v>Vacio</v>
      </c>
      <c r="E24" s="8" t="s">
        <v>45</v>
      </c>
      <c r="F24" s="10" t="str">
        <f>VLOOKUP(E24,Oferta!$A$4:$H$15,8,FALSE)</f>
        <v>Vacio</v>
      </c>
      <c r="G24" s="42"/>
      <c r="H24" s="8" t="str">
        <f>VLOOKUP($E24,Oferta!$A$4:$H$15,5,FALSE)</f>
        <v>Vacio</v>
      </c>
      <c r="I24" s="10" t="e">
        <f t="shared" si="0"/>
        <v>#VALUE!</v>
      </c>
      <c r="J24" s="81" t="e">
        <f t="shared" si="1"/>
        <v>#N/A</v>
      </c>
      <c r="K24" s="82" t="e">
        <f t="shared" si="2"/>
        <v>#N/A</v>
      </c>
      <c r="L24" s="10" t="e">
        <f t="shared" si="3"/>
        <v>#N/A</v>
      </c>
      <c r="S24" s="1"/>
    </row>
    <row r="25" spans="3:19" ht="21" thickTop="1" thickBot="1" x14ac:dyDescent="0.45">
      <c r="C25" s="12" t="str">
        <f>VLOOKUP(Tabla1[[#This Row],[Modelo]],Tabla3[[#All],[Modelo]:[COSTE CON IVA]],4,FALSE)</f>
        <v>Vacio</v>
      </c>
      <c r="D25" s="8" t="str">
        <f>VLOOKUP(E25,Oferta!$A$4:$H$15,2,FALSE)</f>
        <v>Vacio</v>
      </c>
      <c r="E25" s="8" t="s">
        <v>45</v>
      </c>
      <c r="F25" s="10" t="str">
        <f>VLOOKUP(E25,Oferta!$A$4:$H$15,8,FALSE)</f>
        <v>Vacio</v>
      </c>
      <c r="G25" s="42"/>
      <c r="H25" s="8" t="str">
        <f>VLOOKUP($E25,Oferta!$A$4:$H$15,5,FALSE)</f>
        <v>Vacio</v>
      </c>
      <c r="I25" s="10" t="e">
        <f t="shared" si="0"/>
        <v>#VALUE!</v>
      </c>
      <c r="J25" s="81" t="e">
        <f t="shared" si="1"/>
        <v>#N/A</v>
      </c>
      <c r="K25" s="82" t="e">
        <f t="shared" si="2"/>
        <v>#N/A</v>
      </c>
      <c r="L25" s="10" t="e">
        <f t="shared" si="3"/>
        <v>#N/A</v>
      </c>
      <c r="S25" s="1"/>
    </row>
    <row r="26" spans="3:19" ht="21" thickTop="1" thickBot="1" x14ac:dyDescent="0.45">
      <c r="C26" s="13" t="str">
        <f>VLOOKUP(Tabla1[[#This Row],[Modelo]],Tabla3[[#All],[Modelo]:[COSTE CON IVA]],4,FALSE)</f>
        <v>Vacio</v>
      </c>
      <c r="D26" s="8" t="str">
        <f>VLOOKUP(E26,Oferta!$A$4:$H$15,2,FALSE)</f>
        <v>Vacio</v>
      </c>
      <c r="E26" s="8" t="s">
        <v>45</v>
      </c>
      <c r="F26" s="10" t="str">
        <f>VLOOKUP(E26,Oferta!$A$4:$H$15,8,FALSE)</f>
        <v>Vacio</v>
      </c>
      <c r="G26" s="42"/>
      <c r="H26" s="8" t="str">
        <f>VLOOKUP($E26,Oferta!$A$4:$H$15,5,FALSE)</f>
        <v>Vacio</v>
      </c>
      <c r="I26" s="10" t="e">
        <f t="shared" si="0"/>
        <v>#VALUE!</v>
      </c>
      <c r="J26" s="81" t="e">
        <f t="shared" si="1"/>
        <v>#N/A</v>
      </c>
      <c r="K26" s="82" t="e">
        <f t="shared" si="2"/>
        <v>#N/A</v>
      </c>
      <c r="L26" s="10" t="e">
        <f t="shared" si="3"/>
        <v>#N/A</v>
      </c>
      <c r="S26" s="1"/>
    </row>
    <row r="27" spans="3:19" ht="21" thickTop="1" thickBot="1" x14ac:dyDescent="0.45">
      <c r="C27" s="12" t="str">
        <f>VLOOKUP(Tabla1[[#This Row],[Modelo]],Tabla3[[#All],[Modelo]:[COSTE CON IVA]],4,FALSE)</f>
        <v>Vacio</v>
      </c>
      <c r="D27" s="8" t="str">
        <f>VLOOKUP(E27,Oferta!$A$4:$H$15,2,FALSE)</f>
        <v>Vacio</v>
      </c>
      <c r="E27" s="8" t="s">
        <v>45</v>
      </c>
      <c r="F27" s="10" t="str">
        <f>VLOOKUP(E27,Oferta!$A$4:$H$15,8,FALSE)</f>
        <v>Vacio</v>
      </c>
      <c r="G27" s="42"/>
      <c r="H27" s="8" t="str">
        <f>VLOOKUP($E27,Oferta!$A$4:$H$15,5,FALSE)</f>
        <v>Vacio</v>
      </c>
      <c r="I27" s="10" t="e">
        <f t="shared" si="0"/>
        <v>#VALUE!</v>
      </c>
      <c r="J27" s="81" t="e">
        <f t="shared" si="1"/>
        <v>#N/A</v>
      </c>
      <c r="K27" s="82" t="e">
        <f t="shared" si="2"/>
        <v>#N/A</v>
      </c>
      <c r="L27" s="10" t="e">
        <f t="shared" si="3"/>
        <v>#N/A</v>
      </c>
    </row>
    <row r="28" spans="3:19" ht="21" thickTop="1" thickBot="1" x14ac:dyDescent="0.45">
      <c r="C28" s="13" t="str">
        <f>VLOOKUP(Tabla1[[#This Row],[Modelo]],Tabla3[[#All],[Modelo]:[COSTE CON IVA]],4,FALSE)</f>
        <v>Vacio</v>
      </c>
      <c r="D28" s="8" t="str">
        <f>VLOOKUP(E28,Oferta!$A$4:$H$15,2,FALSE)</f>
        <v>Vacio</v>
      </c>
      <c r="E28" s="8" t="s">
        <v>45</v>
      </c>
      <c r="F28" s="10" t="str">
        <f>VLOOKUP(E28,Oferta!$A$4:$H$15,8,FALSE)</f>
        <v>Vacio</v>
      </c>
      <c r="G28" s="42"/>
      <c r="H28" s="8" t="str">
        <f>VLOOKUP($E28,Oferta!$A$4:$H$15,5,FALSE)</f>
        <v>Vacio</v>
      </c>
      <c r="I28" s="10" t="e">
        <f t="shared" si="0"/>
        <v>#VALUE!</v>
      </c>
      <c r="J28" s="81" t="e">
        <f t="shared" si="1"/>
        <v>#N/A</v>
      </c>
      <c r="K28" s="82" t="e">
        <f t="shared" si="2"/>
        <v>#N/A</v>
      </c>
      <c r="L28" s="10" t="e">
        <f t="shared" si="3"/>
        <v>#N/A</v>
      </c>
    </row>
    <row r="29" spans="3:19" ht="21" thickTop="1" thickBot="1" x14ac:dyDescent="0.45">
      <c r="C29" s="12" t="str">
        <f>VLOOKUP(Tabla1[[#This Row],[Modelo]],Tabla3[[#All],[Modelo]:[COSTE CON IVA]],4,FALSE)</f>
        <v>Vacio</v>
      </c>
      <c r="D29" s="8" t="str">
        <f>VLOOKUP(E29,Oferta!$A$4:$H$15,2,FALSE)</f>
        <v>Vacio</v>
      </c>
      <c r="E29" s="8" t="s">
        <v>45</v>
      </c>
      <c r="F29" s="10" t="str">
        <f>VLOOKUP(E29,Oferta!$A$4:$H$15,8,FALSE)</f>
        <v>Vacio</v>
      </c>
      <c r="G29" s="42"/>
      <c r="H29" s="8" t="str">
        <f>VLOOKUP($E29,Oferta!$A$4:$H$15,5,FALSE)</f>
        <v>Vacio</v>
      </c>
      <c r="I29" s="10" t="e">
        <f t="shared" si="0"/>
        <v>#VALUE!</v>
      </c>
      <c r="J29" s="81" t="e">
        <f t="shared" si="1"/>
        <v>#N/A</v>
      </c>
      <c r="K29" s="82" t="e">
        <f t="shared" si="2"/>
        <v>#N/A</v>
      </c>
      <c r="L29" s="10" t="e">
        <f t="shared" si="3"/>
        <v>#N/A</v>
      </c>
    </row>
    <row r="30" spans="3:19" ht="21" thickTop="1" thickBot="1" x14ac:dyDescent="0.45">
      <c r="C30" s="13" t="str">
        <f>VLOOKUP(Tabla1[[#This Row],[Modelo]],Tabla3[[#All],[Modelo]:[COSTE CON IVA]],4,FALSE)</f>
        <v>Vacio</v>
      </c>
      <c r="D30" s="8" t="str">
        <f>VLOOKUP(E30,Oferta!$A$4:$H$15,2,FALSE)</f>
        <v>Vacio</v>
      </c>
      <c r="E30" s="8" t="s">
        <v>45</v>
      </c>
      <c r="F30" s="10" t="str">
        <f>VLOOKUP(E30,Oferta!$A$4:$H$15,8,FALSE)</f>
        <v>Vacio</v>
      </c>
      <c r="G30" s="42"/>
      <c r="H30" s="8" t="str">
        <f>VLOOKUP($E30,Oferta!$A$4:$H$15,5,FALSE)</f>
        <v>Vacio</v>
      </c>
      <c r="I30" s="10" t="e">
        <f t="shared" si="0"/>
        <v>#VALUE!</v>
      </c>
      <c r="J30" s="81" t="e">
        <f t="shared" si="1"/>
        <v>#N/A</v>
      </c>
      <c r="K30" s="82" t="e">
        <f t="shared" si="2"/>
        <v>#N/A</v>
      </c>
      <c r="L30" s="10" t="e">
        <f t="shared" si="3"/>
        <v>#N/A</v>
      </c>
    </row>
    <row r="31" spans="3:19" ht="21" thickTop="1" thickBot="1" x14ac:dyDescent="0.45">
      <c r="C31" s="12" t="str">
        <f>VLOOKUP(Tabla1[[#This Row],[Modelo]],Tabla3[[#All],[Modelo]:[COSTE CON IVA]],4,FALSE)</f>
        <v>Vacio</v>
      </c>
      <c r="D31" s="8" t="str">
        <f>VLOOKUP(E31,Oferta!$A$4:$H$15,2,FALSE)</f>
        <v>Vacio</v>
      </c>
      <c r="E31" s="8" t="s">
        <v>45</v>
      </c>
      <c r="F31" s="10" t="str">
        <f>VLOOKUP(E31,Oferta!$A$4:$H$15,8,FALSE)</f>
        <v>Vacio</v>
      </c>
      <c r="G31" s="42"/>
      <c r="H31" s="8" t="str">
        <f>VLOOKUP($E31,Oferta!$A$4:$H$15,5,FALSE)</f>
        <v>Vacio</v>
      </c>
      <c r="I31" s="10" t="e">
        <f t="shared" si="0"/>
        <v>#VALUE!</v>
      </c>
      <c r="J31" s="81" t="e">
        <f t="shared" si="1"/>
        <v>#N/A</v>
      </c>
      <c r="K31" s="82" t="e">
        <f t="shared" si="2"/>
        <v>#N/A</v>
      </c>
      <c r="L31" s="10" t="e">
        <f t="shared" si="3"/>
        <v>#N/A</v>
      </c>
    </row>
    <row r="32" spans="3:19" ht="21" thickTop="1" thickBot="1" x14ac:dyDescent="0.45">
      <c r="C32" s="13" t="str">
        <f>VLOOKUP(Tabla1[[#This Row],[Modelo]],Tabla3[[#All],[Modelo]:[COSTE CON IVA]],4,FALSE)</f>
        <v>Vacio</v>
      </c>
      <c r="D32" s="8" t="str">
        <f>VLOOKUP(E32,Oferta!$A$4:$H$15,2,FALSE)</f>
        <v>Vacio</v>
      </c>
      <c r="E32" s="8" t="s">
        <v>45</v>
      </c>
      <c r="F32" s="10" t="str">
        <f>VLOOKUP(E32,Oferta!$A$4:$H$15,8,FALSE)</f>
        <v>Vacio</v>
      </c>
      <c r="G32" s="42"/>
      <c r="H32" s="8" t="str">
        <f>VLOOKUP($E32,Oferta!$A$4:$H$15,5,FALSE)</f>
        <v>Vacio</v>
      </c>
      <c r="I32" s="10" t="e">
        <f t="shared" si="0"/>
        <v>#VALUE!</v>
      </c>
      <c r="J32" s="81" t="e">
        <f t="shared" si="1"/>
        <v>#N/A</v>
      </c>
      <c r="K32" s="82" t="e">
        <f t="shared" si="2"/>
        <v>#N/A</v>
      </c>
      <c r="L32" s="10" t="e">
        <f t="shared" si="3"/>
        <v>#N/A</v>
      </c>
    </row>
    <row r="33" spans="6:12" ht="21.6" thickTop="1" x14ac:dyDescent="0.4">
      <c r="F33" s="16" t="s">
        <v>83</v>
      </c>
      <c r="G33" s="16"/>
      <c r="H33" s="16"/>
      <c r="I33" s="17">
        <f>_xlfn.AGGREGATE(9,7,Tabla1[Subtotal])</f>
        <v>94631.83</v>
      </c>
      <c r="J33" s="17"/>
      <c r="K33" s="17"/>
      <c r="L33" s="17">
        <f>_xlfn.AGGREGATE(9,7,Tabla1[Precio con Descuento])</f>
        <v>88187.688400000014</v>
      </c>
    </row>
    <row r="34" spans="6:12" x14ac:dyDescent="0.3">
      <c r="F34" s="74"/>
      <c r="G34" s="74"/>
      <c r="H34" s="74"/>
      <c r="I34" s="74"/>
      <c r="J34" s="74"/>
      <c r="K34" s="74"/>
      <c r="L34" s="74"/>
    </row>
    <row r="37" spans="6:12" x14ac:dyDescent="0.3">
      <c r="K37" s="72"/>
    </row>
  </sheetData>
  <sortState xmlns:xlrd2="http://schemas.microsoft.com/office/spreadsheetml/2017/richdata2" ref="D30:E30">
    <sortCondition ref="E30"/>
  </sortState>
  <mergeCells count="5">
    <mergeCell ref="N8:Q8"/>
    <mergeCell ref="C2:L2"/>
    <mergeCell ref="E5:H5"/>
    <mergeCell ref="E4:H4"/>
    <mergeCell ref="E7:H7"/>
  </mergeCells>
  <conditionalFormatting sqref="H3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K23">
    <cfRule type="containsErrors" dxfId="43" priority="16">
      <formula>ISERROR(I17)</formula>
    </cfRule>
  </conditionalFormatting>
  <conditionalFormatting sqref="I18:K18 I20:K20 I22:K22">
    <cfRule type="containsErrors" dxfId="42" priority="15">
      <formula>ISERROR(I18)</formula>
    </cfRule>
  </conditionalFormatting>
  <conditionalFormatting sqref="C18:K18">
    <cfRule type="containsText" dxfId="41" priority="14" operator="containsText" text="Vacio">
      <formula>NOT(ISERROR(SEARCH("Vacio",C18)))</formula>
    </cfRule>
  </conditionalFormatting>
  <conditionalFormatting sqref="C20:K20 C22:K22 C24:K24 C26:K26 C28:K28 C30:K30 C32:K32">
    <cfRule type="containsText" dxfId="40" priority="13" operator="containsText" text="Vacio">
      <formula>NOT(ISERROR(SEARCH("Vacio",C20)))</formula>
    </cfRule>
  </conditionalFormatting>
  <conditionalFormatting sqref="C25:K25 C27:K27 C29:K29 C31:K31 C17:K17 C19:K19 C21:K21 C23:K23">
    <cfRule type="containsText" dxfId="39" priority="12" operator="containsText" text="Vacio">
      <formula>NOT(ISERROR(SEARCH("Vacio",C17)))</formula>
    </cfRule>
  </conditionalFormatting>
  <conditionalFormatting sqref="I24:K24 I26:K26 I28:K28 I30:K30 I32:K32">
    <cfRule type="containsErrors" dxfId="38" priority="9">
      <formula>ISERROR(I24)</formula>
    </cfRule>
  </conditionalFormatting>
  <conditionalFormatting sqref="I25:K25 I27:K27 I29:K29 I31:K31">
    <cfRule type="containsErrors" dxfId="37" priority="19">
      <formula>ISERROR(I25)</formula>
    </cfRule>
  </conditionalFormatting>
  <conditionalFormatting sqref="L17:L23">
    <cfRule type="containsErrors" dxfId="36" priority="6">
      <formula>ISERROR(L17)</formula>
    </cfRule>
  </conditionalFormatting>
  <conditionalFormatting sqref="L18 L20 L22">
    <cfRule type="containsErrors" dxfId="35" priority="5">
      <formula>ISERROR(L18)</formula>
    </cfRule>
  </conditionalFormatting>
  <conditionalFormatting sqref="L18">
    <cfRule type="containsText" dxfId="34" priority="4" operator="containsText" text="Vacio">
      <formula>NOT(ISERROR(SEARCH("Vacio",L18)))</formula>
    </cfRule>
  </conditionalFormatting>
  <conditionalFormatting sqref="L20 L22 L24 L26 L28 L30 L32">
    <cfRule type="containsText" dxfId="33" priority="3" operator="containsText" text="Vacio">
      <formula>NOT(ISERROR(SEARCH("Vacio",L20)))</formula>
    </cfRule>
  </conditionalFormatting>
  <conditionalFormatting sqref="L25 L27 L29 L31 L17 L19 L21 L23">
    <cfRule type="containsText" dxfId="32" priority="2" operator="containsText" text="Vacio">
      <formula>NOT(ISERROR(SEARCH("Vacio",L17)))</formula>
    </cfRule>
  </conditionalFormatting>
  <conditionalFormatting sqref="L24 L26 L28 L30 L32">
    <cfRule type="containsErrors" dxfId="31" priority="1">
      <formula>ISERROR(L24)</formula>
    </cfRule>
  </conditionalFormatting>
  <conditionalFormatting sqref="L25 L27 L29 L31">
    <cfRule type="containsErrors" dxfId="30" priority="7">
      <formula>ISERROR(L25)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I24:I32 J24:J32 K24:K32 L24:L32" evalError="1"/>
    <ignoredError sqref="D17:D24 L17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6169F-DAED-4A73-96CB-26BF8EF87453}">
          <x14:formula1>
            <xm:f>Oferta!$A$5:$A$14</xm:f>
          </x14:formula1>
          <xm:sqref>E33:E35</xm:sqref>
        </x14:dataValidation>
        <x14:dataValidation type="list" allowBlank="1" showInputMessage="1" showErrorMessage="1" xr:uid="{F2F0F3D0-DF3B-42B1-A364-489A9BEAE19E}">
          <x14:formula1>
            <xm:f>Oferta!$A$5:$A$15</xm:f>
          </x14:formula1>
          <xm:sqref>E17:E32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DD03-24BE-4301-8B6C-D7E315E89140}">
  <sheetPr codeName="Hoja3"/>
  <dimension ref="A1:I31"/>
  <sheetViews>
    <sheetView topLeftCell="A7" zoomScale="85" zoomScaleNormal="85" workbookViewId="0">
      <selection activeCell="A7" sqref="A7:D7"/>
    </sheetView>
  </sheetViews>
  <sheetFormatPr baseColWidth="10" defaultColWidth="11.44140625" defaultRowHeight="14.4" x14ac:dyDescent="0.3"/>
  <cols>
    <col min="1" max="1" width="9.5546875" customWidth="1"/>
    <col min="2" max="2" width="21.44140625" customWidth="1"/>
    <col min="3" max="3" width="25.5546875" customWidth="1"/>
    <col min="4" max="4" width="13.6640625" customWidth="1"/>
    <col min="5" max="5" width="17.88671875" customWidth="1"/>
    <col min="6" max="6" width="18.44140625" customWidth="1"/>
    <col min="10" max="10" width="12.33203125" bestFit="1" customWidth="1"/>
  </cols>
  <sheetData>
    <row r="1" spans="1:6" x14ac:dyDescent="0.3">
      <c r="C1" s="134" t="s">
        <v>58</v>
      </c>
      <c r="D1" s="135"/>
      <c r="E1" s="135"/>
      <c r="F1" s="136"/>
    </row>
    <row r="2" spans="1:6" x14ac:dyDescent="0.3">
      <c r="A2" s="144" t="s">
        <v>59</v>
      </c>
      <c r="B2" s="144"/>
      <c r="C2" s="137"/>
      <c r="D2" s="138"/>
      <c r="E2" s="138"/>
      <c r="F2" s="139"/>
    </row>
    <row r="3" spans="1:6" x14ac:dyDescent="0.3">
      <c r="A3" s="144"/>
      <c r="B3" s="144"/>
      <c r="C3" s="137"/>
      <c r="D3" s="138"/>
      <c r="E3" s="138"/>
      <c r="F3" s="139"/>
    </row>
    <row r="4" spans="1:6" x14ac:dyDescent="0.3">
      <c r="C4" s="140"/>
      <c r="D4" s="138"/>
      <c r="E4" s="138"/>
      <c r="F4" s="139"/>
    </row>
    <row r="5" spans="1:6" x14ac:dyDescent="0.3">
      <c r="C5" s="141"/>
      <c r="D5" s="142"/>
      <c r="E5" s="142"/>
      <c r="F5" s="143"/>
    </row>
    <row r="6" spans="1:6" ht="15.6" x14ac:dyDescent="0.3">
      <c r="A6" s="24"/>
      <c r="E6" s="25"/>
    </row>
    <row r="7" spans="1:6" ht="15.6" x14ac:dyDescent="0.3">
      <c r="A7" s="147" t="s">
        <v>60</v>
      </c>
      <c r="B7" s="147"/>
      <c r="C7" s="147"/>
      <c r="D7" s="147"/>
      <c r="E7" s="25"/>
    </row>
    <row r="8" spans="1:6" ht="15.6" x14ac:dyDescent="0.3">
      <c r="A8" s="24"/>
      <c r="E8" s="25"/>
    </row>
    <row r="9" spans="1:6" ht="15.6" customHeight="1" x14ac:dyDescent="0.3">
      <c r="A9" s="68" t="s">
        <v>61</v>
      </c>
      <c r="B9" s="54" t="s">
        <v>62</v>
      </c>
      <c r="C9" s="149"/>
      <c r="D9" s="149"/>
      <c r="E9" s="133" t="s">
        <v>63</v>
      </c>
      <c r="F9" s="133"/>
    </row>
    <row r="10" spans="1:6" ht="15.6" customHeight="1" x14ac:dyDescent="0.3">
      <c r="A10" s="69" t="s">
        <v>64</v>
      </c>
      <c r="B10" s="54" t="s">
        <v>54</v>
      </c>
      <c r="C10" s="149"/>
      <c r="D10" s="149"/>
      <c r="E10" s="133" t="s">
        <v>65</v>
      </c>
      <c r="F10" s="133"/>
    </row>
    <row r="11" spans="1:6" ht="15.6" customHeight="1" x14ac:dyDescent="0.3">
      <c r="A11" s="69" t="s">
        <v>66</v>
      </c>
      <c r="B11" s="70" t="s">
        <v>82</v>
      </c>
      <c r="C11" s="149"/>
      <c r="D11" s="149"/>
      <c r="E11" s="133" t="s">
        <v>67</v>
      </c>
      <c r="F11" s="133"/>
    </row>
    <row r="12" spans="1:6" ht="15.6" customHeight="1" x14ac:dyDescent="0.3">
      <c r="A12" s="69" t="s">
        <v>68</v>
      </c>
      <c r="B12" s="54" t="s">
        <v>69</v>
      </c>
      <c r="C12" s="149"/>
      <c r="D12" s="149"/>
      <c r="E12" s="133" t="s">
        <v>70</v>
      </c>
      <c r="F12" s="133"/>
    </row>
    <row r="13" spans="1:6" ht="15.6" customHeight="1" x14ac:dyDescent="0.3">
      <c r="A13" s="69" t="s">
        <v>71</v>
      </c>
      <c r="B13" s="70" t="s">
        <v>106</v>
      </c>
      <c r="C13" s="149"/>
      <c r="D13" s="149"/>
      <c r="E13" s="133" t="s">
        <v>72</v>
      </c>
      <c r="F13" s="133"/>
    </row>
    <row r="14" spans="1:6" x14ac:dyDescent="0.3">
      <c r="A14" s="125" t="s">
        <v>116</v>
      </c>
      <c r="B14" t="s">
        <v>118</v>
      </c>
      <c r="C14" s="149"/>
      <c r="D14" s="149"/>
      <c r="E14" s="149"/>
      <c r="F14" s="149"/>
    </row>
    <row r="15" spans="1:6" ht="15.6" x14ac:dyDescent="0.3">
      <c r="A15" s="148" t="s">
        <v>73</v>
      </c>
      <c r="B15" s="148"/>
      <c r="C15">
        <v>6546454</v>
      </c>
      <c r="D15" s="149"/>
      <c r="E15" s="149"/>
      <c r="F15" s="149"/>
    </row>
    <row r="16" spans="1:6" x14ac:dyDescent="0.3">
      <c r="A16" s="149"/>
      <c r="B16" s="149"/>
      <c r="C16" s="149"/>
      <c r="D16" s="149"/>
      <c r="E16" s="149"/>
      <c r="F16" s="149"/>
    </row>
    <row r="17" spans="1:9" x14ac:dyDescent="0.3">
      <c r="A17" s="49" t="s">
        <v>74</v>
      </c>
      <c r="B17" s="50" t="s">
        <v>75</v>
      </c>
      <c r="C17" s="51" t="s">
        <v>2</v>
      </c>
      <c r="D17" s="51" t="s">
        <v>76</v>
      </c>
      <c r="E17" s="51" t="s">
        <v>77</v>
      </c>
      <c r="F17" s="52" t="s">
        <v>78</v>
      </c>
    </row>
    <row r="18" spans="1:9" ht="15.6" x14ac:dyDescent="0.3">
      <c r="A18" s="45">
        <v>1</v>
      </c>
      <c r="B18" s="124" t="str">
        <f>Pedido!$D17</f>
        <v>Asus</v>
      </c>
      <c r="C18" s="26" t="str">
        <f>Pedido!E17</f>
        <v>Asus VivoBook Pro 15 N580GD-E4154T</v>
      </c>
      <c r="D18" s="77">
        <f>Pedido!$G17</f>
        <v>25</v>
      </c>
      <c r="E18" s="41">
        <f>Pedido!F17</f>
        <v>999</v>
      </c>
      <c r="F18" s="48">
        <f>Pedido!I17</f>
        <v>24975</v>
      </c>
    </row>
    <row r="19" spans="1:9" ht="15.6" x14ac:dyDescent="0.3">
      <c r="A19" s="46">
        <v>2</v>
      </c>
      <c r="B19" s="124" t="str">
        <f>Pedido!$D18</f>
        <v>Asus</v>
      </c>
      <c r="C19" s="53" t="str">
        <f>Pedido!E18</f>
        <v>X560UD-EJ362T</v>
      </c>
      <c r="D19" s="56">
        <f>Pedido!$G18</f>
        <v>34</v>
      </c>
      <c r="E19" s="55">
        <f>Pedido!F18</f>
        <v>799</v>
      </c>
      <c r="F19" s="48">
        <f>Pedido!I18</f>
        <v>27166</v>
      </c>
    </row>
    <row r="20" spans="1:9" ht="15.6" x14ac:dyDescent="0.3">
      <c r="A20" s="47">
        <v>3</v>
      </c>
      <c r="B20" s="124" t="str">
        <f>Pedido!$D19</f>
        <v>Dell</v>
      </c>
      <c r="C20" s="26" t="str">
        <f>Pedido!E19</f>
        <v>Inspiron 5584</v>
      </c>
      <c r="D20" s="57">
        <f>Pedido!$G19</f>
        <v>5</v>
      </c>
      <c r="E20" s="41">
        <f>Pedido!F19</f>
        <v>879.59</v>
      </c>
      <c r="F20" s="48">
        <f>Pedido!I19</f>
        <v>4397.95</v>
      </c>
      <c r="G20" s="54"/>
    </row>
    <row r="21" spans="1:9" ht="15.6" x14ac:dyDescent="0.3">
      <c r="A21" s="46">
        <v>4</v>
      </c>
      <c r="B21" s="124" t="str">
        <f>Pedido!$D20</f>
        <v>Asus</v>
      </c>
      <c r="C21" s="26" t="str">
        <f>Pedido!E20</f>
        <v>ZenBook UX410UA-GV036T</v>
      </c>
      <c r="D21" s="57">
        <f>Pedido!$G20</f>
        <v>8</v>
      </c>
      <c r="E21" s="41">
        <f>Pedido!F20</f>
        <v>679</v>
      </c>
      <c r="F21" s="48">
        <f>Pedido!I20</f>
        <v>5432</v>
      </c>
    </row>
    <row r="22" spans="1:9" ht="15.6" x14ac:dyDescent="0.3">
      <c r="A22" s="47">
        <v>5</v>
      </c>
      <c r="B22" s="124" t="str">
        <f>Pedido!$D21</f>
        <v>MSI</v>
      </c>
      <c r="C22" s="26" t="str">
        <f>Pedido!E21</f>
        <v>GP63 Leopard 8RD-694XES</v>
      </c>
      <c r="D22" s="57">
        <f>Pedido!$G21</f>
        <v>10</v>
      </c>
      <c r="E22" s="58">
        <f>Pedido!F21</f>
        <v>999</v>
      </c>
      <c r="F22" s="48">
        <f>Pedido!I21</f>
        <v>9990</v>
      </c>
    </row>
    <row r="23" spans="1:9" ht="15.6" x14ac:dyDescent="0.3">
      <c r="A23" s="46">
        <v>6</v>
      </c>
      <c r="B23" s="124" t="str">
        <f>Pedido!$D22</f>
        <v>Dell</v>
      </c>
      <c r="C23" s="63" t="str">
        <f>Pedido!E22</f>
        <v>Nuevo Inspiron 15 5000</v>
      </c>
      <c r="D23" s="57">
        <f>Pedido!$G22</f>
        <v>12</v>
      </c>
      <c r="E23" s="64">
        <f>Pedido!F22</f>
        <v>898.99</v>
      </c>
      <c r="F23" s="62">
        <f>Pedido!I22</f>
        <v>10787.880000000001</v>
      </c>
    </row>
    <row r="24" spans="1:9" ht="15.6" x14ac:dyDescent="0.3">
      <c r="A24" s="47">
        <v>7</v>
      </c>
      <c r="B24" s="124" t="str">
        <f>Pedido!$D23</f>
        <v>HP</v>
      </c>
      <c r="C24" s="63" t="str">
        <f>Pedido!E23</f>
        <v>15-DA1071NS</v>
      </c>
      <c r="D24" s="65">
        <f>Pedido!$G23</f>
        <v>17</v>
      </c>
      <c r="E24" s="66">
        <f>Pedido!F23</f>
        <v>699</v>
      </c>
      <c r="F24" s="62">
        <f>Pedido!I23</f>
        <v>11883</v>
      </c>
    </row>
    <row r="25" spans="1:9" ht="15.6" x14ac:dyDescent="0.3">
      <c r="A25" s="149"/>
      <c r="B25" s="149"/>
      <c r="C25" s="149"/>
      <c r="D25" s="150"/>
      <c r="E25" s="25" t="s">
        <v>85</v>
      </c>
      <c r="F25" s="27">
        <f>Pedido!I33</f>
        <v>94631.83</v>
      </c>
      <c r="I25" s="76"/>
    </row>
    <row r="26" spans="1:9" ht="15.6" x14ac:dyDescent="0.3">
      <c r="A26" s="149"/>
      <c r="B26" s="149"/>
      <c r="C26" s="149"/>
      <c r="D26" s="151"/>
      <c r="E26" s="25" t="s">
        <v>79</v>
      </c>
      <c r="F26" s="67">
        <v>0.21</v>
      </c>
    </row>
    <row r="27" spans="1:9" ht="15.6" x14ac:dyDescent="0.3">
      <c r="A27" s="153"/>
      <c r="B27" s="153"/>
      <c r="C27" s="153"/>
      <c r="D27" s="152"/>
      <c r="E27" s="25" t="s">
        <v>86</v>
      </c>
      <c r="F27" s="75">
        <f>F25*(1-F26)</f>
        <v>74759.145700000008</v>
      </c>
    </row>
    <row r="28" spans="1:9" ht="15.6" x14ac:dyDescent="0.3">
      <c r="A28" s="28" t="s">
        <v>80</v>
      </c>
      <c r="B28" s="29"/>
      <c r="C28" s="30"/>
      <c r="D28" s="152"/>
      <c r="E28" s="145" t="s">
        <v>81</v>
      </c>
      <c r="F28" s="146"/>
    </row>
    <row r="29" spans="1:9" ht="18" x14ac:dyDescent="0.35">
      <c r="A29" s="31"/>
      <c r="B29" s="32"/>
      <c r="C29" s="33"/>
      <c r="D29" s="152"/>
      <c r="E29" s="34"/>
      <c r="F29" s="35"/>
    </row>
    <row r="30" spans="1:9" ht="18" x14ac:dyDescent="0.35">
      <c r="A30" s="31"/>
      <c r="B30" s="32"/>
      <c r="C30" s="33"/>
      <c r="D30" s="152"/>
      <c r="E30" s="34"/>
      <c r="F30" s="35"/>
    </row>
    <row r="31" spans="1:9" x14ac:dyDescent="0.3">
      <c r="A31" s="36"/>
      <c r="B31" s="37"/>
      <c r="C31" s="38"/>
      <c r="D31" s="152"/>
      <c r="E31" s="39"/>
      <c r="F31" s="40"/>
    </row>
  </sheetData>
  <mergeCells count="16">
    <mergeCell ref="E13:F13"/>
    <mergeCell ref="C1:F5"/>
    <mergeCell ref="A2:B3"/>
    <mergeCell ref="E28:F28"/>
    <mergeCell ref="A7:D7"/>
    <mergeCell ref="E10:F10"/>
    <mergeCell ref="E9:F9"/>
    <mergeCell ref="E11:F11"/>
    <mergeCell ref="A15:B15"/>
    <mergeCell ref="C9:D14"/>
    <mergeCell ref="E14:F14"/>
    <mergeCell ref="A16:F16"/>
    <mergeCell ref="D15:F15"/>
    <mergeCell ref="D25:D31"/>
    <mergeCell ref="A25:C27"/>
    <mergeCell ref="E12:F12"/>
  </mergeCells>
  <phoneticPr fontId="25" type="noConversion"/>
  <conditionalFormatting sqref="C19:E19 C21:E21 C23:E23">
    <cfRule type="containsText" dxfId="18" priority="5" operator="containsText" text="Vacio">
      <formula>NOT(ISERROR(SEARCH("Vacio",C19)))</formula>
    </cfRule>
  </conditionalFormatting>
  <conditionalFormatting sqref="C20:E20 B18:E18 C22:E22 C24:E24 B19:B24">
    <cfRule type="containsText" dxfId="17" priority="4" operator="containsText" text="Vacio">
      <formula>NOT(ISERROR(SEARCH("Vacio",B18)))</formula>
    </cfRule>
  </conditionalFormatting>
  <conditionalFormatting sqref="F18:F24">
    <cfRule type="containsErrors" dxfId="16" priority="6">
      <formula>ISERROR(F18)</formula>
    </cfRule>
  </conditionalFormatting>
  <conditionalFormatting sqref="F25:F26">
    <cfRule type="containsErrors" dxfId="15" priority="1">
      <formula>ISERROR(F25)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9981-5A09-4B9B-AA99-1612360E64B9}">
  <dimension ref="A1:J34"/>
  <sheetViews>
    <sheetView topLeftCell="A16" zoomScale="115" zoomScaleNormal="115" workbookViewId="0">
      <selection activeCell="L31" sqref="L31"/>
    </sheetView>
  </sheetViews>
  <sheetFormatPr baseColWidth="10" defaultRowHeight="14.4" x14ac:dyDescent="0.3"/>
  <cols>
    <col min="10" max="10" width="12" bestFit="1" customWidth="1"/>
  </cols>
  <sheetData>
    <row r="1" spans="1:10" ht="16.8" customHeight="1" thickTop="1" thickBot="1" x14ac:dyDescent="0.35">
      <c r="A1" s="102" t="s">
        <v>88</v>
      </c>
      <c r="B1" s="191" t="s">
        <v>58</v>
      </c>
      <c r="C1" s="191"/>
      <c r="D1" s="192"/>
      <c r="E1" s="101"/>
      <c r="F1" s="101"/>
      <c r="G1" s="188" t="s">
        <v>89</v>
      </c>
      <c r="H1" s="189"/>
      <c r="I1" s="190"/>
      <c r="J1" s="115"/>
    </row>
    <row r="2" spans="1:10" ht="15" thickTop="1" x14ac:dyDescent="0.3">
      <c r="A2" s="103" t="s">
        <v>90</v>
      </c>
      <c r="B2" s="193" t="s">
        <v>107</v>
      </c>
      <c r="C2" s="193"/>
      <c r="D2" s="194"/>
      <c r="E2" s="96"/>
      <c r="F2" s="114" t="s">
        <v>91</v>
      </c>
      <c r="G2" s="197" t="str">
        <f>Albarán!B9</f>
        <v>Bibi del Lobo</v>
      </c>
      <c r="H2" s="197"/>
      <c r="I2" s="197"/>
      <c r="J2" s="198"/>
    </row>
    <row r="3" spans="1:10" x14ac:dyDescent="0.3">
      <c r="A3" s="103" t="s">
        <v>92</v>
      </c>
      <c r="B3" s="193" t="s">
        <v>108</v>
      </c>
      <c r="C3" s="193"/>
      <c r="D3" s="194"/>
      <c r="E3" s="96"/>
      <c r="F3" s="112" t="s">
        <v>90</v>
      </c>
      <c r="G3" s="199" t="str">
        <f>Albarán!B11</f>
        <v>UA Alicante</v>
      </c>
      <c r="H3" s="197"/>
      <c r="I3" s="197"/>
      <c r="J3" s="198"/>
    </row>
    <row r="4" spans="1:10" x14ac:dyDescent="0.3">
      <c r="A4" s="103" t="s">
        <v>93</v>
      </c>
      <c r="B4" s="117">
        <v>3203</v>
      </c>
      <c r="C4" s="103" t="s">
        <v>94</v>
      </c>
      <c r="D4" s="110" t="s">
        <v>69</v>
      </c>
      <c r="E4" s="96"/>
      <c r="F4" s="112" t="s">
        <v>92</v>
      </c>
      <c r="G4" s="197" t="s">
        <v>105</v>
      </c>
      <c r="H4" s="197"/>
      <c r="I4" s="197"/>
      <c r="J4" s="198"/>
    </row>
    <row r="5" spans="1:10" x14ac:dyDescent="0.3">
      <c r="A5" s="103" t="s">
        <v>95</v>
      </c>
      <c r="B5" s="193" t="s">
        <v>115</v>
      </c>
      <c r="C5" s="195"/>
      <c r="D5" s="196"/>
      <c r="E5" s="96"/>
      <c r="F5" s="112" t="s">
        <v>94</v>
      </c>
      <c r="G5" s="197" t="str">
        <f>Albarán!B12</f>
        <v>Alicante</v>
      </c>
      <c r="H5" s="197"/>
      <c r="I5" s="197"/>
      <c r="J5" s="198"/>
    </row>
    <row r="6" spans="1:10" ht="15" thickBot="1" x14ac:dyDescent="0.35">
      <c r="A6" s="103" t="s">
        <v>97</v>
      </c>
      <c r="B6" s="193">
        <v>966753954</v>
      </c>
      <c r="C6" s="193"/>
      <c r="D6" s="194"/>
      <c r="E6" s="96"/>
      <c r="F6" s="113" t="s">
        <v>95</v>
      </c>
      <c r="G6" s="200" t="str">
        <f>Albarán!B13</f>
        <v>54973416 B</v>
      </c>
      <c r="H6" s="201"/>
      <c r="I6" s="201"/>
      <c r="J6" s="202"/>
    </row>
    <row r="7" spans="1:10" ht="21" thickTop="1" thickBot="1" x14ac:dyDescent="0.35">
      <c r="A7" s="103" t="s">
        <v>98</v>
      </c>
      <c r="B7" s="193">
        <v>635816876</v>
      </c>
      <c r="C7" s="193"/>
      <c r="D7" s="194"/>
      <c r="E7" s="96"/>
      <c r="F7" s="126" t="s">
        <v>117</v>
      </c>
      <c r="G7" s="158" t="str">
        <f>Albarán!B14</f>
        <v>bibidellobo@gmail.com</v>
      </c>
      <c r="H7" s="159"/>
      <c r="I7" s="159"/>
      <c r="J7" s="160"/>
    </row>
    <row r="8" spans="1:10" ht="15.6" thickTop="1" thickBot="1" x14ac:dyDescent="0.35">
      <c r="A8" s="111" t="s">
        <v>99</v>
      </c>
      <c r="B8" s="203" t="s">
        <v>96</v>
      </c>
      <c r="C8" s="203"/>
      <c r="D8" s="204"/>
      <c r="E8" s="96"/>
      <c r="F8" s="186" t="s">
        <v>110</v>
      </c>
      <c r="G8" s="187"/>
      <c r="H8" s="187"/>
      <c r="I8" s="154" t="s">
        <v>100</v>
      </c>
      <c r="J8" s="155"/>
    </row>
    <row r="9" spans="1:10" ht="15.6" customHeight="1" thickTop="1" thickBot="1" x14ac:dyDescent="0.35">
      <c r="A9" s="127" t="s">
        <v>119</v>
      </c>
      <c r="B9" s="161" t="s">
        <v>120</v>
      </c>
      <c r="C9" s="161"/>
      <c r="D9" s="162"/>
      <c r="E9" s="96"/>
      <c r="F9" s="170">
        <v>43778</v>
      </c>
      <c r="G9" s="171"/>
      <c r="H9" s="171"/>
      <c r="I9" s="163">
        <v>516564</v>
      </c>
      <c r="J9" s="164"/>
    </row>
    <row r="10" spans="1:10" ht="15.6" thickTop="1" thickBot="1" x14ac:dyDescent="0.35">
      <c r="A10" s="104"/>
      <c r="B10" s="105"/>
      <c r="C10" s="105"/>
      <c r="D10" s="106"/>
      <c r="E10" s="106"/>
      <c r="F10" s="172"/>
      <c r="G10" s="172"/>
      <c r="H10" s="172"/>
      <c r="I10" s="172"/>
      <c r="J10" s="173"/>
    </row>
    <row r="11" spans="1:10" ht="15" thickTop="1" x14ac:dyDescent="0.3">
      <c r="A11" s="178" t="s">
        <v>5</v>
      </c>
      <c r="B11" s="180" t="s">
        <v>4</v>
      </c>
      <c r="C11" s="181"/>
      <c r="D11" s="181"/>
      <c r="E11" s="182"/>
      <c r="F11" s="174" t="s">
        <v>76</v>
      </c>
      <c r="G11" s="176" t="s">
        <v>101</v>
      </c>
      <c r="H11" s="120" t="s">
        <v>102</v>
      </c>
      <c r="I11" s="120" t="s">
        <v>103</v>
      </c>
      <c r="J11" s="121" t="s">
        <v>111</v>
      </c>
    </row>
    <row r="12" spans="1:10" x14ac:dyDescent="0.3">
      <c r="A12" s="179"/>
      <c r="B12" s="183"/>
      <c r="C12" s="184"/>
      <c r="D12" s="184"/>
      <c r="E12" s="185"/>
      <c r="F12" s="175"/>
      <c r="G12" s="177"/>
      <c r="H12" s="122" t="s">
        <v>109</v>
      </c>
      <c r="I12" s="122" t="s">
        <v>109</v>
      </c>
      <c r="J12" s="123" t="s">
        <v>112</v>
      </c>
    </row>
    <row r="13" spans="1:10" ht="15" thickBot="1" x14ac:dyDescent="0.35">
      <c r="A13" s="107"/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0" ht="15.6" thickTop="1" thickBot="1" x14ac:dyDescent="0.35">
      <c r="A14" s="97" t="str">
        <f>Pedido!$C17</f>
        <v>A556</v>
      </c>
      <c r="B14" s="165" t="str">
        <f>Pedido!$E17</f>
        <v>Asus VivoBook Pro 15 N580GD-E4154T</v>
      </c>
      <c r="C14" s="166"/>
      <c r="D14" s="166"/>
      <c r="E14" s="167"/>
      <c r="F14" s="118">
        <f>Pedido!$G17</f>
        <v>25</v>
      </c>
      <c r="G14" s="98">
        <f>Pedido!$F17</f>
        <v>999</v>
      </c>
      <c r="H14" s="99">
        <f>Pedido!$J17</f>
        <v>0.08</v>
      </c>
      <c r="I14" s="119">
        <f>Pedido!$L17</f>
        <v>22977</v>
      </c>
      <c r="J14" s="100">
        <f>$G14*$F14</f>
        <v>24975</v>
      </c>
    </row>
    <row r="15" spans="1:10" ht="15.6" thickTop="1" thickBot="1" x14ac:dyDescent="0.35">
      <c r="A15" s="97" t="str">
        <f>Pedido!$C18</f>
        <v>A959</v>
      </c>
      <c r="B15" s="165" t="str">
        <f>Pedido!$E18</f>
        <v>X560UD-EJ362T</v>
      </c>
      <c r="C15" s="166"/>
      <c r="D15" s="166"/>
      <c r="E15" s="167"/>
      <c r="F15" s="118">
        <f>Pedido!$G18</f>
        <v>34</v>
      </c>
      <c r="G15" s="98">
        <f>Pedido!$F18</f>
        <v>799</v>
      </c>
      <c r="H15" s="99">
        <f>Pedido!$J18</f>
        <v>0.1</v>
      </c>
      <c r="I15" s="119">
        <f>Pedido!$L18</f>
        <v>24449.4</v>
      </c>
      <c r="J15" s="100">
        <f t="shared" ref="J15:J29" si="0">$G15*$F15</f>
        <v>27166</v>
      </c>
    </row>
    <row r="16" spans="1:10" ht="15.6" thickTop="1" thickBot="1" x14ac:dyDescent="0.35">
      <c r="A16" s="97" t="str">
        <f>Pedido!$C19</f>
        <v>D845</v>
      </c>
      <c r="B16" s="165" t="str">
        <f>Pedido!$E19</f>
        <v>Inspiron 5584</v>
      </c>
      <c r="C16" s="166"/>
      <c r="D16" s="166"/>
      <c r="E16" s="167"/>
      <c r="F16" s="118">
        <f>Pedido!$G19</f>
        <v>5</v>
      </c>
      <c r="G16" s="98">
        <f>Pedido!$F19</f>
        <v>879.59</v>
      </c>
      <c r="H16" s="99">
        <f>Pedido!$J19</f>
        <v>0.03</v>
      </c>
      <c r="I16" s="119">
        <f>Pedido!$L19</f>
        <v>4397.95</v>
      </c>
      <c r="J16" s="100">
        <f t="shared" si="0"/>
        <v>4397.95</v>
      </c>
    </row>
    <row r="17" spans="1:10" ht="15.6" thickTop="1" thickBot="1" x14ac:dyDescent="0.35">
      <c r="A17" s="97" t="str">
        <f>Pedido!$C20</f>
        <v>A002</v>
      </c>
      <c r="B17" s="165" t="str">
        <f>Pedido!$E20</f>
        <v>ZenBook UX410UA-GV036T</v>
      </c>
      <c r="C17" s="166"/>
      <c r="D17" s="166"/>
      <c r="E17" s="167"/>
      <c r="F17" s="118">
        <f>Pedido!$G20</f>
        <v>8</v>
      </c>
      <c r="G17" s="98">
        <f>Pedido!$F20</f>
        <v>679</v>
      </c>
      <c r="H17" s="99">
        <f>Pedido!$J20</f>
        <v>7.0000000000000007E-2</v>
      </c>
      <c r="I17" s="119">
        <f>Pedido!$L20</f>
        <v>5051.7599999999993</v>
      </c>
      <c r="J17" s="100">
        <f t="shared" si="0"/>
        <v>5432</v>
      </c>
    </row>
    <row r="18" spans="1:10" ht="15.6" thickTop="1" thickBot="1" x14ac:dyDescent="0.35">
      <c r="A18" s="97" t="str">
        <f>Pedido!$C21</f>
        <v>M984</v>
      </c>
      <c r="B18" s="165" t="str">
        <f>Pedido!$E21</f>
        <v>GP63 Leopard 8RD-694XES</v>
      </c>
      <c r="C18" s="166"/>
      <c r="D18" s="166"/>
      <c r="E18" s="167"/>
      <c r="F18" s="118">
        <f>Pedido!$G21</f>
        <v>10</v>
      </c>
      <c r="G18" s="98">
        <f>Pedido!$F21</f>
        <v>999</v>
      </c>
      <c r="H18" s="99">
        <f>Pedido!$J21</f>
        <v>0.13</v>
      </c>
      <c r="I18" s="119">
        <f>Pedido!$L21</f>
        <v>9990</v>
      </c>
      <c r="J18" s="100">
        <f t="shared" si="0"/>
        <v>9990</v>
      </c>
    </row>
    <row r="19" spans="1:10" ht="15.6" thickTop="1" thickBot="1" x14ac:dyDescent="0.35">
      <c r="A19" s="97" t="str">
        <f>Pedido!$C22</f>
        <v>D557</v>
      </c>
      <c r="B19" s="165" t="str">
        <f>Pedido!$E22</f>
        <v>Nuevo Inspiron 15 5000</v>
      </c>
      <c r="C19" s="166"/>
      <c r="D19" s="166"/>
      <c r="E19" s="167"/>
      <c r="F19" s="118">
        <f>Pedido!$G22</f>
        <v>12</v>
      </c>
      <c r="G19" s="98">
        <f>Pedido!$F22</f>
        <v>898.99</v>
      </c>
      <c r="H19" s="99">
        <f>Pedido!$J22</f>
        <v>7.0000000000000007E-2</v>
      </c>
      <c r="I19" s="119">
        <f>Pedido!$L22</f>
        <v>10032.7284</v>
      </c>
      <c r="J19" s="100">
        <f t="shared" si="0"/>
        <v>10787.880000000001</v>
      </c>
    </row>
    <row r="20" spans="1:10" ht="15.6" thickTop="1" thickBot="1" x14ac:dyDescent="0.35">
      <c r="A20" s="97" t="str">
        <f>Pedido!$C23</f>
        <v>H468</v>
      </c>
      <c r="B20" s="165" t="str">
        <f>Pedido!$E23</f>
        <v>15-DA1071NS</v>
      </c>
      <c r="C20" s="166"/>
      <c r="D20" s="166"/>
      <c r="E20" s="167"/>
      <c r="F20" s="118">
        <f>Pedido!$G23</f>
        <v>17</v>
      </c>
      <c r="G20" s="98">
        <f>Pedido!$F23</f>
        <v>699</v>
      </c>
      <c r="H20" s="99">
        <f>Pedido!$J23</f>
        <v>0.05</v>
      </c>
      <c r="I20" s="119">
        <f>Pedido!$L23</f>
        <v>11288.849999999999</v>
      </c>
      <c r="J20" s="100">
        <f t="shared" si="0"/>
        <v>11883</v>
      </c>
    </row>
    <row r="21" spans="1:10" ht="15.6" thickTop="1" thickBot="1" x14ac:dyDescent="0.35">
      <c r="A21" s="97" t="str">
        <f>Pedido!$C24</f>
        <v>Vacio</v>
      </c>
      <c r="B21" s="165" t="str">
        <f>Pedido!$E24</f>
        <v>Vacio</v>
      </c>
      <c r="C21" s="166"/>
      <c r="D21" s="166"/>
      <c r="E21" s="167"/>
      <c r="F21" s="118">
        <f>Pedido!$G24</f>
        <v>0</v>
      </c>
      <c r="G21" s="98" t="str">
        <f>Pedido!$F24</f>
        <v>Vacio</v>
      </c>
      <c r="H21" s="99" t="e">
        <f>Pedido!$J24</f>
        <v>#N/A</v>
      </c>
      <c r="I21" s="119" t="e">
        <f>Pedido!$L24</f>
        <v>#N/A</v>
      </c>
      <c r="J21" s="100" t="e">
        <f t="shared" si="0"/>
        <v>#VALUE!</v>
      </c>
    </row>
    <row r="22" spans="1:10" ht="15.6" thickTop="1" thickBot="1" x14ac:dyDescent="0.35">
      <c r="A22" s="97" t="str">
        <f>Pedido!$C25</f>
        <v>Vacio</v>
      </c>
      <c r="B22" s="165" t="str">
        <f>Pedido!$E25</f>
        <v>Vacio</v>
      </c>
      <c r="C22" s="166"/>
      <c r="D22" s="166"/>
      <c r="E22" s="167"/>
      <c r="F22" s="118">
        <f>Pedido!$G25</f>
        <v>0</v>
      </c>
      <c r="G22" s="98" t="str">
        <f>Pedido!$F25</f>
        <v>Vacio</v>
      </c>
      <c r="H22" s="99" t="e">
        <f>Pedido!$J25</f>
        <v>#N/A</v>
      </c>
      <c r="I22" s="119" t="e">
        <f>Pedido!$L25</f>
        <v>#N/A</v>
      </c>
      <c r="J22" s="100" t="e">
        <f t="shared" si="0"/>
        <v>#VALUE!</v>
      </c>
    </row>
    <row r="23" spans="1:10" ht="15.6" thickTop="1" thickBot="1" x14ac:dyDescent="0.35">
      <c r="A23" s="97" t="str">
        <f>Pedido!$C26</f>
        <v>Vacio</v>
      </c>
      <c r="B23" s="165" t="str">
        <f>Pedido!$E26</f>
        <v>Vacio</v>
      </c>
      <c r="C23" s="166"/>
      <c r="D23" s="166"/>
      <c r="E23" s="167"/>
      <c r="F23" s="118">
        <f>Pedido!$G26</f>
        <v>0</v>
      </c>
      <c r="G23" s="98" t="str">
        <f>Pedido!$F26</f>
        <v>Vacio</v>
      </c>
      <c r="H23" s="99" t="e">
        <f>Pedido!$J26</f>
        <v>#N/A</v>
      </c>
      <c r="I23" s="119" t="e">
        <f>Pedido!$L26</f>
        <v>#N/A</v>
      </c>
      <c r="J23" s="100" t="e">
        <f t="shared" si="0"/>
        <v>#VALUE!</v>
      </c>
    </row>
    <row r="24" spans="1:10" ht="15.6" thickTop="1" thickBot="1" x14ac:dyDescent="0.35">
      <c r="A24" s="97" t="str">
        <f>Pedido!$C27</f>
        <v>Vacio</v>
      </c>
      <c r="B24" s="165" t="str">
        <f>Pedido!$E27</f>
        <v>Vacio</v>
      </c>
      <c r="C24" s="166"/>
      <c r="D24" s="166"/>
      <c r="E24" s="167"/>
      <c r="F24" s="118">
        <f>Pedido!$G27</f>
        <v>0</v>
      </c>
      <c r="G24" s="98" t="str">
        <f>Pedido!$F27</f>
        <v>Vacio</v>
      </c>
      <c r="H24" s="99" t="e">
        <f>Pedido!$J27</f>
        <v>#N/A</v>
      </c>
      <c r="I24" s="119" t="e">
        <f>Pedido!$L27</f>
        <v>#N/A</v>
      </c>
      <c r="J24" s="100" t="e">
        <f t="shared" si="0"/>
        <v>#VALUE!</v>
      </c>
    </row>
    <row r="25" spans="1:10" ht="15.6" thickTop="1" thickBot="1" x14ac:dyDescent="0.35">
      <c r="A25" s="97" t="str">
        <f>Pedido!$C28</f>
        <v>Vacio</v>
      </c>
      <c r="B25" s="165" t="str">
        <f>Pedido!$E28</f>
        <v>Vacio</v>
      </c>
      <c r="C25" s="166"/>
      <c r="D25" s="166"/>
      <c r="E25" s="167"/>
      <c r="F25" s="118">
        <f>Pedido!$G28</f>
        <v>0</v>
      </c>
      <c r="G25" s="98" t="str">
        <f>Pedido!$F28</f>
        <v>Vacio</v>
      </c>
      <c r="H25" s="99" t="e">
        <f>Pedido!$J28</f>
        <v>#N/A</v>
      </c>
      <c r="I25" s="119" t="e">
        <f>Pedido!$L28</f>
        <v>#N/A</v>
      </c>
      <c r="J25" s="100" t="e">
        <f t="shared" si="0"/>
        <v>#VALUE!</v>
      </c>
    </row>
    <row r="26" spans="1:10" ht="15.6" thickTop="1" thickBot="1" x14ac:dyDescent="0.35">
      <c r="A26" s="97" t="str">
        <f>Pedido!$C29</f>
        <v>Vacio</v>
      </c>
      <c r="B26" s="165" t="str">
        <f>Pedido!$E29</f>
        <v>Vacio</v>
      </c>
      <c r="C26" s="166"/>
      <c r="D26" s="166"/>
      <c r="E26" s="167"/>
      <c r="F26" s="118">
        <f>Pedido!$G29</f>
        <v>0</v>
      </c>
      <c r="G26" s="98" t="str">
        <f>Pedido!$F29</f>
        <v>Vacio</v>
      </c>
      <c r="H26" s="99" t="e">
        <f>Pedido!$J29</f>
        <v>#N/A</v>
      </c>
      <c r="I26" s="119" t="e">
        <f>Pedido!$L29</f>
        <v>#N/A</v>
      </c>
      <c r="J26" s="100" t="e">
        <f t="shared" si="0"/>
        <v>#VALUE!</v>
      </c>
    </row>
    <row r="27" spans="1:10" ht="15.6" thickTop="1" thickBot="1" x14ac:dyDescent="0.35">
      <c r="A27" s="97" t="str">
        <f>Pedido!$C30</f>
        <v>Vacio</v>
      </c>
      <c r="B27" s="165" t="str">
        <f>Pedido!$E30</f>
        <v>Vacio</v>
      </c>
      <c r="C27" s="166"/>
      <c r="D27" s="166"/>
      <c r="E27" s="167"/>
      <c r="F27" s="118">
        <f>Pedido!$G30</f>
        <v>0</v>
      </c>
      <c r="G27" s="98" t="str">
        <f>Pedido!$F30</f>
        <v>Vacio</v>
      </c>
      <c r="H27" s="99" t="e">
        <f>Pedido!$J30</f>
        <v>#N/A</v>
      </c>
      <c r="I27" s="119" t="e">
        <f>Pedido!$L30</f>
        <v>#N/A</v>
      </c>
      <c r="J27" s="100" t="e">
        <f t="shared" si="0"/>
        <v>#VALUE!</v>
      </c>
    </row>
    <row r="28" spans="1:10" ht="15.6" thickTop="1" thickBot="1" x14ac:dyDescent="0.35">
      <c r="A28" s="97" t="str">
        <f>Pedido!$C31</f>
        <v>Vacio</v>
      </c>
      <c r="B28" s="165" t="str">
        <f>Pedido!$E31</f>
        <v>Vacio</v>
      </c>
      <c r="C28" s="166"/>
      <c r="D28" s="166"/>
      <c r="E28" s="167"/>
      <c r="F28" s="118">
        <f>Pedido!$G31</f>
        <v>0</v>
      </c>
      <c r="G28" s="98" t="str">
        <f>Pedido!$F31</f>
        <v>Vacio</v>
      </c>
      <c r="H28" s="99" t="e">
        <f>Pedido!$J31</f>
        <v>#N/A</v>
      </c>
      <c r="I28" s="119" t="e">
        <f>Pedido!$L31</f>
        <v>#N/A</v>
      </c>
      <c r="J28" s="100" t="e">
        <f t="shared" si="0"/>
        <v>#VALUE!</v>
      </c>
    </row>
    <row r="29" spans="1:10" ht="15.6" thickTop="1" thickBot="1" x14ac:dyDescent="0.35">
      <c r="A29" s="97" t="str">
        <f>Pedido!$C32</f>
        <v>Vacio</v>
      </c>
      <c r="B29" s="165" t="str">
        <f>Pedido!$E32</f>
        <v>Vacio</v>
      </c>
      <c r="C29" s="166"/>
      <c r="D29" s="166"/>
      <c r="E29" s="167"/>
      <c r="F29" s="118">
        <f>Pedido!$G32</f>
        <v>0</v>
      </c>
      <c r="G29" s="98" t="str">
        <f>Pedido!$F32</f>
        <v>Vacio</v>
      </c>
      <c r="H29" s="99" t="e">
        <f>Pedido!$J32</f>
        <v>#N/A</v>
      </c>
      <c r="I29" s="119" t="e">
        <f>Pedido!$L32</f>
        <v>#N/A</v>
      </c>
      <c r="J29" s="100" t="e">
        <f t="shared" si="0"/>
        <v>#VALUE!</v>
      </c>
    </row>
    <row r="30" spans="1:10" ht="15.6" thickTop="1" thickBot="1" x14ac:dyDescent="0.35">
      <c r="A30" s="208" t="s">
        <v>113</v>
      </c>
      <c r="B30" s="209"/>
      <c r="C30" s="209"/>
      <c r="D30" s="209"/>
      <c r="E30" s="209"/>
      <c r="F30" s="209"/>
      <c r="G30" s="210"/>
      <c r="H30" s="214">
        <f>_xlfn.AGGREGATE(9,7,J14:J29)</f>
        <v>94631.83</v>
      </c>
      <c r="I30" s="215"/>
      <c r="J30" s="216"/>
    </row>
    <row r="31" spans="1:10" ht="15.6" thickTop="1" thickBot="1" x14ac:dyDescent="0.35">
      <c r="A31" s="208" t="s">
        <v>114</v>
      </c>
      <c r="B31" s="209"/>
      <c r="C31" s="209"/>
      <c r="D31" s="209"/>
      <c r="E31" s="209"/>
      <c r="F31" s="209"/>
      <c r="G31" s="210"/>
      <c r="H31" s="168">
        <v>0.21</v>
      </c>
      <c r="I31" s="169"/>
      <c r="J31" s="116">
        <f>H30*(1-H31)</f>
        <v>74759.145700000008</v>
      </c>
    </row>
    <row r="32" spans="1:10" ht="15.6" thickTop="1" thickBot="1" x14ac:dyDescent="0.35">
      <c r="A32" s="208" t="s">
        <v>121</v>
      </c>
      <c r="B32" s="209"/>
      <c r="C32" s="209"/>
      <c r="D32" s="209"/>
      <c r="E32" s="209"/>
      <c r="F32" s="209"/>
      <c r="G32" s="210"/>
      <c r="H32" s="156">
        <f>(H30-Pedido!L33)/H30</f>
        <v>6.8096977518029483E-2</v>
      </c>
      <c r="I32" s="157"/>
      <c r="J32" s="116">
        <f>_xlfn.AGGREGATE(9,7,I14:I29)</f>
        <v>88187.688400000014</v>
      </c>
    </row>
    <row r="33" spans="1:10" ht="22.2" thickTop="1" thickBot="1" x14ac:dyDescent="0.45">
      <c r="A33" s="211" t="s">
        <v>104</v>
      </c>
      <c r="B33" s="212"/>
      <c r="C33" s="212"/>
      <c r="D33" s="212"/>
      <c r="E33" s="212"/>
      <c r="F33" s="212"/>
      <c r="G33" s="213"/>
      <c r="H33" s="205">
        <f>J31*(1-H32)</f>
        <v>69668.273836000022</v>
      </c>
      <c r="I33" s="206"/>
      <c r="J33" s="207"/>
    </row>
    <row r="34" spans="1:10" ht="15" thickTop="1" x14ac:dyDescent="0.3"/>
  </sheetData>
  <mergeCells count="48">
    <mergeCell ref="H33:J33"/>
    <mergeCell ref="A30:G30"/>
    <mergeCell ref="A31:G31"/>
    <mergeCell ref="A33:G33"/>
    <mergeCell ref="H30:J30"/>
    <mergeCell ref="A32:G32"/>
    <mergeCell ref="B25:E25"/>
    <mergeCell ref="B26:E26"/>
    <mergeCell ref="B27:E27"/>
    <mergeCell ref="B28:E28"/>
    <mergeCell ref="B18:E18"/>
    <mergeCell ref="B24:E24"/>
    <mergeCell ref="B21:E21"/>
    <mergeCell ref="B14:E14"/>
    <mergeCell ref="B15:E15"/>
    <mergeCell ref="B23:E23"/>
    <mergeCell ref="B7:D7"/>
    <mergeCell ref="B8:D8"/>
    <mergeCell ref="A11:A12"/>
    <mergeCell ref="B11:E12"/>
    <mergeCell ref="F8:H8"/>
    <mergeCell ref="G1:I1"/>
    <mergeCell ref="B1:D1"/>
    <mergeCell ref="B2:D2"/>
    <mergeCell ref="B3:D3"/>
    <mergeCell ref="B6:D6"/>
    <mergeCell ref="B5:D5"/>
    <mergeCell ref="G2:J2"/>
    <mergeCell ref="G3:J3"/>
    <mergeCell ref="G4:J4"/>
    <mergeCell ref="G5:J5"/>
    <mergeCell ref="G6:J6"/>
    <mergeCell ref="I8:J8"/>
    <mergeCell ref="H32:I32"/>
    <mergeCell ref="G7:J7"/>
    <mergeCell ref="B9:D9"/>
    <mergeCell ref="I9:J9"/>
    <mergeCell ref="B17:E17"/>
    <mergeCell ref="H31:I31"/>
    <mergeCell ref="F9:H9"/>
    <mergeCell ref="F10:J10"/>
    <mergeCell ref="F11:F12"/>
    <mergeCell ref="G11:G12"/>
    <mergeCell ref="B20:E20"/>
    <mergeCell ref="B29:E29"/>
    <mergeCell ref="B19:E19"/>
    <mergeCell ref="B22:E22"/>
    <mergeCell ref="B16:E16"/>
  </mergeCells>
  <conditionalFormatting sqref="F14:F28 E31">
    <cfRule type="beginsWith" dxfId="5" priority="5" operator="beginsWith" text="0">
      <formula>LEFT(E14,LEN("0"))="0"</formula>
    </cfRule>
  </conditionalFormatting>
  <conditionalFormatting sqref="G21:G28 F31 A21:E28 A31:D31">
    <cfRule type="containsText" dxfId="4" priority="7" operator="containsText" text="Vacio">
      <formula>NOT(ISERROR(SEARCH("Vacio",A21)))</formula>
    </cfRule>
  </conditionalFormatting>
  <conditionalFormatting sqref="H14:J28 G31:I31">
    <cfRule type="containsErrors" dxfId="3" priority="4">
      <formula>ISERROR(G14)</formula>
    </cfRule>
  </conditionalFormatting>
  <conditionalFormatting sqref="F29">
    <cfRule type="beginsWith" dxfId="2" priority="2" operator="beginsWith" text="0">
      <formula>LEFT(F29,LEN("0"))="0"</formula>
    </cfRule>
  </conditionalFormatting>
  <conditionalFormatting sqref="G29 A29:E29">
    <cfRule type="containsText" dxfId="1" priority="3" operator="containsText" text="Vacio">
      <formula>NOT(ISERROR(SEARCH("Vacio",A29)))</formula>
    </cfRule>
  </conditionalFormatting>
  <conditionalFormatting sqref="H29:J29">
    <cfRule type="containsErrors" dxfId="0" priority="1">
      <formula>ISERROR(H29)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A14:I20 A21:G28 G2:J6 H32 A29:E29" unlockedFormula="1"/>
    <ignoredError sqref="H21:I28 F29:H29" evalError="1" unlockedFormula="1"/>
    <ignoredError sqref="J21:J28 I29:J29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Z R q T +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W Z R q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U a k 8 o i k e 4 D g A A A B E A A A A T A B w A R m 9 y b X V s Y X M v U 2 V j d G l v b j E u b S C i G A A o o B Q A A A A A A A A A A A A A A A A A A A A A A A A A A A A r T k 0 u y c z P U w i G 0 I b W A F B L A Q I t A B Q A A g A I A F m U a k / u M 7 6 H p w A A A P g A A A A S A A A A A A A A A A A A A A A A A A A A A A B D b 2 5 m a W c v U G F j a 2 F n Z S 5 4 b W x Q S w E C L Q A U A A I A C A B Z l G p P D 8 r p q 6 Q A A A D p A A A A E w A A A A A A A A A A A A A A A A D z A A A A W 0 N v b n R l b n R f V H l w Z X N d L n h t b F B L A Q I t A B Q A A g A I A F m U a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u B S r 8 V V y Q b h 3 9 T j q x c F 3 A A A A A A I A A A A A A B B m A A A A A Q A A I A A A A P S v l j r P w P 6 N G H z J 5 W V Y 0 0 p 6 x 1 u v c r o 9 f m 4 Z m O l 0 P I I a A A A A A A 6 A A A A A A g A A I A A A A A F 4 y Z N j L w X u D J t W + P J U 4 m a i Y 2 i O 8 1 9 P c + h 0 g X L L + Y z l U A A A A M P a f F w Y g v N d y 5 H c O h u K 4 y k w 2 H b A K 7 S / b o U W Z z 2 o b d h Z 2 3 G D n x a v 5 I i 0 x t l p 6 K l X P s o O c u 0 b 1 J Z y V v m l M 0 5 T 7 h R E 0 Z g k S 2 r U H r O k f l q M 0 x X A Q A A A A L W r c Z V + e 4 C C L m q S N 6 K E L m F f 4 H N e i G h x A o X G 8 4 9 L Z h U n b o k l M G U Z N E x r A 4 b 3 B i c e L W G t e Y w x 0 x C e 1 g e n T I 4 p Q Y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E4AAAC0F0DBB47A016FEB3651851AC" ma:contentTypeVersion="4" ma:contentTypeDescription="Crear nuevo documento." ma:contentTypeScope="" ma:versionID="28fef273ea019e5b5ab4944fe0f0b429">
  <xsd:schema xmlns:xsd="http://www.w3.org/2001/XMLSchema" xmlns:xs="http://www.w3.org/2001/XMLSchema" xmlns:p="http://schemas.microsoft.com/office/2006/metadata/properties" xmlns:ns2="ce0db5fa-4016-42f5-b175-902cce3b102b" xmlns:ns3="d813269a-5382-4582-9e34-edc41688b58e" targetNamespace="http://schemas.microsoft.com/office/2006/metadata/properties" ma:root="true" ma:fieldsID="39cf61003537149f67c5884a0c3e5feb" ns2:_="" ns3:_="">
    <xsd:import namespace="ce0db5fa-4016-42f5-b175-902cce3b102b"/>
    <xsd:import namespace="d813269a-5382-4582-9e34-edc41688b5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b5fa-4016-42f5-b175-902cce3b10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3269a-5382-4582-9e34-edc41688b5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e0db5fa-4016-42f5-b175-902cce3b102b">
      <UserInfo>
        <DisplayName>Daniel Asensi Roch</DisplayName>
        <AccountId>11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1F613FE-5EB1-4281-8CFD-8C4FBACC68E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F77D08-93CB-4F53-BFA8-5E19E72D0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db5fa-4016-42f5-b175-902cce3b102b"/>
    <ds:schemaRef ds:uri="d813269a-5382-4582-9e34-edc41688b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761387-10AD-45E4-9A1A-2A8CBFAD060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AB6071B-C90B-4BF0-A764-977541E7D412}">
  <ds:schemaRefs>
    <ds:schemaRef ds:uri="http://schemas.microsoft.com/office/2006/metadata/properties"/>
    <ds:schemaRef ds:uri="http://schemas.microsoft.com/office/infopath/2007/PartnerControls"/>
    <ds:schemaRef ds:uri="ce0db5fa-4016-42f5-b175-902cce3b10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Oferta</vt:lpstr>
      <vt:lpstr>Pedido</vt:lpstr>
      <vt:lpstr>Albarán</vt:lpstr>
      <vt:lpstr>Factura</vt:lpstr>
      <vt:lpstr>bibidellobo_gmail.com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Sabater</dc:creator>
  <cp:keywords/>
  <dc:description/>
  <cp:lastModifiedBy>Ivan Sabater</cp:lastModifiedBy>
  <cp:revision/>
  <dcterms:created xsi:type="dcterms:W3CDTF">2019-10-25T11:33:18Z</dcterms:created>
  <dcterms:modified xsi:type="dcterms:W3CDTF">2019-11-14T16:56:33Z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0x01010041E4AAAC0F0DBB47A016FEB3651851AC</vt:lpwstr>
  </property>
</Properties>
</file>